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<sst xmlns="http://schemas.openxmlformats.org/spreadsheetml/2006/main" count="2845" uniqueCount="2845">
  <si>
    <t>Date Type:</t>
  </si>
  <si>
    <t>Shipped Date</t>
  </si>
  <si>
    <t>Start Date:</t>
  </si>
  <si>
    <t>11/23/2025</t>
  </si>
  <si>
    <t>End Date:</t>
  </si>
  <si>
    <t>12/21/2025</t>
  </si>
  <si>
    <t>Report Run Date:</t>
  </si>
  <si>
    <t>12/24/2025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</si>
  <si>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</si>
  <si>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</si>
  <si>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</si>
  <si>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</si>
  <si>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</si>
  <si>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</si>
  <si>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</si>
  <si>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</si>
  <si>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</si>
  <si>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</si>
  <si>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</si>
  <si>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</si>
  <si>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</si>
  <si>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</si>
  <si>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</si>
  <si>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</si>
  <si>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</si>
  <si>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</si>
  <si>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</si>
  <si>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</si>
  <si>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</si>
  <si>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</si>
  <si>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</si>
  <si>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</si>
  <si>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</si>
  <si>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</si>
  <si>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</si>
  <si>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</si>
  <si>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</si>
  <si>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</si>
  <si>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</si>
  <si>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</si>
  <si>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</si>
  <si>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</si>
  <si>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</si>
  <si>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</si>
  <si>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</si>
  <si>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</si>
  <si>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</si>
  <si>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</si>
  <si>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</si>
  <si>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</si>
  <si>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</si>
  <si>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</si>
  <si>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</si>
  <si>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</si>
  <si>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</si>
  <si>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</si>
  <si>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</si>
  <si>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</si>
  <si>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</si>
  <si>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</si>
  <si>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</si>
  <si>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</si>
  <si>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</si>
  <si>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</si>
  <si>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</si>
  <si>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</si>
  <si>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</si>
  <si>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</si>
  <si>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</si>
  <si>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</si>
  <si>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</si>
  <si>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</si>
  <si>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</si>
  <si>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</si>
  <si>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</si>
  <si>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</si>
  <si>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</si>
  <si>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</si>
  <si>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</si>
  <si>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</si>
  <si>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</si>
  <si>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</si>
  <si>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</si>
  <si>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</si>
  <si>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</si>
  <si>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</si>
  <si>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</si>
  <si>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</si>
  <si>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</si>
  <si>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</si>
  <si>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</si>
  <si>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</si>
  <si>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</si>
  <si>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27" Medium Decorative Round Wall Mirror with Beaded Metal Frame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</si>
  <si>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</si>
  <si>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</si>
  <si>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</si>
  <si>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</si>
  <si>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</si>
  <si>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</si>
  <si>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</si>
  <si>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</si>
  <si>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</si>
  <si>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</si>
  <si>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</si>
  <si>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1/30/2026</t>
  </si>
  <si>
    <t>AMAZON,AMAZONDS,CSNSTORES,KIRKLANDDS,OLLIIX,OVERSTOCK01,TGTDVS</t>
  </si>
  <si>
    <t>Setup</t>
  </si>
  <si>
    <t>2/7/2022</t>
  </si>
  <si>
    <t>No</t>
  </si>
  <si>
    <t>MPS160-279</t>
  </si>
  <si>
    <t>36" Large Decorative Round Wall Mirror with Beaded Metal Frame</t>
  </si>
  <si>
    <t>36" Dia</t>
  </si>
  <si>
    <t>PP001618</t>
  </si>
  <si>
    <t>8/30/2017</t>
  </si>
  <si>
    <t>AMAZON,AMAZONDS,CSNSTORES,DLBRAND,HDDS,KOHLDSN,LAMPDS,MACY02,OLLIIX,OVERSTOCK01,TGTDVS</t>
  </si>
  <si>
    <t>7/17/2020</t>
  </si>
  <si>
    <t>MPS95F-0036</t>
  </si>
  <si>
    <t>Black</t>
  </si>
  <si>
    <t>PF005436</t>
  </si>
  <si>
    <t>5/6/2021</t>
  </si>
  <si>
    <t>AMAZONDS,CSNSTORES,HDDS,OVERSTOCK01,TGTDVS</t>
  </si>
  <si>
    <t>Discontinued</t>
  </si>
  <si>
    <t>12/17/2021</t>
  </si>
  <si>
    <t>MPS95F-0037</t>
  </si>
  <si>
    <t>PF005435</t>
  </si>
  <si>
    <t>4/11/2026</t>
  </si>
  <si>
    <t>AMAZON,AMAZONDS,CSNSTORES,HDDS,KIRKLANDDS,LAMPDS,OVERSTOCK01</t>
  </si>
  <si>
    <t>11/10/2021</t>
  </si>
  <si>
    <t>MPS95F-0035</t>
  </si>
  <si>
    <t>Silver</t>
  </si>
  <si>
    <t>B</t>
  </si>
  <si>
    <t>AMAZON,AMAZONDS,CSNSTORES,DLBRAND,LAMPDS,OLLIIX,OVERSTOCK01</t>
  </si>
  <si>
    <t>4/7/2022</t>
  </si>
  <si>
    <t>MPS160-339</t>
  </si>
  <si>
    <t>A</t>
  </si>
  <si>
    <t>11/6/2018</t>
  </si>
  <si>
    <t>1/23/2026</t>
  </si>
  <si>
    <t>AMAZON,AMAZONDS,CSNSTORES,HDDS,LOWESDS,OLLIIX</t>
  </si>
  <si>
    <t>7/8/2019</t>
  </si>
  <si>
    <t>MPS95F-0042</t>
  </si>
  <si>
    <t>White</t>
  </si>
  <si>
    <t>11/26/2022</t>
  </si>
  <si>
    <t>3/11/2026</t>
  </si>
  <si>
    <t>AMAZONDS,CSNSTORES,OVERSTOCK01</t>
  </si>
  <si>
    <t>7/31/2024</t>
  </si>
  <si>
    <t>MPS95F-0043</t>
  </si>
  <si>
    <t>3/18/2026</t>
  </si>
  <si>
    <t>AMAZON,AMAZONDS,CSNSTORES,OLLIIX,OVERSTOCK01</t>
  </si>
  <si>
    <t>7/17/2024</t>
  </si>
  <si>
    <t>MPS162-347</t>
  </si>
  <si>
    <t>VASES &amp; BOWLS</t>
  </si>
  <si>
    <t>Vases</t>
  </si>
  <si>
    <t>Ansen</t>
  </si>
  <si>
    <t>Mirrored Ceramic Decorative Vases 3-piece set</t>
  </si>
  <si>
    <t>3-Piece</t>
  </si>
  <si>
    <t>3</t>
  </si>
  <si>
    <t>Solid</t>
  </si>
  <si>
    <t>Transitional</t>
  </si>
  <si>
    <t>9/9/2019</t>
  </si>
  <si>
    <t>AMAZON,AMAZONDS,CSNSTORES,HDDS,KIRKLANDDS,KOHLDSN,MACY02,OLLIIX,OVERSTOCK01</t>
  </si>
  <si>
    <t>MPS167-211</t>
  </si>
  <si>
    <t>Bronze</t>
  </si>
  <si>
    <t>PF002966</t>
  </si>
  <si>
    <t>4/2/2017</t>
  </si>
  <si>
    <t>AMAZONDS,CSNSTORES,DLBRAND,HDDS,KOHLDSN,LAMPDS,MACY02,OLLIIX,OVERSTOCK01,ROOMECOM</t>
  </si>
  <si>
    <t>11/28/2017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</si>
  <si>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</si>
  <si>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</si>
  <si>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</si>
  <si>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</si>
  <si>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</si>
  <si>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</si>
  <si>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CSNSTORES,KIRKLANDDS,OLLIIX,ROOMECOM</t>
  </si>
  <si>
    <t>12/13/2017</t>
  </si>
  <si>
    <t>Yes</t>
  </si>
  <si>
    <t>MPS95B-0040</t>
  </si>
  <si>
    <t>AWD</t>
  </si>
  <si>
    <t>Awd</t>
  </si>
  <si>
    <t>Sunburst</t>
  </si>
  <si>
    <t>Hand Painted Triptych 3-piece Dimensional Resin Wall Art Set</t>
  </si>
  <si>
    <t>Abstract</t>
  </si>
  <si>
    <t>6/1/2022</t>
  </si>
  <si>
    <t>4/1/2026</t>
  </si>
  <si>
    <t>CSNSTORES,HDDS,MACY02,OLLIIX,OVERSTOCK01,ROOMECOM</t>
  </si>
  <si>
    <t>MPS95A-0023</t>
  </si>
  <si>
    <t>Hand Painted Dimensional Resin Wall Art</t>
  </si>
  <si>
    <t>30x30"</t>
  </si>
  <si>
    <t>C</t>
  </si>
  <si>
    <t>PF002029</t>
  </si>
  <si>
    <t>10/13/2017</t>
  </si>
  <si>
    <t>AMAZONDS,CSNSTORES,MACY02,OLLIIX</t>
  </si>
  <si>
    <t>5/15/2019</t>
  </si>
  <si>
    <t>MPS95A-0022</t>
  </si>
  <si>
    <t>PF002028</t>
  </si>
  <si>
    <t>ASHFURNDS,CSNSTORES,MACY02,OVERSTOCK01,ROOMECOM,TGTDVS</t>
  </si>
  <si>
    <t>6/21/2019</t>
  </si>
  <si>
    <t>MPS95A-0038</t>
  </si>
  <si>
    <t>PF005495</t>
  </si>
  <si>
    <t>6/2/2021</t>
  </si>
  <si>
    <t>CSNSTORES</t>
  </si>
  <si>
    <t>4/8/2022</t>
  </si>
  <si>
    <t>MP95B-0280</t>
  </si>
  <si>
    <t>Madison Park</t>
  </si>
  <si>
    <t>Wall Decor</t>
  </si>
  <si>
    <t>Birch Palms</t>
  </si>
  <si>
    <t>Two-tone Wood Panel Wall Décor Set</t>
  </si>
  <si>
    <t>16"W x 32"H x 1"D (2)</t>
  </si>
  <si>
    <t>Palm</t>
  </si>
  <si>
    <t>PP001658</t>
  </si>
  <si>
    <t>2</t>
  </si>
  <si>
    <t>Botanical</t>
  </si>
  <si>
    <t>Coastal</t>
  </si>
  <si>
    <t>9/15/2021</t>
  </si>
  <si>
    <t>AMAZONDS,CSNSTORES,DLBRAND,HDDS,KIRKLANDDS,KOHLDSN,LAMPDS,LOWESDS,OLLIIX,OVERSTOCK01,ROOMECOM,TGTDVS,ZOLA</t>
  </si>
  <si>
    <t>1/19/2023</t>
  </si>
  <si>
    <t>MP167-0357</t>
  </si>
  <si>
    <t>Lenzie</t>
  </si>
  <si>
    <t>Multi-colored Lily Pad Leaves 2-piece Metal Wall Decor Set</t>
  </si>
  <si>
    <t>Set of 2</t>
  </si>
  <si>
    <t>Multi</t>
  </si>
  <si>
    <t>12/30/2019</t>
  </si>
  <si>
    <t>AMAZONDS,CSNSTORES,JCPENNEY01,KIRKLANDDS,KOHLDSN,LAMPDS,MACY02,OLLIIX,OVERSTOCK01,ROOMECOM</t>
  </si>
  <si>
    <t>1/24/2022</t>
  </si>
  <si>
    <t>MP95B-0274</t>
  </si>
  <si>
    <t>Laurel Branches</t>
  </si>
  <si>
    <t>Laser Cut Tree Framed Panel Wall Decor</t>
  </si>
  <si>
    <t>One Size</t>
  </si>
  <si>
    <t>Grey</t>
  </si>
  <si>
    <t>PP001634</t>
  </si>
  <si>
    <t>9/18/2021</t>
  </si>
  <si>
    <t>AMAZONDS,CSNSTORES,HDDS,JCPENNEY01,KIRKLANDDS,KOHLDSN,OLLIIX,ROOMECOM,TGTDVS</t>
  </si>
  <si>
    <t>7/7/2022</t>
  </si>
  <si>
    <t>MP95B-0275</t>
  </si>
  <si>
    <t>Natural</t>
  </si>
  <si>
    <t>PP001635</t>
  </si>
  <si>
    <t>AMAZONDS,BLK01,CSNSTORES,HDDS,JCPENNEY01,KOHLDSN,LOWESDS,MACY02,OLLIIX,TGTDVS</t>
  </si>
  <si>
    <t>7/20/2022</t>
  </si>
  <si>
    <t>MP95B-0263</t>
  </si>
  <si>
    <t>Botanical Panel</t>
  </si>
  <si>
    <t>Distressed Carved Wood 2-piece Wall Decor Set</t>
  </si>
  <si>
    <t>PF005428</t>
  </si>
  <si>
    <t>Global Inspired</t>
  </si>
  <si>
    <t>5/17/2021</t>
  </si>
  <si>
    <t>AMAZONDS,BLK01,CSNSTORES,HDDS,JCPENNEY01,KIRKLANDDS,KOHLDSN,LOWESDS,MACY02,OLLIIX,OVERSTOCK01,ROOMECOM,TGTDVS</t>
  </si>
  <si>
    <t>4/21/2022</t>
  </si>
  <si>
    <t>MP95B-0264</t>
  </si>
  <si>
    <t>Antique Blue</t>
  </si>
  <si>
    <t>AMAZON,CSNSTORES,KIRKLANDDS,OLLIIX,OVERSTOCK01</t>
  </si>
  <si>
    <t>MP95B-0230</t>
  </si>
  <si>
    <t>PP001413;PF004959</t>
  </si>
  <si>
    <t>10/2/2019</t>
  </si>
  <si>
    <t>AMAZONDS,CSNSTORES,DLBRAND,JCPENNEY01,KOHLDSN,OLLIIX,OVERSTOCK01,TGTDVS</t>
  </si>
  <si>
    <t>11/23/2020</t>
  </si>
  <si>
    <t>MT167-0023</t>
  </si>
  <si>
    <t>Faye</t>
  </si>
  <si>
    <t>Gold Foil Metal Ginkgo Leaf Wall Decor</t>
  </si>
  <si>
    <t>MT Perry Street</t>
  </si>
  <si>
    <t>3/13/2020</t>
  </si>
  <si>
    <t>AMAZON,AMAZONDS,CSNSTORES,DLBRAND,JCPENNEY01,KOHLDSN,LAMPDS,LOWESDS,OLLIIX,OVERSTOCK01,ROOMECOM,ZOLA</t>
  </si>
  <si>
    <t>5/5/2022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</si>
  <si>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</si>
  <si>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</si>
  <si>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</si>
  <si>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</si>
  <si>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</si>
  <si>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</si>
  <si>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AMAZONDS,CSNSTORES,HDDS,KOHLDSN,LAMPDS,MACY02,OLLIIX,OVERSTOCK01</t>
  </si>
  <si>
    <t>MP167-0096</t>
  </si>
  <si>
    <t>Rossi</t>
  </si>
  <si>
    <t>Rosalie</t>
  </si>
  <si>
    <t>Jax</t>
  </si>
  <si>
    <t>Textured Feather 3-piece Metal Disc Wall Decor Set</t>
  </si>
  <si>
    <t>Set of 3</t>
  </si>
  <si>
    <t>Blue</t>
  </si>
  <si>
    <t>PP001773</t>
  </si>
  <si>
    <t>8/2/2017</t>
  </si>
  <si>
    <t>AMAZON,BLK01,CSNSTORES,KOHLDSN,LAMPDS,OLLIIX,OVERSTOCK01</t>
  </si>
  <si>
    <t>3/7/2018</t>
  </si>
  <si>
    <t>MP95B-0296</t>
  </si>
  <si>
    <t>Spice</t>
  </si>
  <si>
    <t>6/2/2022</t>
  </si>
  <si>
    <t>AMAZONDS,CSNSTORES,OLLIIX,OVERSTOCK01,ROOMECOM</t>
  </si>
  <si>
    <t>MP95B-0277</t>
  </si>
  <si>
    <t>CSNSTORES,OVERSTOCK01,ROOMECOM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</si>
  <si>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</si>
  <si>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</si>
  <si>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</si>
  <si>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</si>
  <si>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</si>
  <si>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</si>
  <si>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</si>
  <si>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</si>
  <si>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AMAZONDS,CSNSTORES,JCPENNEY01,KOHLDSN,OLLIIX,OVERSTOCK01,ROOMECOM</t>
  </si>
  <si>
    <t>7/27/2022</t>
  </si>
  <si>
    <t>MP95B-0244</t>
  </si>
  <si>
    <t>Legion</t>
  </si>
  <si>
    <t>Multi-colored Geometric Metal Discs Wall Decor</t>
  </si>
  <si>
    <t>PP001427;PF004979</t>
  </si>
  <si>
    <t>11/4/2019</t>
  </si>
  <si>
    <t>AMAZON,AMAZONDS,ASHFURNDS,CSNSTORES,KOHLDSN,MACY02,OLLIIX,OVERSTOCK01,ROOMECOM</t>
  </si>
  <si>
    <t>MP95B-0224</t>
  </si>
  <si>
    <t>Paper Cloaked Leaves</t>
  </si>
  <si>
    <t>Metal Framed Decor Panel</t>
  </si>
  <si>
    <t>Close-out</t>
  </si>
  <si>
    <t>9/13/2019</t>
  </si>
  <si>
    <t>Ready To Offer</t>
  </si>
  <si>
    <t>MP95B-0319</t>
  </si>
  <si>
    <t>Radiant</t>
  </si>
  <si>
    <t>Half-moon 2-piece Metal Wall Decor Set</t>
  </si>
  <si>
    <t>Other</t>
  </si>
  <si>
    <t>10/31/2023</t>
  </si>
  <si>
    <t>AMAZONDS,CSNSTORES,KOHLDSN,MACY02,OLLIIX,OVERSTOCK01,ROOMECOM</t>
  </si>
  <si>
    <t>2/22/2024</t>
  </si>
  <si>
    <t>MP95B-0361</t>
  </si>
  <si>
    <t>Birch Botanical</t>
  </si>
  <si>
    <t>Monstera</t>
  </si>
  <si>
    <t>TBD</t>
  </si>
  <si>
    <t>Nature</t>
  </si>
  <si>
    <t>4/1/2025</t>
  </si>
  <si>
    <t>AMAZONDS,CSNSTORES,OLLIIX,OVERSTOCK01</t>
  </si>
  <si>
    <t>MP95B-0362</t>
  </si>
  <si>
    <t>16"W x 32"H x 1"D (3)</t>
  </si>
  <si>
    <t>Tree of Life</t>
  </si>
  <si>
    <t>AMAZONDS,CSNSTORES,HDDS,KOHLDSN,OVERSTOCK01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</si>
  <si>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</si>
  <si>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</si>
  <si>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</si>
  <si>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</si>
  <si>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</si>
  <si>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</si>
  <si>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</si>
  <si>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1/5/2026</t>
  </si>
  <si>
    <t>AMAZONDS,BLK01,CSNSTORES,KOHLDSN,LAMPDS,MACY02,ROOMECOM,TGTDVS</t>
  </si>
  <si>
    <t>4/12/2021</t>
  </si>
  <si>
    <t>MP95B-0364</t>
  </si>
  <si>
    <t>Botanical Panel Distressed Carved Wood 2-piece Wall Decor Set</t>
  </si>
  <si>
    <t>Antique Brown</t>
  </si>
  <si>
    <t>8/1/2025</t>
  </si>
  <si>
    <t>CSNSTORES,HDDS</t>
  </si>
  <si>
    <t>MP95B-0363</t>
  </si>
  <si>
    <t>Antique Green</t>
  </si>
  <si>
    <t>8/2/2025</t>
  </si>
  <si>
    <t>CSNSTORES,KOHLDSN,OVERSTOCK01</t>
  </si>
  <si>
    <t>MP95B-0358</t>
  </si>
  <si>
    <t>Solana</t>
  </si>
  <si>
    <t>Framed Abstract Coastal Rice Shadowbox Wall Decor</t>
  </si>
  <si>
    <t>Off-White</t>
  </si>
  <si>
    <t>4/11/2024</t>
  </si>
  <si>
    <t>KIRKLANDDS,OLLIIX,ROOMECOM</t>
  </si>
  <si>
    <t>MP95B-0294</t>
  </si>
  <si>
    <t>Framed Graphics</t>
  </si>
  <si>
    <t>Sabal</t>
  </si>
  <si>
    <t>Framed Rice Paper Palm Leaves 3-piece Shadowbox Wall Decor Set</t>
  </si>
  <si>
    <t>PP001737</t>
  </si>
  <si>
    <t>5/23/2022</t>
  </si>
  <si>
    <t>AMAZONDS,CSNSTORES,DLBRAND,JCPENNEY01,KOHLDSN,LAMPDS,OLLIIX,OVERSTOCK01</t>
  </si>
  <si>
    <t>MP95B-0262</t>
  </si>
  <si>
    <t>Avant Garden</t>
  </si>
  <si>
    <t>Dried Flower 2-piece Shadow Box Wall Decor Set</t>
  </si>
  <si>
    <t>PF005412</t>
  </si>
  <si>
    <t>Floral</t>
  </si>
  <si>
    <t>Farm House</t>
  </si>
  <si>
    <t>Cottage/Country</t>
  </si>
  <si>
    <t>2/9/2021</t>
  </si>
  <si>
    <t>AMAZON,BLK01,JCPENNEY01,KOHLDSN,MACY02,OLLIIX,OVERSTOCK01,TGTDVS,ZOLA</t>
  </si>
  <si>
    <t>MP95C-0269</t>
  </si>
  <si>
    <t>CANVAS</t>
  </si>
  <si>
    <t>Canvas</t>
  </si>
  <si>
    <t>Luminous</t>
  </si>
  <si>
    <t>Heavily Embellished 3-piece Canvas Wall Art Set</t>
  </si>
  <si>
    <t>4/23/2021</t>
  </si>
  <si>
    <t>AMAZON,AMAZONDS,CSNSTORES,JCPENNEY01,KIRKLANDDS,KOHLDSN</t>
  </si>
  <si>
    <t>MP95C-0155</t>
  </si>
  <si>
    <t>PF004270</t>
  </si>
  <si>
    <t>3/18/2018</t>
  </si>
  <si>
    <t>AMAZON,AMAZONDS,KOHLDSN,MACY02,OLLIIX,OVERSTOCK01,ROOMECOM,TGTDVS</t>
  </si>
  <si>
    <t>5/8/2019</t>
  </si>
  <si>
    <t>MP95C-0158</t>
  </si>
  <si>
    <t>Taupe</t>
  </si>
  <si>
    <t>PP000926</t>
  </si>
  <si>
    <t>5/24/2018</t>
  </si>
  <si>
    <t>AMAZONDS,CSNSTORES,DLBRAND,KOHLDSN,LOWESDS,MACY02,OLLIIX,OVERSTOCK01</t>
  </si>
  <si>
    <t>MP95C-0041</t>
  </si>
  <si>
    <t>Forest Reflections</t>
  </si>
  <si>
    <t>Triptych 3-piece Canvas Wall Art Set</t>
  </si>
  <si>
    <t>B-</t>
  </si>
  <si>
    <t>PF001911</t>
  </si>
  <si>
    <t>Landscape</t>
  </si>
  <si>
    <t>AMAZONDS,ASHFURNDS,CSNSTORES,KOHLDSN,MACY02,ROOMECOM,TGTDVS</t>
  </si>
  <si>
    <t>12/6/2017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</si>
  <si>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</si>
  <si>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</si>
  <si>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</si>
  <si>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</si>
  <si>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</si>
  <si>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</si>
  <si>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AMAZONDS,DLBRAND,ROOMECOM,TGTDVS</t>
  </si>
  <si>
    <t>1/29/2021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</si>
  <si>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</si>
  <si>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</si>
  <si>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</si>
  <si>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</si>
  <si>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</si>
  <si>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</si>
  <si>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</si>
  <si>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AMAZON,CSNSTORES,OLLIIX</t>
  </si>
  <si>
    <t>MP95C-0268</t>
  </si>
  <si>
    <t>Glimmer</t>
  </si>
  <si>
    <t>2-Piece</t>
  </si>
  <si>
    <t>PF005465</t>
  </si>
  <si>
    <t>3/25/2026</t>
  </si>
  <si>
    <t>AMAZONDS,CSNSTORES,JCPENNEY01,KOHLDSN,MACY02,OVERSTOCK01,TGTDVS</t>
  </si>
  <si>
    <t>10/26/2021</t>
  </si>
  <si>
    <t>MP95C-0173</t>
  </si>
  <si>
    <t>PP001036;PF004517</t>
  </si>
  <si>
    <t>Hotel|Modern/Contemporary</t>
  </si>
  <si>
    <t>CSNSTORES,KOHLDSN,OLLIIX,OVERSTOCK01,ROOMECOM</t>
  </si>
  <si>
    <t>7/12/2019</t>
  </si>
  <si>
    <t>MP95C-0207</t>
  </si>
  <si>
    <t>Autumn Forest</t>
  </si>
  <si>
    <t>Triptych 3-piece Textured Canvas Wall Art Set</t>
  </si>
  <si>
    <t>Red</t>
  </si>
  <si>
    <t>4/17/2019</t>
  </si>
  <si>
    <t>2/4/2021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</si>
  <si>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</si>
  <si>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</si>
  <si>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</si>
  <si>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</si>
  <si>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</si>
  <si>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</si>
  <si>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AMAZONDS,BLK01,CSNSTORES,JCPENNEY01,KIRKLANDDS,KOHLDSN,MACY02,OLLIIX,ROOMECOM,TGTDVS</t>
  </si>
  <si>
    <t>12/4/2020</t>
  </si>
  <si>
    <t>MP95C-0205</t>
  </si>
  <si>
    <t>Radiant Flatland</t>
  </si>
  <si>
    <t>Hand Embellished Glitter 2-piece Canvas Wall Art Set</t>
  </si>
  <si>
    <t>5/14/2019</t>
  </si>
  <si>
    <t>AMAZON,CSNSTORES,KIRKLANDDS,OLLIIX</t>
  </si>
  <si>
    <t>2/5/2021</t>
  </si>
  <si>
    <t>ID95C-0059</t>
  </si>
  <si>
    <t>Beach Dogs</t>
  </si>
  <si>
    <t>Chihuahua Canvas Wall Art</t>
  </si>
  <si>
    <t>Chihuahua/Blue Multi</t>
  </si>
  <si>
    <t>Donation</t>
  </si>
  <si>
    <t>10/7/2023</t>
  </si>
  <si>
    <t>DLBRAND,JCPENNEY01,KOHLDSN,MACY02</t>
  </si>
  <si>
    <t>11/15/2023</t>
  </si>
  <si>
    <t>ID95C-0058</t>
  </si>
  <si>
    <t>Golden Retriever Canvas Wall Art</t>
  </si>
  <si>
    <t>Golden Retriever/Blue Multi</t>
  </si>
  <si>
    <t>JCPENNEY01,KOHLDSN,MACY02,TGTDVS</t>
  </si>
  <si>
    <t>MP95C-0052</t>
  </si>
  <si>
    <t>Dewy Forest</t>
  </si>
  <si>
    <t>Gold Foil Abstract 3-piece Canvas Wall Art Set</t>
  </si>
  <si>
    <t>PF001944</t>
  </si>
  <si>
    <t>4/19/2017</t>
  </si>
  <si>
    <t>DLBRAND,KIRKLANDDS,KOHLDSN,OLLIIX,OVERSTOCK01,ROOMECOM</t>
  </si>
  <si>
    <t>MP95C-0009</t>
  </si>
  <si>
    <t>Teal</t>
  </si>
  <si>
    <t>PF001837</t>
  </si>
  <si>
    <t>DLBRAND,OLLIIX,ROOMECOM</t>
  </si>
  <si>
    <t>MP95C-0365</t>
  </si>
  <si>
    <t>Herbal Botany</t>
  </si>
  <si>
    <t>Herbal Botany 4-piece Botanical Illustration Framed Canvas Wall Art Set</t>
  </si>
  <si>
    <t>Set of 4</t>
  </si>
  <si>
    <t>Green</t>
  </si>
  <si>
    <t>Farmhouse/Country/Cottage</t>
  </si>
  <si>
    <t>5/29/2025</t>
  </si>
  <si>
    <t>MP95C-0284</t>
  </si>
  <si>
    <t>Moving Midas</t>
  </si>
  <si>
    <t>Gold Foil Abstract 2-piece Framed Canvas Wall Art Set</t>
  </si>
  <si>
    <t>PP001663</t>
  </si>
  <si>
    <t>CSNSTORES,JCPENNEY01,LAMPDS,MACY02,ROOMECOM</t>
  </si>
  <si>
    <t>MP95C-0323</t>
  </si>
  <si>
    <t>Peaceful River</t>
  </si>
  <si>
    <t>Hand Embellished Framed Canvas Abstract Landscape Wall Art</t>
  </si>
  <si>
    <t>Green Multi</t>
  </si>
  <si>
    <t>9/20/2023</t>
  </si>
  <si>
    <t>MACY02,OLLIIX,OVERSTOCK01,ROOMECOM,TGTDVS</t>
  </si>
  <si>
    <t>6/26/2024</t>
  </si>
  <si>
    <t>ID95C-0049</t>
  </si>
  <si>
    <t>Sunshine Animals</t>
  </si>
  <si>
    <t>Lamb Canvas Wall Art</t>
  </si>
  <si>
    <t>Lamb/Green Multi</t>
  </si>
  <si>
    <t>CSNSTORES,JCPENNEY01,KOHLDSN,MACY02,TGTDVS</t>
  </si>
  <si>
    <t>ID95C-0050</t>
  </si>
  <si>
    <t>Llama Canvas Wall Art</t>
  </si>
  <si>
    <t>Llama/Green Multi</t>
  </si>
  <si>
    <t>JCPENNEY01,KOHLDSN,MACY02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</si>
  <si>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</si>
  <si>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</si>
  <si>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</si>
  <si>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</si>
  <si>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</si>
  <si>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</si>
  <si>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</si>
  <si>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AMAZON,AMAZONDS,CSNSTORES,HDDS,JCPENNEY01,KOHLDSN,MACY02,OLLIIX,ROOMECOM,TGTDVS</t>
  </si>
  <si>
    <t>5/15/2025</t>
  </si>
  <si>
    <t>MP95C-0103A</t>
  </si>
  <si>
    <t>Blue Bliss</t>
  </si>
  <si>
    <t>Abstract 5-piece Gallery Framed Canvas Wall Art Set</t>
  </si>
  <si>
    <t>Set of 5</t>
  </si>
  <si>
    <t>PF002001</t>
  </si>
  <si>
    <t>5</t>
  </si>
  <si>
    <t>4/26/2017</t>
  </si>
  <si>
    <t>AMAZONDS,ASHFURNDS,DLBRAND,KOHLDSN,LOWESDS,ROOMECOM</t>
  </si>
  <si>
    <t>3/14/2018</t>
  </si>
  <si>
    <t>MP95C-0062</t>
  </si>
  <si>
    <t>Ocean Seashells</t>
  </si>
  <si>
    <t>4-piece Framed Canvas Wall Art Set</t>
  </si>
  <si>
    <t>PF001950</t>
  </si>
  <si>
    <t>4</t>
  </si>
  <si>
    <t>4/22/2017</t>
  </si>
  <si>
    <t>AMAZON,AMAZONDS,CSNSTORES,LAMPDS,MACY02,TGTDVS</t>
  </si>
  <si>
    <t>MP95G-0307</t>
  </si>
  <si>
    <t>Ashlar</t>
  </si>
  <si>
    <t>Hand Painted Abstract Framed Glass and Matted Wall Art</t>
  </si>
  <si>
    <t>10/26/2022</t>
  </si>
  <si>
    <t>AMAZONDS,BLK01,KOHLDSN,LOWESDS,MACY02,OLLIIX,OVERSTOCK01</t>
  </si>
  <si>
    <t>11/16/2023</t>
  </si>
  <si>
    <t>MT95C-0006</t>
  </si>
  <si>
    <t>4-piece Botanical Illustration Framed Canvas Wall Art Set</t>
  </si>
  <si>
    <t>MT Bedford</t>
  </si>
  <si>
    <t>6/1/2019</t>
  </si>
  <si>
    <t>AMAZONDS,BLK01,CSNSTORES,DLBRAND,HDDS,JCPENNEY01,KOHLDSN,LOWESDS,OLLIIX,TGTDVS,ZOLA</t>
  </si>
  <si>
    <t>4/23/2020</t>
  </si>
  <si>
    <t>MP95G-0286</t>
  </si>
  <si>
    <t>Abstract Reveal</t>
  </si>
  <si>
    <t>Framed Glass and Gallery Matted Wall Art</t>
  </si>
  <si>
    <t>Neutral</t>
  </si>
  <si>
    <t>PP001665</t>
  </si>
  <si>
    <t>JCPENNEY01,KIRKLANDDS,MACY02,OLLIIX,TGTDVS</t>
  </si>
  <si>
    <t>MT95G-0029</t>
  </si>
  <si>
    <t>Across The Plains 1</t>
  </si>
  <si>
    <t>Framed Glass and Double Matted Abstract Landscape Wall Art</t>
  </si>
  <si>
    <t>PP001448;PF005015</t>
  </si>
  <si>
    <t>CSNSTORES,KOHLDSN,TGTDVS,ZOLA</t>
  </si>
  <si>
    <t>4/30/2020</t>
  </si>
  <si>
    <t>MP95C-0133</t>
  </si>
  <si>
    <t>Blue Lagoon 2</t>
  </si>
  <si>
    <t>Abstract 2-piece Framed Canvas Wall Art Set</t>
  </si>
  <si>
    <t>PP000609</t>
  </si>
  <si>
    <t>10/12/2017</t>
  </si>
  <si>
    <t>KOHLDSN,OLLIIX,TGTDVS</t>
  </si>
  <si>
    <t>MP95C-0117</t>
  </si>
  <si>
    <t>Ethereal</t>
  </si>
  <si>
    <t>Diptych 2-piece Framed Canvas Wall Art Set</t>
  </si>
  <si>
    <t>PF002035</t>
  </si>
  <si>
    <t>8/26/2017</t>
  </si>
  <si>
    <t>CSNSTORES,ROOMECOM</t>
  </si>
  <si>
    <t>6/17/2019</t>
  </si>
  <si>
    <t>MT95C-0005</t>
  </si>
  <si>
    <t>French Herbarium</t>
  </si>
  <si>
    <t>2-piece Framed Canvas Wall Art Set</t>
  </si>
  <si>
    <t>6/12/2019</t>
  </si>
  <si>
    <t>BLK01,CUSTSERV,KOHLDSN,OLLIIX,ROOMECOM,TGTDVS,ZOLA</t>
  </si>
  <si>
    <t>MT95G-0003</t>
  </si>
  <si>
    <t>Lady Fern Collection</t>
  </si>
  <si>
    <t>Botanical Illustration 3-piece Framed Glass and Single Matted Wall Art Set</t>
  </si>
  <si>
    <t>CSNSTORES,KOHLDSN,ROOMECOM</t>
  </si>
  <si>
    <t>4/2/2020</t>
  </si>
  <si>
    <t>5/8/2020</t>
  </si>
  <si>
    <t>MT95C-0024</t>
  </si>
  <si>
    <t>Lake Walk</t>
  </si>
  <si>
    <t>Abstract Landscape Framed Canvas Wall Art</t>
  </si>
  <si>
    <t>PP001443;PF005010</t>
  </si>
  <si>
    <t>CSNSTORES,HDDS,KOHLDSN,OLLIIX,ZOLA</t>
  </si>
  <si>
    <t>MP95G-0006</t>
  </si>
  <si>
    <t>Natural Agate Trio</t>
  </si>
  <si>
    <t>Real Stone Framed Glass and Double Matted Wall Art</t>
  </si>
  <si>
    <t>PF001834</t>
  </si>
  <si>
    <t>Global</t>
  </si>
  <si>
    <t>ID95C-0041</t>
  </si>
  <si>
    <t>Pet Portrait</t>
  </si>
  <si>
    <t>Bohemian Cat In Forest Framed Canvas Wall Art</t>
  </si>
  <si>
    <t>Bohemian Cat</t>
  </si>
  <si>
    <t>10/6/2023</t>
  </si>
  <si>
    <t>JCPENNEY01,ROOMECOM,TGTDVS</t>
  </si>
  <si>
    <t>ID95C-0045</t>
  </si>
  <si>
    <t>Captain's Guard Pug Framed Canvas Wall Art</t>
  </si>
  <si>
    <t>Captain Pug</t>
  </si>
  <si>
    <t>KOHLDSN,MACY02,ROOMECOM</t>
  </si>
  <si>
    <t>ID95C-0047</t>
  </si>
  <si>
    <t>King Charles Spaniel III Framed Canvas Wall Art</t>
  </si>
  <si>
    <t>King Charles Spaniel III</t>
  </si>
  <si>
    <t>KOHLDSN,MACY02,OLLIIX,TGTDVS</t>
  </si>
  <si>
    <t>ID95C-0043</t>
  </si>
  <si>
    <t>Rosie the Feline Framed Canvas Wall Art</t>
  </si>
  <si>
    <t>Rosie Feline</t>
  </si>
  <si>
    <t>HDDS,JCPENNEY01,KOHLDSN,MACY02,ROOMECOM,TGTDVS</t>
  </si>
  <si>
    <t>MT95C-0035</t>
  </si>
  <si>
    <t>Vista</t>
  </si>
  <si>
    <t>Abstract Landscape 5-piece Gallery Canvas Wall Art Set</t>
  </si>
  <si>
    <t>PF005278</t>
  </si>
  <si>
    <t>11/20/2020</t>
  </si>
  <si>
    <t>CSNSTORES,HDDS,KOHLDSN,LOWESDS,TGTDVS</t>
  </si>
  <si>
    <t>8/10/2021</t>
  </si>
  <si>
    <t>MP95G-0299</t>
  </si>
  <si>
    <t>Framed Graphics|Wall Decor</t>
  </si>
  <si>
    <t>Abstract Ambit</t>
  </si>
  <si>
    <t>Framed Glass Wall Art</t>
  </si>
  <si>
    <t>PP001779</t>
  </si>
  <si>
    <t>MP95G-0298</t>
  </si>
  <si>
    <t>Fair Florets</t>
  </si>
  <si>
    <t>3-piece Framed Glass Wall Art Set</t>
  </si>
  <si>
    <t>Beige</t>
  </si>
  <si>
    <t>PP001778</t>
  </si>
  <si>
    <t>JCPENNEY01,KOHLDSN,MACY02,OLLIIX,ROOMECOM,TGTDVS,ZOLA</t>
  </si>
  <si>
    <t>MP95C-0300</t>
  </si>
  <si>
    <t>Natural Essence</t>
  </si>
  <si>
    <t>Hand Embellished Abstract 5-piece Gallery Canvas Wall Art Set</t>
  </si>
  <si>
    <t>5-Piece</t>
  </si>
  <si>
    <t>PP001780</t>
  </si>
  <si>
    <t>5/30/2022</t>
  </si>
  <si>
    <t>JCPENNEY01,KIRKLANDDS,OLLIIX,OVERSTOCK01</t>
  </si>
  <si>
    <t>MP95F-0318</t>
  </si>
  <si>
    <t>Decor Mirror</t>
  </si>
  <si>
    <t>Adelaide</t>
  </si>
  <si>
    <t>Gold Scalloped Wood Wall Mirror</t>
  </si>
  <si>
    <t>AMAZON,AMAZONDS,CSNSTORES,HDDS,JCPENNEY01,KIRKLANDDS,KOHLDSN,MACY02,OLLIIX,OVERSTOCK01,TGTDVS</t>
  </si>
  <si>
    <t>5/14/2024</t>
  </si>
  <si>
    <t>MP95F-0327</t>
  </si>
  <si>
    <t>Mia</t>
  </si>
  <si>
    <t>Gold Metal Arch Wall Mirror</t>
  </si>
  <si>
    <t>4/4/2024</t>
  </si>
  <si>
    <t>AMAZON,CSNSTORES,DLBRAND,HDDS,KOHLDSN,LAMPDS,OLLIIX,OVERSTOCK01,TGTDVS</t>
  </si>
  <si>
    <t>5/29/2024</t>
  </si>
  <si>
    <t>MP95F-0315</t>
  </si>
  <si>
    <t>Adaline</t>
  </si>
  <si>
    <t>Arched Metal Floral Wall Mirror</t>
  </si>
  <si>
    <t>25.75"H</t>
  </si>
  <si>
    <t>6/20/2023</t>
  </si>
  <si>
    <t>CSNSTORES,DLBRAND,JCPENNEY01,KOHLDSN,MACY02,OLLIIX,OVERSTOCK01,TGTDVS,ZOLA</t>
  </si>
  <si>
    <t>MP95F-0359</t>
  </si>
  <si>
    <t>Aurelia</t>
  </si>
  <si>
    <t>Rounded Rectangle Fluted Wall Mirror</t>
  </si>
  <si>
    <t>5/28/2024</t>
  </si>
  <si>
    <t>HDDS,JCPENNEY01,OLLIIX</t>
  </si>
  <si>
    <t>6/6/2024</t>
  </si>
  <si>
    <t>MP95F-0366</t>
  </si>
  <si>
    <t>Marbella</t>
  </si>
  <si>
    <t>Scalloped Wood Wall Mirror</t>
  </si>
  <si>
    <t>24"X36"X0.98"</t>
  </si>
  <si>
    <t>Brown</t>
  </si>
  <si>
    <t>N/A</t>
  </si>
  <si>
    <t>Open</t>
  </si>
  <si>
    <t>MP95F-0368</t>
  </si>
  <si>
    <t>Montra</t>
  </si>
  <si>
    <t>Arched Braided Wood Wall Mirror</t>
  </si>
  <si>
    <t>MP95F-0367</t>
  </si>
  <si>
    <t>MP95F-0267</t>
  </si>
  <si>
    <t>Cove</t>
  </si>
  <si>
    <t>Natural Jute Rope Round Wall Mirror 26"</t>
  </si>
  <si>
    <t>PF005440</t>
  </si>
  <si>
    <t>OLLIIX</t>
  </si>
  <si>
    <t>1/26/2023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</si>
  <si>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</si>
  <si>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</si>
  <si>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</si>
  <si>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</si>
  <si>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</si>
  <si>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</si>
  <si>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</si>
  <si>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</si>
  <si>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AMAZON,ASHFURNDS,CSNSTORES,HDDS,JCPENNEY01,KOHLDSN,LAMPDS,MACY02,OLLIIX,ROOMECOM,ZOLA</t>
  </si>
  <si>
    <t>MT95B-0064</t>
  </si>
  <si>
    <t>INK+IVY</t>
  </si>
  <si>
    <t>Cerulean Stones</t>
  </si>
  <si>
    <t>Framed Blue Agate Shadowbox Wall Decor Panel</t>
  </si>
  <si>
    <t>PP001689</t>
  </si>
  <si>
    <t>11/22/2021</t>
  </si>
  <si>
    <t>AMAZONDS,CSNSTORES,HDDS,KIRKLANDDS,OLLIIX,OVERSTOCK01,TGTDVS</t>
  </si>
  <si>
    <t>9/9/2022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</si>
  <si>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</si>
  <si>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</si>
  <si>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</si>
  <si>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</si>
  <si>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</si>
  <si>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</si>
  <si>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AMAZON,AMAZONDS,CSNSTORES,OVERSTOCK01</t>
  </si>
  <si>
    <t>11/29/2023</t>
  </si>
  <si>
    <t>II167-905</t>
  </si>
  <si>
    <t>Savoy</t>
  </si>
  <si>
    <t>Distressed Black Metal Wall Decor</t>
  </si>
  <si>
    <t>PF003045</t>
  </si>
  <si>
    <t>Industrial</t>
  </si>
  <si>
    <t>10/18/2017</t>
  </si>
  <si>
    <t>AMAZON,AMAZONDS,BLK01,CSNSTORES,KOHLDSN,OLLIIX</t>
  </si>
  <si>
    <t>1/10/2018</t>
  </si>
  <si>
    <t>II95C-0072</t>
  </si>
  <si>
    <t>Two Black Dominos</t>
  </si>
  <si>
    <t>2-piece Canvas Wall Art Set</t>
  </si>
  <si>
    <t>PF001935</t>
  </si>
  <si>
    <t>Still Life</t>
  </si>
  <si>
    <t>AMAZON,ASHFURNDS,KIRKLANDDS,OLLIIX,ROOMECOM,ZOLA</t>
  </si>
  <si>
    <t>12/5/2017</t>
  </si>
  <si>
    <t>II95C-0154</t>
  </si>
  <si>
    <t>Botanical Waterfall</t>
  </si>
  <si>
    <t>Eucalyptus 2-piece Framed Canvas Wall Decor Set</t>
  </si>
  <si>
    <t>6/1/2023</t>
  </si>
  <si>
    <t>AMAZONDS,CSNSTORES,DLBRAND,HDDS,JCPENNEY01,KIRKLANDDS,KOHLDSN,LOWESDS,MACY02,OLLIIX,OVERSTOCK01,ROOMECOM,TGTDVS</t>
  </si>
  <si>
    <t>12/6/2023</t>
  </si>
  <si>
    <t>II95C-0142</t>
  </si>
  <si>
    <t>Celestial Orbit Navy</t>
  </si>
  <si>
    <t>Silver Foil Abstract 2-piece Canvas Wall Art Set</t>
  </si>
  <si>
    <t>Navy</t>
  </si>
  <si>
    <t>PP000800</t>
  </si>
  <si>
    <t>AMAZONDS,BLK01,KOHLDSN,OLLIIX,ROOMECOM</t>
  </si>
  <si>
    <t>6/8/2018</t>
  </si>
  <si>
    <t>II95C-0151</t>
  </si>
  <si>
    <t>Silver Sand</t>
  </si>
  <si>
    <t>Hand Embellished Abstract 3-piece Canvas Wall Art Set</t>
  </si>
  <si>
    <t>PP001870</t>
  </si>
  <si>
    <t>4/13/2023</t>
  </si>
  <si>
    <t>ASHFURNDS,KOHLDSN,OLLIIX,ZOLA</t>
  </si>
  <si>
    <t>II95C-0158</t>
  </si>
  <si>
    <t>Windswept</t>
  </si>
  <si>
    <t>Hand Embellished Highland Bull Canvas Wall Art</t>
  </si>
  <si>
    <t>Lodge/Cabin</t>
  </si>
  <si>
    <t>10/21/2023</t>
  </si>
  <si>
    <t>MACY02,ROOMECOM</t>
  </si>
  <si>
    <t>MT95C-0036A</t>
  </si>
  <si>
    <t>Blue Drift</t>
  </si>
  <si>
    <t>PF005355</t>
  </si>
  <si>
    <t>1/20/2021</t>
  </si>
  <si>
    <t>CSNSTORES,HDDS,JCPENNEY01,KIRKLANDDS,KOHLDSN,OLLIIX,TGTDVS</t>
  </si>
  <si>
    <t>II95F-0165</t>
  </si>
  <si>
    <t>Nova</t>
  </si>
  <si>
    <t xml:space="preserve">Natural Rattan Arched  Wall Mirror</t>
  </si>
  <si>
    <t>39.00x26.00x1.20"</t>
  </si>
  <si>
    <t>12/17/2025</t>
  </si>
  <si>
    <t>II95F-0155</t>
  </si>
  <si>
    <t>Natural Rattan Rectangle Wall Mirror</t>
  </si>
  <si>
    <t>Rectangle</t>
  </si>
  <si>
    <t>8/29/2023</t>
  </si>
  <si>
    <t>6/12/2024</t>
  </si>
  <si>
    <t>II95F-0164</t>
  </si>
  <si>
    <t>Natural Rattan Round Wall Mirror</t>
  </si>
  <si>
    <t>Round</t>
  </si>
  <si>
    <t>MT160-0021</t>
  </si>
  <si>
    <t>Martha Stewart</t>
  </si>
  <si>
    <t>Eden</t>
  </si>
  <si>
    <t>Gingko Leaf Round Wall Mirror 30.5"</t>
  </si>
  <si>
    <t>30.5"Dia x 1"D</t>
  </si>
  <si>
    <t>7/9/2020</t>
  </si>
  <si>
    <t>AMAZONDS,CSNSTORES,HDDS,JCPENNEY01,LAMPDS,LOWESDS,OLLIIX,OVERSTOCK01,TGTDVS</t>
  </si>
  <si>
    <t>12/18/2020</t>
  </si>
  <si>
    <t>MT95F-0098</t>
  </si>
  <si>
    <t>Gingko Leaf Round Wall Mirror 30.5”</t>
  </si>
  <si>
    <t>MT95F-0097</t>
  </si>
  <si>
    <t>7/31/2025</t>
  </si>
  <si>
    <t>CSNSTORES,KOHLDSN</t>
  </si>
  <si>
    <t>MT95F-0078</t>
  </si>
  <si>
    <t>Luna</t>
  </si>
  <si>
    <t>MT Lily Pond</t>
  </si>
  <si>
    <t>UH95C-0030</t>
  </si>
  <si>
    <t>Urban Habitat</t>
  </si>
  <si>
    <t>Cosmic Curl</t>
  </si>
  <si>
    <t>3-piece Framed Canvas Wall Art Set</t>
  </si>
  <si>
    <t>Black/Taupe</t>
  </si>
  <si>
    <t>PP001611</t>
  </si>
  <si>
    <t>Mid-Century</t>
  </si>
  <si>
    <t>2/10/2021</t>
  </si>
  <si>
    <t>DLBRAND,JCPENNEY01,KOHLDSN,OLLIIX,ROOMECOM</t>
  </si>
  <si>
    <t>MP105-0471</t>
  </si>
  <si>
    <t>FUR</t>
  </si>
  <si>
    <t>ACCENT BENCH</t>
  </si>
  <si>
    <t>Bench</t>
  </si>
  <si>
    <t>Welburn</t>
  </si>
  <si>
    <t>Antonio</t>
  </si>
  <si>
    <t>Madera</t>
  </si>
  <si>
    <t>49.5" Upholstered Bench with Back &amp; Wood Legs</t>
  </si>
  <si>
    <t>PP000350</t>
  </si>
  <si>
    <t>3/15/2025</t>
  </si>
  <si>
    <t>AMAZON,AMAZONDS,ASHFURNDS,CSNSTORES,HDDS,KIRKLANDDS,KOHLDSN,OLLIIX,OVERSTOCK01,ROOMECOM</t>
  </si>
  <si>
    <t>3/18/2019</t>
  </si>
  <si>
    <t>MP105-0543</t>
  </si>
  <si>
    <t>Tan</t>
  </si>
  <si>
    <t>PP000673</t>
  </si>
  <si>
    <t>1/30/2018</t>
  </si>
  <si>
    <t>2/7/2025</t>
  </si>
  <si>
    <t>AMAZONDS,ASHFURNDS,BLK01,CSNSTORES,HDDS,KIRKLANDDS,KOHLDSN,OLLIIX,OVERSTOCK01,ROOMECOM</t>
  </si>
  <si>
    <t>6/30/2022</t>
  </si>
  <si>
    <t>MP105-1272</t>
  </si>
  <si>
    <t>Cream</t>
  </si>
  <si>
    <t>Transitional Modern</t>
  </si>
  <si>
    <t>4/15/2025</t>
  </si>
  <si>
    <t>AMAZONDS,CSNSTORES,KIRKLANDDS,KOHLDSN,OLLIIX,OVERSTOCK01,ROOMECOM</t>
  </si>
  <si>
    <t>MP105-0999</t>
  </si>
  <si>
    <t>Taupe Multi</t>
  </si>
  <si>
    <t>6/25/2020</t>
  </si>
  <si>
    <t>AMAZONDS,ASHFURNDS,CSNSTORES,KOHLDSN,MACY02F,OVERSTOCK01</t>
  </si>
  <si>
    <t>3/28/2024</t>
  </si>
  <si>
    <t>4/1/2024</t>
  </si>
  <si>
    <t>MP105-0827</t>
  </si>
  <si>
    <t>Slate Blue</t>
  </si>
  <si>
    <t>5/31/2019</t>
  </si>
  <si>
    <t>5/6/2026</t>
  </si>
  <si>
    <t>AAFESDS,AMAZONDS,CSNSTORES,DLBRAND,HDDS,KOHLDSN,LAMPDS,OLLIIX,OVERSTOCK01,ROOMECOM,TGTDVS</t>
  </si>
  <si>
    <t>MP105-1049</t>
  </si>
  <si>
    <t>10/8/2020</t>
  </si>
  <si>
    <t>1/11/2026</t>
  </si>
  <si>
    <t>AMAZONDS,CSNSTORES,KIRKLANDDS,KOHLDSN,OLLIIX,OVERSTOCK01</t>
  </si>
  <si>
    <t>4/2/2024</t>
  </si>
  <si>
    <t>MP105-1270</t>
  </si>
  <si>
    <t>Light Blue</t>
  </si>
  <si>
    <t>3/25/2025</t>
  </si>
  <si>
    <t>2/26/2026</t>
  </si>
  <si>
    <t>AMAZONDS,CSNSTORES,KIRKLANDDS,KOHLDSN,OVERSTOCK01,ROOMECOM</t>
  </si>
  <si>
    <t>MP105-1267</t>
  </si>
  <si>
    <t>10/5/2024</t>
  </si>
  <si>
    <t>1/6/2026</t>
  </si>
  <si>
    <t>MP105-0827 HARDWARE</t>
  </si>
  <si>
    <t>Metallic</t>
  </si>
  <si>
    <t>NEW</t>
  </si>
  <si>
    <t>9/13/2023</t>
  </si>
  <si>
    <t>MP105-0471 HARDWARE</t>
  </si>
  <si>
    <t>MP105-0999 HARDWARE</t>
  </si>
  <si>
    <t>MP105-1049 HARDWARE</t>
  </si>
  <si>
    <t>Pending</t>
  </si>
  <si>
    <t>MP105-0543 HARDWARE</t>
  </si>
  <si>
    <t>MP105-1087</t>
  </si>
  <si>
    <t>Farrah</t>
  </si>
  <si>
    <t>Lovisa</t>
  </si>
  <si>
    <t>Lianna</t>
  </si>
  <si>
    <t>Accent Bench</t>
  </si>
  <si>
    <t>12/30/2020</t>
  </si>
  <si>
    <t>AMAZONDS,ASHFURNDS,CSNSTORES,DLBRAND,KOHLDSN,OLLIIX,OVERSTOCK01,ROOMECOM,TGTDVS</t>
  </si>
  <si>
    <t>7/30/2024</t>
  </si>
  <si>
    <t>8/28/2024</t>
  </si>
  <si>
    <t>MP105-1192</t>
  </si>
  <si>
    <t>Linea</t>
  </si>
  <si>
    <t>Irvington</t>
  </si>
  <si>
    <t>Lyndale</t>
  </si>
  <si>
    <t>Upholstered Modern Accent Bench</t>
  </si>
  <si>
    <t>Seafoam</t>
  </si>
  <si>
    <t>12/12/2022</t>
  </si>
  <si>
    <t>CSNSTORES,DLBRAND,KOHLDSN</t>
  </si>
  <si>
    <t>FPF18-0143</t>
  </si>
  <si>
    <t>Storage Bench</t>
  </si>
  <si>
    <t>Shandra</t>
  </si>
  <si>
    <t>Sasha</t>
  </si>
  <si>
    <t>Selah</t>
  </si>
  <si>
    <t>Tufted Top Upholstered Storage Bench</t>
  </si>
  <si>
    <t>PF000611;PP000259</t>
  </si>
  <si>
    <t>AMAZONDS,ASHFURNDS,CSNSTORES,KOHLDSN,LAMPDS,LOWESDS,MACY02F,OLLIIX,OVERSTOCK01,ROOMECOM,TGTDVS</t>
  </si>
  <si>
    <t>11/29/2017</t>
  </si>
  <si>
    <t>3/23/2018</t>
  </si>
  <si>
    <t>FUR105-0041</t>
  </si>
  <si>
    <t>PF000817;PP000259</t>
  </si>
  <si>
    <t>AMAZONDS,ASHFURNDS,CSNSTORES,DLBRAND,HDDS,KOHLDSN,MACY02F,OLLIIX,OVERSTOCK01,ROOMECOM,TGTDVS</t>
  </si>
  <si>
    <t>1/5/2018</t>
  </si>
  <si>
    <t>FUR105-0052</t>
  </si>
  <si>
    <t>Charcoal</t>
  </si>
  <si>
    <t>PF000819;PP000259</t>
  </si>
  <si>
    <t>5/9/2017</t>
  </si>
  <si>
    <t>2/13/2026</t>
  </si>
  <si>
    <t>AMAZONDS,ASHFURNDS,BLK01,CSNSTORES,KIRKLANDDS,KOHLDSN,MACY02F,OVERSTOCK01,TGTDVS</t>
  </si>
  <si>
    <t>1/23/2019</t>
  </si>
  <si>
    <t>1/28/2019</t>
  </si>
  <si>
    <t>MP105-1122</t>
  </si>
  <si>
    <t>AMAZONDS,ASHFURNDS,BLK01,CSNSTORES,DLBRAND,JCPENNEY01,KIRKLANDDS,KOHLDSN,LOWESDS,OLLIIX,OVERSTOCK01</t>
  </si>
  <si>
    <t>FPF18-0142</t>
  </si>
  <si>
    <t>Sand</t>
  </si>
  <si>
    <t>PF000610;PP000259</t>
  </si>
  <si>
    <t>AMAZONDS,CSNSTORES,KIRKLANDDS,KOHLDSN,LAMPDS,MACY02F,OLLIIX,OVERSTOCK01,ROOMECOM</t>
  </si>
  <si>
    <t>10/17/2018</t>
  </si>
  <si>
    <t>11/16/2018</t>
  </si>
  <si>
    <t>FPF18-0487</t>
  </si>
  <si>
    <t>PF000739;PP000259</t>
  </si>
  <si>
    <t>6/9/2022</t>
  </si>
  <si>
    <t>MP105-1268</t>
  </si>
  <si>
    <t>4/2/2025</t>
  </si>
  <si>
    <t>CSNSTORES,KOHLDSN,OVERSTOCK01,ROOMECOM</t>
  </si>
  <si>
    <t>FPF18-0502</t>
  </si>
  <si>
    <t>Shandra II</t>
  </si>
  <si>
    <t>Tessa</t>
  </si>
  <si>
    <t>Tahlia</t>
  </si>
  <si>
    <t>Tufted Top Soft Close Storage Bench</t>
  </si>
  <si>
    <t>PF000752;PP000260</t>
  </si>
  <si>
    <t>AMAZONDS,ASHFURNDS,CSNSTORES,DLBRAND,HDDS,KIRKLANDDS,KOHLDSN,LAMPDS,MACY02F,OLLIIX,OVERSTOCK01,ROOMECOM,TGTDVS</t>
  </si>
  <si>
    <t>12/9/2017</t>
  </si>
  <si>
    <t>FPF18-0197</t>
  </si>
  <si>
    <t>PF000636;PP000260</t>
  </si>
  <si>
    <t>AMAZONDS,ASHFURNDS,CSNSTORES,HDDS,JCPENNEY01,KIRKLANDDS,KOHLDSN,MACY02F,OVERSTOCK01</t>
  </si>
  <si>
    <t>12/14/2017</t>
  </si>
  <si>
    <t>FUR105-0042</t>
  </si>
  <si>
    <t>Light Grey</t>
  </si>
  <si>
    <t>PF000818;PP000260</t>
  </si>
  <si>
    <t>5/11/2017</t>
  </si>
  <si>
    <t>2/20/2026</t>
  </si>
  <si>
    <t>AMAZONDS,ASHFURNDS,BLK01,KIRKLANDDS,KOHLDSN,MACY02F,OLLIIX,ROOMECOM</t>
  </si>
  <si>
    <t>1/14/2018</t>
  </si>
  <si>
    <t>MP105-0998</t>
  </si>
  <si>
    <t>Ashcroft</t>
  </si>
  <si>
    <t>Jaxon</t>
  </si>
  <si>
    <t>Jayden</t>
  </si>
  <si>
    <t>Dual Compartment Flip-Top Storage Bench</t>
  </si>
  <si>
    <t>6/24/2020</t>
  </si>
  <si>
    <t>AMAZONDS,CSNSTORES,HDDS,KIRKLANDDS,KOHLDSN,LAMPDS,OLLIIX,OVERSTOCK01,ROOMECOM</t>
  </si>
  <si>
    <t>4/21/2025</t>
  </si>
  <si>
    <t>MP105-0189</t>
  </si>
  <si>
    <t>Grey Multi</t>
  </si>
  <si>
    <t>PF001127</t>
  </si>
  <si>
    <t>3/4/2026</t>
  </si>
  <si>
    <t>ASHFURNDS,CSNSTORES,HDDS,JCPENNEY01,KIRKLANDDS,KOHLDSN,LAMPDS,OLLIIX,OVERSTOCK01,ROOMECOM,TGTDVS</t>
  </si>
  <si>
    <t>3/9/2018</t>
  </si>
  <si>
    <t>FPF18-0524</t>
  </si>
  <si>
    <t>Gillian</t>
  </si>
  <si>
    <t>Payden</t>
  </si>
  <si>
    <t>Averly</t>
  </si>
  <si>
    <t>Soft Close Storage Bench</t>
  </si>
  <si>
    <t>PF000767;PP000164</t>
  </si>
  <si>
    <t>2/21/2026</t>
  </si>
  <si>
    <t>CSNSTORES,DLBRAND,KOHLDSN,OLLIIX,ROOMECOM,ZOLA</t>
  </si>
  <si>
    <t>1/27/2019</t>
  </si>
  <si>
    <t>MP116-0356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</si>
  <si>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</si>
  <si>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</si>
  <si>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</si>
  <si>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</si>
  <si>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</si>
  <si>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</si>
  <si>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King</t>
  </si>
  <si>
    <t>PF001139;PP000077</t>
  </si>
  <si>
    <t>5/25/2017</t>
  </si>
  <si>
    <t>1/17/2026</t>
  </si>
  <si>
    <t>AMAZONDS,CSNSTORES,DLBRAND,OLLIIX</t>
  </si>
  <si>
    <t>5/26/2022</t>
  </si>
  <si>
    <t>MP116-0355</t>
  </si>
  <si>
    <t>Queen/Full</t>
  </si>
  <si>
    <t>PF001138;PP000077</t>
  </si>
  <si>
    <t>5/26/2017</t>
  </si>
  <si>
    <t>AMAZONDS,ASHFURNDS,CSNSTORES,KOHLDSN,MACY02F,OLLIIX</t>
  </si>
  <si>
    <t>1/30/2019</t>
  </si>
  <si>
    <t>2/4/2019</t>
  </si>
  <si>
    <t>MP116-0358</t>
  </si>
  <si>
    <t>PF001141;PP000077</t>
  </si>
  <si>
    <t>AMAZONDS,CSNSTORES,DLBRAND</t>
  </si>
  <si>
    <t>3/25/2018</t>
  </si>
  <si>
    <t>6/12/2018</t>
  </si>
  <si>
    <t>MP116-0357</t>
  </si>
  <si>
    <t>PF001140;PP000077</t>
  </si>
  <si>
    <t>MP116-1143</t>
  </si>
  <si>
    <t>1/12/2022</t>
  </si>
  <si>
    <t>AMAZONDS,CSNSTORES</t>
  </si>
  <si>
    <t>11/20/2023</t>
  </si>
  <si>
    <t>11/30/2023</t>
  </si>
  <si>
    <t>MP116-1142</t>
  </si>
  <si>
    <t>AMAZONDS,CSNSTORES,HDDS,KOHLDSN,MACY02F,OVERSTOCK01</t>
  </si>
  <si>
    <t>12/18/2023</t>
  </si>
  <si>
    <t>MP116-1287</t>
  </si>
  <si>
    <t>Beige Velvet</t>
  </si>
  <si>
    <t>AMAZONDS</t>
  </si>
  <si>
    <t>11/22/2025</t>
  </si>
  <si>
    <t>MP116-1286</t>
  </si>
  <si>
    <t>11/25/2025</t>
  </si>
  <si>
    <t>MP116-1291</t>
  </si>
  <si>
    <t>Beige Woven</t>
  </si>
  <si>
    <t>12/5/2025</t>
  </si>
  <si>
    <t>MP116-1290</t>
  </si>
  <si>
    <t>12/4/2025</t>
  </si>
  <si>
    <t>MP116-1289</t>
  </si>
  <si>
    <t>Black Velvet</t>
  </si>
  <si>
    <t>12/6/2025</t>
  </si>
  <si>
    <t>12/23/2025</t>
  </si>
  <si>
    <t>MP116-1288</t>
  </si>
  <si>
    <t>MP116-1293</t>
  </si>
  <si>
    <t>Dark Grey Woven</t>
  </si>
  <si>
    <t>12/12/2025</t>
  </si>
  <si>
    <t>MP116-1292</t>
  </si>
  <si>
    <t>MP116-0355 HARDWARE</t>
  </si>
  <si>
    <t>Upholstery Headboard</t>
  </si>
  <si>
    <t>MP116-0357 HARDWARE</t>
  </si>
  <si>
    <t>2/14/2023</t>
  </si>
  <si>
    <t>MP116-0356 HARDWARE</t>
  </si>
  <si>
    <t>2/11/2023</t>
  </si>
  <si>
    <t>MP116-1143 HARDWARE</t>
  </si>
  <si>
    <t>3/8/2025</t>
  </si>
  <si>
    <t>MP116-1142 HARDWARE</t>
  </si>
  <si>
    <t>MP116-0358 HARDWARE</t>
  </si>
  <si>
    <t>MP100-1145</t>
  </si>
  <si>
    <t>ACCENT CHAIR</t>
  </si>
  <si>
    <t>Arm Chair</t>
  </si>
  <si>
    <t>Donohue</t>
  </si>
  <si>
    <t>Sunnee</t>
  </si>
  <si>
    <t>Lyla</t>
  </si>
  <si>
    <t>Turned Wood Frame Armchair</t>
  </si>
  <si>
    <t>Light Blue/Camel Oak</t>
  </si>
  <si>
    <t>2/15/2022</t>
  </si>
  <si>
    <t>2/1/2026</t>
  </si>
  <si>
    <t>AMAZONDS,CSNSTORES,KOHLDSN,OLLIIX,OVERSTOCK01,TGTDVS</t>
  </si>
  <si>
    <t>9/13/2022</t>
  </si>
  <si>
    <t>11/22/2022</t>
  </si>
  <si>
    <t>MP100-1242</t>
  </si>
  <si>
    <t>Light Blue/Antique Cream</t>
  </si>
  <si>
    <t>2/1/2024</t>
  </si>
  <si>
    <t>AMAZONDS,KOHLDSN,OLLIIX,OVERSTOCK01</t>
  </si>
  <si>
    <t>6/9/2025</t>
  </si>
  <si>
    <t>Light Grey/Camel Oak</t>
  </si>
  <si>
    <t>3/7/2019</t>
  </si>
  <si>
    <t>AMAZONDS,CSNSTORES,KOHLDSN,OLLIIX,TGTDVS</t>
  </si>
  <si>
    <t>8/17/2022</t>
  </si>
  <si>
    <t>9/12/2022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</si>
  <si>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</si>
  <si>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</si>
  <si>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</si>
  <si>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</si>
  <si>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</si>
  <si>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</si>
  <si>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</si>
  <si>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</si>
  <si>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AMAZONDS,ASHFURNDS,CSNSTORES,HDDS,KOHLDSN,MACY02F,OLLIIX</t>
  </si>
  <si>
    <t>12/20/2024</t>
  </si>
  <si>
    <t>FPF18-0514</t>
  </si>
  <si>
    <t>PF000758;PP000233</t>
  </si>
  <si>
    <t>4/7/2017</t>
  </si>
  <si>
    <t>12/22/2025</t>
  </si>
  <si>
    <t>ASHFURNDS</t>
  </si>
  <si>
    <t>Restricted(WF)</t>
  </si>
  <si>
    <t>9/1/2020</t>
  </si>
  <si>
    <t>FPF18-0513</t>
  </si>
  <si>
    <t>PF000757;PP000233</t>
  </si>
  <si>
    <t>1/25/2018</t>
  </si>
  <si>
    <t>12/10/2018</t>
  </si>
  <si>
    <t>MP100-1121</t>
  </si>
  <si>
    <t>2/2/2022</t>
  </si>
  <si>
    <t>9/29/2022</t>
  </si>
  <si>
    <t>12/1/2022</t>
  </si>
  <si>
    <t>MP100-1054</t>
  </si>
  <si>
    <t>10/29/2020</t>
  </si>
  <si>
    <t>ASHFURNDS,CSNSTORES,HDDS,KOHLDSN,MACY02F,OLLIIX,OVERSTOCK01,ROOMECOM</t>
  </si>
  <si>
    <t>12/16/2024</t>
  </si>
  <si>
    <t>FPF18-0512</t>
  </si>
  <si>
    <t>PF000756;PP000233</t>
  </si>
  <si>
    <t>1/24/2026</t>
  </si>
  <si>
    <t>5/15/2018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</si>
  <si>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</si>
  <si>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</si>
  <si>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</si>
  <si>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</si>
  <si>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</si>
  <si>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</si>
  <si>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</si>
  <si>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</si>
  <si>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3/29/2026</t>
  </si>
  <si>
    <t>CSNSTORES,HDDS,KOHLDSN,MACY02F,OLLIIX,TGTDVS</t>
  </si>
  <si>
    <t>9/1/2022</t>
  </si>
  <si>
    <t>2/3/2023</t>
  </si>
  <si>
    <t>MP100-0991</t>
  </si>
  <si>
    <t>Brooke</t>
  </si>
  <si>
    <t>Miri</t>
  </si>
  <si>
    <t>Annie</t>
  </si>
  <si>
    <t>Tight Back Club Chair</t>
  </si>
  <si>
    <t>ASHFURNDS,HDDS,KIRKLANDDS,KOHLDSN,OLLIIX</t>
  </si>
  <si>
    <t>11/23/2022</t>
  </si>
  <si>
    <t>FPF18-0486</t>
  </si>
  <si>
    <t>PF000738;PP000105</t>
  </si>
  <si>
    <t>Print</t>
  </si>
  <si>
    <t>DLBRAND</t>
  </si>
  <si>
    <t>1/29/2018</t>
  </si>
  <si>
    <t>MP100-1011</t>
  </si>
  <si>
    <t>Clearwater</t>
  </si>
  <si>
    <t>Blakeley</t>
  </si>
  <si>
    <t>Daire</t>
  </si>
  <si>
    <t>Accent Chair</t>
  </si>
  <si>
    <t>CSNSTORES,KOHLDSN,OLLIIX</t>
  </si>
  <si>
    <t>1/4/2024</t>
  </si>
  <si>
    <t>6/10/2024</t>
  </si>
  <si>
    <t>MP100-0465</t>
  </si>
  <si>
    <t>Colette</t>
  </si>
  <si>
    <t>Halford</t>
  </si>
  <si>
    <t>Donner</t>
  </si>
  <si>
    <t>PP000344</t>
  </si>
  <si>
    <t>CSNSTORES,LAMPDS,MACY02F,OVERSTOCK01,ROOMECOM</t>
  </si>
  <si>
    <t>1/24/2019</t>
  </si>
  <si>
    <t>2/12/2019</t>
  </si>
  <si>
    <t>MP100-1174</t>
  </si>
  <si>
    <t>Diedra</t>
  </si>
  <si>
    <t>Blaine</t>
  </si>
  <si>
    <t>Paulie</t>
  </si>
  <si>
    <t>2/23/2022</t>
  </si>
  <si>
    <t>CSNSTORES,KOHLDSN,OLLIIX,OVERSTOCK01</t>
  </si>
  <si>
    <t>MP100-0386</t>
  </si>
  <si>
    <t>Cane Armchair</t>
  </si>
  <si>
    <t>Cream/Reclaimed Natural</t>
  </si>
  <si>
    <t>PF000276</t>
  </si>
  <si>
    <t>CSNSTORES,KIRKLANDDS,OLLIIX,OVERSTOCK01</t>
  </si>
  <si>
    <t>4/18/2018</t>
  </si>
  <si>
    <t>12/21/2018</t>
  </si>
  <si>
    <t>MP100-1075</t>
  </si>
  <si>
    <t>Tan/Espresso</t>
  </si>
  <si>
    <t>12/15/2020</t>
  </si>
  <si>
    <t>4/29/2022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</si>
  <si>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</si>
  <si>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</si>
  <si>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</si>
  <si>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</si>
  <si>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</si>
  <si>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</si>
  <si>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</si>
  <si>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4/13/2026</t>
  </si>
  <si>
    <t>CSNSTORES,KOHLDSN,MACY02F,OVERSTOCK01,ROOMECOM</t>
  </si>
  <si>
    <t>12/28/2017</t>
  </si>
  <si>
    <t>MP100-0618</t>
  </si>
  <si>
    <t>Heston</t>
  </si>
  <si>
    <t>Lea</t>
  </si>
  <si>
    <t>Kileen</t>
  </si>
  <si>
    <t>Dark Blue</t>
  </si>
  <si>
    <t>1/17/2018</t>
  </si>
  <si>
    <t>7/12/2018</t>
  </si>
  <si>
    <t>MP100-1203</t>
  </si>
  <si>
    <t>Odessa</t>
  </si>
  <si>
    <t>Gilman</t>
  </si>
  <si>
    <t>Leanne</t>
  </si>
  <si>
    <t>Accent Arm Chair</t>
  </si>
  <si>
    <t>12/7/2022</t>
  </si>
  <si>
    <t>CSNSTORES,DLBRAND,HDDS,OLLIIX</t>
  </si>
  <si>
    <t>MP100-1187</t>
  </si>
  <si>
    <t>Tage</t>
  </si>
  <si>
    <t>Bianca</t>
  </si>
  <si>
    <t>Marlee</t>
  </si>
  <si>
    <t>Upholstered Accent Armchair</t>
  </si>
  <si>
    <t>4/7/2023</t>
  </si>
  <si>
    <t>FPF18-0416</t>
  </si>
  <si>
    <t>Armless Chair</t>
  </si>
  <si>
    <t>Erika</t>
  </si>
  <si>
    <t>Bree</t>
  </si>
  <si>
    <t>Laura</t>
  </si>
  <si>
    <t>PF000700;PP000154</t>
  </si>
  <si>
    <t>ASHFURNDS,CSNSTORES,HDDS,KOHLDSN,MACY02F,OVERSTOCK01,ROOMECOM</t>
  </si>
  <si>
    <t>MP103-0236</t>
  </si>
  <si>
    <t>MOTION</t>
  </si>
  <si>
    <t>Swivel</t>
  </si>
  <si>
    <t>Tyler</t>
  </si>
  <si>
    <t>Memo</t>
  </si>
  <si>
    <t>Sheldon</t>
  </si>
  <si>
    <t>Upholstered Swivel Barrel Chair with Nailheads</t>
  </si>
  <si>
    <t>Natural Multi</t>
  </si>
  <si>
    <t>PF001096;PP000273</t>
  </si>
  <si>
    <t>6/2/2017</t>
  </si>
  <si>
    <t>AMAZONDS,ASHFURNDS,CSNSTORES,JCPENNEY01,KIRKLANDDS,KOHLDSN,MACY02F,OLLIIX,ROOMECOM,TGTDVS</t>
  </si>
  <si>
    <t>MP103-0706</t>
  </si>
  <si>
    <t>Teal Multi</t>
  </si>
  <si>
    <t>7/25/2018</t>
  </si>
  <si>
    <t>AMAZONDS,ASHFURNDS</t>
  </si>
  <si>
    <t>5/3/2019</t>
  </si>
  <si>
    <t>5/7/2019</t>
  </si>
  <si>
    <t>MP103-1071</t>
  </si>
  <si>
    <t>3/31/2021</t>
  </si>
  <si>
    <t>AMAZONDS,ASHFURNDS,CSNSTORES,JCPENNEY01,KOHLDSN,TGTDVS</t>
  </si>
  <si>
    <t>MP103-1103</t>
  </si>
  <si>
    <t>2/17/2021</t>
  </si>
  <si>
    <t>AMAZONDS,ASHFURNDS,HDDS,JCPENNEY01,KIRKLANDDS,KOHLDSN,MACY02F,OLLIIX</t>
  </si>
  <si>
    <t>1/3/2024</t>
  </si>
  <si>
    <t>1/17/2024</t>
  </si>
  <si>
    <t>MP103-0481</t>
  </si>
  <si>
    <t>Chocolate</t>
  </si>
  <si>
    <t>AMAZONDS,ASHFURNDS,HDDS,KOHLDSN,OLLIIX,TGTDVS</t>
  </si>
  <si>
    <t>7/4/2019</t>
  </si>
  <si>
    <t>MP103-0985</t>
  </si>
  <si>
    <t>Brianne</t>
  </si>
  <si>
    <t>Betty</t>
  </si>
  <si>
    <t>Mitchell</t>
  </si>
  <si>
    <t>Upholstered Swivel Curved Armchair</t>
  </si>
  <si>
    <t>1/9/2026</t>
  </si>
  <si>
    <t>AMAZONDS,CSNSTORES,HDDS,KIRKLANDDS,KOHLDSN,MACY02F,OLLIIX,OVERSTOCK01</t>
  </si>
  <si>
    <t>8/11/2022</t>
  </si>
  <si>
    <t>MP103-0241</t>
  </si>
  <si>
    <t>PF001101</t>
  </si>
  <si>
    <t>5/24/2017</t>
  </si>
  <si>
    <t>9/20/2021</t>
  </si>
  <si>
    <t>MP103-1298</t>
  </si>
  <si>
    <t>TBU</t>
  </si>
  <si>
    <t>MP103-1297</t>
  </si>
  <si>
    <t>MP103-1000</t>
  </si>
  <si>
    <t>Adele</t>
  </si>
  <si>
    <t>Jayne</t>
  </si>
  <si>
    <t>Findlay</t>
  </si>
  <si>
    <t>Swivel Chair</t>
  </si>
  <si>
    <t>CSNSTORES,OLLIIX</t>
  </si>
  <si>
    <t>7/29/2024</t>
  </si>
  <si>
    <t>MP103-1245</t>
  </si>
  <si>
    <t>Ashton</t>
  </si>
  <si>
    <t>Upholstered Swivel Chair with Wood Base</t>
  </si>
  <si>
    <t>3/13/2024</t>
  </si>
  <si>
    <t>MP103-1072</t>
  </si>
  <si>
    <t>Calvin</t>
  </si>
  <si>
    <t>Gayla</t>
  </si>
  <si>
    <t>Galva</t>
  </si>
  <si>
    <t>10/31/2022</t>
  </si>
  <si>
    <t>MP103-1226</t>
  </si>
  <si>
    <t>Capstone</t>
  </si>
  <si>
    <t>Wilmette</t>
  </si>
  <si>
    <t>Milton</t>
  </si>
  <si>
    <t>360-degree Swivel Barrel chair with Tufting and Nail heads</t>
  </si>
  <si>
    <t>7/31/2023</t>
  </si>
  <si>
    <t>CSNSTORES,HDDS,KIRKLANDDS,KOHLDSN,OLLIIX,OVERSTOCK01,TGTDVS</t>
  </si>
  <si>
    <t>MP103-1077</t>
  </si>
  <si>
    <t>4/27/2021</t>
  </si>
  <si>
    <t>ASHFURNDS,CSNSTORES</t>
  </si>
  <si>
    <t>9/22/2022</t>
  </si>
  <si>
    <t>MP103-0482</t>
  </si>
  <si>
    <t>3/19/2026</t>
  </si>
  <si>
    <t>ASHFURNDS,DLBRAND</t>
  </si>
  <si>
    <t>3/21/2019</t>
  </si>
  <si>
    <t>MP103-0243</t>
  </si>
  <si>
    <t>Deanna</t>
  </si>
  <si>
    <t>Morton</t>
  </si>
  <si>
    <t>Sparta</t>
  </si>
  <si>
    <t>Upholstered Swivel Accent Chair</t>
  </si>
  <si>
    <t>PF001103</t>
  </si>
  <si>
    <t>2/23/2026</t>
  </si>
  <si>
    <t>1/22/2018</t>
  </si>
  <si>
    <t>3/1/2018</t>
  </si>
  <si>
    <t>MP103-0702</t>
  </si>
  <si>
    <t>Harris</t>
  </si>
  <si>
    <t>Lois</t>
  </si>
  <si>
    <t>Sidney</t>
  </si>
  <si>
    <t>Chenille Swivel Chair</t>
  </si>
  <si>
    <t>Dusty Aqua</t>
  </si>
  <si>
    <t>CSNSTORES,HDDS,KIRKLANDDS,OVERSTOCK01</t>
  </si>
  <si>
    <t>6/24/2019</t>
  </si>
  <si>
    <t>6/27/2019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</si>
  <si>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</si>
  <si>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</si>
  <si>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</si>
  <si>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</si>
  <si>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</si>
  <si>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</si>
  <si>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</si>
  <si>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AMAZONDS,KOHLDSN,MACY02F,OLLIIX</t>
  </si>
  <si>
    <t>7/22/2022</t>
  </si>
  <si>
    <t>MP103-0602</t>
  </si>
  <si>
    <t>PP000730</t>
  </si>
  <si>
    <t>MP103-0937</t>
  </si>
  <si>
    <t>Justin</t>
  </si>
  <si>
    <t>Benton</t>
  </si>
  <si>
    <t>Felton</t>
  </si>
  <si>
    <t>1/9/2020</t>
  </si>
  <si>
    <t>ASHFURNDS,CSNSTORES,KOHLDSN</t>
  </si>
  <si>
    <t>5/24/2022</t>
  </si>
  <si>
    <t>MP103-0609</t>
  </si>
  <si>
    <t>Manual Recliner</t>
  </si>
  <si>
    <t>Aidan</t>
  </si>
  <si>
    <t>Jetta</t>
  </si>
  <si>
    <t>Zak</t>
  </si>
  <si>
    <t>Upholstered Manual Push Back Recliner Chair with Nailheads</t>
  </si>
  <si>
    <t>PP000737</t>
  </si>
  <si>
    <t>AMAZONDS,ASHFURNDS,CSNSTORES,DLBRAND,HDDS,JCPENNEY01,KIRKLANDDS,KOHLDSN,MACY02F,OLLIIX,OVERSTOCK01,ROOMECOM,ZOLA</t>
  </si>
  <si>
    <t>2/6/2019</t>
  </si>
  <si>
    <t>MP103-1269</t>
  </si>
  <si>
    <t>1/30/2025</t>
  </si>
  <si>
    <t>CSNSTORES,HDDS,KIRKLANDDS,KOHLDSN,OLLIIX,OVERSTOCK01</t>
  </si>
  <si>
    <t>MP103-0246</t>
  </si>
  <si>
    <t>Julian</t>
  </si>
  <si>
    <t>Evanston</t>
  </si>
  <si>
    <t>Lenox</t>
  </si>
  <si>
    <t>Push Back Recliner</t>
  </si>
  <si>
    <t>PF001106</t>
  </si>
  <si>
    <t>6/11/2017</t>
  </si>
  <si>
    <t>ASHFURNDS,CSNSTORES,DLBRAND,KOHLDSN,MACY02F,OLLIIX,OVERSTOCK01</t>
  </si>
  <si>
    <t>MP103-0610</t>
  </si>
  <si>
    <t>Kirby</t>
  </si>
  <si>
    <t>Oscar</t>
  </si>
  <si>
    <t>Docker</t>
  </si>
  <si>
    <t>C+</t>
  </si>
  <si>
    <t>PP000738</t>
  </si>
  <si>
    <t>ASHFURNDS,CSNSTORES,KOHLDSN,OVERSTOCK01</t>
  </si>
  <si>
    <t>5/9/2019</t>
  </si>
  <si>
    <t>MP103-1051</t>
  </si>
  <si>
    <t>Navy Multi</t>
  </si>
  <si>
    <t>11/25/2020</t>
  </si>
  <si>
    <t>7/12/2023</t>
  </si>
  <si>
    <t>8/14/2023</t>
  </si>
  <si>
    <t>MP103-1295</t>
  </si>
  <si>
    <t>Elio</t>
  </si>
  <si>
    <t>3 in1 Power Recliner</t>
  </si>
  <si>
    <t>Polyester</t>
  </si>
  <si>
    <t>MP103-1296</t>
  </si>
  <si>
    <t>MP103-1271</t>
  </si>
  <si>
    <t>Recliner</t>
  </si>
  <si>
    <t>Candace</t>
  </si>
  <si>
    <t>Power Recliner 3-in-1 with Swivel, Glider, Charging Station</t>
  </si>
  <si>
    <t>5/8/2025</t>
  </si>
  <si>
    <t>CSNSTORES,HDDS,KIRKLANDDS,KOHLDSN</t>
  </si>
  <si>
    <t>MP103-1284</t>
  </si>
  <si>
    <t>Power Recliner 3-in-1 with Swivel, Glider, USB Ports</t>
  </si>
  <si>
    <t>10/28/2025</t>
  </si>
  <si>
    <t>KOHLDSN</t>
  </si>
  <si>
    <t>MP103-1285</t>
  </si>
  <si>
    <t>CSNSTORES,HDDS,KOHLDSN</t>
  </si>
  <si>
    <t>MP103-1283</t>
  </si>
  <si>
    <t>10/29/2025</t>
  </si>
  <si>
    <t>KOHLDSN,OVERSTOCK01</t>
  </si>
  <si>
    <t>MP104-1239</t>
  </si>
  <si>
    <t>BAR STOOL</t>
  </si>
  <si>
    <t>Counter Stool</t>
  </si>
  <si>
    <t>Reclaimed Wood Counter Stool with Natural Rattan Back and Upholstered Seat</t>
  </si>
  <si>
    <t>10/13/2023</t>
  </si>
  <si>
    <t>AMAZONDS,CSNSTORES,KIRKLANDDS,KOHLDSN,MACY02F,OLLIIX,OVERSTOCK01,TGTDVS</t>
  </si>
  <si>
    <t>1/3/2025</t>
  </si>
  <si>
    <t>FUR101-0039</t>
  </si>
  <si>
    <t>Belfast</t>
  </si>
  <si>
    <t>Nomad</t>
  </si>
  <si>
    <t>Westly</t>
  </si>
  <si>
    <t>Saddle Counter Stool</t>
  </si>
  <si>
    <t>PF000814;PP000095</t>
  </si>
  <si>
    <t>AMAZONDS,HDDS,KOHLDSN,OVERSTOCK01</t>
  </si>
  <si>
    <t>8/10/2022</t>
  </si>
  <si>
    <t>FPF20-0401</t>
  </si>
  <si>
    <t>PF000797;PP000095</t>
  </si>
  <si>
    <t>AMAZONDS,CSNSTORES,DLBRAND,KOHLDSN,LAMPDS,OLLIIX,OVERSTOCK01,ROOMECOM</t>
  </si>
  <si>
    <t>8/31/2020</t>
  </si>
  <si>
    <t>MP104-1123</t>
  </si>
  <si>
    <t>CSNSTORES,KOHLDSN,MACY02F,OLLIIX</t>
  </si>
  <si>
    <t>12/26/2022</t>
  </si>
  <si>
    <t>FUR101-0037</t>
  </si>
  <si>
    <t>PF000812;PP000095</t>
  </si>
  <si>
    <t>CSNSTORES,DLBRAND,KOHLDSN,OLLIIX,ROOMECOM,TGTDVS</t>
  </si>
  <si>
    <t>7/21/2022</t>
  </si>
  <si>
    <t>FUR101-0037 HARDWARE</t>
  </si>
  <si>
    <t>MP104-1123 HARDWARE</t>
  </si>
  <si>
    <t>1/31/2025</t>
  </si>
  <si>
    <t>FPF20-0532</t>
  </si>
  <si>
    <t>Avila</t>
  </si>
  <si>
    <t>Hayes</t>
  </si>
  <si>
    <t>Saffron</t>
  </si>
  <si>
    <t>Tufted Back Counter Stool</t>
  </si>
  <si>
    <t>PF000802;PP000092</t>
  </si>
  <si>
    <t>MP104-1238</t>
  </si>
  <si>
    <t>Bryce</t>
  </si>
  <si>
    <t>Robertson</t>
  </si>
  <si>
    <t>Thornton</t>
  </si>
  <si>
    <t>26"H Upholstered Counter Stool with Metal Base</t>
  </si>
  <si>
    <t>10/4/2023</t>
  </si>
  <si>
    <t>CSNSTORES,DLBRAND,HDDS,KIRKLANDDS,KOHLDSN,MACY02F,OLLIIX,OVERSTOCK01,TGTDVS</t>
  </si>
  <si>
    <t>8/29/2024</t>
  </si>
  <si>
    <t>10/24/2024</t>
  </si>
  <si>
    <t>MP104-0762</t>
  </si>
  <si>
    <t>Christine</t>
  </si>
  <si>
    <t>Davisina</t>
  </si>
  <si>
    <t>Sugar</t>
  </si>
  <si>
    <t>Counterstool</t>
  </si>
  <si>
    <t>3/4/2019</t>
  </si>
  <si>
    <t>CSNSTORES,OLLIIX,OVERSTOCK01</t>
  </si>
  <si>
    <t>MP104-1110</t>
  </si>
  <si>
    <t>Hermosa</t>
  </si>
  <si>
    <t>Carmel</t>
  </si>
  <si>
    <t>Rosita</t>
  </si>
  <si>
    <t>Woven Counter Stool 25"</t>
  </si>
  <si>
    <t>9/6/2021</t>
  </si>
  <si>
    <t>CSNSTORES,DESINC,HDDS,KOHLDSN,OLLIIX,OVERSTOCK01,TGTDVS</t>
  </si>
  <si>
    <t>5/6/2024</t>
  </si>
  <si>
    <t>5/27/2024</t>
  </si>
  <si>
    <t>MP104-1079</t>
  </si>
  <si>
    <t>Maison</t>
  </si>
  <si>
    <t>Marc</t>
  </si>
  <si>
    <t>Eugene</t>
  </si>
  <si>
    <t>Charcoal/Antique Gold</t>
  </si>
  <si>
    <t>CSNSTORES,HDDS,KOHLDSN,OLLIIX,OVERSTOCK01</t>
  </si>
  <si>
    <t>MP104-0943</t>
  </si>
  <si>
    <t>Swivel Counter Stool</t>
  </si>
  <si>
    <t>Emmett</t>
  </si>
  <si>
    <t>Janet</t>
  </si>
  <si>
    <t>Cheryl</t>
  </si>
  <si>
    <t>25.75" Swivel Counter Stool</t>
  </si>
  <si>
    <t>2/6/2020</t>
  </si>
  <si>
    <t>2/7/2026</t>
  </si>
  <si>
    <t>AMAZONDS,CSNSTORES,CUSTSERV,HDDS,KOHLDSN,MACY02F,OLLIIX,OVERSTOCK01</t>
  </si>
  <si>
    <t>1/14/2024</t>
  </si>
  <si>
    <t>MP104-1119</t>
  </si>
  <si>
    <t>10/13/2021</t>
  </si>
  <si>
    <t>AMAZONDS,CSNSTORES,JCPENNEY01,KIRKLANDDS,KOHLDSN,MACY02F,OLLIIX,OVERSTOCK01,ROOMECOM</t>
  </si>
  <si>
    <t>8/23/2024</t>
  </si>
  <si>
    <t>MP104-1105</t>
  </si>
  <si>
    <t>5/18/2021</t>
  </si>
  <si>
    <t>ASHFURNDS,DLBRAND,OLLIIX</t>
  </si>
  <si>
    <t>2/15/2024</t>
  </si>
  <si>
    <t>MP104-1074</t>
  </si>
  <si>
    <t>Jillian</t>
  </si>
  <si>
    <t>Marshall</t>
  </si>
  <si>
    <t>Ellery</t>
  </si>
  <si>
    <t>Counter Stool with Swivel Seat</t>
  </si>
  <si>
    <t>AMAZONDS,KOHLDSN,MACY02F,OLLIIX,OVERSTOCK01,ROOMECOM</t>
  </si>
  <si>
    <t>8/20/2024</t>
  </si>
  <si>
    <t>MP104-0512</t>
  </si>
  <si>
    <t>Carson</t>
  </si>
  <si>
    <t>Fillmore</t>
  </si>
  <si>
    <t>Troy</t>
  </si>
  <si>
    <t>Counter Stool With Swivel Seat</t>
  </si>
  <si>
    <t>PP000620</t>
  </si>
  <si>
    <t>CASTLEGATE,CSNSTORES,HDDS,KIRKLANDDS,KOHLDSN,OLLIIX,OVERSTOCK01</t>
  </si>
  <si>
    <t>MP104-0986</t>
  </si>
  <si>
    <t>6/15/2020</t>
  </si>
  <si>
    <t>CSNSTORES,KOHLDSN,LAMPDS,MACY02F,OVERSTOCK01</t>
  </si>
  <si>
    <t>MP104-1153</t>
  </si>
  <si>
    <t>2/18/2026</t>
  </si>
  <si>
    <t>CSNSTORES,DLBRAND,JCPENNEY01,KOHLDSN,MACY02F,OLLIIX</t>
  </si>
  <si>
    <t>MP104-0787</t>
  </si>
  <si>
    <t>Glenwood</t>
  </si>
  <si>
    <t>Crimson</t>
  </si>
  <si>
    <t>Farwell</t>
  </si>
  <si>
    <t>5/13/2019</t>
  </si>
  <si>
    <t>CSNSTORES,KOHLDSN,OVERSTOCK01,TGTDVS</t>
  </si>
  <si>
    <t>MP104-0944</t>
  </si>
  <si>
    <t>Mateo</t>
  </si>
  <si>
    <t>Quarry</t>
  </si>
  <si>
    <t>Powell</t>
  </si>
  <si>
    <t>Beige Multi</t>
  </si>
  <si>
    <t>2/10/2020</t>
  </si>
  <si>
    <t>CSNSTORES,DLBRAND,HDDS,JCPENNEY01,KOHLDSN,MACY02F,OLLIIX</t>
  </si>
  <si>
    <t>MP104-1146</t>
  </si>
  <si>
    <t>Pearce</t>
  </si>
  <si>
    <t>Walsh</t>
  </si>
  <si>
    <t>Howard</t>
  </si>
  <si>
    <t>Swivel Upholstered Counter Stool with Solid Wood Legs &amp; Metal Footrest</t>
  </si>
  <si>
    <t>1/28/2022</t>
  </si>
  <si>
    <t>3/26/2026</t>
  </si>
  <si>
    <t>CSNSTORES,KIRKLANDDS,KOHLDSN,OLLIIX</t>
  </si>
  <si>
    <t>MP104-0515</t>
  </si>
  <si>
    <t>PP000623</t>
  </si>
  <si>
    <t>1/20/2018</t>
  </si>
  <si>
    <t>CSNSTORES,KIRKLANDDS,KOHLDSN,OLLIIX,ROOMECOM</t>
  </si>
  <si>
    <t>10/19/2018</t>
  </si>
  <si>
    <t>MP104-1147</t>
  </si>
  <si>
    <t>Pink</t>
  </si>
  <si>
    <t>MP104-0988</t>
  </si>
  <si>
    <t>Pearce Swivel Upholstered Counter Stool with Solid Wood Legs &amp; Metal Footrest</t>
  </si>
  <si>
    <t>CASTLEGATE,CSNSTORES,HDDS,KOHLDSN,MACY02F,OLLIIX,OVERSTOCK01</t>
  </si>
  <si>
    <t>MP104-1052</t>
  </si>
  <si>
    <t>Swivel Bar Stool</t>
  </si>
  <si>
    <t>Bar Stool with Swivel Seat</t>
  </si>
  <si>
    <t>10/19/2020</t>
  </si>
  <si>
    <t>CSNSTORES,KOHLDSN,OLLIIX,TGTDVS</t>
  </si>
  <si>
    <t>MP104-1053</t>
  </si>
  <si>
    <t>MP108-0788</t>
  </si>
  <si>
    <t>DINING CHAIR</t>
  </si>
  <si>
    <t>Dining Chair</t>
  </si>
  <si>
    <t>Dining Chair (set of 2)</t>
  </si>
  <si>
    <t>4/4/2019</t>
  </si>
  <si>
    <t>AMAZONDS,ASHFURNDS,CSNSTORES,KOHLDSN,OLLIIX,OVERSTOCK01</t>
  </si>
  <si>
    <t>9/14/2022</t>
  </si>
  <si>
    <t>MP108-0956</t>
  </si>
  <si>
    <t>2/14/2020</t>
  </si>
  <si>
    <t>CSNSTORES,KOHLDSN,MACY02F,OVERSTOCK01</t>
  </si>
  <si>
    <t>9/6/2022</t>
  </si>
  <si>
    <t>MP108-0849</t>
  </si>
  <si>
    <t>Foster</t>
  </si>
  <si>
    <t>Capa</t>
  </si>
  <si>
    <t>Cadman</t>
  </si>
  <si>
    <t>Set of 2 High Back Dining Chairs with Skirts</t>
  </si>
  <si>
    <t>PP001189</t>
  </si>
  <si>
    <t>AMAZONDS,CSNSTORES,HDDS,KIRKLANDDS,KOHLDSN,OLLIIX</t>
  </si>
  <si>
    <t>3/28/2023</t>
  </si>
  <si>
    <t>MP108-0767</t>
  </si>
  <si>
    <t>Angelica</t>
  </si>
  <si>
    <t>Jenn</t>
  </si>
  <si>
    <t>Shin</t>
  </si>
  <si>
    <t>Arm Dining Chair (set of 2)</t>
  </si>
  <si>
    <t>2/5/2019</t>
  </si>
  <si>
    <t>MP108-0513</t>
  </si>
  <si>
    <t>Braiden</t>
  </si>
  <si>
    <t>Quimby</t>
  </si>
  <si>
    <t>Garnet</t>
  </si>
  <si>
    <t>PP000621</t>
  </si>
  <si>
    <t>1/9/2018</t>
  </si>
  <si>
    <t>MP108-1060</t>
  </si>
  <si>
    <t>Canteberry</t>
  </si>
  <si>
    <t>Ashe</t>
  </si>
  <si>
    <t>Ensley</t>
  </si>
  <si>
    <t>9/30/2020</t>
  </si>
  <si>
    <t>CSNSTORES,KIRKLANDDS,KOHLDSN,OLLIIX,ZOLA</t>
  </si>
  <si>
    <t>MP108-0511</t>
  </si>
  <si>
    <t>Upholstered Wingback Dining Chair</t>
  </si>
  <si>
    <t>CASTLEGATE,CSNSTORES,DLBRAND,HDDS,KOHLDSN,OLLIIX,OVERSTOCK01,TGTDVS</t>
  </si>
  <si>
    <t>5/25/2019</t>
  </si>
  <si>
    <t>MP108-0987</t>
  </si>
  <si>
    <t>MP108-0766</t>
  </si>
  <si>
    <t>Rika</t>
  </si>
  <si>
    <t>Regina</t>
  </si>
  <si>
    <t>Rain</t>
  </si>
  <si>
    <t>High Back Dining Armchair (Set of 2)</t>
  </si>
  <si>
    <t>ASHFURNDS,CSNSTORES,HDDS,KIRKLANDDS,KOHLDSN,MACY02F,OLLIIX,OVERSTOCK01</t>
  </si>
  <si>
    <t>Restricted</t>
  </si>
  <si>
    <t>MP108-1294</t>
  </si>
  <si>
    <t>Vela</t>
  </si>
  <si>
    <t>Dining Chair with castors</t>
  </si>
  <si>
    <t>9/27/2025</t>
  </si>
  <si>
    <t>MP108-1244</t>
  </si>
  <si>
    <t>Motion Dining Chair</t>
  </si>
  <si>
    <t>Charlotte</t>
  </si>
  <si>
    <t>Elaine</t>
  </si>
  <si>
    <t>Hamilton</t>
  </si>
  <si>
    <t>Upholstered Dining Arm Chair with Hidden Casters</t>
  </si>
  <si>
    <t>3/1/2024</t>
  </si>
  <si>
    <t>DLBRAND,KOHLDSN,OLLIIX,OVERSTOCK01</t>
  </si>
  <si>
    <t>7/12/2025</t>
  </si>
  <si>
    <t>MP108-1243</t>
  </si>
  <si>
    <t>5/16/2025</t>
  </si>
  <si>
    <t>MP108-1205</t>
  </si>
  <si>
    <t>CSNSTORES,HDDS,OLLIIX</t>
  </si>
  <si>
    <t>6/3/2024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</si>
  <si>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</si>
  <si>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</si>
  <si>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</si>
  <si>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</si>
  <si>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</si>
  <si>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</si>
  <si>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</si>
  <si>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</si>
  <si>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1/28/2025</t>
  </si>
  <si>
    <t>AMAZONDS,ASHFURNDS,CASTLEGATE,CSNSTORES,DLBRAND,KOHLDSN,MACY02F,OLLIIX,OVERSTOCK01,ROOMECOM</t>
  </si>
  <si>
    <t>10/23/2018</t>
  </si>
  <si>
    <t>MP120-1129</t>
  </si>
  <si>
    <t>Off-White/Black</t>
  </si>
  <si>
    <t>2/4/2022</t>
  </si>
  <si>
    <t>AMAZONDS,CSNSTORES,KOHLDSN,OLLIIX</t>
  </si>
  <si>
    <t>4/30/2024</t>
  </si>
  <si>
    <t>MP120-1129 HARDWARE</t>
  </si>
  <si>
    <t>2/28/2025</t>
  </si>
  <si>
    <t>MP120-1063</t>
  </si>
  <si>
    <t>Off-White/Natural</t>
  </si>
  <si>
    <t>12/22/2020</t>
  </si>
  <si>
    <t>ASHFURNDS,CASTLEGATE,CSNSTORES,DLBRAND,KOHLDSN,OLLIIX,OVERSTOCK01,ROOMECOM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</si>
  <si>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</si>
  <si>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</si>
  <si>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</si>
  <si>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</si>
  <si>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</si>
  <si>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</si>
  <si>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3/2/2021</t>
  </si>
  <si>
    <t>2/10/2025</t>
  </si>
  <si>
    <t>CASTLEGATE,CSNSTORES,DLBRAND,HDDS,KOHLDSN,MACY02F,OLLIIX,OVERSTOCK01,TGTDVS</t>
  </si>
  <si>
    <t>MP120-0095</t>
  </si>
  <si>
    <t>Side Table</t>
  </si>
  <si>
    <t>End Table</t>
  </si>
  <si>
    <t>PF001169;PP000227</t>
  </si>
  <si>
    <t>AMAZONDS,ASHFURNDS,CASTLEGATE,CSNSTORES,KOHLDSN,MACY02F,OLLIIX,OVERSTOCK01</t>
  </si>
  <si>
    <t>MP120-1064</t>
  </si>
  <si>
    <t>2/3/2026</t>
  </si>
  <si>
    <t>AMAZONDS,ASHFURNDS,CASTLEGATE,CSNSTORES,KOHLDSN</t>
  </si>
  <si>
    <t>4/18/2023</t>
  </si>
  <si>
    <t>4/27/2023</t>
  </si>
  <si>
    <t>MP120-1098</t>
  </si>
  <si>
    <t>AMAZONDS,CSNSTORES,DLBRAND,KOHLDSN,OLLIIX,OVERSTOCK01,TGTDVS</t>
  </si>
  <si>
    <t>5/15/2024</t>
  </si>
  <si>
    <t>MP120-0085</t>
  </si>
  <si>
    <t>Marbury</t>
  </si>
  <si>
    <t>Keaton</t>
  </si>
  <si>
    <t>Aniston</t>
  </si>
  <si>
    <t>PP000202</t>
  </si>
  <si>
    <t>MP120-0096</t>
  </si>
  <si>
    <t>Console Table</t>
  </si>
  <si>
    <t>Console</t>
  </si>
  <si>
    <t>PF001170;PP000227</t>
  </si>
  <si>
    <t>3/12/2026</t>
  </si>
  <si>
    <t>MP120-1065</t>
  </si>
  <si>
    <t>MP120-1206</t>
  </si>
  <si>
    <t>Occasional Table with 2 Drawers</t>
  </si>
  <si>
    <t>Reclaimed Natural</t>
  </si>
  <si>
    <t>6/5/2023</t>
  </si>
  <si>
    <t>DLBRAND,OLLIIX</t>
  </si>
  <si>
    <t>MP120-1064 HARDWARE</t>
  </si>
  <si>
    <t>Occasional Table</t>
  </si>
  <si>
    <t>9/28/2023</t>
  </si>
  <si>
    <t>MP120-0094 HARDWARE</t>
  </si>
  <si>
    <t>3/9/2023</t>
  </si>
  <si>
    <t>MP120-0095 HARDWARE</t>
  </si>
  <si>
    <t>MP120-0096 HARDWARE</t>
  </si>
  <si>
    <t>MP120-1065 HARDWARE</t>
  </si>
  <si>
    <t>FPF18-0264</t>
  </si>
  <si>
    <t>OTTOMAN</t>
  </si>
  <si>
    <t>Ottoman</t>
  </si>
  <si>
    <t>Martin</t>
  </si>
  <si>
    <t>Chase</t>
  </si>
  <si>
    <t>Mathew</t>
  </si>
  <si>
    <t>Surfboard Tufted Ottoman</t>
  </si>
  <si>
    <t>PF000685;PP000207</t>
  </si>
  <si>
    <t>AMAZONDS,CSNSTORES,KIRKLANDDS,KOHLDSN,MACY02F,OLLIIX,OVERSTOCK01</t>
  </si>
  <si>
    <t>FUR101-0044</t>
  </si>
  <si>
    <t>PF000815;PP000207</t>
  </si>
  <si>
    <t>AMAZONDS,CSNSTORES,KOHLDSN,OLLIIX,OVERSTOCK01,ROOMECOM</t>
  </si>
  <si>
    <t>1/2/2018</t>
  </si>
  <si>
    <t>FUR101-0039 HARDWARE</t>
  </si>
  <si>
    <t>MP101-1002</t>
  </si>
  <si>
    <t>Della</t>
  </si>
  <si>
    <t>Lucas</t>
  </si>
  <si>
    <t>Isaac</t>
  </si>
  <si>
    <t>Soft Close Storage Ottoman</t>
  </si>
  <si>
    <t>CSNSTORES,KIRKLANDDS,KOHLDSN,OLLIIX,ROOMECOM,TGTDVS</t>
  </si>
  <si>
    <t>8/18/2022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</si>
  <si>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</si>
  <si>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</si>
  <si>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</si>
  <si>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</si>
  <si>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</si>
  <si>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</si>
  <si>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</si>
  <si>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</si>
  <si>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</si>
  <si>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</si>
  <si>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AMAZONDS,ASHFURNDS,DLBRAND,OLLIIX,OVERSTOCK01</t>
  </si>
  <si>
    <t>1/9/2024</t>
  </si>
  <si>
    <t>MP130-1207</t>
  </si>
  <si>
    <t>ACCENT CHEST</t>
  </si>
  <si>
    <t>Cabinet</t>
  </si>
  <si>
    <t>Paige</t>
  </si>
  <si>
    <t>Phinney</t>
  </si>
  <si>
    <t>Devin</t>
  </si>
  <si>
    <t>Geometric 2-Door Storage Cabinet with Adjustable Shelves</t>
  </si>
  <si>
    <t>12/2/2022</t>
  </si>
  <si>
    <t>3/9/2026</t>
  </si>
  <si>
    <t>AMAZONDS,CSNSTORES,HDDS,KIRKLANDDS,LAMPDS,OLLIIX,OVERSTOCK01</t>
  </si>
  <si>
    <t>10/4/2024</t>
  </si>
  <si>
    <t>MP130-0945</t>
  </si>
  <si>
    <t>Hanley</t>
  </si>
  <si>
    <t>Eddy</t>
  </si>
  <si>
    <t>Folsom</t>
  </si>
  <si>
    <t>Honeycomb 2-door wood storage cabinet</t>
  </si>
  <si>
    <t>1/31/2020</t>
  </si>
  <si>
    <t>3/9/2025</t>
  </si>
  <si>
    <t>ASHFURNDS,CSNSTORES,JCPENNEY01,KIRKLANDDS,KOHLDSN,LAMPDS,OLLIIX,OVERSTOCK01</t>
  </si>
  <si>
    <t>MP130-1036</t>
  </si>
  <si>
    <t>Palisades</t>
  </si>
  <si>
    <t>Nora</t>
  </si>
  <si>
    <t>Addison</t>
  </si>
  <si>
    <t>Accent Chest</t>
  </si>
  <si>
    <t>2/16/2022</t>
  </si>
  <si>
    <t>MP125-0819</t>
  </si>
  <si>
    <t>ACCENT TABLE</t>
  </si>
  <si>
    <t>Gaberial</t>
  </si>
  <si>
    <t>Bunker</t>
  </si>
  <si>
    <t>Glory</t>
  </si>
  <si>
    <t>Accent Table</t>
  </si>
  <si>
    <t>PP001138</t>
  </si>
  <si>
    <t>4/3/2019</t>
  </si>
  <si>
    <t>CSNSTORES,DLBRAND,HDDS,KOHLDSN,LAMPDS,MACY02F,OLLIIX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</si>
  <si>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</si>
  <si>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</si>
  <si>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</si>
  <si>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</si>
  <si>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</si>
  <si>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</si>
  <si>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</si>
  <si>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</si>
  <si>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6/5/2024</t>
  </si>
  <si>
    <t>2/24/2025</t>
  </si>
  <si>
    <t>MP131-1179</t>
  </si>
  <si>
    <t>BOOKCASE/SHELF</t>
  </si>
  <si>
    <t>Shelving</t>
  </si>
  <si>
    <t>Darley</t>
  </si>
  <si>
    <t>Pagosa</t>
  </si>
  <si>
    <t>Callan</t>
  </si>
  <si>
    <t>3-Shelf Bookcase with Storage Cabinet</t>
  </si>
  <si>
    <t>MP131-1061</t>
  </si>
  <si>
    <t>Shelf / Bookcase</t>
  </si>
  <si>
    <t>4/8/2026</t>
  </si>
  <si>
    <t>MP122-0923</t>
  </si>
  <si>
    <t>DESK</t>
  </si>
  <si>
    <t>Desk</t>
  </si>
  <si>
    <t>Adela</t>
  </si>
  <si>
    <t>Andrea</t>
  </si>
  <si>
    <t>Adalyn</t>
  </si>
  <si>
    <t>Writing Desk</t>
  </si>
  <si>
    <t>Antique Silver</t>
  </si>
  <si>
    <t>2/7/2020</t>
  </si>
  <si>
    <t>MP121-1223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</si>
  <si>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</si>
  <si>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</si>
  <si>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</si>
  <si>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</si>
  <si>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</si>
  <si>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</si>
  <si>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</si>
  <si>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</t>
  </si>
  <si>
    <t>1/20/2023</t>
  </si>
  <si>
    <t>CSNSTORES,KOHLDSN,LAMPDS,OLLIIX,OVERSTOCK01</t>
  </si>
  <si>
    <t>MT103-0170</t>
  </si>
  <si>
    <t>London</t>
  </si>
  <si>
    <t>London Upholstered Skirted Swivel Armchair with Lumbar Pillow</t>
  </si>
  <si>
    <t>12/14/2022</t>
  </si>
  <si>
    <t>AMAZONDS,CASTLEGATE,CSNSTORES,KIRKLANDDS,KOHLDSN,MACY02F,OLLIIX,OVERSTOCK01</t>
  </si>
  <si>
    <t>MT103-1199</t>
  </si>
  <si>
    <t>1/16/2024</t>
  </si>
  <si>
    <t>AMAZONDS,CSNSTORES,KIRKLANDDS,MACY02F,OLLIIX,OVERSTOCK01</t>
  </si>
  <si>
    <t>5/30/2024</t>
  </si>
  <si>
    <t>MT103-1196</t>
  </si>
  <si>
    <t>12/22/2023</t>
  </si>
  <si>
    <t>AMAZONDS,CSNSTORES,MACY02F,OVERSTOCK01</t>
  </si>
  <si>
    <t>MT103-0191</t>
  </si>
  <si>
    <t>Upholstered Skirted Swivel Armchair with Lumbar Pillow</t>
  </si>
  <si>
    <t>Mint</t>
  </si>
  <si>
    <t>Farmhouse</t>
  </si>
  <si>
    <t>MT103-1198</t>
  </si>
  <si>
    <t>Tan Multi</t>
  </si>
  <si>
    <t>12/1/2023</t>
  </si>
  <si>
    <t>MT103-1208</t>
  </si>
  <si>
    <t>Christian</t>
  </si>
  <si>
    <t>Swivel Armchair</t>
  </si>
  <si>
    <t>3/27/2024</t>
  </si>
  <si>
    <t>AMAZONDS,CSNSTORES,KOHLDSN,LAMPDS,OLLIIX,OVERSTOCK01</t>
  </si>
  <si>
    <t>3/17/2025</t>
  </si>
  <si>
    <t>MT103-0132</t>
  </si>
  <si>
    <t>Amber</t>
  </si>
  <si>
    <t>2/12/2021</t>
  </si>
  <si>
    <t>BLK01,CSNSTORES,KOHLDSN,OLLIIX,OVERSTOCK01,TGTDVS</t>
  </si>
  <si>
    <t>7/5/2022</t>
  </si>
  <si>
    <t>MT103-0049</t>
  </si>
  <si>
    <t>See below</t>
  </si>
  <si>
    <t>PP001258</t>
  </si>
  <si>
    <t>6/14/2019</t>
  </si>
  <si>
    <t>1/14/2026</t>
  </si>
  <si>
    <t>4/28/2020</t>
  </si>
  <si>
    <t>MT103-1188</t>
  </si>
  <si>
    <t>Madrid</t>
  </si>
  <si>
    <t>360 Degree Upholstered Swivel Chair</t>
  </si>
  <si>
    <t>Gray</t>
  </si>
  <si>
    <t>11/2/2022</t>
  </si>
  <si>
    <t>10/12/2023</t>
  </si>
  <si>
    <t>9/24/2024</t>
  </si>
  <si>
    <t>MT103-0189</t>
  </si>
  <si>
    <t>Melody</t>
  </si>
  <si>
    <t>Swivel Glider Skirted ArmChair</t>
  </si>
  <si>
    <t>MT120-1193</t>
  </si>
  <si>
    <t>Crestview</t>
  </si>
  <si>
    <t>Storage Console Table 36"W</t>
  </si>
  <si>
    <t>36"W x 14"D x 32"H</t>
  </si>
  <si>
    <t>Reclaimed Wheat</t>
  </si>
  <si>
    <t>12/29/2023</t>
  </si>
  <si>
    <t>7/25/2024</t>
  </si>
  <si>
    <t>MT120-0167</t>
  </si>
  <si>
    <t>Storage Console Table 31"W</t>
  </si>
  <si>
    <t>31"W x 14"D x 30"H</t>
  </si>
  <si>
    <t>10/12/2022</t>
  </si>
  <si>
    <t>AMAZONDS,CSNSTORES,CUSTSERV,MACY02F,OVERSTOCK01,TGTDVS</t>
  </si>
  <si>
    <t>2/10/2023</t>
  </si>
  <si>
    <t>3/7/2023</t>
  </si>
  <si>
    <t>MT120-1191</t>
  </si>
  <si>
    <t>Kenna</t>
  </si>
  <si>
    <t>Fluted 2-drawer Storage Console Table</t>
  </si>
  <si>
    <t>10/28/2023</t>
  </si>
  <si>
    <t>ASHFURNDS,CSNSTORES,OLLIIX,OVERSTOCK01,TGTDVS</t>
  </si>
  <si>
    <t>8/2/2024</t>
  </si>
  <si>
    <t>MT120-1201</t>
  </si>
  <si>
    <t>Naomi</t>
  </si>
  <si>
    <t>2 Door Storage Console Table</t>
  </si>
  <si>
    <t>Honey</t>
  </si>
  <si>
    <t>2/23/2024</t>
  </si>
  <si>
    <t>ASHFURNDS,BLK01,CSNSTORES,KOHLDSN,OLLIIX,OVERSTOCK01,ROOMECOM</t>
  </si>
  <si>
    <t>9/9/2024</t>
  </si>
  <si>
    <t>MT120-1200</t>
  </si>
  <si>
    <t>Ayanna</t>
  </si>
  <si>
    <t>Oval Coffee Table with Shelf</t>
  </si>
  <si>
    <t>Reclaimed Greige</t>
  </si>
  <si>
    <t>2/28/2024</t>
  </si>
  <si>
    <t>AMAZONDS,ASHFURNDS,CSNSTORES,KIRKLANDDS,KOHLDSN,OLLIIX,OVERSTOCK01,ROOMECOM</t>
  </si>
  <si>
    <t>7/1/2024</t>
  </si>
  <si>
    <t>MT120-1192</t>
  </si>
  <si>
    <t>Fluted 2-drawer Coffee Table</t>
  </si>
  <si>
    <t>AMAZONDS,ASHFURNDS,CSNSTORES,OLLIIX,OVERSTOCK01,TGTDVS</t>
  </si>
  <si>
    <t>1/29/2025</t>
  </si>
  <si>
    <t>MT120-0150U1</t>
  </si>
  <si>
    <t>Sadie</t>
  </si>
  <si>
    <t>Round Coffee table</t>
  </si>
  <si>
    <t>2/21/2025</t>
  </si>
  <si>
    <t>AMAZONDS,CSNSTORES,MACY02F,OLLIIX,OVERSTOCK01</t>
  </si>
  <si>
    <t>MT120-0180</t>
  </si>
  <si>
    <t>CSNSTORES,KIRKLANDDS,KOHLDSN,OVERSTOCK01,ROOMECOM</t>
  </si>
  <si>
    <t>MT120-1202</t>
  </si>
  <si>
    <t>Philippe</t>
  </si>
  <si>
    <t>Round Coffee Table with Shelf</t>
  </si>
  <si>
    <t>3/21/2024</t>
  </si>
  <si>
    <t>DESINC,OLLIIX</t>
  </si>
  <si>
    <t>MT120-0024</t>
  </si>
  <si>
    <t>Harley</t>
  </si>
  <si>
    <t>Round Accent Table</t>
  </si>
  <si>
    <t>PP001287</t>
  </si>
  <si>
    <t>3/14/2026</t>
  </si>
  <si>
    <t>AMAZONDS,CSNSTORES,KOHLDSN,OLLIIX,OVERSTOCK01</t>
  </si>
  <si>
    <t>MT120-0023</t>
  </si>
  <si>
    <t>Fatima</t>
  </si>
  <si>
    <t>PP001286</t>
  </si>
  <si>
    <t>4/9/2026</t>
  </si>
  <si>
    <t>AMAZONDS,CSNSTORES,KOHLDSN,LAMPDS,OVERSTOCK01,TGTDVS</t>
  </si>
  <si>
    <t>MT120-0025</t>
  </si>
  <si>
    <t>Lia</t>
  </si>
  <si>
    <t>Oval Accent Table</t>
  </si>
  <si>
    <t>Antique Bronze</t>
  </si>
  <si>
    <t>PP001288</t>
  </si>
  <si>
    <t>6/19/2019</t>
  </si>
  <si>
    <t>MT120-1213</t>
  </si>
  <si>
    <t>Round End Table with Shelf</t>
  </si>
  <si>
    <t>20x24"</t>
  </si>
  <si>
    <t>4/10/2024</t>
  </si>
  <si>
    <t>MT120-0186</t>
  </si>
  <si>
    <t>Walnut Brown</t>
  </si>
  <si>
    <t>AMAZONDS,CSNSTORES,KOHLDSN</t>
  </si>
  <si>
    <t>MT120-0187</t>
  </si>
  <si>
    <t>MT120-0190</t>
  </si>
  <si>
    <t>Shiloh</t>
  </si>
  <si>
    <t>12/13/2025</t>
  </si>
  <si>
    <t>MT104-0169</t>
  </si>
  <si>
    <t>Playa</t>
  </si>
  <si>
    <t>Handcrafted Rattan &amp; Wood Counter Stool 25" H</t>
  </si>
  <si>
    <t>2/23/2023</t>
  </si>
  <si>
    <t>AMAZONDS,CSNSTORES,KOHLDSN,TGTDVS</t>
  </si>
  <si>
    <t>11/24/2023</t>
  </si>
  <si>
    <t>MT104-1194</t>
  </si>
  <si>
    <t>Natural Whitewash</t>
  </si>
  <si>
    <t>CSNSTORES,KIRKLANDDS,KOHLDSN,MACY02F,OLLIIX,OVERSTOCK01,TGTDVS</t>
  </si>
  <si>
    <t>4/3/2024</t>
  </si>
  <si>
    <t>8/22/2024</t>
  </si>
  <si>
    <t>MT104-0141</t>
  </si>
  <si>
    <t>Delaney</t>
  </si>
  <si>
    <t>25" Upholstered Counter Stool</t>
  </si>
  <si>
    <t>5/17/2022</t>
  </si>
  <si>
    <t>CSNSTORES,JCPENNEY01,KOHLDSN,MACY02F,OLLIIX,OVERSTOCK01,TGTDVS</t>
  </si>
  <si>
    <t>2/8/2023</t>
  </si>
  <si>
    <t>MT104-0085</t>
  </si>
  <si>
    <t>Hastings</t>
  </si>
  <si>
    <t>Grey/Black</t>
  </si>
  <si>
    <t>2/11/2020</t>
  </si>
  <si>
    <t>MT104-0185</t>
  </si>
  <si>
    <t>Winfield</t>
  </si>
  <si>
    <t>AMAZONDS,CSNSTORES,OLLIIX</t>
  </si>
  <si>
    <t>MT100-0106</t>
  </si>
  <si>
    <t>Decker</t>
  </si>
  <si>
    <t>Plaid Wingback Armchair</t>
  </si>
  <si>
    <t>8/29/2020</t>
  </si>
  <si>
    <t>AMAZONDS,ASHFURNDS,CSNSTORES,KOHLDSN,MACY02F,OLLIIX,OVERSTOCK01</t>
  </si>
  <si>
    <t>MT100-0192</t>
  </si>
  <si>
    <t>PP001268</t>
  </si>
  <si>
    <t>MT100-0176</t>
  </si>
  <si>
    <t>Whitney</t>
  </si>
  <si>
    <t>10/10/2023</t>
  </si>
  <si>
    <t>AMAZONDS,CSNSTORES,KOHLDSN,MACY02F,OLLIIX</t>
  </si>
  <si>
    <t>9/8/2024</t>
  </si>
  <si>
    <t>MT100-1204</t>
  </si>
  <si>
    <t>Morocco Brown/Taupe</t>
  </si>
  <si>
    <t>5/10/2024</t>
  </si>
  <si>
    <t>6/4/2024</t>
  </si>
  <si>
    <t>MT100-0123</t>
  </si>
  <si>
    <t>Jayco</t>
  </si>
  <si>
    <t>AMAZONDS,ASHFURNDS,CSNSTORES,OLLIIX</t>
  </si>
  <si>
    <t>MT100-0177</t>
  </si>
  <si>
    <t>10/3/2023</t>
  </si>
  <si>
    <t>AMAZONDS,KOHLDSN,OLLIIX</t>
  </si>
  <si>
    <t>7/5/2024</t>
  </si>
  <si>
    <t>MT100-1203</t>
  </si>
  <si>
    <t>Morgan</t>
  </si>
  <si>
    <t>Cane Accent Chair with Removable Back Cushion</t>
  </si>
  <si>
    <t>4/5/2024</t>
  </si>
  <si>
    <t>AMAZONDS,CSNSTORES,KOHLDSN,MACY02F</t>
  </si>
  <si>
    <t>MT100-1190</t>
  </si>
  <si>
    <t>Fayette</t>
  </si>
  <si>
    <t>Tufted Accent Arm Chair</t>
  </si>
  <si>
    <t>AMAZONDS,CSNSTORES,JCPENNEY01,KIRKLANDDS,KOHLDSN,MACY02F,OLLIIX</t>
  </si>
  <si>
    <t>5/17/2024</t>
  </si>
  <si>
    <t>MT100-0155</t>
  </si>
  <si>
    <t>Anna</t>
  </si>
  <si>
    <t>Arm Accent Chair</t>
  </si>
  <si>
    <t>7/14/2022</t>
  </si>
  <si>
    <t>ASHFURNDS,CSNSTORES,KOHLDSN,OLLIIX</t>
  </si>
  <si>
    <t>MT100-0053</t>
  </si>
  <si>
    <t>PP001261</t>
  </si>
  <si>
    <t>4/10/2026</t>
  </si>
  <si>
    <t>ASHFURNDS,CSNSTORES,MACY02F,OLLIIX,OVERSTOCK01</t>
  </si>
  <si>
    <t>MT100-0018</t>
  </si>
  <si>
    <t>Isla</t>
  </si>
  <si>
    <t>Accent Armchair</t>
  </si>
  <si>
    <t>PP001282</t>
  </si>
  <si>
    <t>7/31/2019</t>
  </si>
  <si>
    <t>CSNSTORES,OVERSTOCK01</t>
  </si>
  <si>
    <t>2/29/2024</t>
  </si>
  <si>
    <t>MT100-0136</t>
  </si>
  <si>
    <t>12/29/2020</t>
  </si>
  <si>
    <t>4/3/2026</t>
  </si>
  <si>
    <t>MT100-0137</t>
  </si>
  <si>
    <t>Manhattan</t>
  </si>
  <si>
    <t>8/27/2021</t>
  </si>
  <si>
    <t>8/14/2025</t>
  </si>
  <si>
    <t>MT100-0184</t>
  </si>
  <si>
    <t>Amanda</t>
  </si>
  <si>
    <t>Linen/Blue</t>
  </si>
  <si>
    <t>Striped</t>
  </si>
  <si>
    <t>MT106-1205</t>
  </si>
  <si>
    <t>Loveseat</t>
  </si>
  <si>
    <t>AMAZONDS,CSNSTORES,KOHLDSN,OVERSTOCK01,ROOMECOM</t>
  </si>
  <si>
    <t>MT108-0154</t>
  </si>
  <si>
    <t>Upholstered Dining Chair Set of 2</t>
  </si>
  <si>
    <t>5/18/2022</t>
  </si>
  <si>
    <t>10/24/2022</t>
  </si>
  <si>
    <t>MT108-0160</t>
  </si>
  <si>
    <t>3/24/2026</t>
  </si>
  <si>
    <t>12/17/2024</t>
  </si>
  <si>
    <t>MT108-0079</t>
  </si>
  <si>
    <t>3/10/2020</t>
  </si>
  <si>
    <t>1/21/2026</t>
  </si>
  <si>
    <t>AMAZONDS,CSNSTORES,KOHLDSN,OVERSTOCK01</t>
  </si>
  <si>
    <t>MT108-0181</t>
  </si>
  <si>
    <t>Upholstered Skirted Dining Arm Chair with Hidden Casters</t>
  </si>
  <si>
    <t>AMAZONDS,CSNSTORES,KIRKLANDDS,KOHLDSN,OVERSTOCK01</t>
  </si>
  <si>
    <t>MT108-0183</t>
  </si>
  <si>
    <t>6/5/2025</t>
  </si>
  <si>
    <t>MT108-0182</t>
  </si>
  <si>
    <t>MT108-1197</t>
  </si>
  <si>
    <t>Elmcrest</t>
  </si>
  <si>
    <t>Upholstered Dining Chair with Nailhead Trim</t>
  </si>
  <si>
    <t>Beige Stripe</t>
  </si>
  <si>
    <t>1/26/2024</t>
  </si>
  <si>
    <t>MT108-1216</t>
  </si>
  <si>
    <t>9/24/2025</t>
  </si>
  <si>
    <t>MT108-0063</t>
  </si>
  <si>
    <t>7/30/2020</t>
  </si>
  <si>
    <t>CSNSTORES,KIRKLANDDS,KOHLDSN,MACY02F,OVERSTOCK01</t>
  </si>
  <si>
    <t>6/6/2022</t>
  </si>
  <si>
    <t>MT108-0158</t>
  </si>
  <si>
    <t>Soft Green</t>
  </si>
  <si>
    <t>3/27/2023</t>
  </si>
  <si>
    <t>MT108-1186</t>
  </si>
  <si>
    <t>Fiona</t>
  </si>
  <si>
    <t>Upholstered Dining Chair with Turned Wood Legs Set of 2</t>
  </si>
  <si>
    <t>11/21/2022</t>
  </si>
  <si>
    <t>CUSTSERV,KOHLDSN</t>
  </si>
  <si>
    <t>7/26/2024</t>
  </si>
  <si>
    <t>MT108-0093</t>
  </si>
  <si>
    <t>Holls</t>
  </si>
  <si>
    <t>3/24/2020</t>
  </si>
  <si>
    <t>MT101-0179</t>
  </si>
  <si>
    <t>Terri</t>
  </si>
  <si>
    <t>Skirted Tufted 32" Round Ottoman</t>
  </si>
  <si>
    <t>11/21/2024</t>
  </si>
  <si>
    <t>11/28/2024</t>
  </si>
  <si>
    <t>12/27/2024</t>
  </si>
  <si>
    <t>MT101-0013</t>
  </si>
  <si>
    <t>Ellen</t>
  </si>
  <si>
    <t>Accent Ottoman</t>
  </si>
  <si>
    <t>PP001279</t>
  </si>
  <si>
    <t>6/22/2019</t>
  </si>
  <si>
    <t>AMAZONDS,CSNSTORES,MACY02F,OLLIIX,OVERSTOCK01,TGTDVS</t>
  </si>
  <si>
    <t>MT101-0011</t>
  </si>
  <si>
    <t>Clara</t>
  </si>
  <si>
    <t>PP001277</t>
  </si>
  <si>
    <t>6/10/2019</t>
  </si>
  <si>
    <t>MT105-0159</t>
  </si>
  <si>
    <t>6/9/2023</t>
  </si>
  <si>
    <t>AMAZONDS,ASHFURNDS,CSNSTORES,KOHLDSN,OLLIIX</t>
  </si>
  <si>
    <t>MT105-0188</t>
  </si>
  <si>
    <t>Leslie</t>
  </si>
  <si>
    <t>Fully Upholstered Oval Storage Bench with Soft-Close Lid</t>
  </si>
  <si>
    <t>10/17/2025</t>
  </si>
  <si>
    <t>MT105-0156</t>
  </si>
  <si>
    <t>Caymus</t>
  </si>
  <si>
    <t>Caymu</t>
  </si>
  <si>
    <t>Rectangular Soft Close Storage Bench</t>
  </si>
  <si>
    <t>12/6/2022</t>
  </si>
  <si>
    <t>CSNSTORES,MACY02F,OLLIIX,OVERSTOCK01,TGTDVS</t>
  </si>
  <si>
    <t>3/6/2023</t>
  </si>
  <si>
    <t>MT115-1210</t>
  </si>
  <si>
    <t>Salina</t>
  </si>
  <si>
    <t>Woven Cane Queen Platform Bed</t>
  </si>
  <si>
    <t>Toasted Almond</t>
  </si>
  <si>
    <t>AMAZONDS,ASHFURNDS,CSNSTORES,ROOMECOM</t>
  </si>
  <si>
    <t>8/8/2024</t>
  </si>
  <si>
    <t>MT122-0145</t>
  </si>
  <si>
    <t>Tabitha</t>
  </si>
  <si>
    <t>Solid Wood Desk with 1 Drawer and turned legs</t>
  </si>
  <si>
    <t>3/21/2022</t>
  </si>
  <si>
    <t>AMAZONDS,CSNSTORES,KIRKLANDDS,KOHLDSN,OLLIIX</t>
  </si>
  <si>
    <t>MT130-0111</t>
  </si>
  <si>
    <t>Allister</t>
  </si>
  <si>
    <t>Accent Cabinet</t>
  </si>
  <si>
    <t>Morocco/Gold</t>
  </si>
  <si>
    <t>9/18/2020</t>
  </si>
  <si>
    <t>5/6/2022</t>
  </si>
  <si>
    <t>8/23/2022</t>
  </si>
  <si>
    <t>MT130-1212</t>
  </si>
  <si>
    <t>Accent Cabinet with Lower Shelf</t>
  </si>
  <si>
    <t>ASHFURNDS,CSNSTORES,KOHLDSN,OLLIIX,OVERSTOCK01,ROOMECOM</t>
  </si>
  <si>
    <t>3/6/2025</t>
  </si>
  <si>
    <t>MT130-1211</t>
  </si>
  <si>
    <t>Woven Cane Accent Cabinet</t>
  </si>
  <si>
    <t>MT121-1195</t>
  </si>
  <si>
    <t>Bella</t>
  </si>
  <si>
    <t>Parsons Dining Table</t>
  </si>
  <si>
    <t>10/13/2024</t>
  </si>
  <si>
    <t>MT136-1207</t>
  </si>
  <si>
    <t>NIGHTSTAND</t>
  </si>
  <si>
    <t>Nightstand</t>
  </si>
  <si>
    <t>Dark Coffee</t>
  </si>
  <si>
    <t>8/26/2024</t>
  </si>
  <si>
    <t>FPF17-0296</t>
  </si>
  <si>
    <t>Blaze</t>
  </si>
  <si>
    <t>Triangle Wood Side Table</t>
  </si>
  <si>
    <t>PF000578;PP000012</t>
  </si>
  <si>
    <t>1/7/2026</t>
  </si>
  <si>
    <t>AMAZONDS,ASHFURNDS,CSNSTORES,DLBRAND,KOHLDSN,MACY02F,OLLIIX,OVERSTOCK01,ROOMECOM</t>
  </si>
  <si>
    <t>10/13/2022</t>
  </si>
  <si>
    <t>II120-0428</t>
  </si>
  <si>
    <t>Light Brown</t>
  </si>
  <si>
    <t>9/24/2020</t>
  </si>
  <si>
    <t>AMAZONDS,CSNSTORES,KOHLDSN,OLLIIX,OVERSTOCK01,ROOMECOM,TGTDVS</t>
  </si>
  <si>
    <t>8/26/2022</t>
  </si>
  <si>
    <t>IIF17-0010</t>
  </si>
  <si>
    <t>Organic Triangular Wood Coffee Table with Sculptural Base</t>
  </si>
  <si>
    <t>PF000934;PP000012</t>
  </si>
  <si>
    <t>AMAZONDS,CSNSTORES,HDDS,KOHLDSN,MACY02F,OLLIIX,OVERSTOCK01,ROOMECOM,TGTDVS</t>
  </si>
  <si>
    <t>II120-0427</t>
  </si>
  <si>
    <t>AAFESDS,AMAZONDS,CSNSTORES,KIRKLANDDS,KOHLDSN,LAMPDS,MACY02F,OLLIIX,OVERSTOCK01,ROOMECOM</t>
  </si>
  <si>
    <t>FUR120-0053</t>
  </si>
  <si>
    <t>Lennox</t>
  </si>
  <si>
    <t>Lift-Top Rattan Coffee Table</t>
  </si>
  <si>
    <t>34.5"W x 19"D x 16~21.5"H</t>
  </si>
  <si>
    <t>AMAZONDS,CSNSTORES,HDDS,KOHLDSN</t>
  </si>
  <si>
    <t>II120-0241</t>
  </si>
  <si>
    <t>Walker</t>
  </si>
  <si>
    <t>PF004043</t>
  </si>
  <si>
    <t>1/31/2018</t>
  </si>
  <si>
    <t>1/21/2025</t>
  </si>
  <si>
    <t>AMAZONDS,ASHFURNDS,CSNSTORES,KOHLDSN,MACY02F,OLLIIX,ZOLA</t>
  </si>
  <si>
    <t>1/29/2019</t>
  </si>
  <si>
    <t>FUR120-0055</t>
  </si>
  <si>
    <t>Teagan</t>
  </si>
  <si>
    <t>42"W x 21.5"D x 17~22.5"H</t>
  </si>
  <si>
    <t>Mid-Century Modern</t>
  </si>
  <si>
    <t>AMAZONDS,CSNSTORES,HDDS,KIRKLANDDS,KOHLDSN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</si>
  <si>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</si>
  <si>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</si>
  <si>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</si>
  <si>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</si>
  <si>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</si>
  <si>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II120-0553</t>
  </si>
  <si>
    <t>Fluted Hexagon Coffee Table</t>
  </si>
  <si>
    <t>ASHFURNDS,CSNSTORES,TGTDVS</t>
  </si>
  <si>
    <t>II120-0568</t>
  </si>
  <si>
    <t>Keegan</t>
  </si>
  <si>
    <t>Round Mixed Material Coffee Table with Shelf</t>
  </si>
  <si>
    <t>Oak/Marble</t>
  </si>
  <si>
    <t>3/15/2024</t>
  </si>
  <si>
    <t>OLLIIX,OVERSTOCK01</t>
  </si>
  <si>
    <t>II120-0573</t>
  </si>
  <si>
    <t>Layana</t>
  </si>
  <si>
    <t>Faux White Marble Round Coffee Table with Storage</t>
  </si>
  <si>
    <t>Natural/Faux White Marble</t>
  </si>
  <si>
    <t>II120-0608</t>
  </si>
  <si>
    <t>Rocket</t>
  </si>
  <si>
    <t>wood &amp; tempered glass coffee table</t>
  </si>
  <si>
    <t>Morocco Brown</t>
  </si>
  <si>
    <t>PF000178;PP000049</t>
  </si>
  <si>
    <t>11/5/2025</t>
  </si>
  <si>
    <t>CSNSTORES,DLBRAND,KOHLDSN,OVERSTOCK01</t>
  </si>
  <si>
    <t>II120-0566</t>
  </si>
  <si>
    <t>Skye</t>
  </si>
  <si>
    <t>4/20/2024</t>
  </si>
  <si>
    <t>II120-0459</t>
  </si>
  <si>
    <t>Monterey</t>
  </si>
  <si>
    <t>Counter-Height Wood Console Table</t>
  </si>
  <si>
    <t>64"W</t>
  </si>
  <si>
    <t>12/8/2021</t>
  </si>
  <si>
    <t>AMAZONDS,CSNSTORES,KIRKLANDDS,LAMPDS,OLLIIX,OVERSTOCK01</t>
  </si>
  <si>
    <t>3/2/2023</t>
  </si>
  <si>
    <t>3/13/2023</t>
  </si>
  <si>
    <t>II120-0575</t>
  </si>
  <si>
    <t>54"W</t>
  </si>
  <si>
    <t>CSNSTORES,HDDS,KIRKLANDDS,OLLIIX,OVERSTOCK01</t>
  </si>
  <si>
    <t>II120-0509</t>
  </si>
  <si>
    <t>2/24/2023</t>
  </si>
  <si>
    <t>9/10/2024</t>
  </si>
  <si>
    <t>FUR120-0057</t>
  </si>
  <si>
    <t>Rattan Side Table with Built-in Charging Station &amp; LED Light</t>
  </si>
  <si>
    <t>18”W x 15.25”D x 23.75“H</t>
  </si>
  <si>
    <t>AMAZONDS,CSNSTORES,KIRKLANDDS,KOHLDSN</t>
  </si>
  <si>
    <t>FUR120-0056</t>
  </si>
  <si>
    <t>Rattan Accent Table with Built-in Charging Station &amp; LED Light</t>
  </si>
  <si>
    <t>15.75"W x 15"D x 23.75"H</t>
  </si>
  <si>
    <t>II105-0525</t>
  </si>
  <si>
    <t>Bailey</t>
  </si>
  <si>
    <t>Boucle-Style Curved Storage Accent Bench</t>
  </si>
  <si>
    <t>6/8/2023</t>
  </si>
  <si>
    <t>AMAZONDS,CSNSTORES,DLBRAND,HDDS,JCPENNEY01,KIRKLANDDS,KOHLDSN,MACY02F,OLLIIX,OVERSTOCK01,TGTDVS,ZOLA</t>
  </si>
  <si>
    <t>6/21/2024</t>
  </si>
  <si>
    <t>II105-0594</t>
  </si>
  <si>
    <t>8/15/2024</t>
  </si>
  <si>
    <t>AMAZONDS,CSNSTORES,DLBRAND,HDDS,JCPENNEY01,KIRKLANDDS,KOHLDSN,OLLIIX,OVERSTOCK01,ROOMECOM</t>
  </si>
  <si>
    <t>7/14/2025</t>
  </si>
  <si>
    <t>II105-0593</t>
  </si>
  <si>
    <t>AMAZONDS,CSNSTORES,HDDS,JCPENNEY01,KOHLDSN,OLLIIX,OVERSTOCK01,ROOMECOM,ZOLA</t>
  </si>
  <si>
    <t>7/10/2025</t>
  </si>
  <si>
    <t>II105-0592</t>
  </si>
  <si>
    <t>II105-0546</t>
  </si>
  <si>
    <t>Arcadia</t>
  </si>
  <si>
    <t>Accent Bench with Storage and Upholstered Cushion</t>
  </si>
  <si>
    <t>AMAZONDS,ASHFURNDS,CSNSTORES,DLBRAND,HDDS,KOHLDSN,MACY02F,OLLIIX,OVERSTOCK01,TGTDVS,ZOLA</t>
  </si>
  <si>
    <t>8/12/2024</t>
  </si>
  <si>
    <t>II105-0524</t>
  </si>
  <si>
    <t>Steve</t>
  </si>
  <si>
    <t>Boucle Waterfall Bench</t>
  </si>
  <si>
    <t>42"W</t>
  </si>
  <si>
    <t>PP001874</t>
  </si>
  <si>
    <t>6/13/2023</t>
  </si>
  <si>
    <t>5/19/2024</t>
  </si>
  <si>
    <t>II105-0567</t>
  </si>
  <si>
    <t>52"W</t>
  </si>
  <si>
    <t>6/27/2025</t>
  </si>
  <si>
    <t>II105-0595</t>
  </si>
  <si>
    <t>8/9/2024</t>
  </si>
  <si>
    <t>7/17/2025</t>
  </si>
  <si>
    <t>II105-0256</t>
  </si>
  <si>
    <t>Seadrift</t>
  </si>
  <si>
    <t>Seadrift Hand-woven Water Hyacinth Accent Bench</t>
  </si>
  <si>
    <t>PF004044</t>
  </si>
  <si>
    <t>2/16/2026</t>
  </si>
  <si>
    <t>AMAZONDS,CSNSTORES,DLBRAND,KOHLDSN,MACY02F,NRTPORT,OLLIIX,OVERSTOCK01</t>
  </si>
  <si>
    <t>3/2/2018</t>
  </si>
  <si>
    <t>1/8/2019</t>
  </si>
  <si>
    <t>II100-0468</t>
  </si>
  <si>
    <t>Newport</t>
  </si>
  <si>
    <t>Wide Mid-Century Modern Lounge Chair</t>
  </si>
  <si>
    <t>1/3/2022</t>
  </si>
  <si>
    <t>1/14/2025</t>
  </si>
  <si>
    <t>AMAZONDS,ASHFURNDS,CSNSTORES,KOHLDSN,MACY02F,OLLIIX,OVERSTOCK01,ROOMECOM,TGTDVS</t>
  </si>
  <si>
    <t>10/24/2023</t>
  </si>
  <si>
    <t>II110-0455</t>
  </si>
  <si>
    <t>AMAZONDS,ASHFURNDS,CSNSTORES,KOHLDSN,MACY02F</t>
  </si>
  <si>
    <t>1/15/2024</t>
  </si>
  <si>
    <t>II100-0063</t>
  </si>
  <si>
    <t>PF000835;PP000045</t>
  </si>
  <si>
    <t>5/12/2017</t>
  </si>
  <si>
    <t>ASHFURNDS,CSNSTORES,DLBRAND,KOHLDSN,MACY02F,OLLIIX,ROOMECOM</t>
  </si>
  <si>
    <t>11/1/2019</t>
  </si>
  <si>
    <t>II110-0391</t>
  </si>
  <si>
    <t>10/7/2019</t>
  </si>
  <si>
    <t>2/23/2025</t>
  </si>
  <si>
    <t>ASHFURNDS,CASTLEGATE,CSNSTORES,KOHLDSN,MACY02F,OLLIIX,OVERSTOCK01</t>
  </si>
  <si>
    <t>II110-0388</t>
  </si>
  <si>
    <t>10/8/2019</t>
  </si>
  <si>
    <t>ASHFURNDS,CSNSTORES,HDDS,KOHLDSN,MACY02F,ROOMECOM</t>
  </si>
  <si>
    <t>IIF18-0015</t>
  </si>
  <si>
    <t>Pale Green</t>
  </si>
  <si>
    <t>PF000954;PP000045</t>
  </si>
  <si>
    <t>Microfiber</t>
  </si>
  <si>
    <t>ASHFURNDS,CSNSTORES,KOHLDSN,MACY02F,OLLIIX,ROOMECOM</t>
  </si>
  <si>
    <t>12/20/2017</t>
  </si>
  <si>
    <t>II110-0613</t>
  </si>
  <si>
    <t>II100-0088</t>
  </si>
  <si>
    <t>Upholstered Arm Chair with Angled Wood Frame</t>
  </si>
  <si>
    <t>Blue/Pecan</t>
  </si>
  <si>
    <t>PF000121;PP000049</t>
  </si>
  <si>
    <t>II110-0396</t>
  </si>
  <si>
    <t>4/17/2023</t>
  </si>
  <si>
    <t>IIF18-0058</t>
  </si>
  <si>
    <t>PF000209;PP000049</t>
  </si>
  <si>
    <t>CSNSTORES,MACY02F,OVERSTOCK01</t>
  </si>
  <si>
    <t>II100-0435</t>
  </si>
  <si>
    <t>Novak</t>
  </si>
  <si>
    <t>Mid-Century Modern Accent Armchair</t>
  </si>
  <si>
    <t>12/1/2020</t>
  </si>
  <si>
    <t>AMAZONDS,CSNSTORES,KOHLDSN,MACY02F,OVERSTOCK01,TGTDVS</t>
  </si>
  <si>
    <t>11/18/2025</t>
  </si>
  <si>
    <t>II110-0522</t>
  </si>
  <si>
    <t>II100-0487</t>
  </si>
  <si>
    <t>CSNSTORES,KOHLDSN,MACY02F</t>
  </si>
  <si>
    <t>IIF18-0049</t>
  </si>
  <si>
    <t>PF000206</t>
  </si>
  <si>
    <t>ASHFURNDS,CSNSTORES,HDDS,KOHLDSN,OLLIIX,OVERSTOCK01,ROOMECOM</t>
  </si>
  <si>
    <t>II100-0434</t>
  </si>
  <si>
    <t>2/19/2026</t>
  </si>
  <si>
    <t>CSNSTORES,KOHLDSN,LAMPDS,MACY02F,OLLIIX,OVERSTOCK01</t>
  </si>
  <si>
    <t>9/11/2024</t>
  </si>
  <si>
    <t>3/5/2025</t>
  </si>
  <si>
    <t>II100-0495</t>
  </si>
  <si>
    <t>Blake</t>
  </si>
  <si>
    <t>Handcrafted Rattan Upholstered Accent Arm Chair</t>
  </si>
  <si>
    <t>II100-0360</t>
  </si>
  <si>
    <t>Kelly</t>
  </si>
  <si>
    <t>6/28/2018</t>
  </si>
  <si>
    <t>ASHFURNDS,CSNSTORES,DLBRAND,OLLIIX,OVERSTOCK01</t>
  </si>
  <si>
    <t>6/20/2018</t>
  </si>
  <si>
    <t>11/27/2018</t>
  </si>
  <si>
    <t>II103-0564</t>
  </si>
  <si>
    <t>Bonn</t>
  </si>
  <si>
    <t>Upholstered 360 Degree Swivel Chair</t>
  </si>
  <si>
    <t>AMAZONDS,CSNSTORES,KOHLDSN,MACY02F,OLLIIX,OVERSTOCK01,TGTDVS</t>
  </si>
  <si>
    <t>7/25/2025</t>
  </si>
  <si>
    <t>II103-0498</t>
  </si>
  <si>
    <t>2/22/2023</t>
  </si>
  <si>
    <t>II103-0563</t>
  </si>
  <si>
    <t>KIRKLANDDS,OLLIIX</t>
  </si>
  <si>
    <t>9/10/2025</t>
  </si>
  <si>
    <t>II103-0578</t>
  </si>
  <si>
    <t>Jessel</t>
  </si>
  <si>
    <t>Shearling Sherpa Swivel Chair with Wood Base</t>
  </si>
  <si>
    <t>9/5/2024</t>
  </si>
  <si>
    <t>II103-0600</t>
  </si>
  <si>
    <t>Dakota</t>
  </si>
  <si>
    <t>II103-0609</t>
  </si>
  <si>
    <t>HDDS</t>
  </si>
  <si>
    <t>II103-0610</t>
  </si>
  <si>
    <t>II100-0117</t>
  </si>
  <si>
    <t>Nola</t>
  </si>
  <si>
    <t>Upholstered Dining Side Chairs with Cutout Back design (Set of 2)</t>
  </si>
  <si>
    <t>Orange/Dark Brown</t>
  </si>
  <si>
    <t>PF000127</t>
  </si>
  <si>
    <t>7/18/2017</t>
  </si>
  <si>
    <t>AMAZONDS,CSNSTORES,HDDS,KOHLDSN,OLLIIX,OVERSTOCK01</t>
  </si>
  <si>
    <t>11/22/2017</t>
  </si>
  <si>
    <t>12/4/2018</t>
  </si>
  <si>
    <t>II108-0479</t>
  </si>
  <si>
    <t>5/19/2022</t>
  </si>
  <si>
    <t>CSNSTORES,KIRKLANDDS,KOHLDSN,OLLIIX,OVERSTOCK01,TGTDVS</t>
  </si>
  <si>
    <t>II108-0508</t>
  </si>
  <si>
    <t>Rattan &amp; Wood Dining Chair Set of 2</t>
  </si>
  <si>
    <t>1/9/2023</t>
  </si>
  <si>
    <t>II108-0611</t>
  </si>
  <si>
    <t>Lyra</t>
  </si>
  <si>
    <t>FPF17-0324</t>
  </si>
  <si>
    <t>Wynn</t>
  </si>
  <si>
    <t>Pull Up Table</t>
  </si>
  <si>
    <t>Pecan</t>
  </si>
  <si>
    <t>PF000580;PP000066</t>
  </si>
  <si>
    <t>AMAZONDS,CSNSTORES,HDDS,KOHLDSN,OLLIIX,ZOLA</t>
  </si>
  <si>
    <t>II130-0406</t>
  </si>
  <si>
    <t>Krista</t>
  </si>
  <si>
    <t>10/22/2020</t>
  </si>
  <si>
    <t>2/6/2025</t>
  </si>
  <si>
    <t>II104-0224</t>
  </si>
  <si>
    <t>Boomerang</t>
  </si>
  <si>
    <t>PP000013</t>
  </si>
  <si>
    <t>CSNSTORES,DLBRAND,HDDS,KOHLDSN,MACY02F,OLLIIX,TGTDVS</t>
  </si>
  <si>
    <t>1/24/2018</t>
  </si>
  <si>
    <t>IIF20-0050</t>
  </si>
  <si>
    <t>Crackle</t>
  </si>
  <si>
    <t>PF000225;PP000022</t>
  </si>
  <si>
    <t>ASHFURNDS,CSNSTORES,KOHLDSN,MACY02F</t>
  </si>
  <si>
    <t>II104-0490</t>
  </si>
  <si>
    <t>Marino</t>
  </si>
  <si>
    <t>Backless Upholstered Counter Stool 26"H</t>
  </si>
  <si>
    <t>1/10/2023</t>
  </si>
  <si>
    <t>HDDS,KOHLDSN,LAMPDS,OLLIIX,OVERSTOCK01</t>
  </si>
  <si>
    <t>6/28/2024</t>
  </si>
  <si>
    <t>II104-0511</t>
  </si>
  <si>
    <t>Oslo</t>
  </si>
  <si>
    <t>Faux Leather Woven Counter Stool 24"H</t>
  </si>
  <si>
    <t>CSNSTORES,DLBRAND,HDDS,KOHLDSN,OLLIIX,OVERSTOCK01</t>
  </si>
  <si>
    <t>8/13/2025</t>
  </si>
  <si>
    <t>II104-0481</t>
  </si>
  <si>
    <t>Adams</t>
  </si>
  <si>
    <t>Faux Leather Swivel Counter Stool</t>
  </si>
  <si>
    <t>4/20/2022</t>
  </si>
  <si>
    <t>II104-0370</t>
  </si>
  <si>
    <t>Oaktown</t>
  </si>
  <si>
    <t>Cream/Reclaimed Grey</t>
  </si>
  <si>
    <t>8/13/2018</t>
  </si>
  <si>
    <t>3/15/2019</t>
  </si>
  <si>
    <t>10/22/2019</t>
  </si>
  <si>
    <t>II115-0577</t>
  </si>
  <si>
    <t>Clark</t>
  </si>
  <si>
    <t>Platform Bed frame with Live-Edge Headboard and Built-in Nightstands/Drawers</t>
  </si>
  <si>
    <t>Queen</t>
  </si>
  <si>
    <t>Dark Brown</t>
  </si>
  <si>
    <t>7/20/2024</t>
  </si>
  <si>
    <t>ASHFURNDS,OVERSTOCK01</t>
  </si>
  <si>
    <t>II115-0555</t>
  </si>
  <si>
    <t>Jameson</t>
  </si>
  <si>
    <t>Woven Faux Leather Bed Queen</t>
  </si>
  <si>
    <t>12/21/2023</t>
  </si>
  <si>
    <t>II112-0447</t>
  </si>
  <si>
    <t>DINING BENCH</t>
  </si>
  <si>
    <t>Sonoma</t>
  </si>
  <si>
    <t>Dining Bench</t>
  </si>
  <si>
    <t>Reclaimed White</t>
  </si>
  <si>
    <t>5/28/2021</t>
  </si>
  <si>
    <t>10/7/2022</t>
  </si>
  <si>
    <t>II121-0499</t>
  </si>
  <si>
    <t>Kennedy</t>
  </si>
  <si>
    <t>44" Round Dining Table</t>
  </si>
  <si>
    <t>CSNSTORES,DLBRAND,KOHLDSN,OLLIIX</t>
  </si>
  <si>
    <t>II136-0554</t>
  </si>
  <si>
    <t>Modern One Drawer Waterfall Nightstand</t>
  </si>
  <si>
    <t>TGTDVS</t>
  </si>
  <si>
    <t>12/2/2024</t>
  </si>
  <si>
    <t>II100-0544</t>
  </si>
  <si>
    <t>SECTIONAL SOFA</t>
  </si>
  <si>
    <t>Sectional Sofa</t>
  </si>
  <si>
    <t>Molly</t>
  </si>
  <si>
    <t>Modular Armless Chair</t>
  </si>
  <si>
    <t>II100-0543</t>
  </si>
  <si>
    <t>Modular Corner Chair</t>
  </si>
  <si>
    <t>Corner Chair</t>
  </si>
  <si>
    <t>II101-0545</t>
  </si>
  <si>
    <t>Modular Ottoman</t>
  </si>
  <si>
    <t>HDDS,KOHLDSN</t>
  </si>
  <si>
    <t>II100-0506</t>
  </si>
  <si>
    <t>Silver Grey</t>
  </si>
  <si>
    <t>1/31/2023</t>
  </si>
  <si>
    <t>II100-0505</t>
  </si>
  <si>
    <t>II101-0507</t>
  </si>
  <si>
    <t>DLBRAND,KOHLDSN</t>
  </si>
  <si>
    <t>5DS105-0052</t>
  </si>
  <si>
    <t>510 Design</t>
  </si>
  <si>
    <t>Aubrey</t>
  </si>
  <si>
    <t>Upholstered Storage Bench</t>
  </si>
  <si>
    <t>9/15/2025</t>
  </si>
  <si>
    <t>5DS100-0033</t>
  </si>
  <si>
    <t>Paula</t>
  </si>
  <si>
    <t>1/27/2024</t>
  </si>
  <si>
    <t>CSNSTORES,CUSTSERV,HDDS,JCPENNEY01,KOHLDSN,MACY02F,OLLIIX,OVERSTOCK01,ROOMECOM</t>
  </si>
  <si>
    <t>5DS100-0035</t>
  </si>
  <si>
    <t>1/31/2024</t>
  </si>
  <si>
    <t>CSNSTORES,DLBRAND,HDDS,JCPENNEY01,KIRKLANDDS,KOHLDSN,MACY02F,OLLIIX,OVERSTOCK01,ROOMECOM</t>
  </si>
  <si>
    <t>5DS100-0063</t>
  </si>
  <si>
    <t>5DS122-0009</t>
  </si>
  <si>
    <t>Carlyle</t>
  </si>
  <si>
    <t>10/6/2021</t>
  </si>
  <si>
    <t>5DS108-0044</t>
  </si>
  <si>
    <t>Upholstered Dining Chair with Nailhead Trim Set of 2</t>
  </si>
  <si>
    <t>HDDS,KIRKLANDDS,KOHLDSN,ROOMECOM</t>
  </si>
  <si>
    <t>5DS108-0042</t>
  </si>
  <si>
    <t>Everly</t>
  </si>
  <si>
    <t>Upholstered Channel-back Dining Chair Set of 2</t>
  </si>
  <si>
    <t>Light Taupe</t>
  </si>
  <si>
    <t>5/8/2024</t>
  </si>
  <si>
    <t>11/5/2024</t>
  </si>
  <si>
    <t>MPS100-0303</t>
  </si>
  <si>
    <t>Collin</t>
  </si>
  <si>
    <t>Arm chair</t>
  </si>
  <si>
    <t>Cream/Dark Brown</t>
  </si>
  <si>
    <t>CSNSTORES,KOHLDSN,LAMPDS,MACY02F,OLLIIX,TGTDVS</t>
  </si>
  <si>
    <t>MPS130-0299</t>
  </si>
  <si>
    <t>Beckett</t>
  </si>
  <si>
    <t>2 Drawer Accent Chest</t>
  </si>
  <si>
    <t>Antique Cream</t>
  </si>
  <si>
    <t>8/20/2021</t>
  </si>
  <si>
    <t>MPS130-0293</t>
  </si>
  <si>
    <t>9/15/2020</t>
  </si>
  <si>
    <t>CSNSTORES,KIRKLANDDS,KOHLDSN,LAMPDS,NRTPORT,OLLIIX,OVERSTOCK01</t>
  </si>
  <si>
    <t>8/16/2024</t>
  </si>
  <si>
    <t>MPS130-0306</t>
  </si>
  <si>
    <t>MPS115-0345</t>
  </si>
  <si>
    <t>Turned Wood Spindle Bed</t>
  </si>
  <si>
    <t>Full</t>
  </si>
  <si>
    <t>12/9/2025</t>
  </si>
  <si>
    <t>CSNSTORES,DLBRAND</t>
  </si>
  <si>
    <t>MPS115-0287U2</t>
  </si>
  <si>
    <t>ASHFURNDS,CSNSTORES,DLBRAND,KOHLDSN,OLLIIX,OVERSTOCK01</t>
  </si>
  <si>
    <t>MPS115-0291U2</t>
  </si>
  <si>
    <t>5/1/2025</t>
  </si>
  <si>
    <t>MPS115-0291</t>
  </si>
  <si>
    <t>9/28/2020</t>
  </si>
  <si>
    <t>MPS115-0346</t>
  </si>
  <si>
    <t>MPS115-0058U2</t>
  </si>
  <si>
    <t>PP000288</t>
  </si>
  <si>
    <t>MPS115-0059U2</t>
  </si>
  <si>
    <t>12/18/2024</t>
  </si>
  <si>
    <t>CSNSTORES,DLBRAND,HOUZZ,OLLIIX</t>
  </si>
  <si>
    <t>MPS115-0304</t>
  </si>
  <si>
    <t>ASHFURNDS,CSNSTORES,KOHLDSN,OLLIIX,OVERSTOCK01</t>
  </si>
  <si>
    <t>MPS115-0261A</t>
  </si>
  <si>
    <t>Alston</t>
  </si>
  <si>
    <t>HB:64.5"W X 49.25"H X 2.25"T; FB:64.5" X 35.5"H X 2.25"T</t>
  </si>
  <si>
    <t>Inactive</t>
  </si>
  <si>
    <t>MPS115-0261B</t>
  </si>
  <si>
    <t>Rails:81"L X 3"W X 1"T;Support Legs:2"W X 2"D" X 8.75"H</t>
  </si>
  <si>
    <t>MPS108-0152</t>
  </si>
  <si>
    <t>Hutton</t>
  </si>
  <si>
    <t>Dining Side Chair (set of 2)</t>
  </si>
  <si>
    <t>MPS108-0309</t>
  </si>
  <si>
    <t>Marie</t>
  </si>
  <si>
    <t>Upholstered Split-Back Dining Chairs with Curved Wood Frame (Set of 2)</t>
  </si>
  <si>
    <t>Beige/Brown</t>
  </si>
  <si>
    <t>PF001222;PP000305</t>
  </si>
  <si>
    <t>MPS108-0302</t>
  </si>
  <si>
    <t>Ultra</t>
  </si>
  <si>
    <t>Ultra Upholstered Dining Side Chairs with wood legs (Set of 2)</t>
  </si>
  <si>
    <t>CSNSTORES,HDDS,KIRKLANDDS,KOHLDSN,MACY02F,OLLIIX,OVERSTOCK01</t>
  </si>
  <si>
    <t>MPS108-0329</t>
  </si>
  <si>
    <t>6/26/2025</t>
  </si>
  <si>
    <t>MPS108-0286</t>
  </si>
  <si>
    <t>1/10/2020</t>
  </si>
  <si>
    <t>CSNSTORES,CUSTSERV,HDDS,KIRKLANDDS,KOHLDSN,MACY02F,OLLIIX,OVERSTOCK01</t>
  </si>
  <si>
    <t>MPS108-0156</t>
  </si>
  <si>
    <t>Dark Gray</t>
  </si>
  <si>
    <t>10/23/2017</t>
  </si>
  <si>
    <t>1/12/2020</t>
  </si>
  <si>
    <t>1/15/2020</t>
  </si>
  <si>
    <t>MPS108-0328</t>
  </si>
  <si>
    <t>MPS108-0296</t>
  </si>
  <si>
    <t>Light Green Multi</t>
  </si>
  <si>
    <t>12/31/2020</t>
  </si>
  <si>
    <t>MPS121-0295</t>
  </si>
  <si>
    <t>Helena</t>
  </si>
  <si>
    <t>Round Dining Table</t>
  </si>
  <si>
    <t>1/8/2021</t>
  </si>
  <si>
    <t>CSNSTORES,HDDS,KIRKLANDDS,KOHLDSN,LAMPDS,OLLIIX</t>
  </si>
  <si>
    <t>MPS137-0314</t>
  </si>
  <si>
    <t>DRESSER/CHEST</t>
  </si>
  <si>
    <t>Dresser</t>
  </si>
  <si>
    <t>Victoria</t>
  </si>
  <si>
    <t>4-drawer wood dresser (40")</t>
  </si>
  <si>
    <t>PF001290;PP000311</t>
  </si>
  <si>
    <t>MPS137-0316</t>
  </si>
  <si>
    <t>6-drawer wood dresser (70")</t>
  </si>
  <si>
    <t>PF001292;PP000311</t>
  </si>
  <si>
    <t>MPS137-0315</t>
  </si>
  <si>
    <t>MPS137-0317</t>
  </si>
  <si>
    <t>MPS137-0004</t>
  </si>
  <si>
    <t>Light Natural</t>
  </si>
  <si>
    <t>CSNSTORES,DLBRAND,KOHLDSN,OLLIIX,ROOMECOM</t>
  </si>
  <si>
    <t>MPS137-0322</t>
  </si>
  <si>
    <t>5/28/2025</t>
  </si>
  <si>
    <t>MPS137-0323</t>
  </si>
  <si>
    <t>5/30/2025</t>
  </si>
  <si>
    <t>MPS137-0324</t>
  </si>
  <si>
    <t>Large Dresser</t>
  </si>
  <si>
    <t>Coastal/Nautical</t>
  </si>
  <si>
    <t>5/21/2025</t>
  </si>
  <si>
    <t>MPS137-0319</t>
  </si>
  <si>
    <t>Small Dresser</t>
  </si>
  <si>
    <t>CSNSTORES,HDDS,KOHLDSN,OLLIIX,OVERSTOCK01,ROOMECOM</t>
  </si>
  <si>
    <t>MPS137-0318</t>
  </si>
  <si>
    <t>2/15/2026</t>
  </si>
  <si>
    <t>MPS137-0326</t>
  </si>
  <si>
    <t>5/22/2025</t>
  </si>
  <si>
    <t>MPS137-0325</t>
  </si>
  <si>
    <t>MPS137-0327</t>
  </si>
  <si>
    <t>6/3/2025</t>
  </si>
  <si>
    <t>CSNSTORES,HDDS,KOHLDSN,OVERSTOCK01</t>
  </si>
  <si>
    <t>MPS136-0339</t>
  </si>
  <si>
    <t>Large Nightstand</t>
  </si>
  <si>
    <t>6/20/2025</t>
  </si>
  <si>
    <t>CSNSTORES,HDDS,KOHLDSN,OVERSTOCK01,ROOMECOM</t>
  </si>
  <si>
    <t>MPS136-0340</t>
  </si>
  <si>
    <t>7/3/2025</t>
  </si>
  <si>
    <t>MPS136-0288</t>
  </si>
  <si>
    <t>Turned Wood Spindle Nightstand with Drawer &amp; Shelf</t>
  </si>
  <si>
    <t>CSNSTORES,DLBRAND,HDDS,KOHLDSN,LAMPDS,OLLIIX,OVERSTOCK01</t>
  </si>
  <si>
    <t>MPS136-0305</t>
  </si>
  <si>
    <t>ASHFURNDS,BLK01,CSNSTORES,HDDS,KOHLDSN,OLLIIX,OVERSTOCK01</t>
  </si>
  <si>
    <t>MPS136-0312</t>
  </si>
  <si>
    <t>one-drawer wood nightstand with shelf</t>
  </si>
  <si>
    <t>PF001286;PP000311</t>
  </si>
  <si>
    <t>MPS136-0310</t>
  </si>
  <si>
    <t>one-drawer wood bedside table with shelf</t>
  </si>
  <si>
    <t>MPS136-0311</t>
  </si>
  <si>
    <t>MPS136-0313</t>
  </si>
  <si>
    <t>CSNSTORES,HDDS,KIRKLANDDS</t>
  </si>
  <si>
    <t>MPS136-0181</t>
  </si>
  <si>
    <t>CSNSTORES,DLBRAND,KOHLDSN,OLLIIX,OVERSTOCK01</t>
  </si>
  <si>
    <t>MPS136-0321</t>
  </si>
  <si>
    <t>MPS136-0320</t>
  </si>
  <si>
    <t>MPS120-0123</t>
  </si>
  <si>
    <t>Bordeaux</t>
  </si>
  <si>
    <t>White/Gold</t>
  </si>
  <si>
    <t>PF000504;PP000290</t>
  </si>
  <si>
    <t>10/10/2017</t>
  </si>
  <si>
    <t>ASHFURNDS,OLLIIX</t>
  </si>
  <si>
    <t>MPS120-0125</t>
  </si>
  <si>
    <t>PF000506;PP000290</t>
  </si>
  <si>
    <t>CSNSTORES,DLBRAND,KOHLDSN,OLLIIX,OVERSTOCK01,TGTDVS</t>
  </si>
  <si>
    <t>MPS120-0124</t>
  </si>
  <si>
    <t>PF000505;PP000290</t>
  </si>
  <si>
    <t>CSNSTORES,KOHLDSN,MACY02F,OLLIIX,OVERSTOCK01,TGTDVS</t>
  </si>
  <si>
    <t>FPF20-0401 HARDWARE</t>
  </si>
  <si>
    <t>6/14/2017</t>
  </si>
  <si>
    <t>FUR120-0054 HARDWARE</t>
  </si>
  <si>
    <t>FUR120-0053 HARDWARE</t>
  </si>
  <si>
    <t>FUR120-0055 HARDWARE</t>
  </si>
  <si>
    <t>FB151-1179</t>
  </si>
  <si>
    <t>LGT</t>
  </si>
  <si>
    <t>LGT-PENDANTS</t>
  </si>
  <si>
    <t>Pendants</t>
  </si>
  <si>
    <t>Auburn</t>
  </si>
  <si>
    <t>Bell Shaped Hanging Glass Pendant Light</t>
  </si>
  <si>
    <t>Dia.13"</t>
  </si>
  <si>
    <t>Gold/Clear</t>
  </si>
  <si>
    <t>3/22/2026</t>
  </si>
  <si>
    <t>AMAZONDS,DLBRAND,HDDS,KOHLDSN,OLLIIX,OVERSTOCK01</t>
  </si>
  <si>
    <t>5/23/2024</t>
  </si>
  <si>
    <t>MP151-0123</t>
  </si>
  <si>
    <t>Dia.9"</t>
  </si>
  <si>
    <t>PF002875</t>
  </si>
  <si>
    <t>AMAZON,AMAZONDS,CSNSTORES,KOHLDSN,LAMPDS,OLLIIX,OVERSTOCK01</t>
  </si>
  <si>
    <t>6/25/2018</t>
  </si>
  <si>
    <t>MP151-0198</t>
  </si>
  <si>
    <t>Bronze/Clear</t>
  </si>
  <si>
    <t>10/14/2019</t>
  </si>
  <si>
    <t>1/16/2026</t>
  </si>
  <si>
    <t>MP151-0199</t>
  </si>
  <si>
    <t>Silver/Clear</t>
  </si>
  <si>
    <t>AMAZONDS,KOHLDSN,OLLIIX,OVERSTOCK01,ROOMECOM</t>
  </si>
  <si>
    <t>FB151-1188</t>
  </si>
  <si>
    <t>Gold/Amber</t>
  </si>
  <si>
    <t>AMAZONDS,KOHLDSN</t>
  </si>
  <si>
    <t>II151-0114</t>
  </si>
  <si>
    <t>Farmhouse Metal Pendant</t>
  </si>
  <si>
    <t>White/Black</t>
  </si>
  <si>
    <t>1/21/2022</t>
  </si>
  <si>
    <t>II151-0136</t>
  </si>
  <si>
    <t>Geometric Bamboo Pendant</t>
  </si>
  <si>
    <t>Farm House|Transitional</t>
  </si>
  <si>
    <t>10/14/2022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</si>
  <si>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</si>
  <si>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</si>
  <si>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</si>
  <si>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</si>
  <si>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</si>
  <si>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</si>
  <si>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</si>
  <si>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</si>
  <si>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</si>
  <si>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</si>
  <si>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</si>
  <si>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</si>
  <si>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II151-0120</t>
  </si>
  <si>
    <t>saben</t>
  </si>
  <si>
    <t>2-Tier Layered Shade Pendant</t>
  </si>
  <si>
    <t>Gold/White</t>
  </si>
  <si>
    <t>3/4/2022</t>
  </si>
  <si>
    <t>KOHLDSN,OLLIIX</t>
  </si>
  <si>
    <t>II151-0138</t>
  </si>
  <si>
    <t>Wren</t>
  </si>
  <si>
    <t>Bell Shaped Bamboo Pendant</t>
  </si>
  <si>
    <t>JCPENNEY01,KOHLDSN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</si>
  <si>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</si>
  <si>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</si>
  <si>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</si>
  <si>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</si>
  <si>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</si>
  <si>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</si>
  <si>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</si>
  <si>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AMAZONDS,CSNSTORES,DLBRAND,KOHLDSN,OLLIIX,OVERSTOCK01,ZOLA</t>
  </si>
  <si>
    <t>II153-0146</t>
  </si>
  <si>
    <t>Grace Ivy</t>
  </si>
  <si>
    <t>Textured Dot Table Lamp</t>
  </si>
  <si>
    <t>AMAZON,AMAZONDS,DLBRAND,JCPENNEY01,OLLIIX,OVERSTOCK01,TGTDVS</t>
  </si>
  <si>
    <t>5/31/2024</t>
  </si>
  <si>
    <t>MT153-0049</t>
  </si>
  <si>
    <t>Athena</t>
  </si>
  <si>
    <t>Geometric Ceramic Table Lamp</t>
  </si>
  <si>
    <t>8/4/2021</t>
  </si>
  <si>
    <t>AMAZON,AMAZONDS,ASHFURNDS,CSNSTORES,DLBRAND,HDDS,JCPENNEY01,KOHLDSN,OLLIIX,ROOMECOM,TGTDVS</t>
  </si>
  <si>
    <t>II153-0147</t>
  </si>
  <si>
    <t>Bromley</t>
  </si>
  <si>
    <t>Two Tone Pull-chain Table Lamp</t>
  </si>
  <si>
    <t>AMAZON,CSNSTORES,KOHLDSN,OLLIIX,ZOLA</t>
  </si>
  <si>
    <t>II153-0129</t>
  </si>
  <si>
    <t>Tristan</t>
  </si>
  <si>
    <t>Triangular Ceramic and Wood Table Lamp</t>
  </si>
  <si>
    <t>White Base/Cream Shade</t>
  </si>
  <si>
    <t>3/7/2022</t>
  </si>
  <si>
    <t>AMAZONDS,CSNSTORES,KIRKLANDDS,KOHLDSN,MACY02,OLLIIX,TGTDVS</t>
  </si>
  <si>
    <t>II153-0159</t>
  </si>
  <si>
    <t>Aquaviva</t>
  </si>
  <si>
    <t xml:space="preserve">Aquaviva </t>
  </si>
  <si>
    <t>Confetti Glass Table Lamp</t>
  </si>
  <si>
    <t>Artisan</t>
  </si>
  <si>
    <t>6/18/2024</t>
  </si>
  <si>
    <t>AMAZONDS,CSNSTORES,HDDS,KOHLDSN,MACY02,OLLIIX</t>
  </si>
  <si>
    <t>II153-0156</t>
  </si>
  <si>
    <t>Alarid</t>
  </si>
  <si>
    <t>16" Ceramic Table Lamp</t>
  </si>
  <si>
    <t>II153-0023</t>
  </si>
  <si>
    <t>Contour</t>
  </si>
  <si>
    <t>Ceramic Table Lamp</t>
  </si>
  <si>
    <t>PF002798</t>
  </si>
  <si>
    <t>12/3/2019</t>
  </si>
  <si>
    <t>MPS153-0079</t>
  </si>
  <si>
    <t>Fulton</t>
  </si>
  <si>
    <t>Fulton Metal and Concrete Table Lamp</t>
  </si>
  <si>
    <t>Gold/Grey/Black</t>
  </si>
  <si>
    <t>PF003223</t>
  </si>
  <si>
    <t>10/20/2017</t>
  </si>
  <si>
    <t>4/19/2019</t>
  </si>
  <si>
    <t>MT153-0051</t>
  </si>
  <si>
    <t>Glendale</t>
  </si>
  <si>
    <t>Ribbed Ceramic Table Lamp</t>
  </si>
  <si>
    <t>10/25/2021</t>
  </si>
  <si>
    <t>CSNSTORES,CUSTSERV,KOHLDSN,OLLIIX</t>
  </si>
  <si>
    <t>5/1/2024</t>
  </si>
  <si>
    <t>II153-0152</t>
  </si>
  <si>
    <t>Laguna</t>
  </si>
  <si>
    <t>Rattan Weave Shade Table Lamp</t>
  </si>
  <si>
    <t>Gold/Natural</t>
  </si>
  <si>
    <t>1/24/2024</t>
  </si>
  <si>
    <t>5DS153-0050</t>
  </si>
  <si>
    <t>Lumivive</t>
  </si>
  <si>
    <t>17" Mercury Glass Table Lamp</t>
  </si>
  <si>
    <t>DLBRAND,OLLIIX,TGTDVS</t>
  </si>
  <si>
    <t>II153-0162</t>
  </si>
  <si>
    <t>Veluna</t>
  </si>
  <si>
    <t>Textured Ceramic Table Lamp with Fluted Fabric Shade</t>
  </si>
  <si>
    <t>CSNSTORES,DLBRAND,KIRKLANDDS,KOHLDSN,MACY02,OLLIIX,ZOLA</t>
  </si>
  <si>
    <t>MP154-0200</t>
  </si>
  <si>
    <t>LGT-FLOOR LAMPS</t>
  </si>
  <si>
    <t>Floor Lamps</t>
  </si>
  <si>
    <t>Arched Floor Lamp with Marble Base</t>
  </si>
  <si>
    <t>MPS154-0087</t>
  </si>
  <si>
    <t>Holloway</t>
  </si>
  <si>
    <t>3-Globe Light Floor Lamp with Marble Base</t>
  </si>
  <si>
    <t>11/14/2017</t>
  </si>
  <si>
    <t>AMAZON,CSNSTORES,KOHLDSN,OLLIIX,OVERSTOCK01,TGTDVS</t>
  </si>
  <si>
    <t>FB154-1165</t>
  </si>
  <si>
    <t>Bellow</t>
  </si>
  <si>
    <t>Uplight Floor Lamp with Mercury Glass Shade</t>
  </si>
  <si>
    <t>Antique Brass</t>
  </si>
  <si>
    <t>5/4/2022</t>
  </si>
  <si>
    <t>AMAZONDS,ASHFURNDS,CSNSTORES,HDDS,KOHLDSN,LAMPDS,OLLIIX,OVERSTOCK01,ZOLA</t>
  </si>
  <si>
    <t>MT154-0036</t>
  </si>
  <si>
    <t>Hunts</t>
  </si>
  <si>
    <t>Metal Floor Lamp</t>
  </si>
  <si>
    <t>Gold/Black</t>
  </si>
  <si>
    <t>1/29/2020</t>
  </si>
  <si>
    <t>CSNSTORES,DLBRAND,OLLIIX</t>
  </si>
  <si>
    <t>5/29/2020</t>
  </si>
  <si>
    <t>II154-0158</t>
  </si>
  <si>
    <t>Rattan Weave Shade Floor Lamp</t>
  </si>
  <si>
    <t>ASHFURNDS,CSNSTORES,KIRKLANDDS,KOHLDSN,ZOLA</t>
  </si>
  <si>
    <t>MPS150-0093</t>
  </si>
  <si>
    <t>LGT-CHANDELIERS</t>
  </si>
  <si>
    <t>Chandeliers</t>
  </si>
  <si>
    <t>Dimmable Layered Capiz Shell Chandelier</t>
  </si>
  <si>
    <t>3/8/2019</t>
  </si>
  <si>
    <t>II150-0122</t>
  </si>
  <si>
    <t>6-Light Frosted Glass Globe Linear Chandelier</t>
  </si>
  <si>
    <t>Antique Brass/Black</t>
  </si>
  <si>
    <t>II150-0130</t>
  </si>
  <si>
    <t>Abbott</t>
  </si>
  <si>
    <t>4-Light Metal Shade Chandelier</t>
  </si>
  <si>
    <t>Black/Gold</t>
  </si>
  <si>
    <t>9/8/2022</t>
  </si>
  <si>
    <t>II151-0134</t>
  </si>
  <si>
    <t>3-Light Chandelier with Frosted Glass Globe Bulbs</t>
  </si>
  <si>
    <t>3-Light</t>
  </si>
  <si>
    <t>11/18/2022</t>
  </si>
  <si>
    <t>MP150-0194</t>
  </si>
  <si>
    <t>Brighton</t>
  </si>
  <si>
    <t>6-Light Farmhouse Metal Chandelier</t>
  </si>
  <si>
    <t>Matte Black</t>
  </si>
  <si>
    <t>3/26/2019</t>
  </si>
  <si>
    <t>CSNSTORES,KOHLDSN,LAMPDS,OLLIIX,TGTDVS</t>
  </si>
  <si>
    <t>4/11/2022</t>
  </si>
  <si>
    <t>II150-0153</t>
  </si>
  <si>
    <t>Calista</t>
  </si>
  <si>
    <t>8-Light Metal Chandelier with Globe Bulbs</t>
  </si>
  <si>
    <t>KOHLDSN,ROOMECOM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</si>
  <si>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</si>
  <si>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</si>
  <si>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</si>
  <si>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</si>
  <si>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</si>
  <si>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</si>
  <si>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</si>
  <si>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</si>
  <si>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</si>
  <si>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II150-0008</t>
  </si>
  <si>
    <t>12-Light Chandelier with Oversized Globe Bulbs</t>
  </si>
  <si>
    <t>PF002784</t>
  </si>
  <si>
    <t>4/21/2017</t>
  </si>
  <si>
    <t>2/2/2018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</si>
  <si>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</si>
  <si>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</si>
  <si>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</si>
  <si>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</si>
  <si>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</si>
  <si>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</si>
  <si>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</si>
  <si>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CSNSTORES,KOHLDSN,OLLIIX,ROOMECOM</t>
  </si>
  <si>
    <t>II155-0145</t>
  </si>
  <si>
    <t>LGT-SCONCES</t>
  </si>
  <si>
    <t>Sconces</t>
  </si>
  <si>
    <t>Rattan Weave Shade Wall Sconce</t>
  </si>
  <si>
    <t>AMAZONDS,CSNSTORES,HDDS,OLLIIX,TGTDVS,ZOLA</t>
  </si>
  <si>
    <t>FB155-1182</t>
  </si>
  <si>
    <t>Luminex</t>
  </si>
  <si>
    <t>White Ceramic Wall Sconce with Adjustable Swing Arm</t>
  </si>
  <si>
    <t>5/11/2024</t>
  </si>
  <si>
    <t>II152-0142</t>
  </si>
  <si>
    <t>LGT-FLUSHMOUNTS</t>
  </si>
  <si>
    <t>Flushmounts</t>
  </si>
  <si>
    <t>Mililani</t>
  </si>
  <si>
    <t>Boho Bamboo Flush Mount Ceiling Light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</si>
  <si>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</si>
  <si>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</si>
  <si>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</si>
  <si>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</si>
  <si>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</si>
  <si>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</si>
  <si>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MPS150-0107</t>
  </si>
  <si>
    <t>Silver/White</t>
  </si>
  <si>
    <t>10/15/2019</t>
  </si>
  <si>
    <t>FB150-1153</t>
  </si>
  <si>
    <t>FB150-1160</t>
  </si>
  <si>
    <t>Abbot</t>
  </si>
  <si>
    <t>4-Light Glass Drum Shade Chandelier</t>
  </si>
  <si>
    <t>5/16/2022</t>
  </si>
  <si>
    <t>FB150-1162</t>
  </si>
  <si>
    <t>Alexis</t>
  </si>
  <si>
    <t>6-Light Metal Chandelier</t>
  </si>
  <si>
    <t>MT150-0080</t>
  </si>
  <si>
    <t>Elegenza</t>
  </si>
  <si>
    <t>6-light Chandelier with Fabric Drum Shades</t>
  </si>
  <si>
    <t>Antique Gold</t>
  </si>
  <si>
    <t>MT150-0079</t>
  </si>
  <si>
    <t>Chrome</t>
  </si>
  <si>
    <t>12/6/2024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</si>
  <si>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</si>
  <si>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</si>
  <si>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</si>
  <si>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</si>
  <si>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</si>
  <si>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</si>
  <si>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</si>
  <si>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</si>
  <si>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MACY02</t>
  </si>
  <si>
    <t>FB150-1190</t>
  </si>
  <si>
    <t>Opulentia</t>
  </si>
  <si>
    <t>9-light Round Tiered Chandelier with Textured Glass Shades</t>
  </si>
  <si>
    <t>ASHFURNDS,HDDS,KOHLDSN,OLLIIX</t>
  </si>
  <si>
    <t>FB150-1163</t>
  </si>
  <si>
    <t>Savor</t>
  </si>
  <si>
    <t>6-Light Traditional Candelabra Styled Chandelier</t>
  </si>
  <si>
    <t>KOHLDSN,OVERSTOCK01,TGTDVS</t>
  </si>
  <si>
    <t>MT154-0070</t>
  </si>
  <si>
    <t>Aelorian</t>
  </si>
  <si>
    <t>Floor Lamp 59"H</t>
  </si>
  <si>
    <t>6/26/2023</t>
  </si>
  <si>
    <t>AMAZONDS,CSNSTORES,HDDS,JCPENNEY01,KOHLDSN,LAMPDS,MACY02,OLLIIX,OVERSTOCK01,TGTDVS,ZOLA</t>
  </si>
  <si>
    <t>11/27/2023</t>
  </si>
  <si>
    <t>MT153-0078</t>
  </si>
  <si>
    <t>Table Lamp 28"H</t>
  </si>
  <si>
    <t>AMAZON,ASHFURNDS,CSNSTORES,HDDS,KOHLDSN,OLLIIX,TGTDVS</t>
  </si>
  <si>
    <t>MPS153-0025</t>
  </si>
  <si>
    <t>Rectangular Ceramic Table Lamp</t>
  </si>
  <si>
    <t>PF002829</t>
  </si>
  <si>
    <t>CSNSTORES,KOHLDSN,MACY02,OLLIIX</t>
  </si>
  <si>
    <t>MT153-0077</t>
  </si>
  <si>
    <t>Mystique</t>
  </si>
  <si>
    <t>Blue Ceramic Ginger Jar Table Lamp</t>
  </si>
  <si>
    <t>3/30/2024</t>
  </si>
  <si>
    <t>FB151-1161</t>
  </si>
  <si>
    <t>Elm</t>
  </si>
  <si>
    <t>Bell-Shaped Glass Pendant</t>
  </si>
  <si>
    <t>Smoke Grey</t>
  </si>
  <si>
    <t>5DS153-0046</t>
  </si>
  <si>
    <t>Zusa</t>
  </si>
  <si>
    <t>Metal 2-Light Globe Table Lamp</t>
  </si>
  <si>
    <t>AMAZON,ASHFURNDS,CSNSTORES,DLBRAND,HDDS,KIRKLANDDS,MACY02,OLLIIX,OVERSTOCK01,TGTDVS</t>
  </si>
  <si>
    <t>MP153-0204</t>
  </si>
  <si>
    <t>Geometric Glass Table Lamp</t>
  </si>
  <si>
    <t>10/3/2019</t>
  </si>
  <si>
    <t>AMAZONDS,CSNSTORES,DLBRAND,KOHLDSN,OLLIIX,OVERSTOCK01,ROOMECOM,TGTDVS</t>
  </si>
  <si>
    <t>UH153-0099</t>
  </si>
  <si>
    <t>Borel</t>
  </si>
  <si>
    <t>Ombre Glass Table Lamp</t>
  </si>
  <si>
    <t>1/19/2021</t>
  </si>
  <si>
    <t>10/23/2024</t>
  </si>
  <si>
    <t>FB153-1158</t>
  </si>
  <si>
    <t>Celine</t>
  </si>
  <si>
    <t>Textured Ceramic Table Lamp</t>
  </si>
  <si>
    <t>10/18/2021</t>
  </si>
  <si>
    <t>5DS153-0053</t>
  </si>
  <si>
    <t>Chique</t>
  </si>
  <si>
    <t>Tap-Control and Dimmable Accent Table Lamp with Power Outlet</t>
  </si>
  <si>
    <t>7/4/2024</t>
  </si>
  <si>
    <t>4/15/2026</t>
  </si>
  <si>
    <t>ASHFURNDS,CSNSTORES,KIRKLANDDS,KOHLDSN,LAMPDS,OLLIIX,OVERSTOCK01,ZOLA</t>
  </si>
  <si>
    <t>5DS153-1157</t>
  </si>
  <si>
    <t>Clarity</t>
  </si>
  <si>
    <t>Glass Cylinder Table Lamp Set of 2</t>
  </si>
  <si>
    <t>2/6/2021</t>
  </si>
  <si>
    <t>CSNSTORES,JCPENNEY01,KIRKLANDDS,MACY02,OLLIIX,OVERSTOCK01,ROOMECOM</t>
  </si>
  <si>
    <t>5DS153-0031</t>
  </si>
  <si>
    <t>Cortina</t>
  </si>
  <si>
    <t>Ombre Glass Table Lamp, Set of 2</t>
  </si>
  <si>
    <t>11/12/2018</t>
  </si>
  <si>
    <t>ASHFURNDS,CSNSTORES,OLLIIX</t>
  </si>
  <si>
    <t>5DS153-0030</t>
  </si>
  <si>
    <t>Gypsy</t>
  </si>
  <si>
    <t>Embossed Boho Table Lamp</t>
  </si>
  <si>
    <t>12/7/2018</t>
  </si>
  <si>
    <t>ASHFURNDS,CSNSTORES,JCPENNEY01,KIRKLANDDS,KOHLDSN,OLLIIX,OVERSTOCK01,ROOMECOM</t>
  </si>
  <si>
    <t>5DS153-0049</t>
  </si>
  <si>
    <t>Liora</t>
  </si>
  <si>
    <t>2-Tone Ceramic Table Lamp Set of 2</t>
  </si>
  <si>
    <t>1/21/2024</t>
  </si>
  <si>
    <t>5DS153-0048</t>
  </si>
  <si>
    <t>White/Silver</t>
  </si>
  <si>
    <t>JCPENNEY01,ROOMECOM</t>
  </si>
  <si>
    <t>5DS153-0052</t>
  </si>
  <si>
    <t>Neonova</t>
  </si>
  <si>
    <t>Glass Table Lamp</t>
  </si>
  <si>
    <t>5DS153-0051</t>
  </si>
  <si>
    <t>ASHFURNDS,CSNSTORES,HDDS,KOHLDSN,OLLIIX,TGTDVS</t>
  </si>
  <si>
    <t>5DS153-0036</t>
  </si>
  <si>
    <t>Nicolo</t>
  </si>
  <si>
    <t>12/23/2021</t>
  </si>
  <si>
    <t>HDDS,KOHLDSN,LAMPDS,ROOMECOM</t>
  </si>
  <si>
    <t>5DS153-0023</t>
  </si>
  <si>
    <t>Ranier</t>
  </si>
  <si>
    <t>Iridescent Glass Table Lamp</t>
  </si>
  <si>
    <t>Iridescent</t>
  </si>
  <si>
    <t>11/8/2018</t>
  </si>
  <si>
    <t>CSNSTORES,LAMPDS,OLLIIX,OVERSTOCK01,ROOMECOM</t>
  </si>
  <si>
    <t>FB153-1184</t>
  </si>
  <si>
    <t>Zirconia</t>
  </si>
  <si>
    <t>Faceted Brown Glass Table Lamp</t>
  </si>
  <si>
    <t>CSNSTORES,DLBRAND,KOHLDSN,MACY02,OLLIIX,OVERSTOCK01,TGTDVS</t>
  </si>
  <si>
    <t>FB153-1183</t>
  </si>
  <si>
    <t>Faceted Green Glass Table Lamp</t>
  </si>
  <si>
    <t>ASHFURNDS,CSNSTORES,HDDS,JCPENNEY01,KIRKLANDDS,KOHLDSN,OLLIIX,OVERSTOCK01,ZOLA</t>
  </si>
  <si>
    <t>5DS150-0044</t>
  </si>
  <si>
    <t>Devon</t>
  </si>
  <si>
    <t>6-Light Chandelier with Bowl Shaped Glass Shades</t>
  </si>
  <si>
    <t>5DS150-0042</t>
  </si>
  <si>
    <t>Ellie</t>
  </si>
  <si>
    <t>FB154-1164</t>
  </si>
  <si>
    <t>Aster</t>
  </si>
  <si>
    <t>Angular Arched Metal Floor Lamp</t>
  </si>
  <si>
    <t>ASHFURNDS,CSNSTORES,JCPENNEY01,KOHLDSN,OLLIIX,ROOMECOM,ZOLA</t>
  </si>
  <si>
    <t>MPS153-0005B</t>
  </si>
  <si>
    <t>Bringham</t>
  </si>
  <si>
    <t>16"Wx11"Dx9.5H"</t>
  </si>
  <si>
    <t>PF002809</t>
  </si>
  <si>
    <t>MPS153-0005A</t>
  </si>
  <si>
    <t>29-7/8"H</t>
  </si>
  <si>
    <t>PF002808</t>
  </si>
  <si>
    <t>MT150-0066</t>
  </si>
  <si>
    <t>8-Light Traditional Metal Chandelier</t>
  </si>
  <si>
    <t>Glossy White</t>
  </si>
  <si>
    <t>MT154-0065</t>
  </si>
  <si>
    <t>Charlton</t>
  </si>
  <si>
    <t>Metal Floor Lamp with Glass Cylinder Shade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</si>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</sst>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74.11</v>
      </c>
      <c r="M6" s="3">
        <v>77.82</v>
      </c>
      <c r="N6" s="3">
        <v>141.94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920</v>
      </c>
      <c r="AA6" s="4">
        <f>=ROUNDDOWN(12.7777777777778,0)</f>
      </c>
      <c r="AB6" s="5">
        <v>72</v>
      </c>
      <c r="AC6" s="2" t="s">
        <v>105</v>
      </c>
      <c r="AD6" s="4">
        <v>230</v>
      </c>
      <c r="AE6" s="4">
        <v>1100</v>
      </c>
      <c r="AF6" s="6">
        <v>62</v>
      </c>
      <c r="AG6" s="6">
        <v>45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204</v>
      </c>
      <c r="AQ6" s="8">
        <v>14535</v>
      </c>
      <c r="AR6" s="4"/>
      <c r="AS6" s="8"/>
      <c r="AT6" s="7"/>
      <c r="AU6" s="7"/>
      <c r="AV6" s="4">
        <v>293</v>
      </c>
      <c r="AW6" s="8">
        <v>23357.57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0.6223</v>
      </c>
      <c r="BC6" s="4">
        <v>564</v>
      </c>
      <c r="BD6" s="8">
        <v>45665.61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0.5115</v>
      </c>
      <c r="BJ6" s="4">
        <v>272</v>
      </c>
      <c r="BK6" s="8">
        <v>18822.75</v>
      </c>
      <c r="BL6" s="2" t="s">
        <v>106</v>
      </c>
      <c r="BM6" s="7">
        <v>0.75</v>
      </c>
      <c r="BN6" s="7">
        <v>0.7722</v>
      </c>
      <c r="BO6" s="4">
        <v>204</v>
      </c>
      <c r="BP6" s="8">
        <v>14535</v>
      </c>
      <c r="BQ6" s="4"/>
      <c r="BR6" s="8"/>
      <c r="BS6" s="7"/>
      <c r="BT6" s="7"/>
      <c r="BU6" s="2" t="s">
        <v>107</v>
      </c>
      <c r="BV6" s="2" t="s">
        <v>96</v>
      </c>
      <c r="BW6" s="2" t="s">
        <v>99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111</v>
      </c>
      <c r="J7" s="2" t="s">
        <v>112</v>
      </c>
      <c r="K7" s="2" t="s">
        <v>95</v>
      </c>
      <c r="L7" s="3">
        <v>111.24</v>
      </c>
      <c r="M7" s="3">
        <v>116.8</v>
      </c>
      <c r="N7" s="3">
        <v>209.94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113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114</v>
      </c>
      <c r="Z7" s="4">
        <v>1246</v>
      </c>
      <c r="AA7" s="4">
        <f>=ROUNDDOWN(18.3235294117647,0)</f>
      </c>
      <c r="AB7" s="5">
        <v>68</v>
      </c>
      <c r="AC7" s="2" t="s">
        <v>105</v>
      </c>
      <c r="AD7" s="4">
        <v>68</v>
      </c>
      <c r="AE7" s="4">
        <v>400</v>
      </c>
      <c r="AF7" s="6">
        <v>62</v>
      </c>
      <c r="AG7" s="6">
        <v>45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89</v>
      </c>
      <c r="AQ7" s="8">
        <v>8822.57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0.3777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189</v>
      </c>
      <c r="BK7" s="8">
        <v>19928.26</v>
      </c>
      <c r="BL7" s="2" t="s">
        <v>115</v>
      </c>
      <c r="BM7" s="7">
        <v>0.4709</v>
      </c>
      <c r="BN7" s="7">
        <v>0.4427</v>
      </c>
      <c r="BO7" s="4">
        <v>89</v>
      </c>
      <c r="BP7" s="8">
        <v>8822.57</v>
      </c>
      <c r="BQ7" s="4"/>
      <c r="BR7" s="8"/>
      <c r="BS7" s="7"/>
      <c r="BT7" s="7"/>
      <c r="BU7" s="2" t="s">
        <v>107</v>
      </c>
      <c r="BV7" s="2" t="s">
        <v>96</v>
      </c>
      <c r="BW7" s="2" t="s">
        <v>99</v>
      </c>
      <c r="BX7" s="2" t="s">
        <v>116</v>
      </c>
      <c r="BY7" s="2" t="s">
        <v>109</v>
      </c>
      <c r="BZ7" s="2" t="s">
        <v>109</v>
      </c>
      <c r="CA7" s="2" t="s">
        <v>99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118</v>
      </c>
      <c r="L8" s="3">
        <v>74.11</v>
      </c>
      <c r="M8" s="3">
        <v>77.82</v>
      </c>
      <c r="N8" s="3">
        <v>141.94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120</v>
      </c>
      <c r="Z8" s="4">
        <v>800</v>
      </c>
      <c r="AA8" s="4">
        <f>=ROUNDDOWN(36.3636363636364,0)</f>
      </c>
      <c r="AB8" s="5">
        <v>22</v>
      </c>
      <c r="AC8" s="2" t="s">
        <v>99</v>
      </c>
      <c r="AD8" s="4"/>
      <c r="AE8" s="4"/>
      <c r="AF8" s="6">
        <v>62</v>
      </c>
      <c r="AG8" s="6">
        <v>45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94</v>
      </c>
      <c r="AQ8" s="8">
        <v>6697.5</v>
      </c>
      <c r="AR8" s="4"/>
      <c r="AS8" s="8"/>
      <c r="AT8" s="7"/>
      <c r="AU8" s="7"/>
      <c r="AV8" s="4">
        <v>156</v>
      </c>
      <c r="AW8" s="8">
        <v>12858.44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0.5209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0.2816</v>
      </c>
      <c r="BJ8" s="4">
        <v>112</v>
      </c>
      <c r="BK8" s="8">
        <v>7998.06</v>
      </c>
      <c r="BL8" s="2" t="s">
        <v>121</v>
      </c>
      <c r="BM8" s="7">
        <v>0.8393</v>
      </c>
      <c r="BN8" s="7">
        <v>0.8374</v>
      </c>
      <c r="BO8" s="4">
        <v>94</v>
      </c>
      <c r="BP8" s="8">
        <v>6697.5</v>
      </c>
      <c r="BQ8" s="4"/>
      <c r="BR8" s="8"/>
      <c r="BS8" s="7"/>
      <c r="BT8" s="7"/>
      <c r="BU8" s="2" t="s">
        <v>107</v>
      </c>
      <c r="BV8" s="2" t="s">
        <v>122</v>
      </c>
      <c r="BW8" s="2" t="s">
        <v>99</v>
      </c>
      <c r="BX8" s="2" t="s">
        <v>123</v>
      </c>
      <c r="BY8" s="2" t="s">
        <v>109</v>
      </c>
      <c r="BZ8" s="2" t="s">
        <v>109</v>
      </c>
      <c r="CA8" s="2" t="s">
        <v>99</v>
      </c>
    </row>
    <row r="9">
      <c r="A9" s="2" t="s">
        <v>124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111</v>
      </c>
      <c r="J9" s="2" t="s">
        <v>112</v>
      </c>
      <c r="K9" s="2" t="s">
        <v>118</v>
      </c>
      <c r="L9" s="3">
        <v>111.24</v>
      </c>
      <c r="M9" s="3">
        <v>116.8</v>
      </c>
      <c r="N9" s="3">
        <v>209.94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125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120</v>
      </c>
      <c r="Z9" s="4">
        <v>566</v>
      </c>
      <c r="AA9" s="4">
        <f>=ROUNDDOWN(20.2142857142857,0)</f>
      </c>
      <c r="AB9" s="5">
        <v>28</v>
      </c>
      <c r="AC9" s="2" t="s">
        <v>126</v>
      </c>
      <c r="AD9" s="4">
        <v>230</v>
      </c>
      <c r="AE9" s="4">
        <v>230</v>
      </c>
      <c r="AF9" s="6">
        <v>62</v>
      </c>
      <c r="AG9" s="6">
        <v>45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62</v>
      </c>
      <c r="AQ9" s="8">
        <v>6160.94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0.4791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114</v>
      </c>
      <c r="BK9" s="8">
        <v>12687.54</v>
      </c>
      <c r="BL9" s="2" t="s">
        <v>127</v>
      </c>
      <c r="BM9" s="7">
        <v>0.5439</v>
      </c>
      <c r="BN9" s="7">
        <v>0.4856</v>
      </c>
      <c r="BO9" s="4">
        <v>62</v>
      </c>
      <c r="BP9" s="8">
        <v>6160.94</v>
      </c>
      <c r="BQ9" s="4"/>
      <c r="BR9" s="8"/>
      <c r="BS9" s="7"/>
      <c r="BT9" s="7"/>
      <c r="BU9" s="2" t="s">
        <v>107</v>
      </c>
      <c r="BV9" s="2" t="s">
        <v>96</v>
      </c>
      <c r="BW9" s="2" t="s">
        <v>99</v>
      </c>
      <c r="BX9" s="2" t="s">
        <v>128</v>
      </c>
      <c r="BY9" s="2" t="s">
        <v>109</v>
      </c>
      <c r="BZ9" s="2" t="s">
        <v>109</v>
      </c>
      <c r="CA9" s="2" t="s">
        <v>99</v>
      </c>
    </row>
    <row r="10">
      <c r="A10" s="2" t="s">
        <v>129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130</v>
      </c>
      <c r="L10" s="3">
        <v>74.11</v>
      </c>
      <c r="M10" s="3">
        <v>77.82</v>
      </c>
      <c r="N10" s="3">
        <v>141.94</v>
      </c>
      <c r="O10" s="2" t="s">
        <v>96</v>
      </c>
      <c r="P10" s="2" t="s">
        <v>131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104</v>
      </c>
      <c r="Z10" s="4">
        <v>140</v>
      </c>
      <c r="AA10" s="4">
        <f>=ROUNDDOWN(17.5,0)</f>
      </c>
      <c r="AB10" s="5">
        <v>8</v>
      </c>
      <c r="AC10" s="2" t="s">
        <v>126</v>
      </c>
      <c r="AD10" s="4">
        <v>150</v>
      </c>
      <c r="AE10" s="4">
        <v>150</v>
      </c>
      <c r="AF10" s="6">
        <v>62</v>
      </c>
      <c r="AG10" s="6">
        <v>45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40</v>
      </c>
      <c r="AQ10" s="8">
        <v>2850</v>
      </c>
      <c r="AR10" s="4"/>
      <c r="AS10" s="8"/>
      <c r="AT10" s="7"/>
      <c r="AU10" s="7"/>
      <c r="AV10" s="4">
        <v>75</v>
      </c>
      <c r="AW10" s="8">
        <v>6177.8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0.4613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0.1353</v>
      </c>
      <c r="BJ10" s="4">
        <v>57</v>
      </c>
      <c r="BK10" s="8">
        <v>4112.38</v>
      </c>
      <c r="BL10" s="2" t="s">
        <v>132</v>
      </c>
      <c r="BM10" s="7">
        <v>0.7018</v>
      </c>
      <c r="BN10" s="7">
        <v>0.693</v>
      </c>
      <c r="BO10" s="4">
        <v>40</v>
      </c>
      <c r="BP10" s="8">
        <v>2850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99</v>
      </c>
      <c r="BX10" s="2" t="s">
        <v>133</v>
      </c>
      <c r="BY10" s="2" t="s">
        <v>109</v>
      </c>
      <c r="BZ10" s="2" t="s">
        <v>109</v>
      </c>
      <c r="CA10" s="2" t="s">
        <v>99</v>
      </c>
    </row>
    <row r="11">
      <c r="A11" s="2" t="s">
        <v>134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111</v>
      </c>
      <c r="J11" s="2" t="s">
        <v>112</v>
      </c>
      <c r="K11" s="2" t="s">
        <v>130</v>
      </c>
      <c r="L11" s="3">
        <v>111.24</v>
      </c>
      <c r="M11" s="3">
        <v>116.8</v>
      </c>
      <c r="N11" s="3">
        <v>209.94</v>
      </c>
      <c r="O11" s="2" t="s">
        <v>96</v>
      </c>
      <c r="P11" s="2" t="s">
        <v>135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136</v>
      </c>
      <c r="Z11" s="4">
        <v>97</v>
      </c>
      <c r="AA11" s="4">
        <f>=ROUNDDOWN(10.7777777777778,0)</f>
      </c>
      <c r="AB11" s="5">
        <v>9</v>
      </c>
      <c r="AC11" s="2" t="s">
        <v>137</v>
      </c>
      <c r="AD11" s="4">
        <v>50</v>
      </c>
      <c r="AE11" s="4">
        <v>230</v>
      </c>
      <c r="AF11" s="6">
        <v>62</v>
      </c>
      <c r="AG11" s="6">
        <v>45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35</v>
      </c>
      <c r="AQ11" s="8">
        <v>3327.8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0.5387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54</v>
      </c>
      <c r="BK11" s="8">
        <v>5294.18</v>
      </c>
      <c r="BL11" s="2" t="s">
        <v>138</v>
      </c>
      <c r="BM11" s="7">
        <v>0.6481</v>
      </c>
      <c r="BN11" s="7">
        <v>0.6286</v>
      </c>
      <c r="BO11" s="4">
        <v>35</v>
      </c>
      <c r="BP11" s="8">
        <v>3327.8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99</v>
      </c>
      <c r="BX11" s="2" t="s">
        <v>139</v>
      </c>
      <c r="BY11" s="2" t="s">
        <v>109</v>
      </c>
      <c r="BZ11" s="2" t="s">
        <v>109</v>
      </c>
      <c r="CA11" s="2" t="s">
        <v>99</v>
      </c>
    </row>
    <row r="12">
      <c r="A12" s="2" t="s">
        <v>140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141</v>
      </c>
      <c r="L12" s="3">
        <v>74.11</v>
      </c>
      <c r="M12" s="3">
        <v>77.82</v>
      </c>
      <c r="N12" s="3">
        <v>141.94</v>
      </c>
      <c r="O12" s="2" t="s">
        <v>96</v>
      </c>
      <c r="P12" s="2" t="s">
        <v>135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142</v>
      </c>
      <c r="Z12" s="4">
        <v>269</v>
      </c>
      <c r="AA12" s="4">
        <f>=ROUNDDOWN(24.4545454545455,0)</f>
      </c>
      <c r="AB12" s="5">
        <v>11</v>
      </c>
      <c r="AC12" s="2" t="s">
        <v>143</v>
      </c>
      <c r="AD12" s="4">
        <v>100</v>
      </c>
      <c r="AE12" s="4">
        <v>100</v>
      </c>
      <c r="AF12" s="6">
        <v>62</v>
      </c>
      <c r="AG12" s="6">
        <v>45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25</v>
      </c>
      <c r="AQ12" s="8">
        <v>1781.25</v>
      </c>
      <c r="AR12" s="4"/>
      <c r="AS12" s="8"/>
      <c r="AT12" s="7"/>
      <c r="AU12" s="7"/>
      <c r="AV12" s="4">
        <v>40</v>
      </c>
      <c r="AW12" s="8">
        <v>3271.8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0.5444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0.0716</v>
      </c>
      <c r="BJ12" s="4">
        <v>41</v>
      </c>
      <c r="BK12" s="8">
        <v>2757.79</v>
      </c>
      <c r="BL12" s="2" t="s">
        <v>144</v>
      </c>
      <c r="BM12" s="7">
        <v>0.6098</v>
      </c>
      <c r="BN12" s="7">
        <v>0.6459</v>
      </c>
      <c r="BO12" s="4">
        <v>25</v>
      </c>
      <c r="BP12" s="8">
        <v>1781.25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99</v>
      </c>
      <c r="BX12" s="2" t="s">
        <v>145</v>
      </c>
      <c r="BY12" s="2" t="s">
        <v>109</v>
      </c>
      <c r="BZ12" s="2" t="s">
        <v>109</v>
      </c>
      <c r="CA12" s="2" t="s">
        <v>99</v>
      </c>
    </row>
    <row r="13">
      <c r="A13" s="2" t="s">
        <v>146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111</v>
      </c>
      <c r="J13" s="2" t="s">
        <v>112</v>
      </c>
      <c r="K13" s="2" t="s">
        <v>141</v>
      </c>
      <c r="L13" s="3">
        <v>111.24</v>
      </c>
      <c r="M13" s="3">
        <v>116.8</v>
      </c>
      <c r="N13" s="3">
        <v>209.94</v>
      </c>
      <c r="O13" s="2" t="s">
        <v>96</v>
      </c>
      <c r="P13" s="2" t="s">
        <v>135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142</v>
      </c>
      <c r="Z13" s="4">
        <v>237</v>
      </c>
      <c r="AA13" s="4">
        <f>=ROUNDDOWN(18.2307692307692,0)</f>
      </c>
      <c r="AB13" s="5">
        <v>13</v>
      </c>
      <c r="AC13" s="2" t="s">
        <v>147</v>
      </c>
      <c r="AD13" s="4">
        <v>100</v>
      </c>
      <c r="AE13" s="4">
        <v>100</v>
      </c>
      <c r="AF13" s="6">
        <v>62</v>
      </c>
      <c r="AG13" s="6">
        <v>45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15</v>
      </c>
      <c r="AQ13" s="8">
        <v>1490.55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0.4556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51</v>
      </c>
      <c r="BK13" s="8">
        <v>5123.97</v>
      </c>
      <c r="BL13" s="2" t="s">
        <v>148</v>
      </c>
      <c r="BM13" s="7">
        <v>0.2941</v>
      </c>
      <c r="BN13" s="7">
        <v>0.2909</v>
      </c>
      <c r="BO13" s="4">
        <v>15</v>
      </c>
      <c r="BP13" s="8">
        <v>1490.55</v>
      </c>
      <c r="BQ13" s="4"/>
      <c r="BR13" s="8"/>
      <c r="BS13" s="7"/>
      <c r="BT13" s="7"/>
      <c r="BU13" s="2" t="s">
        <v>107</v>
      </c>
      <c r="BV13" s="2" t="s">
        <v>96</v>
      </c>
      <c r="BW13" s="2" t="s">
        <v>99</v>
      </c>
      <c r="BX13" s="2" t="s">
        <v>149</v>
      </c>
      <c r="BY13" s="2" t="s">
        <v>109</v>
      </c>
      <c r="BZ13" s="2" t="s">
        <v>109</v>
      </c>
      <c r="CA13" s="2" t="s">
        <v>99</v>
      </c>
    </row>
    <row r="14">
      <c r="A14" s="2" t="s">
        <v>150</v>
      </c>
      <c r="B14" s="2" t="s">
        <v>88</v>
      </c>
      <c r="C14" s="2" t="s">
        <v>89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155</v>
      </c>
      <c r="K14" s="2" t="s">
        <v>130</v>
      </c>
      <c r="L14" s="3">
        <v>27.51</v>
      </c>
      <c r="M14" s="3">
        <v>28.89</v>
      </c>
      <c r="N14" s="3">
        <v>52.69</v>
      </c>
      <c r="O14" s="2" t="s">
        <v>96</v>
      </c>
      <c r="P14" s="2" t="s">
        <v>135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156</v>
      </c>
      <c r="V14" s="2" t="s">
        <v>157</v>
      </c>
      <c r="W14" s="2" t="s">
        <v>158</v>
      </c>
      <c r="X14" s="2" t="s">
        <v>103</v>
      </c>
      <c r="Y14" s="2" t="s">
        <v>159</v>
      </c>
      <c r="Z14" s="4"/>
      <c r="AA14" s="4">
        <f>=ROUNDDOWN({0},0)</f>
      </c>
      <c r="AB14" s="5">
        <v>33.2</v>
      </c>
      <c r="AC14" s="2" t="s">
        <v>137</v>
      </c>
      <c r="AD14" s="4">
        <v>600</v>
      </c>
      <c r="AE14" s="4">
        <v>600</v>
      </c>
      <c r="AF14" s="6">
        <v>66</v>
      </c>
      <c r="AG14" s="6">
        <v>49</v>
      </c>
      <c r="AH14" s="7">
        <v>0.6207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35</v>
      </c>
      <c r="AQ14" s="8">
        <v>1107.4</v>
      </c>
      <c r="AR14" s="4"/>
      <c r="AS14" s="8"/>
      <c r="AT14" s="7"/>
      <c r="AU14" s="7"/>
      <c r="AV14" s="4">
        <v>35</v>
      </c>
      <c r="AW14" s="8">
        <v>1107.4</v>
      </c>
      <c r="AX14" s="4"/>
      <c r="AY14" s="8"/>
      <c r="AZ14" s="7"/>
      <c r="BA14" s="7"/>
      <c r="BB14" s="7">
        <v>1</v>
      </c>
      <c r="BC14" s="4">
        <v>50</v>
      </c>
      <c r="BD14" s="8">
        <v>1515.85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0.7305</v>
      </c>
      <c r="BJ14" s="4">
        <v>102</v>
      </c>
      <c r="BK14" s="8">
        <v>3104.71</v>
      </c>
      <c r="BL14" s="2" t="s">
        <v>160</v>
      </c>
      <c r="BM14" s="7">
        <v>0.3431</v>
      </c>
      <c r="BN14" s="7">
        <v>0.3567</v>
      </c>
      <c r="BO14" s="4">
        <v>35</v>
      </c>
      <c r="BP14" s="8">
        <v>1107.4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99</v>
      </c>
      <c r="BX14" s="2" t="s">
        <v>133</v>
      </c>
      <c r="BY14" s="2" t="s">
        <v>109</v>
      </c>
      <c r="BZ14" s="2" t="s">
        <v>109</v>
      </c>
      <c r="CA14" s="2" t="s">
        <v>99</v>
      </c>
    </row>
    <row r="15">
      <c r="A15" s="2" t="s">
        <v>161</v>
      </c>
      <c r="B15" s="2" t="s">
        <v>88</v>
      </c>
      <c r="C15" s="2" t="s">
        <v>89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155</v>
      </c>
      <c r="K15" s="2" t="s">
        <v>162</v>
      </c>
      <c r="L15" s="3">
        <v>27.51</v>
      </c>
      <c r="M15" s="3">
        <v>28.89</v>
      </c>
      <c r="N15" s="3">
        <v>52.69</v>
      </c>
      <c r="O15" s="2" t="s">
        <v>96</v>
      </c>
      <c r="P15" s="2" t="s">
        <v>131</v>
      </c>
      <c r="Q15" s="2" t="s">
        <v>98</v>
      </c>
      <c r="R15" s="2" t="s">
        <v>99</v>
      </c>
      <c r="S15" s="2" t="s">
        <v>163</v>
      </c>
      <c r="T15" s="2" t="s">
        <v>99</v>
      </c>
      <c r="U15" s="2" t="s">
        <v>156</v>
      </c>
      <c r="V15" s="2" t="s">
        <v>157</v>
      </c>
      <c r="W15" s="2" t="s">
        <v>158</v>
      </c>
      <c r="X15" s="2" t="s">
        <v>99</v>
      </c>
      <c r="Y15" s="2" t="s">
        <v>164</v>
      </c>
      <c r="Z15" s="4">
        <v>153</v>
      </c>
      <c r="AA15" s="4">
        <f>=ROUNDDOWN(6.375,0)</f>
      </c>
      <c r="AB15" s="5">
        <v>24</v>
      </c>
      <c r="AC15" s="2" t="s">
        <v>137</v>
      </c>
      <c r="AD15" s="4">
        <v>450</v>
      </c>
      <c r="AE15" s="4">
        <v>450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15</v>
      </c>
      <c r="AQ15" s="8">
        <v>408.45</v>
      </c>
      <c r="AR15" s="4"/>
      <c r="AS15" s="8"/>
      <c r="AT15" s="7"/>
      <c r="AU15" s="7"/>
      <c r="AV15" s="4">
        <v>15</v>
      </c>
      <c r="AW15" s="8">
        <v>408.45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0.2695</v>
      </c>
      <c r="BJ15" s="4">
        <v>141</v>
      </c>
      <c r="BK15" s="8">
        <v>3741.16</v>
      </c>
      <c r="BL15" s="2" t="s">
        <v>165</v>
      </c>
      <c r="BM15" s="7">
        <v>0.1064</v>
      </c>
      <c r="BN15" s="7">
        <v>0.1092</v>
      </c>
      <c r="BO15" s="4">
        <v>15</v>
      </c>
      <c r="BP15" s="8">
        <v>408.45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99</v>
      </c>
      <c r="BX15" s="2" t="s">
        <v>166</v>
      </c>
      <c r="BY15" s="2" t="s">
        <v>109</v>
      </c>
      <c r="BZ15" s="2" t="s">
        <v>109</v>
      </c>
      <c r="CA15" s="2" t="s">
        <v>99</v>
      </c>
    </row>
    <row r="16">
      <c r="A16" s="2" t="s">
        <v>167</v>
      </c>
      <c r="B16" s="2" t="s">
        <v>88</v>
      </c>
      <c r="C16" s="2" t="s">
        <v>89</v>
      </c>
      <c r="D16" s="2" t="s">
        <v>151</v>
      </c>
      <c r="E16" s="2" t="s">
        <v>152</v>
      </c>
      <c r="F16" s="2" t="s">
        <v>168</v>
      </c>
      <c r="G16" s="2" t="s">
        <v>168</v>
      </c>
      <c r="H16" s="2" t="s">
        <v>168</v>
      </c>
      <c r="I16" s="2" t="s">
        <v>169</v>
      </c>
      <c r="J16" s="2" t="s">
        <v>155</v>
      </c>
      <c r="K16" s="2" t="s">
        <v>170</v>
      </c>
      <c r="L16" s="3">
        <v>111.08</v>
      </c>
      <c r="M16" s="3">
        <v>116.63</v>
      </c>
      <c r="N16" s="3">
        <v>169.99</v>
      </c>
      <c r="O16" s="2" t="s">
        <v>96</v>
      </c>
      <c r="P16" s="2" t="s">
        <v>131</v>
      </c>
      <c r="Q16" s="2" t="s">
        <v>98</v>
      </c>
      <c r="R16" s="2" t="s">
        <v>99</v>
      </c>
      <c r="S16" s="2" t="s">
        <v>171</v>
      </c>
      <c r="T16" s="2" t="s">
        <v>99</v>
      </c>
      <c r="U16" s="2" t="s">
        <v>156</v>
      </c>
      <c r="V16" s="2" t="s">
        <v>157</v>
      </c>
      <c r="W16" s="2" t="s">
        <v>158</v>
      </c>
      <c r="X16" s="2" t="s">
        <v>99</v>
      </c>
      <c r="Y16" s="2" t="s">
        <v>172</v>
      </c>
      <c r="Z16" s="4">
        <v>419</v>
      </c>
      <c r="AA16" s="4">
        <f>=ROUNDDOWN(52.375,0)</f>
      </c>
      <c r="AB16" s="5">
        <v>8</v>
      </c>
      <c r="AC16" s="2" t="s">
        <v>99</v>
      </c>
      <c r="AD16" s="4"/>
      <c r="AE16" s="4"/>
      <c r="AF16" s="6">
        <v>63</v>
      </c>
      <c r="AG16" s="6">
        <v>46</v>
      </c>
      <c r="AH16" s="7">
        <v>0.6897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11</v>
      </c>
      <c r="BK16" s="8">
        <v>1174.92</v>
      </c>
      <c r="BL16" s="2" t="s">
        <v>173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96</v>
      </c>
      <c r="BW16" s="2" t="s">
        <v>99</v>
      </c>
      <c r="BX16" s="2" t="s">
        <v>174</v>
      </c>
      <c r="BY16" s="2" t="s">
        <v>175</v>
      </c>
      <c r="BZ16" s="2" t="s">
        <v>109</v>
      </c>
      <c r="CA16" s="2" t="s">
        <v>99</v>
      </c>
    </row>
    <row r="17">
      <c r="A17" s="2" t="s">
        <v>176</v>
      </c>
      <c r="B17" s="2" t="s">
        <v>88</v>
      </c>
      <c r="C17" s="2" t="s">
        <v>89</v>
      </c>
      <c r="D17" s="2" t="s">
        <v>177</v>
      </c>
      <c r="E17" s="2" t="s">
        <v>178</v>
      </c>
      <c r="F17" s="2" t="s">
        <v>179</v>
      </c>
      <c r="G17" s="2" t="s">
        <v>179</v>
      </c>
      <c r="H17" s="2" t="s">
        <v>179</v>
      </c>
      <c r="I17" s="2" t="s">
        <v>180</v>
      </c>
      <c r="J17" s="2" t="s">
        <v>155</v>
      </c>
      <c r="K17" s="2" t="s">
        <v>95</v>
      </c>
      <c r="L17" s="3">
        <v>93.25</v>
      </c>
      <c r="M17" s="3">
        <v>97.91</v>
      </c>
      <c r="N17" s="3">
        <v>206.99</v>
      </c>
      <c r="O17" s="2" t="s">
        <v>96</v>
      </c>
      <c r="P17" s="2" t="s">
        <v>135</v>
      </c>
      <c r="Q17" s="2" t="s">
        <v>98</v>
      </c>
      <c r="R17" s="2" t="s">
        <v>99</v>
      </c>
      <c r="S17" s="2" t="s">
        <v>99</v>
      </c>
      <c r="T17" s="2" t="s">
        <v>99</v>
      </c>
      <c r="U17" s="2" t="s">
        <v>156</v>
      </c>
      <c r="V17" s="2" t="s">
        <v>181</v>
      </c>
      <c r="W17" s="2" t="s">
        <v>103</v>
      </c>
      <c r="X17" s="2" t="s">
        <v>102</v>
      </c>
      <c r="Y17" s="2" t="s">
        <v>182</v>
      </c>
      <c r="Z17" s="4">
        <v>138</v>
      </c>
      <c r="AA17" s="4">
        <f>=ROUNDDOWN(19.1666666666667,0)</f>
      </c>
      <c r="AB17" s="5">
        <v>7.2</v>
      </c>
      <c r="AC17" s="2" t="s">
        <v>183</v>
      </c>
      <c r="AD17" s="4">
        <v>179</v>
      </c>
      <c r="AE17" s="4">
        <v>179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22</v>
      </c>
      <c r="AW17" s="8">
        <v>1191.3</v>
      </c>
      <c r="AX17" s="4" t="s">
        <v>99</v>
      </c>
      <c r="AY17" s="8" t="s">
        <v>99</v>
      </c>
      <c r="AZ17" s="7" t="s">
        <v>99</v>
      </c>
      <c r="BA17" s="7" t="s">
        <v>99</v>
      </c>
      <c r="BB17" s="7"/>
      <c r="BC17" s="4">
        <v>22</v>
      </c>
      <c r="BD17" s="8">
        <v>1191.3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1</v>
      </c>
      <c r="BJ17" s="4">
        <v>35</v>
      </c>
      <c r="BK17" s="8">
        <v>3152.23</v>
      </c>
      <c r="BL17" s="2" t="s">
        <v>184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96</v>
      </c>
      <c r="BW17" s="2" t="s">
        <v>99</v>
      </c>
      <c r="BX17" s="2" t="s">
        <v>99</v>
      </c>
      <c r="BY17" s="2" t="s">
        <v>109</v>
      </c>
      <c r="BZ17" s="2" t="s">
        <v>109</v>
      </c>
      <c r="CA17" s="2" t="s">
        <v>99</v>
      </c>
    </row>
    <row r="18">
      <c r="A18" s="2" t="s">
        <v>185</v>
      </c>
      <c r="B18" s="2" t="s">
        <v>88</v>
      </c>
      <c r="C18" s="2" t="s">
        <v>89</v>
      </c>
      <c r="D18" s="2" t="s">
        <v>177</v>
      </c>
      <c r="E18" s="2" t="s">
        <v>178</v>
      </c>
      <c r="F18" s="2" t="s">
        <v>179</v>
      </c>
      <c r="G18" s="2" t="s">
        <v>179</v>
      </c>
      <c r="H18" s="2" t="s">
        <v>179</v>
      </c>
      <c r="I18" s="2" t="s">
        <v>186</v>
      </c>
      <c r="J18" s="2" t="s">
        <v>187</v>
      </c>
      <c r="K18" s="2" t="s">
        <v>95</v>
      </c>
      <c r="L18" s="3">
        <v>47.09</v>
      </c>
      <c r="M18" s="3">
        <v>49.44</v>
      </c>
      <c r="N18" s="3">
        <v>98.99</v>
      </c>
      <c r="O18" s="2" t="s">
        <v>96</v>
      </c>
      <c r="P18" s="2" t="s">
        <v>188</v>
      </c>
      <c r="Q18" s="2" t="s">
        <v>98</v>
      </c>
      <c r="R18" s="2" t="s">
        <v>99</v>
      </c>
      <c r="S18" s="2" t="s">
        <v>189</v>
      </c>
      <c r="T18" s="2" t="s">
        <v>99</v>
      </c>
      <c r="U18" s="2" t="s">
        <v>100</v>
      </c>
      <c r="V18" s="2" t="s">
        <v>181</v>
      </c>
      <c r="W18" s="2" t="s">
        <v>103</v>
      </c>
      <c r="X18" s="2" t="s">
        <v>99</v>
      </c>
      <c r="Y18" s="2" t="s">
        <v>190</v>
      </c>
      <c r="Z18" s="4">
        <v>62</v>
      </c>
      <c r="AA18" s="4">
        <f>=ROUNDDOWN(12.156862745098,0)</f>
      </c>
      <c r="AB18" s="5">
        <v>5.1</v>
      </c>
      <c r="AC18" s="2" t="s">
        <v>99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22</v>
      </c>
      <c r="AQ18" s="8">
        <v>1191.3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32</v>
      </c>
      <c r="BK18" s="8">
        <v>1661.94</v>
      </c>
      <c r="BL18" s="2" t="s">
        <v>191</v>
      </c>
      <c r="BM18" s="7">
        <v>0.6875</v>
      </c>
      <c r="BN18" s="7">
        <v>0.7168</v>
      </c>
      <c r="BO18" s="4">
        <v>22</v>
      </c>
      <c r="BP18" s="8">
        <v>1191.3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99</v>
      </c>
      <c r="BX18" s="2" t="s">
        <v>192</v>
      </c>
      <c r="BY18" s="2" t="s">
        <v>109</v>
      </c>
      <c r="BZ18" s="2" t="s">
        <v>109</v>
      </c>
      <c r="CA18" s="2" t="s">
        <v>99</v>
      </c>
    </row>
    <row r="19">
      <c r="A19" s="2" t="s">
        <v>193</v>
      </c>
      <c r="B19" s="2" t="s">
        <v>88</v>
      </c>
      <c r="C19" s="2" t="s">
        <v>89</v>
      </c>
      <c r="D19" s="2" t="s">
        <v>177</v>
      </c>
      <c r="E19" s="2" t="s">
        <v>178</v>
      </c>
      <c r="F19" s="2" t="s">
        <v>179</v>
      </c>
      <c r="G19" s="2" t="s">
        <v>179</v>
      </c>
      <c r="H19" s="2" t="s">
        <v>179</v>
      </c>
      <c r="I19" s="2" t="s">
        <v>186</v>
      </c>
      <c r="J19" s="2" t="s">
        <v>187</v>
      </c>
      <c r="K19" s="2" t="s">
        <v>130</v>
      </c>
      <c r="L19" s="3">
        <v>47.09</v>
      </c>
      <c r="M19" s="3">
        <v>49.44</v>
      </c>
      <c r="N19" s="3">
        <v>98.99</v>
      </c>
      <c r="O19" s="2" t="s">
        <v>96</v>
      </c>
      <c r="P19" s="2" t="s">
        <v>188</v>
      </c>
      <c r="Q19" s="2" t="s">
        <v>98</v>
      </c>
      <c r="R19" s="2" t="s">
        <v>99</v>
      </c>
      <c r="S19" s="2" t="s">
        <v>194</v>
      </c>
      <c r="T19" s="2" t="s">
        <v>99</v>
      </c>
      <c r="U19" s="2" t="s">
        <v>100</v>
      </c>
      <c r="V19" s="2" t="s">
        <v>181</v>
      </c>
      <c r="W19" s="2" t="s">
        <v>103</v>
      </c>
      <c r="X19" s="2" t="s">
        <v>99</v>
      </c>
      <c r="Y19" s="2" t="s">
        <v>190</v>
      </c>
      <c r="Z19" s="4">
        <v>75</v>
      </c>
      <c r="AA19" s="4">
        <f>=ROUNDDOWN(18.2926829268293,0)</f>
      </c>
      <c r="AB19" s="5">
        <v>4.1</v>
      </c>
      <c r="AC19" s="2" t="s">
        <v>99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/>
      <c r="BJ19" s="4">
        <v>20</v>
      </c>
      <c r="BK19" s="8">
        <v>843.03</v>
      </c>
      <c r="BL19" s="2" t="s">
        <v>195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96</v>
      </c>
      <c r="BW19" s="2" t="s">
        <v>99</v>
      </c>
      <c r="BX19" s="2" t="s">
        <v>196</v>
      </c>
      <c r="BY19" s="2" t="s">
        <v>109</v>
      </c>
      <c r="BZ19" s="2" t="s">
        <v>109</v>
      </c>
      <c r="CA19" s="2" t="s">
        <v>99</v>
      </c>
    </row>
    <row r="20">
      <c r="A20" s="2" t="s">
        <v>197</v>
      </c>
      <c r="B20" s="2" t="s">
        <v>88</v>
      </c>
      <c r="C20" s="2" t="s">
        <v>89</v>
      </c>
      <c r="D20" s="2" t="s">
        <v>177</v>
      </c>
      <c r="E20" s="2" t="s">
        <v>178</v>
      </c>
      <c r="F20" s="2" t="s">
        <v>179</v>
      </c>
      <c r="G20" s="2" t="s">
        <v>179</v>
      </c>
      <c r="H20" s="2" t="s">
        <v>179</v>
      </c>
      <c r="I20" s="2" t="s">
        <v>186</v>
      </c>
      <c r="J20" s="2" t="s">
        <v>187</v>
      </c>
      <c r="K20" s="2" t="s">
        <v>141</v>
      </c>
      <c r="L20" s="3">
        <v>47.09</v>
      </c>
      <c r="M20" s="3">
        <v>49.44</v>
      </c>
      <c r="N20" s="3">
        <v>98.99</v>
      </c>
      <c r="O20" s="2" t="s">
        <v>96</v>
      </c>
      <c r="P20" s="2" t="s">
        <v>131</v>
      </c>
      <c r="Q20" s="2" t="s">
        <v>98</v>
      </c>
      <c r="R20" s="2" t="s">
        <v>99</v>
      </c>
      <c r="S20" s="2" t="s">
        <v>198</v>
      </c>
      <c r="T20" s="2" t="s">
        <v>99</v>
      </c>
      <c r="U20" s="2" t="s">
        <v>100</v>
      </c>
      <c r="V20" s="2" t="s">
        <v>181</v>
      </c>
      <c r="W20" s="2" t="s">
        <v>103</v>
      </c>
      <c r="X20" s="2" t="s">
        <v>102</v>
      </c>
      <c r="Y20" s="2" t="s">
        <v>199</v>
      </c>
      <c r="Z20" s="4">
        <v>197</v>
      </c>
      <c r="AA20" s="4">
        <f>=ROUNDDOWN(28.1428571428571,0)</f>
      </c>
      <c r="AB20" s="5">
        <v>7</v>
      </c>
      <c r="AC20" s="2" t="s">
        <v>183</v>
      </c>
      <c r="AD20" s="4">
        <v>100</v>
      </c>
      <c r="AE20" s="4">
        <v>100</v>
      </c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/>
      <c r="BJ20" s="4">
        <v>17</v>
      </c>
      <c r="BK20" s="8">
        <v>581.27</v>
      </c>
      <c r="BL20" s="2" t="s">
        <v>200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96</v>
      </c>
      <c r="BW20" s="2" t="s">
        <v>99</v>
      </c>
      <c r="BX20" s="2" t="s">
        <v>201</v>
      </c>
      <c r="BY20" s="2" t="s">
        <v>109</v>
      </c>
      <c r="BZ20" s="2" t="s">
        <v>109</v>
      </c>
      <c r="CA20" s="2" t="s">
        <v>99</v>
      </c>
    </row>
    <row r="21">
      <c r="A21" s="2" t="s">
        <v>202</v>
      </c>
      <c r="B21" s="2" t="s">
        <v>88</v>
      </c>
      <c r="C21" s="2" t="s">
        <v>203</v>
      </c>
      <c r="D21" s="2" t="s">
        <v>177</v>
      </c>
      <c r="E21" s="2" t="s">
        <v>204</v>
      </c>
      <c r="F21" s="2" t="s">
        <v>205</v>
      </c>
      <c r="G21" s="2" t="s">
        <v>205</v>
      </c>
      <c r="H21" s="2" t="s">
        <v>205</v>
      </c>
      <c r="I21" s="2" t="s">
        <v>206</v>
      </c>
      <c r="J21" s="2" t="s">
        <v>207</v>
      </c>
      <c r="K21" s="2" t="s">
        <v>208</v>
      </c>
      <c r="L21" s="3">
        <v>40.07</v>
      </c>
      <c r="M21" s="3">
        <v>42.07</v>
      </c>
      <c r="N21" s="3">
        <v>76.49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209</v>
      </c>
      <c r="T21" s="2" t="s">
        <v>99</v>
      </c>
      <c r="U21" s="2" t="s">
        <v>210</v>
      </c>
      <c r="V21" s="2" t="s">
        <v>211</v>
      </c>
      <c r="W21" s="2" t="s">
        <v>102</v>
      </c>
      <c r="X21" s="2" t="s">
        <v>212</v>
      </c>
      <c r="Y21" s="2" t="s">
        <v>213</v>
      </c>
      <c r="Z21" s="4">
        <v>425</v>
      </c>
      <c r="AA21" s="4">
        <f>=ROUNDDOWN(8.6734693877551,0)</f>
      </c>
      <c r="AB21" s="5">
        <v>49</v>
      </c>
      <c r="AC21" s="2" t="s">
        <v>137</v>
      </c>
      <c r="AD21" s="4">
        <v>341</v>
      </c>
      <c r="AE21" s="4">
        <v>1070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43</v>
      </c>
      <c r="AQ21" s="8">
        <v>1981.44</v>
      </c>
      <c r="AR21" s="4"/>
      <c r="AS21" s="8"/>
      <c r="AT21" s="7"/>
      <c r="AU21" s="7"/>
      <c r="AV21" s="4">
        <v>43</v>
      </c>
      <c r="AW21" s="8">
        <v>1981.44</v>
      </c>
      <c r="AX21" s="4"/>
      <c r="AY21" s="8"/>
      <c r="AZ21" s="7"/>
      <c r="BA21" s="7"/>
      <c r="BB21" s="7">
        <v>1</v>
      </c>
      <c r="BC21" s="4">
        <v>43</v>
      </c>
      <c r="BD21" s="8">
        <v>1981.44</v>
      </c>
      <c r="BE21" s="4"/>
      <c r="BF21" s="8"/>
      <c r="BG21" s="7"/>
      <c r="BH21" s="7"/>
      <c r="BI21" s="7">
        <v>1</v>
      </c>
      <c r="BJ21" s="4">
        <v>183</v>
      </c>
      <c r="BK21" s="8">
        <v>7786.95</v>
      </c>
      <c r="BL21" s="2" t="s">
        <v>214</v>
      </c>
      <c r="BM21" s="7">
        <v>0.235</v>
      </c>
      <c r="BN21" s="7">
        <v>0.2545</v>
      </c>
      <c r="BO21" s="4">
        <v>43</v>
      </c>
      <c r="BP21" s="8">
        <v>1981.44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99</v>
      </c>
      <c r="BX21" s="2" t="s">
        <v>215</v>
      </c>
      <c r="BY21" s="2" t="s">
        <v>109</v>
      </c>
      <c r="BZ21" s="2" t="s">
        <v>109</v>
      </c>
      <c r="CA21" s="2" t="s">
        <v>99</v>
      </c>
    </row>
    <row r="22">
      <c r="A22" s="2" t="s">
        <v>216</v>
      </c>
      <c r="B22" s="2" t="s">
        <v>88</v>
      </c>
      <c r="C22" s="2" t="s">
        <v>203</v>
      </c>
      <c r="D22" s="2" t="s">
        <v>177</v>
      </c>
      <c r="E22" s="2" t="s">
        <v>204</v>
      </c>
      <c r="F22" s="2" t="s">
        <v>217</v>
      </c>
      <c r="G22" s="2" t="s">
        <v>217</v>
      </c>
      <c r="H22" s="2" t="s">
        <v>217</v>
      </c>
      <c r="I22" s="2" t="s">
        <v>218</v>
      </c>
      <c r="J22" s="2" t="s">
        <v>219</v>
      </c>
      <c r="K22" s="2" t="s">
        <v>220</v>
      </c>
      <c r="L22" s="3">
        <v>41.69</v>
      </c>
      <c r="M22" s="3">
        <v>43.77</v>
      </c>
      <c r="N22" s="3">
        <v>89.24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99</v>
      </c>
      <c r="T22" s="2" t="s">
        <v>99</v>
      </c>
      <c r="U22" s="2" t="s">
        <v>210</v>
      </c>
      <c r="V22" s="2" t="s">
        <v>211</v>
      </c>
      <c r="W22" s="2" t="s">
        <v>158</v>
      </c>
      <c r="X22" s="2" t="s">
        <v>212</v>
      </c>
      <c r="Y22" s="2" t="s">
        <v>221</v>
      </c>
      <c r="Z22" s="4">
        <v>386</v>
      </c>
      <c r="AA22" s="4">
        <f>=ROUNDDOWN(18.6473429951691,0)</f>
      </c>
      <c r="AB22" s="5">
        <v>20.7</v>
      </c>
      <c r="AC22" s="2" t="s">
        <v>126</v>
      </c>
      <c r="AD22" s="4">
        <v>260</v>
      </c>
      <c r="AE22" s="4">
        <v>260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32</v>
      </c>
      <c r="AQ22" s="8">
        <v>1534.08</v>
      </c>
      <c r="AR22" s="4"/>
      <c r="AS22" s="8"/>
      <c r="AT22" s="7"/>
      <c r="AU22" s="7"/>
      <c r="AV22" s="4">
        <v>32</v>
      </c>
      <c r="AW22" s="8">
        <v>1534.08</v>
      </c>
      <c r="AX22" s="4"/>
      <c r="AY22" s="8"/>
      <c r="AZ22" s="7"/>
      <c r="BA22" s="7"/>
      <c r="BB22" s="7">
        <v>1</v>
      </c>
      <c r="BC22" s="4">
        <v>32</v>
      </c>
      <c r="BD22" s="8">
        <v>1534.08</v>
      </c>
      <c r="BE22" s="4"/>
      <c r="BF22" s="8"/>
      <c r="BG22" s="7"/>
      <c r="BH22" s="7"/>
      <c r="BI22" s="7">
        <v>1</v>
      </c>
      <c r="BJ22" s="4">
        <v>75</v>
      </c>
      <c r="BK22" s="8">
        <v>3615.99</v>
      </c>
      <c r="BL22" s="2" t="s">
        <v>222</v>
      </c>
      <c r="BM22" s="7">
        <v>0.4267</v>
      </c>
      <c r="BN22" s="7">
        <v>0.4242</v>
      </c>
      <c r="BO22" s="4">
        <v>32</v>
      </c>
      <c r="BP22" s="8">
        <v>1534.08</v>
      </c>
      <c r="BQ22" s="4"/>
      <c r="BR22" s="8"/>
      <c r="BS22" s="7"/>
      <c r="BT22" s="7"/>
      <c r="BU22" s="2" t="s">
        <v>107</v>
      </c>
      <c r="BV22" s="2" t="s">
        <v>96</v>
      </c>
      <c r="BW22" s="2" t="s">
        <v>99</v>
      </c>
      <c r="BX22" s="2" t="s">
        <v>223</v>
      </c>
      <c r="BY22" s="2" t="s">
        <v>109</v>
      </c>
      <c r="BZ22" s="2" t="s">
        <v>109</v>
      </c>
      <c r="CA22" s="2" t="s">
        <v>99</v>
      </c>
    </row>
    <row r="23">
      <c r="A23" s="2" t="s">
        <v>224</v>
      </c>
      <c r="B23" s="2" t="s">
        <v>88</v>
      </c>
      <c r="C23" s="2" t="s">
        <v>203</v>
      </c>
      <c r="D23" s="2" t="s">
        <v>177</v>
      </c>
      <c r="E23" s="2" t="s">
        <v>204</v>
      </c>
      <c r="F23" s="2" t="s">
        <v>225</v>
      </c>
      <c r="G23" s="2" t="s">
        <v>225</v>
      </c>
      <c r="H23" s="2" t="s">
        <v>225</v>
      </c>
      <c r="I23" s="2" t="s">
        <v>226</v>
      </c>
      <c r="J23" s="2" t="s">
        <v>227</v>
      </c>
      <c r="K23" s="2" t="s">
        <v>228</v>
      </c>
      <c r="L23" s="3">
        <v>23.99</v>
      </c>
      <c r="M23" s="3">
        <v>25.19</v>
      </c>
      <c r="N23" s="3">
        <v>52.69</v>
      </c>
      <c r="O23" s="2" t="s">
        <v>96</v>
      </c>
      <c r="P23" s="2" t="s">
        <v>131</v>
      </c>
      <c r="Q23" s="2" t="s">
        <v>98</v>
      </c>
      <c r="R23" s="2" t="s">
        <v>99</v>
      </c>
      <c r="S23" s="2" t="s">
        <v>229</v>
      </c>
      <c r="T23" s="2" t="s">
        <v>99</v>
      </c>
      <c r="U23" s="2" t="s">
        <v>100</v>
      </c>
      <c r="V23" s="2" t="s">
        <v>211</v>
      </c>
      <c r="W23" s="2" t="s">
        <v>158</v>
      </c>
      <c r="X23" s="2" t="s">
        <v>102</v>
      </c>
      <c r="Y23" s="2" t="s">
        <v>230</v>
      </c>
      <c r="Z23" s="4">
        <v>49</v>
      </c>
      <c r="AA23" s="4">
        <f>=ROUNDDOWN(4.08333333333333,0)</f>
      </c>
      <c r="AB23" s="5">
        <v>12</v>
      </c>
      <c r="AC23" s="2" t="s">
        <v>137</v>
      </c>
      <c r="AD23" s="4">
        <v>100</v>
      </c>
      <c r="AE23" s="4">
        <v>300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19</v>
      </c>
      <c r="AQ23" s="8">
        <v>524.21</v>
      </c>
      <c r="AR23" s="4"/>
      <c r="AS23" s="8"/>
      <c r="AT23" s="7"/>
      <c r="AU23" s="7"/>
      <c r="AV23" s="4">
        <v>19</v>
      </c>
      <c r="AW23" s="8">
        <v>524.21</v>
      </c>
      <c r="AX23" s="4"/>
      <c r="AY23" s="8"/>
      <c r="AZ23" s="7"/>
      <c r="BA23" s="7"/>
      <c r="BB23" s="7">
        <v>1</v>
      </c>
      <c r="BC23" s="4">
        <v>35</v>
      </c>
      <c r="BD23" s="8">
        <v>965.65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0.5429</v>
      </c>
      <c r="BJ23" s="4">
        <v>50</v>
      </c>
      <c r="BK23" s="8">
        <v>1491.37</v>
      </c>
      <c r="BL23" s="2" t="s">
        <v>231</v>
      </c>
      <c r="BM23" s="7">
        <v>0.38</v>
      </c>
      <c r="BN23" s="7">
        <v>0.3515</v>
      </c>
      <c r="BO23" s="4">
        <v>19</v>
      </c>
      <c r="BP23" s="8">
        <v>524.21</v>
      </c>
      <c r="BQ23" s="4"/>
      <c r="BR23" s="8"/>
      <c r="BS23" s="7"/>
      <c r="BT23" s="7"/>
      <c r="BU23" s="2" t="s">
        <v>107</v>
      </c>
      <c r="BV23" s="2" t="s">
        <v>96</v>
      </c>
      <c r="BW23" s="2" t="s">
        <v>99</v>
      </c>
      <c r="BX23" s="2" t="s">
        <v>232</v>
      </c>
      <c r="BY23" s="2" t="s">
        <v>109</v>
      </c>
      <c r="BZ23" s="2" t="s">
        <v>109</v>
      </c>
      <c r="CA23" s="2" t="s">
        <v>99</v>
      </c>
    </row>
    <row r="24">
      <c r="A24" s="2" t="s">
        <v>233</v>
      </c>
      <c r="B24" s="2" t="s">
        <v>88</v>
      </c>
      <c r="C24" s="2" t="s">
        <v>203</v>
      </c>
      <c r="D24" s="2" t="s">
        <v>177</v>
      </c>
      <c r="E24" s="2" t="s">
        <v>204</v>
      </c>
      <c r="F24" s="2" t="s">
        <v>225</v>
      </c>
      <c r="G24" s="2" t="s">
        <v>225</v>
      </c>
      <c r="H24" s="2" t="s">
        <v>225</v>
      </c>
      <c r="I24" s="2" t="s">
        <v>226</v>
      </c>
      <c r="J24" s="2" t="s">
        <v>227</v>
      </c>
      <c r="K24" s="2" t="s">
        <v>234</v>
      </c>
      <c r="L24" s="3">
        <v>23.99</v>
      </c>
      <c r="M24" s="3">
        <v>25.19</v>
      </c>
      <c r="N24" s="3">
        <v>52.69</v>
      </c>
      <c r="O24" s="2" t="s">
        <v>96</v>
      </c>
      <c r="P24" s="2" t="s">
        <v>131</v>
      </c>
      <c r="Q24" s="2" t="s">
        <v>98</v>
      </c>
      <c r="R24" s="2" t="s">
        <v>99</v>
      </c>
      <c r="S24" s="2" t="s">
        <v>235</v>
      </c>
      <c r="T24" s="2" t="s">
        <v>99</v>
      </c>
      <c r="U24" s="2" t="s">
        <v>100</v>
      </c>
      <c r="V24" s="2" t="s">
        <v>211</v>
      </c>
      <c r="W24" s="2" t="s">
        <v>158</v>
      </c>
      <c r="X24" s="2" t="s">
        <v>102</v>
      </c>
      <c r="Y24" s="2" t="s">
        <v>230</v>
      </c>
      <c r="Z24" s="4">
        <v>237</v>
      </c>
      <c r="AA24" s="4">
        <f>=ROUNDDOWN(18.2307692307692,0)</f>
      </c>
      <c r="AB24" s="5">
        <v>13</v>
      </c>
      <c r="AC24" s="2" t="s">
        <v>147</v>
      </c>
      <c r="AD24" s="4">
        <v>100</v>
      </c>
      <c r="AE24" s="4">
        <v>100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16</v>
      </c>
      <c r="AQ24" s="8">
        <v>441.44</v>
      </c>
      <c r="AR24" s="4"/>
      <c r="AS24" s="8"/>
      <c r="AT24" s="7"/>
      <c r="AU24" s="7"/>
      <c r="AV24" s="4">
        <v>16</v>
      </c>
      <c r="AW24" s="8">
        <v>441.44</v>
      </c>
      <c r="AX24" s="4"/>
      <c r="AY24" s="8"/>
      <c r="AZ24" s="7"/>
      <c r="BA24" s="7"/>
      <c r="BB24" s="7">
        <v>1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0.4571</v>
      </c>
      <c r="BJ24" s="4">
        <v>48</v>
      </c>
      <c r="BK24" s="8">
        <v>1243.13</v>
      </c>
      <c r="BL24" s="2" t="s">
        <v>236</v>
      </c>
      <c r="BM24" s="7">
        <v>0.3333</v>
      </c>
      <c r="BN24" s="7">
        <v>0.3551</v>
      </c>
      <c r="BO24" s="4">
        <v>16</v>
      </c>
      <c r="BP24" s="8">
        <v>441.44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99</v>
      </c>
      <c r="BX24" s="2" t="s">
        <v>237</v>
      </c>
      <c r="BY24" s="2" t="s">
        <v>109</v>
      </c>
      <c r="BZ24" s="2" t="s">
        <v>109</v>
      </c>
      <c r="CA24" s="2" t="s">
        <v>99</v>
      </c>
    </row>
    <row r="25">
      <c r="A25" s="2" t="s">
        <v>238</v>
      </c>
      <c r="B25" s="2" t="s">
        <v>88</v>
      </c>
      <c r="C25" s="2" t="s">
        <v>203</v>
      </c>
      <c r="D25" s="2" t="s">
        <v>177</v>
      </c>
      <c r="E25" s="2" t="s">
        <v>204</v>
      </c>
      <c r="F25" s="2" t="s">
        <v>239</v>
      </c>
      <c r="G25" s="2" t="s">
        <v>239</v>
      </c>
      <c r="H25" s="2" t="s">
        <v>239</v>
      </c>
      <c r="I25" s="2" t="s">
        <v>240</v>
      </c>
      <c r="J25" s="2" t="s">
        <v>219</v>
      </c>
      <c r="K25" s="2" t="s">
        <v>162</v>
      </c>
      <c r="L25" s="3">
        <v>47.23</v>
      </c>
      <c r="M25" s="3">
        <v>49.59</v>
      </c>
      <c r="N25" s="3">
        <v>92.14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241</v>
      </c>
      <c r="T25" s="2" t="s">
        <v>99</v>
      </c>
      <c r="U25" s="2" t="s">
        <v>210</v>
      </c>
      <c r="V25" s="2" t="s">
        <v>211</v>
      </c>
      <c r="W25" s="2" t="s">
        <v>158</v>
      </c>
      <c r="X25" s="2" t="s">
        <v>242</v>
      </c>
      <c r="Y25" s="2" t="s">
        <v>243</v>
      </c>
      <c r="Z25" s="4">
        <v>194</v>
      </c>
      <c r="AA25" s="4">
        <f>=ROUNDDOWN(8.43478260869565,0)</f>
      </c>
      <c r="AB25" s="5">
        <v>23</v>
      </c>
      <c r="AC25" s="2" t="s">
        <v>105</v>
      </c>
      <c r="AD25" s="4">
        <v>100</v>
      </c>
      <c r="AE25" s="4">
        <v>500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9</v>
      </c>
      <c r="AQ25" s="8">
        <v>488.79</v>
      </c>
      <c r="AR25" s="4"/>
      <c r="AS25" s="8"/>
      <c r="AT25" s="7"/>
      <c r="AU25" s="7"/>
      <c r="AV25" s="4">
        <v>9</v>
      </c>
      <c r="AW25" s="8">
        <v>488.79</v>
      </c>
      <c r="AX25" s="4"/>
      <c r="AY25" s="8"/>
      <c r="AZ25" s="7"/>
      <c r="BA25" s="7"/>
      <c r="BB25" s="7">
        <v>1</v>
      </c>
      <c r="BC25" s="4">
        <v>15</v>
      </c>
      <c r="BD25" s="8">
        <v>812.95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0.6013</v>
      </c>
      <c r="BJ25" s="4">
        <v>116</v>
      </c>
      <c r="BK25" s="8">
        <v>5582.48</v>
      </c>
      <c r="BL25" s="2" t="s">
        <v>244</v>
      </c>
      <c r="BM25" s="7">
        <v>0.0776</v>
      </c>
      <c r="BN25" s="7">
        <v>0.0876</v>
      </c>
      <c r="BO25" s="4">
        <v>9</v>
      </c>
      <c r="BP25" s="8">
        <v>488.79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99</v>
      </c>
      <c r="BX25" s="2" t="s">
        <v>245</v>
      </c>
      <c r="BY25" s="2" t="s">
        <v>109</v>
      </c>
      <c r="BZ25" s="2" t="s">
        <v>109</v>
      </c>
      <c r="CA25" s="2" t="s">
        <v>99</v>
      </c>
    </row>
    <row r="26">
      <c r="A26" s="2" t="s">
        <v>246</v>
      </c>
      <c r="B26" s="2" t="s">
        <v>88</v>
      </c>
      <c r="C26" s="2" t="s">
        <v>203</v>
      </c>
      <c r="D26" s="2" t="s">
        <v>177</v>
      </c>
      <c r="E26" s="2" t="s">
        <v>204</v>
      </c>
      <c r="F26" s="2" t="s">
        <v>239</v>
      </c>
      <c r="G26" s="2" t="s">
        <v>239</v>
      </c>
      <c r="H26" s="2" t="s">
        <v>239</v>
      </c>
      <c r="I26" s="2" t="s">
        <v>240</v>
      </c>
      <c r="J26" s="2" t="s">
        <v>219</v>
      </c>
      <c r="K26" s="2" t="s">
        <v>247</v>
      </c>
      <c r="L26" s="3">
        <v>47.23</v>
      </c>
      <c r="M26" s="3">
        <v>49.59</v>
      </c>
      <c r="N26" s="3">
        <v>92.14</v>
      </c>
      <c r="O26" s="2" t="s">
        <v>96</v>
      </c>
      <c r="P26" s="2" t="s">
        <v>131</v>
      </c>
      <c r="Q26" s="2" t="s">
        <v>98</v>
      </c>
      <c r="R26" s="2" t="s">
        <v>99</v>
      </c>
      <c r="S26" s="2" t="s">
        <v>241</v>
      </c>
      <c r="T26" s="2" t="s">
        <v>99</v>
      </c>
      <c r="U26" s="2" t="s">
        <v>210</v>
      </c>
      <c r="V26" s="2" t="s">
        <v>211</v>
      </c>
      <c r="W26" s="2" t="s">
        <v>158</v>
      </c>
      <c r="X26" s="2" t="s">
        <v>242</v>
      </c>
      <c r="Y26" s="2" t="s">
        <v>243</v>
      </c>
      <c r="Z26" s="4">
        <v>95</v>
      </c>
      <c r="AA26" s="4">
        <f>=ROUNDDOWN(9.5,0)</f>
      </c>
      <c r="AB26" s="5">
        <v>10</v>
      </c>
      <c r="AC26" s="2" t="s">
        <v>105</v>
      </c>
      <c r="AD26" s="4">
        <v>140</v>
      </c>
      <c r="AE26" s="4">
        <v>240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5</v>
      </c>
      <c r="AQ26" s="8">
        <v>271.55</v>
      </c>
      <c r="AR26" s="4"/>
      <c r="AS26" s="8"/>
      <c r="AT26" s="7"/>
      <c r="AU26" s="7"/>
      <c r="AV26" s="4">
        <v>5</v>
      </c>
      <c r="AW26" s="8">
        <v>271.55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0.334</v>
      </c>
      <c r="BJ26" s="4">
        <v>33</v>
      </c>
      <c r="BK26" s="8">
        <v>1694.43</v>
      </c>
      <c r="BL26" s="2" t="s">
        <v>248</v>
      </c>
      <c r="BM26" s="7">
        <v>0.1515</v>
      </c>
      <c r="BN26" s="7">
        <v>0.1603</v>
      </c>
      <c r="BO26" s="4">
        <v>5</v>
      </c>
      <c r="BP26" s="8">
        <v>271.55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99</v>
      </c>
      <c r="BX26" s="2" t="s">
        <v>133</v>
      </c>
      <c r="BY26" s="2" t="s">
        <v>109</v>
      </c>
      <c r="BZ26" s="2" t="s">
        <v>109</v>
      </c>
      <c r="CA26" s="2" t="s">
        <v>99</v>
      </c>
    </row>
    <row r="27">
      <c r="A27" s="2" t="s">
        <v>249</v>
      </c>
      <c r="B27" s="2" t="s">
        <v>88</v>
      </c>
      <c r="C27" s="2" t="s">
        <v>203</v>
      </c>
      <c r="D27" s="2" t="s">
        <v>177</v>
      </c>
      <c r="E27" s="2" t="s">
        <v>204</v>
      </c>
      <c r="F27" s="2" t="s">
        <v>239</v>
      </c>
      <c r="G27" s="2" t="s">
        <v>239</v>
      </c>
      <c r="H27" s="2" t="s">
        <v>239</v>
      </c>
      <c r="I27" s="2" t="s">
        <v>240</v>
      </c>
      <c r="J27" s="2" t="s">
        <v>219</v>
      </c>
      <c r="K27" s="2" t="s">
        <v>141</v>
      </c>
      <c r="L27" s="3">
        <v>47.23</v>
      </c>
      <c r="M27" s="3">
        <v>49.59</v>
      </c>
      <c r="N27" s="3">
        <v>92.14</v>
      </c>
      <c r="O27" s="2" t="s">
        <v>96</v>
      </c>
      <c r="P27" s="2" t="s">
        <v>131</v>
      </c>
      <c r="Q27" s="2" t="s">
        <v>98</v>
      </c>
      <c r="R27" s="2" t="s">
        <v>99</v>
      </c>
      <c r="S27" s="2" t="s">
        <v>250</v>
      </c>
      <c r="T27" s="2" t="s">
        <v>99</v>
      </c>
      <c r="U27" s="2" t="s">
        <v>210</v>
      </c>
      <c r="V27" s="2" t="s">
        <v>211</v>
      </c>
      <c r="W27" s="2" t="s">
        <v>158</v>
      </c>
      <c r="X27" s="2" t="s">
        <v>99</v>
      </c>
      <c r="Y27" s="2" t="s">
        <v>251</v>
      </c>
      <c r="Z27" s="4">
        <v>112</v>
      </c>
      <c r="AA27" s="4">
        <f>=ROUNDDOWN(7.83216783216783,0)</f>
      </c>
      <c r="AB27" s="5">
        <v>14.3</v>
      </c>
      <c r="AC27" s="2" t="s">
        <v>137</v>
      </c>
      <c r="AD27" s="4">
        <v>100</v>
      </c>
      <c r="AE27" s="4">
        <v>300</v>
      </c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</v>
      </c>
      <c r="AQ27" s="8">
        <v>52.61</v>
      </c>
      <c r="AR27" s="4"/>
      <c r="AS27" s="8"/>
      <c r="AT27" s="7"/>
      <c r="AU27" s="7"/>
      <c r="AV27" s="4">
        <v>1</v>
      </c>
      <c r="AW27" s="8">
        <v>52.61</v>
      </c>
      <c r="AX27" s="4"/>
      <c r="AY27" s="8"/>
      <c r="AZ27" s="7"/>
      <c r="BA27" s="7"/>
      <c r="BB27" s="7">
        <v>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0.0647</v>
      </c>
      <c r="BJ27" s="4">
        <v>46</v>
      </c>
      <c r="BK27" s="8">
        <v>2260.28</v>
      </c>
      <c r="BL27" s="2" t="s">
        <v>252</v>
      </c>
      <c r="BM27" s="7">
        <v>0.0217</v>
      </c>
      <c r="BN27" s="7">
        <v>0.0233</v>
      </c>
      <c r="BO27" s="4">
        <v>1</v>
      </c>
      <c r="BP27" s="8">
        <v>52.61</v>
      </c>
      <c r="BQ27" s="4"/>
      <c r="BR27" s="8"/>
      <c r="BS27" s="7"/>
      <c r="BT27" s="7"/>
      <c r="BU27" s="2" t="s">
        <v>107</v>
      </c>
      <c r="BV27" s="2" t="s">
        <v>122</v>
      </c>
      <c r="BW27" s="2" t="s">
        <v>99</v>
      </c>
      <c r="BX27" s="2" t="s">
        <v>253</v>
      </c>
      <c r="BY27" s="2" t="s">
        <v>109</v>
      </c>
      <c r="BZ27" s="2" t="s">
        <v>109</v>
      </c>
      <c r="CA27" s="2" t="s">
        <v>99</v>
      </c>
    </row>
    <row r="28">
      <c r="A28" s="2" t="s">
        <v>254</v>
      </c>
      <c r="B28" s="2" t="s">
        <v>88</v>
      </c>
      <c r="C28" s="2" t="s">
        <v>203</v>
      </c>
      <c r="D28" s="2" t="s">
        <v>177</v>
      </c>
      <c r="E28" s="2" t="s">
        <v>204</v>
      </c>
      <c r="F28" s="2" t="s">
        <v>255</v>
      </c>
      <c r="G28" s="2" t="s">
        <v>255</v>
      </c>
      <c r="H28" s="2" t="s">
        <v>255</v>
      </c>
      <c r="I28" s="2" t="s">
        <v>256</v>
      </c>
      <c r="J28" s="2" t="s">
        <v>227</v>
      </c>
      <c r="K28" s="2" t="s">
        <v>95</v>
      </c>
      <c r="L28" s="3">
        <v>37.19</v>
      </c>
      <c r="M28" s="3">
        <v>39.05</v>
      </c>
      <c r="N28" s="3">
        <v>76.49</v>
      </c>
      <c r="O28" s="2" t="s">
        <v>96</v>
      </c>
      <c r="P28" s="2" t="s">
        <v>131</v>
      </c>
      <c r="Q28" s="2" t="s">
        <v>98</v>
      </c>
      <c r="R28" s="2" t="s">
        <v>99</v>
      </c>
      <c r="S28" s="2" t="s">
        <v>99</v>
      </c>
      <c r="T28" s="2" t="s">
        <v>99</v>
      </c>
      <c r="U28" s="2" t="s">
        <v>100</v>
      </c>
      <c r="V28" s="2" t="s">
        <v>157</v>
      </c>
      <c r="W28" s="2" t="s">
        <v>158</v>
      </c>
      <c r="X28" s="2" t="s">
        <v>257</v>
      </c>
      <c r="Y28" s="2" t="s">
        <v>258</v>
      </c>
      <c r="Z28" s="4">
        <v>13</v>
      </c>
      <c r="AA28" s="4">
        <f>=ROUNDDOWN(0.530612244897959,0)</f>
      </c>
      <c r="AB28" s="5">
        <v>24.5</v>
      </c>
      <c r="AC28" s="2" t="s">
        <v>137</v>
      </c>
      <c r="AD28" s="4">
        <v>200</v>
      </c>
      <c r="AE28" s="4">
        <v>620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17</v>
      </c>
      <c r="AQ28" s="8">
        <v>727.09</v>
      </c>
      <c r="AR28" s="4"/>
      <c r="AS28" s="8"/>
      <c r="AT28" s="7"/>
      <c r="AU28" s="7"/>
      <c r="AV28" s="4">
        <v>17</v>
      </c>
      <c r="AW28" s="8">
        <v>727.09</v>
      </c>
      <c r="AX28" s="4"/>
      <c r="AY28" s="8"/>
      <c r="AZ28" s="7"/>
      <c r="BA28" s="7"/>
      <c r="BB28" s="7">
        <v>1</v>
      </c>
      <c r="BC28" s="4">
        <v>17</v>
      </c>
      <c r="BD28" s="8">
        <v>727.09</v>
      </c>
      <c r="BE28" s="4"/>
      <c r="BF28" s="8"/>
      <c r="BG28" s="7"/>
      <c r="BH28" s="7"/>
      <c r="BI28" s="7">
        <v>1</v>
      </c>
      <c r="BJ28" s="4">
        <v>125</v>
      </c>
      <c r="BK28" s="8">
        <v>5242.79</v>
      </c>
      <c r="BL28" s="2" t="s">
        <v>259</v>
      </c>
      <c r="BM28" s="7">
        <v>0.136</v>
      </c>
      <c r="BN28" s="7">
        <v>0.1387</v>
      </c>
      <c r="BO28" s="4">
        <v>17</v>
      </c>
      <c r="BP28" s="8">
        <v>727.09</v>
      </c>
      <c r="BQ28" s="4"/>
      <c r="BR28" s="8"/>
      <c r="BS28" s="7"/>
      <c r="BT28" s="7"/>
      <c r="BU28" s="2" t="s">
        <v>107</v>
      </c>
      <c r="BV28" s="2" t="s">
        <v>96</v>
      </c>
      <c r="BW28" s="2" t="s">
        <v>99</v>
      </c>
      <c r="BX28" s="2" t="s">
        <v>260</v>
      </c>
      <c r="BY28" s="2" t="s">
        <v>109</v>
      </c>
      <c r="BZ28" s="2" t="s">
        <v>109</v>
      </c>
      <c r="CA28" s="2" t="s">
        <v>99</v>
      </c>
    </row>
    <row r="29">
      <c r="A29" s="2" t="s">
        <v>261</v>
      </c>
      <c r="B29" s="2" t="s">
        <v>88</v>
      </c>
      <c r="C29" s="2" t="s">
        <v>203</v>
      </c>
      <c r="D29" s="2" t="s">
        <v>177</v>
      </c>
      <c r="E29" s="2" t="s">
        <v>204</v>
      </c>
      <c r="F29" s="2" t="s">
        <v>262</v>
      </c>
      <c r="G29" s="2" t="s">
        <v>262</v>
      </c>
      <c r="H29" s="2" t="s">
        <v>262</v>
      </c>
      <c r="I29" s="2" t="s">
        <v>263</v>
      </c>
      <c r="J29" s="2" t="s">
        <v>219</v>
      </c>
      <c r="K29" s="2" t="s">
        <v>264</v>
      </c>
      <c r="L29" s="3">
        <v>36.42</v>
      </c>
      <c r="M29" s="3">
        <v>38.24</v>
      </c>
      <c r="N29" s="3">
        <v>76.49</v>
      </c>
      <c r="O29" s="2" t="s">
        <v>96</v>
      </c>
      <c r="P29" s="2" t="s">
        <v>131</v>
      </c>
      <c r="Q29" s="2" t="s">
        <v>98</v>
      </c>
      <c r="R29" s="2" t="s">
        <v>99</v>
      </c>
      <c r="S29" s="2" t="s">
        <v>265</v>
      </c>
      <c r="T29" s="2" t="s">
        <v>99</v>
      </c>
      <c r="U29" s="2" t="s">
        <v>210</v>
      </c>
      <c r="V29" s="2" t="s">
        <v>211</v>
      </c>
      <c r="W29" s="2" t="s">
        <v>102</v>
      </c>
      <c r="X29" s="2" t="s">
        <v>158</v>
      </c>
      <c r="Y29" s="2" t="s">
        <v>266</v>
      </c>
      <c r="Z29" s="4">
        <v>233</v>
      </c>
      <c r="AA29" s="4">
        <f>=ROUNDDOWN(23.3,0)</f>
      </c>
      <c r="AB29" s="5">
        <v>10</v>
      </c>
      <c r="AC29" s="2" t="s">
        <v>99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7</v>
      </c>
      <c r="AQ29" s="8">
        <v>293.16</v>
      </c>
      <c r="AR29" s="4"/>
      <c r="AS29" s="8"/>
      <c r="AT29" s="7"/>
      <c r="AU29" s="7"/>
      <c r="AV29" s="4">
        <v>7</v>
      </c>
      <c r="AW29" s="8">
        <v>293.16</v>
      </c>
      <c r="AX29" s="4"/>
      <c r="AY29" s="8"/>
      <c r="AZ29" s="7"/>
      <c r="BA29" s="7"/>
      <c r="BB29" s="7">
        <v>1</v>
      </c>
      <c r="BC29" s="4">
        <v>7</v>
      </c>
      <c r="BD29" s="8">
        <v>293.16</v>
      </c>
      <c r="BE29" s="4"/>
      <c r="BF29" s="8"/>
      <c r="BG29" s="7"/>
      <c r="BH29" s="7"/>
      <c r="BI29" s="7">
        <v>1</v>
      </c>
      <c r="BJ29" s="4">
        <v>29</v>
      </c>
      <c r="BK29" s="8">
        <v>1176.61</v>
      </c>
      <c r="BL29" s="2" t="s">
        <v>267</v>
      </c>
      <c r="BM29" s="7">
        <v>0.2414</v>
      </c>
      <c r="BN29" s="7">
        <v>0.2492</v>
      </c>
      <c r="BO29" s="4">
        <v>7</v>
      </c>
      <c r="BP29" s="8">
        <v>293.16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99</v>
      </c>
      <c r="BX29" s="2" t="s">
        <v>99</v>
      </c>
      <c r="BY29" s="2" t="s">
        <v>109</v>
      </c>
      <c r="BZ29" s="2" t="s">
        <v>109</v>
      </c>
      <c r="CA29" s="2" t="s">
        <v>99</v>
      </c>
    </row>
    <row r="30">
      <c r="A30" s="2" t="s">
        <v>268</v>
      </c>
      <c r="B30" s="2" t="s">
        <v>88</v>
      </c>
      <c r="C30" s="2" t="s">
        <v>203</v>
      </c>
      <c r="D30" s="2" t="s">
        <v>177</v>
      </c>
      <c r="E30" s="2" t="s">
        <v>204</v>
      </c>
      <c r="F30" s="2" t="s">
        <v>269</v>
      </c>
      <c r="G30" s="2" t="s">
        <v>270</v>
      </c>
      <c r="H30" s="2" t="s">
        <v>271</v>
      </c>
      <c r="I30" s="2" t="s">
        <v>272</v>
      </c>
      <c r="J30" s="2" t="s">
        <v>273</v>
      </c>
      <c r="K30" s="2" t="s">
        <v>274</v>
      </c>
      <c r="L30" s="3">
        <v>43.01</v>
      </c>
      <c r="M30" s="3">
        <v>45.16</v>
      </c>
      <c r="N30" s="3">
        <v>79.04</v>
      </c>
      <c r="O30" s="2" t="s">
        <v>96</v>
      </c>
      <c r="P30" s="2" t="s">
        <v>131</v>
      </c>
      <c r="Q30" s="2" t="s">
        <v>98</v>
      </c>
      <c r="R30" s="2" t="s">
        <v>99</v>
      </c>
      <c r="S30" s="2" t="s">
        <v>275</v>
      </c>
      <c r="T30" s="2" t="s">
        <v>99</v>
      </c>
      <c r="U30" s="2" t="s">
        <v>156</v>
      </c>
      <c r="V30" s="2" t="s">
        <v>211</v>
      </c>
      <c r="W30" s="2" t="s">
        <v>158</v>
      </c>
      <c r="X30" s="2" t="s">
        <v>99</v>
      </c>
      <c r="Y30" s="2" t="s">
        <v>276</v>
      </c>
      <c r="Z30" s="4">
        <v>156</v>
      </c>
      <c r="AA30" s="4">
        <f>=ROUNDDOWN(14.1818181818182,0)</f>
      </c>
      <c r="AB30" s="5">
        <v>11</v>
      </c>
      <c r="AC30" s="2" t="s">
        <v>105</v>
      </c>
      <c r="AD30" s="4">
        <v>100</v>
      </c>
      <c r="AE30" s="4">
        <v>200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2</v>
      </c>
      <c r="AQ30" s="8">
        <v>92.76</v>
      </c>
      <c r="AR30" s="4"/>
      <c r="AS30" s="8"/>
      <c r="AT30" s="7"/>
      <c r="AU30" s="7"/>
      <c r="AV30" s="4">
        <v>2</v>
      </c>
      <c r="AW30" s="8">
        <v>92.76</v>
      </c>
      <c r="AX30" s="4"/>
      <c r="AY30" s="8"/>
      <c r="AZ30" s="7"/>
      <c r="BA30" s="7"/>
      <c r="BB30" s="7">
        <v>1</v>
      </c>
      <c r="BC30" s="4">
        <v>3</v>
      </c>
      <c r="BD30" s="8">
        <v>142.22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0.6522</v>
      </c>
      <c r="BJ30" s="4">
        <v>38</v>
      </c>
      <c r="BK30" s="8">
        <v>1461.14</v>
      </c>
      <c r="BL30" s="2" t="s">
        <v>277</v>
      </c>
      <c r="BM30" s="7">
        <v>0.0526</v>
      </c>
      <c r="BN30" s="7">
        <v>0.0635</v>
      </c>
      <c r="BO30" s="4">
        <v>2</v>
      </c>
      <c r="BP30" s="8">
        <v>92.76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99</v>
      </c>
      <c r="BX30" s="2" t="s">
        <v>278</v>
      </c>
      <c r="BY30" s="2" t="s">
        <v>109</v>
      </c>
      <c r="BZ30" s="2" t="s">
        <v>109</v>
      </c>
      <c r="CA30" s="2" t="s">
        <v>99</v>
      </c>
    </row>
    <row r="31">
      <c r="A31" s="2" t="s">
        <v>279</v>
      </c>
      <c r="B31" s="2" t="s">
        <v>88</v>
      </c>
      <c r="C31" s="2" t="s">
        <v>203</v>
      </c>
      <c r="D31" s="2" t="s">
        <v>177</v>
      </c>
      <c r="E31" s="2" t="s">
        <v>204</v>
      </c>
      <c r="F31" s="2" t="s">
        <v>269</v>
      </c>
      <c r="G31" s="2" t="s">
        <v>270</v>
      </c>
      <c r="H31" s="2" t="s">
        <v>271</v>
      </c>
      <c r="I31" s="2" t="s">
        <v>272</v>
      </c>
      <c r="J31" s="2" t="s">
        <v>273</v>
      </c>
      <c r="K31" s="2" t="s">
        <v>280</v>
      </c>
      <c r="L31" s="3">
        <v>43.01</v>
      </c>
      <c r="M31" s="3">
        <v>45.16</v>
      </c>
      <c r="N31" s="3">
        <v>79.04</v>
      </c>
      <c r="O31" s="2" t="s">
        <v>96</v>
      </c>
      <c r="P31" s="2" t="s">
        <v>188</v>
      </c>
      <c r="Q31" s="2" t="s">
        <v>98</v>
      </c>
      <c r="R31" s="2" t="s">
        <v>99</v>
      </c>
      <c r="S31" s="2" t="s">
        <v>275</v>
      </c>
      <c r="T31" s="2" t="s">
        <v>99</v>
      </c>
      <c r="U31" s="2" t="s">
        <v>156</v>
      </c>
      <c r="V31" s="2" t="s">
        <v>211</v>
      </c>
      <c r="W31" s="2" t="s">
        <v>158</v>
      </c>
      <c r="X31" s="2" t="s">
        <v>102</v>
      </c>
      <c r="Y31" s="2" t="s">
        <v>281</v>
      </c>
      <c r="Z31" s="4">
        <v>38</v>
      </c>
      <c r="AA31" s="4">
        <f>=ROUNDDOWN(7.6,0)</f>
      </c>
      <c r="AB31" s="5">
        <v>5</v>
      </c>
      <c r="AC31" s="2" t="s">
        <v>99</v>
      </c>
      <c r="AD31" s="4"/>
      <c r="AE31" s="4"/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</v>
      </c>
      <c r="AQ31" s="8">
        <v>49.46</v>
      </c>
      <c r="AR31" s="4"/>
      <c r="AS31" s="8"/>
      <c r="AT31" s="7"/>
      <c r="AU31" s="7"/>
      <c r="AV31" s="4">
        <v>1</v>
      </c>
      <c r="AW31" s="8">
        <v>49.46</v>
      </c>
      <c r="AX31" s="4"/>
      <c r="AY31" s="8"/>
      <c r="AZ31" s="7"/>
      <c r="BA31" s="7"/>
      <c r="BB31" s="7">
        <v>1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0.3478</v>
      </c>
      <c r="BJ31" s="4">
        <v>13</v>
      </c>
      <c r="BK31" s="8">
        <v>552.14</v>
      </c>
      <c r="BL31" s="2" t="s">
        <v>282</v>
      </c>
      <c r="BM31" s="7">
        <v>0.0769</v>
      </c>
      <c r="BN31" s="7">
        <v>0.0896</v>
      </c>
      <c r="BO31" s="4">
        <v>1</v>
      </c>
      <c r="BP31" s="8">
        <v>49.46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99</v>
      </c>
      <c r="BX31" s="2" t="s">
        <v>99</v>
      </c>
      <c r="BY31" s="2" t="s">
        <v>109</v>
      </c>
      <c r="BZ31" s="2" t="s">
        <v>109</v>
      </c>
      <c r="CA31" s="2" t="s">
        <v>99</v>
      </c>
    </row>
    <row r="32">
      <c r="A32" s="2" t="s">
        <v>283</v>
      </c>
      <c r="B32" s="2" t="s">
        <v>88</v>
      </c>
      <c r="C32" s="2" t="s">
        <v>203</v>
      </c>
      <c r="D32" s="2" t="s">
        <v>177</v>
      </c>
      <c r="E32" s="2" t="s">
        <v>204</v>
      </c>
      <c r="F32" s="2" t="s">
        <v>269</v>
      </c>
      <c r="G32" s="2" t="s">
        <v>270</v>
      </c>
      <c r="H32" s="2" t="s">
        <v>271</v>
      </c>
      <c r="I32" s="2" t="s">
        <v>272</v>
      </c>
      <c r="J32" s="2" t="s">
        <v>273</v>
      </c>
      <c r="K32" s="2" t="s">
        <v>228</v>
      </c>
      <c r="L32" s="3">
        <v>43.01</v>
      </c>
      <c r="M32" s="3">
        <v>45.16</v>
      </c>
      <c r="N32" s="3">
        <v>79.04</v>
      </c>
      <c r="O32" s="2" t="s">
        <v>96</v>
      </c>
      <c r="P32" s="2" t="s">
        <v>188</v>
      </c>
      <c r="Q32" s="2" t="s">
        <v>98</v>
      </c>
      <c r="R32" s="2" t="s">
        <v>99</v>
      </c>
      <c r="S32" s="2" t="s">
        <v>275</v>
      </c>
      <c r="T32" s="2" t="s">
        <v>99</v>
      </c>
      <c r="U32" s="2" t="s">
        <v>156</v>
      </c>
      <c r="V32" s="2" t="s">
        <v>211</v>
      </c>
      <c r="W32" s="2" t="s">
        <v>158</v>
      </c>
      <c r="X32" s="2" t="s">
        <v>102</v>
      </c>
      <c r="Y32" s="2" t="s">
        <v>230</v>
      </c>
      <c r="Z32" s="4">
        <v>102</v>
      </c>
      <c r="AA32" s="4">
        <f>=ROUNDDOWN(17.5862068965517,0)</f>
      </c>
      <c r="AB32" s="5">
        <v>5.8</v>
      </c>
      <c r="AC32" s="2" t="s">
        <v>99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11</v>
      </c>
      <c r="BK32" s="8">
        <v>407.13</v>
      </c>
      <c r="BL32" s="2" t="s">
        <v>284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96</v>
      </c>
      <c r="BW32" s="2" t="s">
        <v>99</v>
      </c>
      <c r="BX32" s="2" t="s">
        <v>215</v>
      </c>
      <c r="BY32" s="2" t="s">
        <v>109</v>
      </c>
      <c r="BZ32" s="2" t="s">
        <v>109</v>
      </c>
      <c r="CA32" s="2" t="s">
        <v>99</v>
      </c>
    </row>
    <row r="33">
      <c r="A33" s="2" t="s">
        <v>285</v>
      </c>
      <c r="B33" s="2" t="s">
        <v>88</v>
      </c>
      <c r="C33" s="2" t="s">
        <v>203</v>
      </c>
      <c r="D33" s="2" t="s">
        <v>177</v>
      </c>
      <c r="E33" s="2" t="s">
        <v>204</v>
      </c>
      <c r="F33" s="2" t="s">
        <v>286</v>
      </c>
      <c r="G33" s="2" t="s">
        <v>286</v>
      </c>
      <c r="H33" s="2" t="s">
        <v>286</v>
      </c>
      <c r="I33" s="2" t="s">
        <v>287</v>
      </c>
      <c r="J33" s="2" t="s">
        <v>273</v>
      </c>
      <c r="K33" s="2" t="s">
        <v>288</v>
      </c>
      <c r="L33" s="3">
        <v>33.88</v>
      </c>
      <c r="M33" s="3">
        <v>35.57</v>
      </c>
      <c r="N33" s="3">
        <v>73.94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289</v>
      </c>
      <c r="T33" s="2" t="s">
        <v>99</v>
      </c>
      <c r="U33" s="2" t="s">
        <v>156</v>
      </c>
      <c r="V33" s="2" t="s">
        <v>290</v>
      </c>
      <c r="W33" s="2" t="s">
        <v>242</v>
      </c>
      <c r="X33" s="2" t="s">
        <v>291</v>
      </c>
      <c r="Y33" s="2" t="s">
        <v>292</v>
      </c>
      <c r="Z33" s="4">
        <v>489</v>
      </c>
      <c r="AA33" s="4">
        <f>=ROUNDDOWN(21.2608695652174,0)</f>
      </c>
      <c r="AB33" s="5">
        <v>23</v>
      </c>
      <c r="AC33" s="2" t="s">
        <v>147</v>
      </c>
      <c r="AD33" s="4">
        <v>100</v>
      </c>
      <c r="AE33" s="4">
        <v>260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3</v>
      </c>
      <c r="AQ33" s="8">
        <v>116.88</v>
      </c>
      <c r="AR33" s="4"/>
      <c r="AS33" s="8"/>
      <c r="AT33" s="7"/>
      <c r="AU33" s="7"/>
      <c r="AV33" s="4">
        <v>3</v>
      </c>
      <c r="AW33" s="8">
        <v>116.88</v>
      </c>
      <c r="AX33" s="4"/>
      <c r="AY33" s="8"/>
      <c r="AZ33" s="7"/>
      <c r="BA33" s="7"/>
      <c r="BB33" s="7">
        <v>1</v>
      </c>
      <c r="BC33" s="4">
        <v>3</v>
      </c>
      <c r="BD33" s="8">
        <v>116.88</v>
      </c>
      <c r="BE33" s="4"/>
      <c r="BF33" s="8"/>
      <c r="BG33" s="7"/>
      <c r="BH33" s="7"/>
      <c r="BI33" s="7">
        <v>1</v>
      </c>
      <c r="BJ33" s="4">
        <v>90</v>
      </c>
      <c r="BK33" s="8">
        <v>3082.27</v>
      </c>
      <c r="BL33" s="2" t="s">
        <v>293</v>
      </c>
      <c r="BM33" s="7">
        <v>0.0333</v>
      </c>
      <c r="BN33" s="7">
        <v>0.0379</v>
      </c>
      <c r="BO33" s="4">
        <v>3</v>
      </c>
      <c r="BP33" s="8">
        <v>116.88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99</v>
      </c>
      <c r="BX33" s="2" t="s">
        <v>294</v>
      </c>
      <c r="BY33" s="2" t="s">
        <v>109</v>
      </c>
      <c r="BZ33" s="2" t="s">
        <v>109</v>
      </c>
      <c r="CA33" s="2" t="s">
        <v>99</v>
      </c>
    </row>
    <row r="34">
      <c r="A34" s="2" t="s">
        <v>295</v>
      </c>
      <c r="B34" s="2" t="s">
        <v>88</v>
      </c>
      <c r="C34" s="2" t="s">
        <v>203</v>
      </c>
      <c r="D34" s="2" t="s">
        <v>177</v>
      </c>
      <c r="E34" s="2" t="s">
        <v>204</v>
      </c>
      <c r="F34" s="2" t="s">
        <v>296</v>
      </c>
      <c r="G34" s="2" t="s">
        <v>296</v>
      </c>
      <c r="H34" s="2" t="s">
        <v>296</v>
      </c>
      <c r="I34" s="2" t="s">
        <v>297</v>
      </c>
      <c r="J34" s="2" t="s">
        <v>227</v>
      </c>
      <c r="K34" s="2" t="s">
        <v>220</v>
      </c>
      <c r="L34" s="3">
        <v>45.85</v>
      </c>
      <c r="M34" s="3">
        <v>48.14</v>
      </c>
      <c r="N34" s="3">
        <v>99.44</v>
      </c>
      <c r="O34" s="2" t="s">
        <v>96</v>
      </c>
      <c r="P34" s="2" t="s">
        <v>135</v>
      </c>
      <c r="Q34" s="2" t="s">
        <v>98</v>
      </c>
      <c r="R34" s="2" t="s">
        <v>99</v>
      </c>
      <c r="S34" s="2" t="s">
        <v>298</v>
      </c>
      <c r="T34" s="2" t="s">
        <v>99</v>
      </c>
      <c r="U34" s="2" t="s">
        <v>100</v>
      </c>
      <c r="V34" s="2" t="s">
        <v>101</v>
      </c>
      <c r="W34" s="2" t="s">
        <v>158</v>
      </c>
      <c r="X34" s="2" t="s">
        <v>99</v>
      </c>
      <c r="Y34" s="2" t="s">
        <v>299</v>
      </c>
      <c r="Z34" s="4">
        <v>281</v>
      </c>
      <c r="AA34" s="4">
        <f>=ROUNDDOWN(23.4166666666667,0)</f>
      </c>
      <c r="AB34" s="5">
        <v>12</v>
      </c>
      <c r="AC34" s="2" t="s">
        <v>99</v>
      </c>
      <c r="AD34" s="4"/>
      <c r="AE34" s="4"/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2</v>
      </c>
      <c r="AQ34" s="8">
        <v>105.46</v>
      </c>
      <c r="AR34" s="4"/>
      <c r="AS34" s="8"/>
      <c r="AT34" s="7"/>
      <c r="AU34" s="7"/>
      <c r="AV34" s="4">
        <v>2</v>
      </c>
      <c r="AW34" s="8">
        <v>105.46</v>
      </c>
      <c r="AX34" s="4"/>
      <c r="AY34" s="8"/>
      <c r="AZ34" s="7"/>
      <c r="BA34" s="7"/>
      <c r="BB34" s="7">
        <v>1</v>
      </c>
      <c r="BC34" s="4">
        <v>2</v>
      </c>
      <c r="BD34" s="8">
        <v>105.46</v>
      </c>
      <c r="BE34" s="4"/>
      <c r="BF34" s="8"/>
      <c r="BG34" s="7"/>
      <c r="BH34" s="7"/>
      <c r="BI34" s="7">
        <v>1</v>
      </c>
      <c r="BJ34" s="4">
        <v>46</v>
      </c>
      <c r="BK34" s="8">
        <v>1918.88</v>
      </c>
      <c r="BL34" s="2" t="s">
        <v>300</v>
      </c>
      <c r="BM34" s="7">
        <v>0.0435</v>
      </c>
      <c r="BN34" s="7">
        <v>0.055</v>
      </c>
      <c r="BO34" s="4">
        <v>2</v>
      </c>
      <c r="BP34" s="8">
        <v>105.46</v>
      </c>
      <c r="BQ34" s="4"/>
      <c r="BR34" s="8"/>
      <c r="BS34" s="7"/>
      <c r="BT34" s="7"/>
      <c r="BU34" s="2" t="s">
        <v>107</v>
      </c>
      <c r="BV34" s="2" t="s">
        <v>96</v>
      </c>
      <c r="BW34" s="2" t="s">
        <v>99</v>
      </c>
      <c r="BX34" s="2" t="s">
        <v>133</v>
      </c>
      <c r="BY34" s="2" t="s">
        <v>109</v>
      </c>
      <c r="BZ34" s="2" t="s">
        <v>109</v>
      </c>
      <c r="CA34" s="2" t="s">
        <v>99</v>
      </c>
    </row>
    <row r="35">
      <c r="A35" s="2" t="s">
        <v>301</v>
      </c>
      <c r="B35" s="2" t="s">
        <v>88</v>
      </c>
      <c r="C35" s="2" t="s">
        <v>203</v>
      </c>
      <c r="D35" s="2" t="s">
        <v>177</v>
      </c>
      <c r="E35" s="2" t="s">
        <v>204</v>
      </c>
      <c r="F35" s="2" t="s">
        <v>302</v>
      </c>
      <c r="G35" s="2" t="s">
        <v>302</v>
      </c>
      <c r="H35" s="2" t="s">
        <v>302</v>
      </c>
      <c r="I35" s="2" t="s">
        <v>303</v>
      </c>
      <c r="J35" s="2" t="s">
        <v>227</v>
      </c>
      <c r="K35" s="2" t="s">
        <v>234</v>
      </c>
      <c r="L35" s="3">
        <v>30.6</v>
      </c>
      <c r="M35" s="3">
        <v>32.13</v>
      </c>
      <c r="N35" s="3">
        <v>65.44</v>
      </c>
      <c r="O35" s="2" t="s">
        <v>304</v>
      </c>
      <c r="P35" s="2" t="s">
        <v>188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100</v>
      </c>
      <c r="V35" s="2" t="s">
        <v>211</v>
      </c>
      <c r="W35" s="2" t="s">
        <v>158</v>
      </c>
      <c r="X35" s="2" t="s">
        <v>99</v>
      </c>
      <c r="Y35" s="2" t="s">
        <v>305</v>
      </c>
      <c r="Z35" s="4">
        <v>3</v>
      </c>
      <c r="AA35" s="4">
        <f>=ROUNDDOWN(1.5,0)</f>
      </c>
      <c r="AB35" s="5">
        <v>2</v>
      </c>
      <c r="AC35" s="2" t="s">
        <v>99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99</v>
      </c>
      <c r="BM35" s="7"/>
      <c r="BN35" s="7"/>
      <c r="BO35" s="4"/>
      <c r="BP35" s="8"/>
      <c r="BQ35" s="4"/>
      <c r="BR35" s="8"/>
      <c r="BS35" s="7"/>
      <c r="BT35" s="7"/>
      <c r="BU35" s="2" t="s">
        <v>306</v>
      </c>
      <c r="BV35" s="2" t="s">
        <v>96</v>
      </c>
      <c r="BW35" s="2" t="s">
        <v>99</v>
      </c>
      <c r="BX35" s="2" t="s">
        <v>133</v>
      </c>
      <c r="BY35" s="2" t="s">
        <v>109</v>
      </c>
      <c r="BZ35" s="2" t="s">
        <v>109</v>
      </c>
      <c r="CA35" s="2" t="s">
        <v>99</v>
      </c>
    </row>
    <row r="36">
      <c r="A36" s="2" t="s">
        <v>307</v>
      </c>
      <c r="B36" s="2" t="s">
        <v>88</v>
      </c>
      <c r="C36" s="2" t="s">
        <v>203</v>
      </c>
      <c r="D36" s="2" t="s">
        <v>177</v>
      </c>
      <c r="E36" s="2" t="s">
        <v>178</v>
      </c>
      <c r="F36" s="2" t="s">
        <v>308</v>
      </c>
      <c r="G36" s="2" t="s">
        <v>308</v>
      </c>
      <c r="H36" s="2" t="s">
        <v>308</v>
      </c>
      <c r="I36" s="2" t="s">
        <v>309</v>
      </c>
      <c r="J36" s="2" t="s">
        <v>219</v>
      </c>
      <c r="K36" s="2" t="s">
        <v>95</v>
      </c>
      <c r="L36" s="3">
        <v>32.38</v>
      </c>
      <c r="M36" s="3">
        <v>34</v>
      </c>
      <c r="N36" s="3">
        <v>67.99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210</v>
      </c>
      <c r="V36" s="2" t="s">
        <v>310</v>
      </c>
      <c r="W36" s="2" t="s">
        <v>103</v>
      </c>
      <c r="X36" s="2" t="s">
        <v>102</v>
      </c>
      <c r="Y36" s="2" t="s">
        <v>311</v>
      </c>
      <c r="Z36" s="4">
        <v>495</v>
      </c>
      <c r="AA36" s="4">
        <f>=ROUNDDOWN(15.46875,0)</f>
      </c>
      <c r="AB36" s="5">
        <v>32</v>
      </c>
      <c r="AC36" s="2" t="s">
        <v>143</v>
      </c>
      <c r="AD36" s="4">
        <v>150</v>
      </c>
      <c r="AE36" s="4">
        <v>450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31</v>
      </c>
      <c r="AQ36" s="8">
        <v>1154.44</v>
      </c>
      <c r="AR36" s="4"/>
      <c r="AS36" s="8"/>
      <c r="AT36" s="7"/>
      <c r="AU36" s="7"/>
      <c r="AV36" s="4">
        <v>31</v>
      </c>
      <c r="AW36" s="8">
        <v>1154.44</v>
      </c>
      <c r="AX36" s="4"/>
      <c r="AY36" s="8"/>
      <c r="AZ36" s="7"/>
      <c r="BA36" s="7"/>
      <c r="BB36" s="7">
        <v>1</v>
      </c>
      <c r="BC36" s="4">
        <v>31</v>
      </c>
      <c r="BD36" s="8">
        <v>1154.44</v>
      </c>
      <c r="BE36" s="4"/>
      <c r="BF36" s="8"/>
      <c r="BG36" s="7"/>
      <c r="BH36" s="7"/>
      <c r="BI36" s="7">
        <v>1</v>
      </c>
      <c r="BJ36" s="4">
        <v>135</v>
      </c>
      <c r="BK36" s="8">
        <v>4203.4</v>
      </c>
      <c r="BL36" s="2" t="s">
        <v>312</v>
      </c>
      <c r="BM36" s="7">
        <v>0.2296</v>
      </c>
      <c r="BN36" s="7">
        <v>0.2746</v>
      </c>
      <c r="BO36" s="4">
        <v>31</v>
      </c>
      <c r="BP36" s="8">
        <v>1154.44</v>
      </c>
      <c r="BQ36" s="4"/>
      <c r="BR36" s="8"/>
      <c r="BS36" s="7"/>
      <c r="BT36" s="7"/>
      <c r="BU36" s="2" t="s">
        <v>107</v>
      </c>
      <c r="BV36" s="2" t="s">
        <v>96</v>
      </c>
      <c r="BW36" s="2" t="s">
        <v>99</v>
      </c>
      <c r="BX36" s="2" t="s">
        <v>313</v>
      </c>
      <c r="BY36" s="2" t="s">
        <v>109</v>
      </c>
      <c r="BZ36" s="2" t="s">
        <v>109</v>
      </c>
      <c r="CA36" s="2" t="s">
        <v>99</v>
      </c>
    </row>
    <row r="37">
      <c r="A37" s="2" t="s">
        <v>314</v>
      </c>
      <c r="B37" s="2" t="s">
        <v>88</v>
      </c>
      <c r="C37" s="2" t="s">
        <v>203</v>
      </c>
      <c r="D37" s="2" t="s">
        <v>177</v>
      </c>
      <c r="E37" s="2" t="s">
        <v>178</v>
      </c>
      <c r="F37" s="2" t="s">
        <v>315</v>
      </c>
      <c r="G37" s="2" t="s">
        <v>315</v>
      </c>
      <c r="H37" s="2" t="s">
        <v>315</v>
      </c>
      <c r="I37" s="2" t="s">
        <v>206</v>
      </c>
      <c r="J37" s="2" t="s">
        <v>207</v>
      </c>
      <c r="K37" s="2" t="s">
        <v>316</v>
      </c>
      <c r="L37" s="3">
        <v>40.07</v>
      </c>
      <c r="M37" s="3">
        <v>42.07</v>
      </c>
      <c r="N37" s="3">
        <v>76.49</v>
      </c>
      <c r="O37" s="2" t="s">
        <v>96</v>
      </c>
      <c r="P37" s="2" t="s">
        <v>317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99</v>
      </c>
      <c r="V37" s="2" t="s">
        <v>318</v>
      </c>
      <c r="W37" s="2" t="s">
        <v>102</v>
      </c>
      <c r="X37" s="2" t="s">
        <v>158</v>
      </c>
      <c r="Y37" s="2" t="s">
        <v>319</v>
      </c>
      <c r="Z37" s="4">
        <v>193</v>
      </c>
      <c r="AA37" s="4">
        <f>=ROUNDDOWN(24.125,0)</f>
      </c>
      <c r="AB37" s="5">
        <v>8</v>
      </c>
      <c r="AC37" s="2" t="s">
        <v>147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9</v>
      </c>
      <c r="AQ37" s="8">
        <v>414.72</v>
      </c>
      <c r="AR37" s="4"/>
      <c r="AS37" s="8"/>
      <c r="AT37" s="7"/>
      <c r="AU37" s="7"/>
      <c r="AV37" s="4">
        <v>9</v>
      </c>
      <c r="AW37" s="8">
        <v>414.72</v>
      </c>
      <c r="AX37" s="4"/>
      <c r="AY37" s="8"/>
      <c r="AZ37" s="7"/>
      <c r="BA37" s="7"/>
      <c r="BB37" s="7">
        <v>1</v>
      </c>
      <c r="BC37" s="4">
        <v>14</v>
      </c>
      <c r="BD37" s="8">
        <v>688.47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0.6024</v>
      </c>
      <c r="BJ37" s="4">
        <v>29</v>
      </c>
      <c r="BK37" s="8">
        <v>1142.53</v>
      </c>
      <c r="BL37" s="2" t="s">
        <v>320</v>
      </c>
      <c r="BM37" s="7">
        <v>0.3103</v>
      </c>
      <c r="BN37" s="7">
        <v>0.363</v>
      </c>
      <c r="BO37" s="4">
        <v>9</v>
      </c>
      <c r="BP37" s="8">
        <v>414.72</v>
      </c>
      <c r="BQ37" s="4"/>
      <c r="BR37" s="8"/>
      <c r="BS37" s="7"/>
      <c r="BT37" s="7"/>
      <c r="BU37" s="2" t="s">
        <v>306</v>
      </c>
      <c r="BV37" s="2" t="s">
        <v>96</v>
      </c>
      <c r="BW37" s="2" t="s">
        <v>99</v>
      </c>
      <c r="BX37" s="2" t="s">
        <v>99</v>
      </c>
      <c r="BY37" s="2" t="s">
        <v>109</v>
      </c>
      <c r="BZ37" s="2" t="s">
        <v>109</v>
      </c>
      <c r="CA37" s="2" t="s">
        <v>99</v>
      </c>
    </row>
    <row r="38">
      <c r="A38" s="2" t="s">
        <v>321</v>
      </c>
      <c r="B38" s="2" t="s">
        <v>88</v>
      </c>
      <c r="C38" s="2" t="s">
        <v>203</v>
      </c>
      <c r="D38" s="2" t="s">
        <v>177</v>
      </c>
      <c r="E38" s="2" t="s">
        <v>178</v>
      </c>
      <c r="F38" s="2" t="s">
        <v>315</v>
      </c>
      <c r="G38" s="2" t="s">
        <v>315</v>
      </c>
      <c r="H38" s="2" t="s">
        <v>315</v>
      </c>
      <c r="I38" s="2" t="s">
        <v>206</v>
      </c>
      <c r="J38" s="2" t="s">
        <v>322</v>
      </c>
      <c r="K38" s="2" t="s">
        <v>323</v>
      </c>
      <c r="L38" s="3">
        <v>47.61</v>
      </c>
      <c r="M38" s="3">
        <v>49.99</v>
      </c>
      <c r="N38" s="3">
        <v>99.99</v>
      </c>
      <c r="O38" s="2" t="s">
        <v>96</v>
      </c>
      <c r="P38" s="2" t="s">
        <v>317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99</v>
      </c>
      <c r="V38" s="2" t="s">
        <v>318</v>
      </c>
      <c r="W38" s="2" t="s">
        <v>102</v>
      </c>
      <c r="X38" s="2" t="s">
        <v>158</v>
      </c>
      <c r="Y38" s="2" t="s">
        <v>319</v>
      </c>
      <c r="Z38" s="4">
        <v>98</v>
      </c>
      <c r="AA38" s="4">
        <f>=ROUNDDOWN(21.7777777777778,0)</f>
      </c>
      <c r="AB38" s="5">
        <v>4.5</v>
      </c>
      <c r="AC38" s="2" t="s">
        <v>99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5</v>
      </c>
      <c r="AQ38" s="8">
        <v>273.75</v>
      </c>
      <c r="AR38" s="4"/>
      <c r="AS38" s="8"/>
      <c r="AT38" s="7"/>
      <c r="AU38" s="7"/>
      <c r="AV38" s="4">
        <v>5</v>
      </c>
      <c r="AW38" s="8">
        <v>273.75</v>
      </c>
      <c r="AX38" s="4"/>
      <c r="AY38" s="8"/>
      <c r="AZ38" s="7"/>
      <c r="BA38" s="7"/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0.3976</v>
      </c>
      <c r="BJ38" s="4">
        <v>25</v>
      </c>
      <c r="BK38" s="8">
        <v>1155.05</v>
      </c>
      <c r="BL38" s="2" t="s">
        <v>324</v>
      </c>
      <c r="BM38" s="7">
        <v>0.2</v>
      </c>
      <c r="BN38" s="7">
        <v>0.237</v>
      </c>
      <c r="BO38" s="4">
        <v>5</v>
      </c>
      <c r="BP38" s="8">
        <v>273.75</v>
      </c>
      <c r="BQ38" s="4"/>
      <c r="BR38" s="8"/>
      <c r="BS38" s="7"/>
      <c r="BT38" s="7"/>
      <c r="BU38" s="2" t="s">
        <v>306</v>
      </c>
      <c r="BV38" s="2" t="s">
        <v>96</v>
      </c>
      <c r="BW38" s="2" t="s">
        <v>99</v>
      </c>
      <c r="BX38" s="2" t="s">
        <v>99</v>
      </c>
      <c r="BY38" s="2" t="s">
        <v>109</v>
      </c>
      <c r="BZ38" s="2" t="s">
        <v>109</v>
      </c>
      <c r="CA38" s="2" t="s">
        <v>99</v>
      </c>
    </row>
    <row r="39">
      <c r="A39" s="2" t="s">
        <v>325</v>
      </c>
      <c r="B39" s="2" t="s">
        <v>88</v>
      </c>
      <c r="C39" s="2" t="s">
        <v>203</v>
      </c>
      <c r="D39" s="2" t="s">
        <v>177</v>
      </c>
      <c r="E39" s="2" t="s">
        <v>178</v>
      </c>
      <c r="F39" s="2" t="s">
        <v>326</v>
      </c>
      <c r="G39" s="2" t="s">
        <v>326</v>
      </c>
      <c r="H39" s="2" t="s">
        <v>326</v>
      </c>
      <c r="I39" s="2" t="s">
        <v>327</v>
      </c>
      <c r="J39" s="2" t="s">
        <v>227</v>
      </c>
      <c r="K39" s="2" t="s">
        <v>328</v>
      </c>
      <c r="L39" s="3">
        <v>16.99</v>
      </c>
      <c r="M39" s="3">
        <v>17.84</v>
      </c>
      <c r="N39" s="3">
        <v>42.49</v>
      </c>
      <c r="O39" s="2" t="s">
        <v>96</v>
      </c>
      <c r="P39" s="2" t="s">
        <v>131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100</v>
      </c>
      <c r="V39" s="2" t="s">
        <v>329</v>
      </c>
      <c r="W39" s="2" t="s">
        <v>330</v>
      </c>
      <c r="X39" s="2" t="s">
        <v>99</v>
      </c>
      <c r="Y39" s="2" t="s">
        <v>331</v>
      </c>
      <c r="Z39" s="4">
        <v>169</v>
      </c>
      <c r="AA39" s="4">
        <f>=ROUNDDOWN(21.125,0)</f>
      </c>
      <c r="AB39" s="5">
        <v>8</v>
      </c>
      <c r="AC39" s="2" t="s">
        <v>332</v>
      </c>
      <c r="AD39" s="4">
        <v>250</v>
      </c>
      <c r="AE39" s="4">
        <v>250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15</v>
      </c>
      <c r="AQ39" s="8">
        <v>293.1</v>
      </c>
      <c r="AR39" s="4"/>
      <c r="AS39" s="8"/>
      <c r="AT39" s="7"/>
      <c r="AU39" s="7"/>
      <c r="AV39" s="4">
        <v>15</v>
      </c>
      <c r="AW39" s="8">
        <v>293.1</v>
      </c>
      <c r="AX39" s="4"/>
      <c r="AY39" s="8"/>
      <c r="AZ39" s="7"/>
      <c r="BA39" s="7"/>
      <c r="BB39" s="7">
        <v>1</v>
      </c>
      <c r="BC39" s="4">
        <v>15</v>
      </c>
      <c r="BD39" s="8">
        <v>293.1</v>
      </c>
      <c r="BE39" s="4"/>
      <c r="BF39" s="8"/>
      <c r="BG39" s="7"/>
      <c r="BH39" s="7"/>
      <c r="BI39" s="7">
        <v>1</v>
      </c>
      <c r="BJ39" s="4">
        <v>27</v>
      </c>
      <c r="BK39" s="8">
        <v>528.33</v>
      </c>
      <c r="BL39" s="2" t="s">
        <v>333</v>
      </c>
      <c r="BM39" s="7">
        <v>0.5556</v>
      </c>
      <c r="BN39" s="7">
        <v>0.5548</v>
      </c>
      <c r="BO39" s="4">
        <v>15</v>
      </c>
      <c r="BP39" s="8">
        <v>293.1</v>
      </c>
      <c r="BQ39" s="4"/>
      <c r="BR39" s="8"/>
      <c r="BS39" s="7"/>
      <c r="BT39" s="7"/>
      <c r="BU39" s="2" t="s">
        <v>107</v>
      </c>
      <c r="BV39" s="2" t="s">
        <v>96</v>
      </c>
      <c r="BW39" s="2" t="s">
        <v>99</v>
      </c>
      <c r="BX39" s="2" t="s">
        <v>334</v>
      </c>
      <c r="BY39" s="2" t="s">
        <v>109</v>
      </c>
      <c r="BZ39" s="2" t="s">
        <v>109</v>
      </c>
      <c r="CA39" s="2" t="s">
        <v>99</v>
      </c>
    </row>
    <row r="40">
      <c r="A40" s="2" t="s">
        <v>335</v>
      </c>
      <c r="B40" s="2" t="s">
        <v>88</v>
      </c>
      <c r="C40" s="2" t="s">
        <v>203</v>
      </c>
      <c r="D40" s="2" t="s">
        <v>177</v>
      </c>
      <c r="E40" s="2" t="s">
        <v>178</v>
      </c>
      <c r="F40" s="2" t="s">
        <v>239</v>
      </c>
      <c r="G40" s="2" t="s">
        <v>239</v>
      </c>
      <c r="H40" s="2" t="s">
        <v>239</v>
      </c>
      <c r="I40" s="2" t="s">
        <v>336</v>
      </c>
      <c r="J40" s="2" t="s">
        <v>219</v>
      </c>
      <c r="K40" s="2" t="s">
        <v>337</v>
      </c>
      <c r="L40" s="3">
        <v>47.23</v>
      </c>
      <c r="M40" s="3">
        <v>49.59</v>
      </c>
      <c r="N40" s="3">
        <v>92.14</v>
      </c>
      <c r="O40" s="2" t="s">
        <v>96</v>
      </c>
      <c r="P40" s="2" t="s">
        <v>317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99</v>
      </c>
      <c r="V40" s="2" t="s">
        <v>211</v>
      </c>
      <c r="W40" s="2" t="s">
        <v>158</v>
      </c>
      <c r="X40" s="2" t="s">
        <v>242</v>
      </c>
      <c r="Y40" s="2" t="s">
        <v>338</v>
      </c>
      <c r="Z40" s="4">
        <v>225</v>
      </c>
      <c r="AA40" s="4">
        <f>=ROUNDDOWN(75,0)</f>
      </c>
      <c r="AB40" s="5">
        <v>3</v>
      </c>
      <c r="AC40" s="2" t="s">
        <v>99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/>
      <c r="BJ40" s="4">
        <v>8</v>
      </c>
      <c r="BK40" s="8">
        <v>275.37</v>
      </c>
      <c r="BL40" s="2" t="s">
        <v>339</v>
      </c>
      <c r="BM40" s="7"/>
      <c r="BN40" s="7"/>
      <c r="BO40" s="4"/>
      <c r="BP40" s="8"/>
      <c r="BQ40" s="4"/>
      <c r="BR40" s="8"/>
      <c r="BS40" s="7"/>
      <c r="BT40" s="7"/>
      <c r="BU40" s="2" t="s">
        <v>306</v>
      </c>
      <c r="BV40" s="2" t="s">
        <v>96</v>
      </c>
      <c r="BW40" s="2" t="s">
        <v>99</v>
      </c>
      <c r="BX40" s="2" t="s">
        <v>99</v>
      </c>
      <c r="BY40" s="2" t="s">
        <v>109</v>
      </c>
      <c r="BZ40" s="2" t="s">
        <v>109</v>
      </c>
      <c r="CA40" s="2" t="s">
        <v>99</v>
      </c>
    </row>
    <row r="41">
      <c r="A41" s="2" t="s">
        <v>340</v>
      </c>
      <c r="B41" s="2" t="s">
        <v>88</v>
      </c>
      <c r="C41" s="2" t="s">
        <v>203</v>
      </c>
      <c r="D41" s="2" t="s">
        <v>177</v>
      </c>
      <c r="E41" s="2" t="s">
        <v>178</v>
      </c>
      <c r="F41" s="2" t="s">
        <v>239</v>
      </c>
      <c r="G41" s="2" t="s">
        <v>239</v>
      </c>
      <c r="H41" s="2" t="s">
        <v>239</v>
      </c>
      <c r="I41" s="2" t="s">
        <v>336</v>
      </c>
      <c r="J41" s="2" t="s">
        <v>219</v>
      </c>
      <c r="K41" s="2" t="s">
        <v>341</v>
      </c>
      <c r="L41" s="3">
        <v>47.23</v>
      </c>
      <c r="M41" s="3">
        <v>49.59</v>
      </c>
      <c r="N41" s="3">
        <v>92.14</v>
      </c>
      <c r="O41" s="2" t="s">
        <v>96</v>
      </c>
      <c r="P41" s="2" t="s">
        <v>317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99</v>
      </c>
      <c r="V41" s="2" t="s">
        <v>211</v>
      </c>
      <c r="W41" s="2" t="s">
        <v>158</v>
      </c>
      <c r="X41" s="2" t="s">
        <v>242</v>
      </c>
      <c r="Y41" s="2" t="s">
        <v>342</v>
      </c>
      <c r="Z41" s="4">
        <v>174</v>
      </c>
      <c r="AA41" s="4">
        <f>=ROUNDDOWN(87,0)</f>
      </c>
      <c r="AB41" s="5">
        <v>2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>
        <v>5</v>
      </c>
      <c r="BK41" s="8">
        <v>200.87</v>
      </c>
      <c r="BL41" s="2" t="s">
        <v>343</v>
      </c>
      <c r="BM41" s="7"/>
      <c r="BN41" s="7"/>
      <c r="BO41" s="4"/>
      <c r="BP41" s="8"/>
      <c r="BQ41" s="4"/>
      <c r="BR41" s="8"/>
      <c r="BS41" s="7"/>
      <c r="BT41" s="7"/>
      <c r="BU41" s="2" t="s">
        <v>306</v>
      </c>
      <c r="BV41" s="2" t="s">
        <v>96</v>
      </c>
      <c r="BW41" s="2" t="s">
        <v>99</v>
      </c>
      <c r="BX41" s="2" t="s">
        <v>99</v>
      </c>
      <c r="BY41" s="2" t="s">
        <v>109</v>
      </c>
      <c r="BZ41" s="2" t="s">
        <v>109</v>
      </c>
      <c r="CA41" s="2" t="s">
        <v>99</v>
      </c>
    </row>
    <row r="42">
      <c r="A42" s="2" t="s">
        <v>344</v>
      </c>
      <c r="B42" s="2" t="s">
        <v>88</v>
      </c>
      <c r="C42" s="2" t="s">
        <v>203</v>
      </c>
      <c r="D42" s="2" t="s">
        <v>177</v>
      </c>
      <c r="E42" s="2" t="s">
        <v>178</v>
      </c>
      <c r="F42" s="2" t="s">
        <v>345</v>
      </c>
      <c r="G42" s="2" t="s">
        <v>345</v>
      </c>
      <c r="H42" s="2" t="s">
        <v>345</v>
      </c>
      <c r="I42" s="2" t="s">
        <v>346</v>
      </c>
      <c r="J42" s="2" t="s">
        <v>227</v>
      </c>
      <c r="K42" s="2" t="s">
        <v>347</v>
      </c>
      <c r="L42" s="3">
        <v>61.9</v>
      </c>
      <c r="M42" s="3">
        <v>65</v>
      </c>
      <c r="N42" s="3">
        <v>129.9</v>
      </c>
      <c r="O42" s="2" t="s">
        <v>304</v>
      </c>
      <c r="P42" s="2" t="s">
        <v>188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100</v>
      </c>
      <c r="V42" s="2" t="s">
        <v>212</v>
      </c>
      <c r="W42" s="2" t="s">
        <v>212</v>
      </c>
      <c r="X42" s="2" t="s">
        <v>291</v>
      </c>
      <c r="Y42" s="2" t="s">
        <v>348</v>
      </c>
      <c r="Z42" s="4">
        <v>7</v>
      </c>
      <c r="AA42" s="4">
        <f>=ROUNDDOWN(2,0)</f>
      </c>
      <c r="AB42" s="5">
        <v>3.5</v>
      </c>
      <c r="AC42" s="2" t="s">
        <v>99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10</v>
      </c>
      <c r="BK42" s="8">
        <v>668.17</v>
      </c>
      <c r="BL42" s="2" t="s">
        <v>349</v>
      </c>
      <c r="BM42" s="7"/>
      <c r="BN42" s="7"/>
      <c r="BO42" s="4"/>
      <c r="BP42" s="8"/>
      <c r="BQ42" s="4"/>
      <c r="BR42" s="8"/>
      <c r="BS42" s="7"/>
      <c r="BT42" s="7"/>
      <c r="BU42" s="2" t="s">
        <v>306</v>
      </c>
      <c r="BV42" s="2" t="s">
        <v>96</v>
      </c>
      <c r="BW42" s="2" t="s">
        <v>99</v>
      </c>
      <c r="BX42" s="2" t="s">
        <v>99</v>
      </c>
      <c r="BY42" s="2" t="s">
        <v>109</v>
      </c>
      <c r="BZ42" s="2" t="s">
        <v>109</v>
      </c>
      <c r="CA42" s="2" t="s">
        <v>99</v>
      </c>
    </row>
    <row r="43">
      <c r="A43" s="2" t="s">
        <v>350</v>
      </c>
      <c r="B43" s="2" t="s">
        <v>88</v>
      </c>
      <c r="C43" s="2" t="s">
        <v>203</v>
      </c>
      <c r="D43" s="2" t="s">
        <v>177</v>
      </c>
      <c r="E43" s="2" t="s">
        <v>351</v>
      </c>
      <c r="F43" s="2" t="s">
        <v>352</v>
      </c>
      <c r="G43" s="2" t="s">
        <v>352</v>
      </c>
      <c r="H43" s="2" t="s">
        <v>352</v>
      </c>
      <c r="I43" s="2" t="s">
        <v>353</v>
      </c>
      <c r="J43" s="2" t="s">
        <v>273</v>
      </c>
      <c r="K43" s="2" t="s">
        <v>347</v>
      </c>
      <c r="L43" s="3">
        <v>85.48</v>
      </c>
      <c r="M43" s="3">
        <v>89.75</v>
      </c>
      <c r="N43" s="3">
        <v>178.49</v>
      </c>
      <c r="O43" s="2" t="s">
        <v>96</v>
      </c>
      <c r="P43" s="2" t="s">
        <v>135</v>
      </c>
      <c r="Q43" s="2" t="s">
        <v>98</v>
      </c>
      <c r="R43" s="2" t="s">
        <v>99</v>
      </c>
      <c r="S43" s="2" t="s">
        <v>354</v>
      </c>
      <c r="T43" s="2" t="s">
        <v>99</v>
      </c>
      <c r="U43" s="2" t="s">
        <v>156</v>
      </c>
      <c r="V43" s="2" t="s">
        <v>211</v>
      </c>
      <c r="W43" s="2" t="s">
        <v>212</v>
      </c>
      <c r="X43" s="2" t="s">
        <v>291</v>
      </c>
      <c r="Y43" s="2" t="s">
        <v>355</v>
      </c>
      <c r="Z43" s="4">
        <v>564</v>
      </c>
      <c r="AA43" s="4">
        <f>=ROUNDDOWN(32.6011560693642,0)</f>
      </c>
      <c r="AB43" s="5">
        <v>17.3</v>
      </c>
      <c r="AC43" s="2" t="s">
        <v>99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11</v>
      </c>
      <c r="AQ43" s="8">
        <v>1081.3</v>
      </c>
      <c r="AR43" s="4"/>
      <c r="AS43" s="8"/>
      <c r="AT43" s="7"/>
      <c r="AU43" s="7"/>
      <c r="AV43" s="4">
        <v>11</v>
      </c>
      <c r="AW43" s="8">
        <v>1081.3</v>
      </c>
      <c r="AX43" s="4"/>
      <c r="AY43" s="8"/>
      <c r="AZ43" s="7"/>
      <c r="BA43" s="7"/>
      <c r="BB43" s="7">
        <v>1</v>
      </c>
      <c r="BC43" s="4">
        <v>11</v>
      </c>
      <c r="BD43" s="8">
        <v>1081.3</v>
      </c>
      <c r="BE43" s="4"/>
      <c r="BF43" s="8"/>
      <c r="BG43" s="7"/>
      <c r="BH43" s="7"/>
      <c r="BI43" s="7">
        <v>1</v>
      </c>
      <c r="BJ43" s="4">
        <v>72</v>
      </c>
      <c r="BK43" s="8">
        <v>5907.77</v>
      </c>
      <c r="BL43" s="2" t="s">
        <v>356</v>
      </c>
      <c r="BM43" s="7">
        <v>0.1528</v>
      </c>
      <c r="BN43" s="7">
        <v>0.183</v>
      </c>
      <c r="BO43" s="4">
        <v>11</v>
      </c>
      <c r="BP43" s="8">
        <v>1081.3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99</v>
      </c>
      <c r="BX43" s="2" t="s">
        <v>99</v>
      </c>
      <c r="BY43" s="2" t="s">
        <v>109</v>
      </c>
      <c r="BZ43" s="2" t="s">
        <v>109</v>
      </c>
      <c r="CA43" s="2" t="s">
        <v>99</v>
      </c>
    </row>
    <row r="44">
      <c r="A44" s="2" t="s">
        <v>357</v>
      </c>
      <c r="B44" s="2" t="s">
        <v>88</v>
      </c>
      <c r="C44" s="2" t="s">
        <v>203</v>
      </c>
      <c r="D44" s="2" t="s">
        <v>177</v>
      </c>
      <c r="E44" s="2" t="s">
        <v>351</v>
      </c>
      <c r="F44" s="2" t="s">
        <v>358</v>
      </c>
      <c r="G44" s="2" t="s">
        <v>358</v>
      </c>
      <c r="H44" s="2" t="s">
        <v>358</v>
      </c>
      <c r="I44" s="2" t="s">
        <v>359</v>
      </c>
      <c r="J44" s="2" t="s">
        <v>219</v>
      </c>
      <c r="K44" s="2" t="s">
        <v>220</v>
      </c>
      <c r="L44" s="3">
        <v>27.82</v>
      </c>
      <c r="M44" s="3">
        <v>29.21</v>
      </c>
      <c r="N44" s="3">
        <v>61.74</v>
      </c>
      <c r="O44" s="2" t="s">
        <v>96</v>
      </c>
      <c r="P44" s="2" t="s">
        <v>131</v>
      </c>
      <c r="Q44" s="2" t="s">
        <v>98</v>
      </c>
      <c r="R44" s="2" t="s">
        <v>99</v>
      </c>
      <c r="S44" s="2" t="s">
        <v>360</v>
      </c>
      <c r="T44" s="2" t="s">
        <v>99</v>
      </c>
      <c r="U44" s="2" t="s">
        <v>210</v>
      </c>
      <c r="V44" s="2" t="s">
        <v>361</v>
      </c>
      <c r="W44" s="2" t="s">
        <v>362</v>
      </c>
      <c r="X44" s="2" t="s">
        <v>363</v>
      </c>
      <c r="Y44" s="2" t="s">
        <v>364</v>
      </c>
      <c r="Z44" s="4">
        <v>22</v>
      </c>
      <c r="AA44" s="4">
        <f>=ROUNDDOWN(2.89473684210526,0)</f>
      </c>
      <c r="AB44" s="5">
        <v>7.6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</v>
      </c>
      <c r="AQ44" s="8">
        <v>32.22</v>
      </c>
      <c r="AR44" s="4"/>
      <c r="AS44" s="8"/>
      <c r="AT44" s="7"/>
      <c r="AU44" s="7"/>
      <c r="AV44" s="4">
        <v>1</v>
      </c>
      <c r="AW44" s="8">
        <v>32.22</v>
      </c>
      <c r="AX44" s="4"/>
      <c r="AY44" s="8"/>
      <c r="AZ44" s="7"/>
      <c r="BA44" s="7"/>
      <c r="BB44" s="7">
        <v>1</v>
      </c>
      <c r="BC44" s="4">
        <v>1</v>
      </c>
      <c r="BD44" s="8">
        <v>32.22</v>
      </c>
      <c r="BE44" s="4"/>
      <c r="BF44" s="8"/>
      <c r="BG44" s="7"/>
      <c r="BH44" s="7"/>
      <c r="BI44" s="7">
        <v>1</v>
      </c>
      <c r="BJ44" s="4">
        <v>20</v>
      </c>
      <c r="BK44" s="8">
        <v>649.24</v>
      </c>
      <c r="BL44" s="2" t="s">
        <v>365</v>
      </c>
      <c r="BM44" s="7">
        <v>0.05</v>
      </c>
      <c r="BN44" s="7">
        <v>0.0496</v>
      </c>
      <c r="BO44" s="4">
        <v>1</v>
      </c>
      <c r="BP44" s="8">
        <v>32.22</v>
      </c>
      <c r="BQ44" s="4"/>
      <c r="BR44" s="8"/>
      <c r="BS44" s="7"/>
      <c r="BT44" s="7"/>
      <c r="BU44" s="2" t="s">
        <v>107</v>
      </c>
      <c r="BV44" s="2" t="s">
        <v>96</v>
      </c>
      <c r="BW44" s="2" t="s">
        <v>99</v>
      </c>
      <c r="BX44" s="2" t="s">
        <v>133</v>
      </c>
      <c r="BY44" s="2" t="s">
        <v>109</v>
      </c>
      <c r="BZ44" s="2" t="s">
        <v>109</v>
      </c>
      <c r="CA44" s="2" t="s">
        <v>99</v>
      </c>
    </row>
    <row r="45">
      <c r="A45" s="2" t="s">
        <v>366</v>
      </c>
      <c r="B45" s="2" t="s">
        <v>88</v>
      </c>
      <c r="C45" s="2" t="s">
        <v>203</v>
      </c>
      <c r="D45" s="2" t="s">
        <v>367</v>
      </c>
      <c r="E45" s="2" t="s">
        <v>368</v>
      </c>
      <c r="F45" s="2" t="s">
        <v>369</v>
      </c>
      <c r="G45" s="2" t="s">
        <v>369</v>
      </c>
      <c r="H45" s="2" t="s">
        <v>369</v>
      </c>
      <c r="I45" s="2" t="s">
        <v>370</v>
      </c>
      <c r="J45" s="2" t="s">
        <v>273</v>
      </c>
      <c r="K45" s="2" t="s">
        <v>228</v>
      </c>
      <c r="L45" s="3">
        <v>67.34</v>
      </c>
      <c r="M45" s="3">
        <v>70.71</v>
      </c>
      <c r="N45" s="3">
        <v>124.94</v>
      </c>
      <c r="O45" s="2" t="s">
        <v>304</v>
      </c>
      <c r="P45" s="2" t="s">
        <v>188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156</v>
      </c>
      <c r="V45" s="2" t="s">
        <v>181</v>
      </c>
      <c r="W45" s="2" t="s">
        <v>103</v>
      </c>
      <c r="X45" s="2" t="s">
        <v>102</v>
      </c>
      <c r="Y45" s="2" t="s">
        <v>371</v>
      </c>
      <c r="Z45" s="4">
        <v>64</v>
      </c>
      <c r="AA45" s="4">
        <f>=ROUNDDOWN(26.6666666666667,0)</f>
      </c>
      <c r="AB45" s="5">
        <v>2.4</v>
      </c>
      <c r="AC45" s="2" t="s">
        <v>99</v>
      </c>
      <c r="AD45" s="4"/>
      <c r="AE45" s="4"/>
      <c r="AF45" s="6">
        <v>61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8</v>
      </c>
      <c r="AQ45" s="8">
        <v>619.52</v>
      </c>
      <c r="AR45" s="4"/>
      <c r="AS45" s="8"/>
      <c r="AT45" s="7"/>
      <c r="AU45" s="7"/>
      <c r="AV45" s="4">
        <v>8</v>
      </c>
      <c r="AW45" s="8">
        <v>619.52</v>
      </c>
      <c r="AX45" s="4"/>
      <c r="AY45" s="8"/>
      <c r="AZ45" s="7"/>
      <c r="BA45" s="7"/>
      <c r="BB45" s="7">
        <v>1</v>
      </c>
      <c r="BC45" s="4">
        <v>15</v>
      </c>
      <c r="BD45" s="8">
        <v>1131.5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0.5475</v>
      </c>
      <c r="BJ45" s="4">
        <v>14</v>
      </c>
      <c r="BK45" s="8">
        <v>1002.12</v>
      </c>
      <c r="BL45" s="2" t="s">
        <v>372</v>
      </c>
      <c r="BM45" s="7">
        <v>0.5714</v>
      </c>
      <c r="BN45" s="7">
        <v>0.6182</v>
      </c>
      <c r="BO45" s="4">
        <v>8</v>
      </c>
      <c r="BP45" s="8">
        <v>619.52</v>
      </c>
      <c r="BQ45" s="4"/>
      <c r="BR45" s="8"/>
      <c r="BS45" s="7"/>
      <c r="BT45" s="7"/>
      <c r="BU45" s="2" t="s">
        <v>107</v>
      </c>
      <c r="BV45" s="2" t="s">
        <v>96</v>
      </c>
      <c r="BW45" s="2" t="s">
        <v>99</v>
      </c>
      <c r="BX45" s="2" t="s">
        <v>133</v>
      </c>
      <c r="BY45" s="2" t="s">
        <v>109</v>
      </c>
      <c r="BZ45" s="2" t="s">
        <v>109</v>
      </c>
      <c r="CA45" s="2" t="s">
        <v>99</v>
      </c>
    </row>
    <row r="46">
      <c r="A46" s="2" t="s">
        <v>373</v>
      </c>
      <c r="B46" s="2" t="s">
        <v>88</v>
      </c>
      <c r="C46" s="2" t="s">
        <v>203</v>
      </c>
      <c r="D46" s="2" t="s">
        <v>367</v>
      </c>
      <c r="E46" s="2" t="s">
        <v>368</v>
      </c>
      <c r="F46" s="2" t="s">
        <v>369</v>
      </c>
      <c r="G46" s="2" t="s">
        <v>369</v>
      </c>
      <c r="H46" s="2" t="s">
        <v>369</v>
      </c>
      <c r="I46" s="2" t="s">
        <v>370</v>
      </c>
      <c r="J46" s="2" t="s">
        <v>273</v>
      </c>
      <c r="K46" s="2" t="s">
        <v>274</v>
      </c>
      <c r="L46" s="3">
        <v>63.6</v>
      </c>
      <c r="M46" s="3">
        <v>66.78</v>
      </c>
      <c r="N46" s="3">
        <v>124.94</v>
      </c>
      <c r="O46" s="2" t="s">
        <v>304</v>
      </c>
      <c r="P46" s="2" t="s">
        <v>188</v>
      </c>
      <c r="Q46" s="2" t="s">
        <v>98</v>
      </c>
      <c r="R46" s="2" t="s">
        <v>99</v>
      </c>
      <c r="S46" s="2" t="s">
        <v>374</v>
      </c>
      <c r="T46" s="2" t="s">
        <v>99</v>
      </c>
      <c r="U46" s="2" t="s">
        <v>156</v>
      </c>
      <c r="V46" s="2" t="s">
        <v>181</v>
      </c>
      <c r="W46" s="2" t="s">
        <v>103</v>
      </c>
      <c r="X46" s="2" t="s">
        <v>99</v>
      </c>
      <c r="Y46" s="2" t="s">
        <v>375</v>
      </c>
      <c r="Z46" s="4">
        <v>76</v>
      </c>
      <c r="AA46" s="4">
        <f>=ROUNDDOWN(28.1481481481481,0)</f>
      </c>
      <c r="AB46" s="5">
        <v>2.7</v>
      </c>
      <c r="AC46" s="2" t="s">
        <v>99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4</v>
      </c>
      <c r="AQ46" s="8">
        <v>292.56</v>
      </c>
      <c r="AR46" s="4"/>
      <c r="AS46" s="8"/>
      <c r="AT46" s="7"/>
      <c r="AU46" s="7"/>
      <c r="AV46" s="4">
        <v>4</v>
      </c>
      <c r="AW46" s="8">
        <v>292.56</v>
      </c>
      <c r="AX46" s="4"/>
      <c r="AY46" s="8"/>
      <c r="AZ46" s="7"/>
      <c r="BA46" s="7"/>
      <c r="BB46" s="7">
        <v>1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0.2586</v>
      </c>
      <c r="BJ46" s="4">
        <v>13</v>
      </c>
      <c r="BK46" s="8">
        <v>1024.27</v>
      </c>
      <c r="BL46" s="2" t="s">
        <v>376</v>
      </c>
      <c r="BM46" s="7">
        <v>0.3077</v>
      </c>
      <c r="BN46" s="7">
        <v>0.2856</v>
      </c>
      <c r="BO46" s="4">
        <v>4</v>
      </c>
      <c r="BP46" s="8">
        <v>292.56</v>
      </c>
      <c r="BQ46" s="4"/>
      <c r="BR46" s="8"/>
      <c r="BS46" s="7"/>
      <c r="BT46" s="7"/>
      <c r="BU46" s="2" t="s">
        <v>107</v>
      </c>
      <c r="BV46" s="2" t="s">
        <v>96</v>
      </c>
      <c r="BW46" s="2" t="s">
        <v>99</v>
      </c>
      <c r="BX46" s="2" t="s">
        <v>377</v>
      </c>
      <c r="BY46" s="2" t="s">
        <v>109</v>
      </c>
      <c r="BZ46" s="2" t="s">
        <v>109</v>
      </c>
      <c r="CA46" s="2" t="s">
        <v>99</v>
      </c>
    </row>
    <row r="47">
      <c r="A47" s="2" t="s">
        <v>378</v>
      </c>
      <c r="B47" s="2" t="s">
        <v>88</v>
      </c>
      <c r="C47" s="2" t="s">
        <v>203</v>
      </c>
      <c r="D47" s="2" t="s">
        <v>367</v>
      </c>
      <c r="E47" s="2" t="s">
        <v>368</v>
      </c>
      <c r="F47" s="2" t="s">
        <v>369</v>
      </c>
      <c r="G47" s="2" t="s">
        <v>369</v>
      </c>
      <c r="H47" s="2" t="s">
        <v>369</v>
      </c>
      <c r="I47" s="2" t="s">
        <v>370</v>
      </c>
      <c r="J47" s="2" t="s">
        <v>273</v>
      </c>
      <c r="K47" s="2" t="s">
        <v>379</v>
      </c>
      <c r="L47" s="3">
        <v>63.6</v>
      </c>
      <c r="M47" s="3">
        <v>66.78</v>
      </c>
      <c r="N47" s="3">
        <v>124.94</v>
      </c>
      <c r="O47" s="2" t="s">
        <v>96</v>
      </c>
      <c r="P47" s="2" t="s">
        <v>188</v>
      </c>
      <c r="Q47" s="2" t="s">
        <v>98</v>
      </c>
      <c r="R47" s="2" t="s">
        <v>99</v>
      </c>
      <c r="S47" s="2" t="s">
        <v>380</v>
      </c>
      <c r="T47" s="2" t="s">
        <v>99</v>
      </c>
      <c r="U47" s="2" t="s">
        <v>156</v>
      </c>
      <c r="V47" s="2" t="s">
        <v>181</v>
      </c>
      <c r="W47" s="2" t="s">
        <v>103</v>
      </c>
      <c r="X47" s="2" t="s">
        <v>99</v>
      </c>
      <c r="Y47" s="2" t="s">
        <v>381</v>
      </c>
      <c r="Z47" s="4">
        <v>119</v>
      </c>
      <c r="AA47" s="4">
        <f>=ROUNDDOWN(22.4528301886792,0)</f>
      </c>
      <c r="AB47" s="5">
        <v>5.3</v>
      </c>
      <c r="AC47" s="2" t="s">
        <v>99</v>
      </c>
      <c r="AD47" s="4"/>
      <c r="AE47" s="4"/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3</v>
      </c>
      <c r="AQ47" s="8">
        <v>219.42</v>
      </c>
      <c r="AR47" s="4"/>
      <c r="AS47" s="8"/>
      <c r="AT47" s="7"/>
      <c r="AU47" s="7"/>
      <c r="AV47" s="4">
        <v>3</v>
      </c>
      <c r="AW47" s="8">
        <v>219.42</v>
      </c>
      <c r="AX47" s="4"/>
      <c r="AY47" s="8"/>
      <c r="AZ47" s="7"/>
      <c r="BA47" s="7"/>
      <c r="BB47" s="7">
        <v>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0.1939</v>
      </c>
      <c r="BJ47" s="4">
        <v>27</v>
      </c>
      <c r="BK47" s="8">
        <v>1905.19</v>
      </c>
      <c r="BL47" s="2" t="s">
        <v>382</v>
      </c>
      <c r="BM47" s="7">
        <v>0.1111</v>
      </c>
      <c r="BN47" s="7">
        <v>0.1152</v>
      </c>
      <c r="BO47" s="4">
        <v>3</v>
      </c>
      <c r="BP47" s="8">
        <v>219.42</v>
      </c>
      <c r="BQ47" s="4"/>
      <c r="BR47" s="8"/>
      <c r="BS47" s="7"/>
      <c r="BT47" s="7"/>
      <c r="BU47" s="2" t="s">
        <v>107</v>
      </c>
      <c r="BV47" s="2" t="s">
        <v>96</v>
      </c>
      <c r="BW47" s="2" t="s">
        <v>99</v>
      </c>
      <c r="BX47" s="2" t="s">
        <v>196</v>
      </c>
      <c r="BY47" s="2" t="s">
        <v>109</v>
      </c>
      <c r="BZ47" s="2" t="s">
        <v>109</v>
      </c>
      <c r="CA47" s="2" t="s">
        <v>99</v>
      </c>
    </row>
    <row r="48">
      <c r="A48" s="2" t="s">
        <v>383</v>
      </c>
      <c r="B48" s="2" t="s">
        <v>88</v>
      </c>
      <c r="C48" s="2" t="s">
        <v>203</v>
      </c>
      <c r="D48" s="2" t="s">
        <v>367</v>
      </c>
      <c r="E48" s="2" t="s">
        <v>368</v>
      </c>
      <c r="F48" s="2" t="s">
        <v>384</v>
      </c>
      <c r="G48" s="2" t="s">
        <v>384</v>
      </c>
      <c r="H48" s="2" t="s">
        <v>384</v>
      </c>
      <c r="I48" s="2" t="s">
        <v>385</v>
      </c>
      <c r="J48" s="2" t="s">
        <v>273</v>
      </c>
      <c r="K48" s="2" t="s">
        <v>220</v>
      </c>
      <c r="L48" s="3">
        <v>49.63</v>
      </c>
      <c r="M48" s="3">
        <v>52.11</v>
      </c>
      <c r="N48" s="3">
        <v>96.04</v>
      </c>
      <c r="O48" s="2" t="s">
        <v>96</v>
      </c>
      <c r="P48" s="2" t="s">
        <v>386</v>
      </c>
      <c r="Q48" s="2" t="s">
        <v>98</v>
      </c>
      <c r="R48" s="2" t="s">
        <v>99</v>
      </c>
      <c r="S48" s="2" t="s">
        <v>387</v>
      </c>
      <c r="T48" s="2" t="s">
        <v>99</v>
      </c>
      <c r="U48" s="2" t="s">
        <v>156</v>
      </c>
      <c r="V48" s="2" t="s">
        <v>388</v>
      </c>
      <c r="W48" s="2" t="s">
        <v>158</v>
      </c>
      <c r="X48" s="2" t="s">
        <v>99</v>
      </c>
      <c r="Y48" s="2" t="s">
        <v>164</v>
      </c>
      <c r="Z48" s="4">
        <v>485</v>
      </c>
      <c r="AA48" s="4">
        <f>=ROUNDDOWN(95.0980392156863,0)</f>
      </c>
      <c r="AB48" s="5">
        <v>5.1</v>
      </c>
      <c r="AC48" s="2" t="s">
        <v>99</v>
      </c>
      <c r="AD48" s="4"/>
      <c r="AE48" s="4"/>
      <c r="AF48" s="6">
        <v>61</v>
      </c>
      <c r="AG48" s="6">
        <v>44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10</v>
      </c>
      <c r="AQ48" s="8">
        <v>570.7</v>
      </c>
      <c r="AR48" s="4"/>
      <c r="AS48" s="8"/>
      <c r="AT48" s="7"/>
      <c r="AU48" s="7"/>
      <c r="AV48" s="4">
        <v>10</v>
      </c>
      <c r="AW48" s="8">
        <v>570.7</v>
      </c>
      <c r="AX48" s="4"/>
      <c r="AY48" s="8"/>
      <c r="AZ48" s="7"/>
      <c r="BA48" s="7"/>
      <c r="BB48" s="7">
        <v>1</v>
      </c>
      <c r="BC48" s="4">
        <v>10</v>
      </c>
      <c r="BD48" s="8">
        <v>570.7</v>
      </c>
      <c r="BE48" s="4"/>
      <c r="BF48" s="8"/>
      <c r="BG48" s="7"/>
      <c r="BH48" s="7"/>
      <c r="BI48" s="7">
        <v>1</v>
      </c>
      <c r="BJ48" s="4">
        <v>27</v>
      </c>
      <c r="BK48" s="8">
        <v>1488.56</v>
      </c>
      <c r="BL48" s="2" t="s">
        <v>389</v>
      </c>
      <c r="BM48" s="7">
        <v>0.3704</v>
      </c>
      <c r="BN48" s="7">
        <v>0.3834</v>
      </c>
      <c r="BO48" s="4">
        <v>10</v>
      </c>
      <c r="BP48" s="8">
        <v>570.7</v>
      </c>
      <c r="BQ48" s="4"/>
      <c r="BR48" s="8"/>
      <c r="BS48" s="7"/>
      <c r="BT48" s="7"/>
      <c r="BU48" s="2" t="s">
        <v>107</v>
      </c>
      <c r="BV48" s="2" t="s">
        <v>96</v>
      </c>
      <c r="BW48" s="2" t="s">
        <v>99</v>
      </c>
      <c r="BX48" s="2" t="s">
        <v>390</v>
      </c>
      <c r="BY48" s="2" t="s">
        <v>109</v>
      </c>
      <c r="BZ48" s="2" t="s">
        <v>109</v>
      </c>
      <c r="CA48" s="2" t="s">
        <v>99</v>
      </c>
    </row>
    <row r="49">
      <c r="A49" s="2" t="s">
        <v>391</v>
      </c>
      <c r="B49" s="2" t="s">
        <v>88</v>
      </c>
      <c r="C49" s="2" t="s">
        <v>203</v>
      </c>
      <c r="D49" s="2" t="s">
        <v>367</v>
      </c>
      <c r="E49" s="2" t="s">
        <v>368</v>
      </c>
      <c r="F49" s="2" t="s">
        <v>392</v>
      </c>
      <c r="G49" s="2" t="s">
        <v>392</v>
      </c>
      <c r="H49" s="2" t="s">
        <v>392</v>
      </c>
      <c r="I49" s="2" t="s">
        <v>393</v>
      </c>
      <c r="J49" s="2" t="s">
        <v>219</v>
      </c>
      <c r="K49" s="2" t="s">
        <v>394</v>
      </c>
      <c r="L49" s="3">
        <v>43.01</v>
      </c>
      <c r="M49" s="3">
        <v>45.16</v>
      </c>
      <c r="N49" s="3">
        <v>84.99</v>
      </c>
      <c r="O49" s="2" t="s">
        <v>96</v>
      </c>
      <c r="P49" s="2" t="s">
        <v>188</v>
      </c>
      <c r="Q49" s="2" t="s">
        <v>98</v>
      </c>
      <c r="R49" s="2" t="s">
        <v>99</v>
      </c>
      <c r="S49" s="2" t="s">
        <v>395</v>
      </c>
      <c r="T49" s="2" t="s">
        <v>99</v>
      </c>
      <c r="U49" s="2" t="s">
        <v>210</v>
      </c>
      <c r="V49" s="2" t="s">
        <v>181</v>
      </c>
      <c r="W49" s="2" t="s">
        <v>103</v>
      </c>
      <c r="X49" s="2" t="s">
        <v>103</v>
      </c>
      <c r="Y49" s="2" t="s">
        <v>396</v>
      </c>
      <c r="Z49" s="4">
        <v>100</v>
      </c>
      <c r="AA49" s="4">
        <f>=ROUNDDOWN(27.7777777777778,0)</f>
      </c>
      <c r="AB49" s="5">
        <v>3.6</v>
      </c>
      <c r="AC49" s="2" t="s">
        <v>99</v>
      </c>
      <c r="AD49" s="4"/>
      <c r="AE49" s="4"/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10</v>
      </c>
      <c r="AQ49" s="8">
        <v>512.4</v>
      </c>
      <c r="AR49" s="4"/>
      <c r="AS49" s="8"/>
      <c r="AT49" s="7"/>
      <c r="AU49" s="7"/>
      <c r="AV49" s="4">
        <v>10</v>
      </c>
      <c r="AW49" s="8">
        <v>512.4</v>
      </c>
      <c r="AX49" s="4"/>
      <c r="AY49" s="8"/>
      <c r="AZ49" s="7"/>
      <c r="BA49" s="7"/>
      <c r="BB49" s="7">
        <v>1</v>
      </c>
      <c r="BC49" s="4">
        <v>10</v>
      </c>
      <c r="BD49" s="8">
        <v>512.4</v>
      </c>
      <c r="BE49" s="4"/>
      <c r="BF49" s="8"/>
      <c r="BG49" s="7"/>
      <c r="BH49" s="7"/>
      <c r="BI49" s="7">
        <v>1</v>
      </c>
      <c r="BJ49" s="4">
        <v>15</v>
      </c>
      <c r="BK49" s="8">
        <v>766.41</v>
      </c>
      <c r="BL49" s="2" t="s">
        <v>397</v>
      </c>
      <c r="BM49" s="7">
        <v>0.6667</v>
      </c>
      <c r="BN49" s="7">
        <v>0.6686</v>
      </c>
      <c r="BO49" s="4">
        <v>10</v>
      </c>
      <c r="BP49" s="8">
        <v>512.4</v>
      </c>
      <c r="BQ49" s="4"/>
      <c r="BR49" s="8"/>
      <c r="BS49" s="7"/>
      <c r="BT49" s="7"/>
      <c r="BU49" s="2" t="s">
        <v>107</v>
      </c>
      <c r="BV49" s="2" t="s">
        <v>96</v>
      </c>
      <c r="BW49" s="2" t="s">
        <v>99</v>
      </c>
      <c r="BX49" s="2" t="s">
        <v>398</v>
      </c>
      <c r="BY49" s="2" t="s">
        <v>109</v>
      </c>
      <c r="BZ49" s="2" t="s">
        <v>109</v>
      </c>
      <c r="CA49" s="2" t="s">
        <v>99</v>
      </c>
    </row>
    <row r="50">
      <c r="A50" s="2" t="s">
        <v>399</v>
      </c>
      <c r="B50" s="2" t="s">
        <v>88</v>
      </c>
      <c r="C50" s="2" t="s">
        <v>203</v>
      </c>
      <c r="D50" s="2" t="s">
        <v>367</v>
      </c>
      <c r="E50" s="2" t="s">
        <v>368</v>
      </c>
      <c r="F50" s="2" t="s">
        <v>400</v>
      </c>
      <c r="G50" s="2" t="s">
        <v>400</v>
      </c>
      <c r="H50" s="2" t="s">
        <v>400</v>
      </c>
      <c r="I50" s="2" t="s">
        <v>401</v>
      </c>
      <c r="J50" s="2" t="s">
        <v>273</v>
      </c>
      <c r="K50" s="2" t="s">
        <v>402</v>
      </c>
      <c r="L50" s="3">
        <v>64.52</v>
      </c>
      <c r="M50" s="3">
        <v>67.75</v>
      </c>
      <c r="N50" s="3">
        <v>124.94</v>
      </c>
      <c r="O50" s="2" t="s">
        <v>96</v>
      </c>
      <c r="P50" s="2" t="s">
        <v>188</v>
      </c>
      <c r="Q50" s="2" t="s">
        <v>98</v>
      </c>
      <c r="R50" s="2" t="s">
        <v>99</v>
      </c>
      <c r="S50" s="2" t="s">
        <v>403</v>
      </c>
      <c r="T50" s="2" t="s">
        <v>99</v>
      </c>
      <c r="U50" s="2" t="s">
        <v>156</v>
      </c>
      <c r="V50" s="2" t="s">
        <v>181</v>
      </c>
      <c r="W50" s="2" t="s">
        <v>103</v>
      </c>
      <c r="X50" s="2" t="s">
        <v>404</v>
      </c>
      <c r="Y50" s="2" t="s">
        <v>405</v>
      </c>
      <c r="Z50" s="4">
        <v>35</v>
      </c>
      <c r="AA50" s="4">
        <f>=ROUNDDOWN(26.9230769230769,0)</f>
      </c>
      <c r="AB50" s="5">
        <v>1.3</v>
      </c>
      <c r="AC50" s="2" t="s">
        <v>99</v>
      </c>
      <c r="AD50" s="4"/>
      <c r="AE50" s="4"/>
      <c r="AF50" s="6">
        <v>61</v>
      </c>
      <c r="AG50" s="6">
        <v>44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6</v>
      </c>
      <c r="AQ50" s="8">
        <v>445.2</v>
      </c>
      <c r="AR50" s="4"/>
      <c r="AS50" s="8"/>
      <c r="AT50" s="7"/>
      <c r="AU50" s="7"/>
      <c r="AV50" s="4">
        <v>6</v>
      </c>
      <c r="AW50" s="8">
        <v>445.2</v>
      </c>
      <c r="AX50" s="4"/>
      <c r="AY50" s="8"/>
      <c r="AZ50" s="7"/>
      <c r="BA50" s="7"/>
      <c r="BB50" s="7">
        <v>1</v>
      </c>
      <c r="BC50" s="4">
        <v>6</v>
      </c>
      <c r="BD50" s="8">
        <v>445.2</v>
      </c>
      <c r="BE50" s="4"/>
      <c r="BF50" s="8"/>
      <c r="BG50" s="7"/>
      <c r="BH50" s="7"/>
      <c r="BI50" s="7">
        <v>1</v>
      </c>
      <c r="BJ50" s="4">
        <v>14</v>
      </c>
      <c r="BK50" s="8">
        <v>889.8</v>
      </c>
      <c r="BL50" s="2" t="s">
        <v>406</v>
      </c>
      <c r="BM50" s="7">
        <v>0.4286</v>
      </c>
      <c r="BN50" s="7">
        <v>0.5003</v>
      </c>
      <c r="BO50" s="4">
        <v>6</v>
      </c>
      <c r="BP50" s="8">
        <v>445.2</v>
      </c>
      <c r="BQ50" s="4"/>
      <c r="BR50" s="8"/>
      <c r="BS50" s="7"/>
      <c r="BT50" s="7"/>
      <c r="BU50" s="2" t="s">
        <v>107</v>
      </c>
      <c r="BV50" s="2" t="s">
        <v>96</v>
      </c>
      <c r="BW50" s="2" t="s">
        <v>99</v>
      </c>
      <c r="BX50" s="2" t="s">
        <v>139</v>
      </c>
      <c r="BY50" s="2" t="s">
        <v>109</v>
      </c>
      <c r="BZ50" s="2" t="s">
        <v>109</v>
      </c>
      <c r="CA50" s="2" t="s">
        <v>99</v>
      </c>
    </row>
    <row r="51">
      <c r="A51" s="2" t="s">
        <v>407</v>
      </c>
      <c r="B51" s="2" t="s">
        <v>88</v>
      </c>
      <c r="C51" s="2" t="s">
        <v>203</v>
      </c>
      <c r="D51" s="2" t="s">
        <v>367</v>
      </c>
      <c r="E51" s="2" t="s">
        <v>368</v>
      </c>
      <c r="F51" s="2" t="s">
        <v>408</v>
      </c>
      <c r="G51" s="2" t="s">
        <v>408</v>
      </c>
      <c r="H51" s="2" t="s">
        <v>408</v>
      </c>
      <c r="I51" s="2" t="s">
        <v>393</v>
      </c>
      <c r="J51" s="2" t="s">
        <v>409</v>
      </c>
      <c r="K51" s="2" t="s">
        <v>130</v>
      </c>
      <c r="L51" s="3">
        <v>54.23</v>
      </c>
      <c r="M51" s="3">
        <v>56.94</v>
      </c>
      <c r="N51" s="3">
        <v>118.99</v>
      </c>
      <c r="O51" s="2" t="s">
        <v>96</v>
      </c>
      <c r="P51" s="2" t="s">
        <v>131</v>
      </c>
      <c r="Q51" s="2" t="s">
        <v>98</v>
      </c>
      <c r="R51" s="2" t="s">
        <v>99</v>
      </c>
      <c r="S51" s="2" t="s">
        <v>410</v>
      </c>
      <c r="T51" s="2" t="s">
        <v>99</v>
      </c>
      <c r="U51" s="2" t="s">
        <v>210</v>
      </c>
      <c r="V51" s="2" t="s">
        <v>181</v>
      </c>
      <c r="W51" s="2" t="s">
        <v>103</v>
      </c>
      <c r="X51" s="2" t="s">
        <v>102</v>
      </c>
      <c r="Y51" s="2" t="s">
        <v>371</v>
      </c>
      <c r="Z51" s="4">
        <v>113</v>
      </c>
      <c r="AA51" s="4">
        <f>=ROUNDDOWN(18.8333333333333,0)</f>
      </c>
      <c r="AB51" s="5">
        <v>6</v>
      </c>
      <c r="AC51" s="2" t="s">
        <v>411</v>
      </c>
      <c r="AD51" s="4">
        <v>100</v>
      </c>
      <c r="AE51" s="4">
        <v>100</v>
      </c>
      <c r="AF51" s="6">
        <v>61</v>
      </c>
      <c r="AG51" s="6">
        <v>44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6</v>
      </c>
      <c r="AQ51" s="8">
        <v>374.16</v>
      </c>
      <c r="AR51" s="4"/>
      <c r="AS51" s="8"/>
      <c r="AT51" s="7"/>
      <c r="AU51" s="7"/>
      <c r="AV51" s="4">
        <v>6</v>
      </c>
      <c r="AW51" s="8">
        <v>374.16</v>
      </c>
      <c r="AX51" s="4"/>
      <c r="AY51" s="8"/>
      <c r="AZ51" s="7"/>
      <c r="BA51" s="7"/>
      <c r="BB51" s="7">
        <v>1</v>
      </c>
      <c r="BC51" s="4">
        <v>6</v>
      </c>
      <c r="BD51" s="8">
        <v>374.16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1</v>
      </c>
      <c r="BJ51" s="4">
        <v>18</v>
      </c>
      <c r="BK51" s="8">
        <v>1047.94</v>
      </c>
      <c r="BL51" s="2" t="s">
        <v>412</v>
      </c>
      <c r="BM51" s="7">
        <v>0.3333</v>
      </c>
      <c r="BN51" s="7">
        <v>0.357</v>
      </c>
      <c r="BO51" s="4">
        <v>6</v>
      </c>
      <c r="BP51" s="8">
        <v>374.16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99</v>
      </c>
      <c r="BX51" s="2" t="s">
        <v>413</v>
      </c>
      <c r="BY51" s="2" t="s">
        <v>109</v>
      </c>
      <c r="BZ51" s="2" t="s">
        <v>109</v>
      </c>
      <c r="CA51" s="2" t="s">
        <v>99</v>
      </c>
    </row>
    <row r="52">
      <c r="A52" s="2" t="s">
        <v>414</v>
      </c>
      <c r="B52" s="2" t="s">
        <v>88</v>
      </c>
      <c r="C52" s="2" t="s">
        <v>203</v>
      </c>
      <c r="D52" s="2" t="s">
        <v>367</v>
      </c>
      <c r="E52" s="2" t="s">
        <v>368</v>
      </c>
      <c r="F52" s="2" t="s">
        <v>408</v>
      </c>
      <c r="G52" s="2" t="s">
        <v>408</v>
      </c>
      <c r="H52" s="2" t="s">
        <v>408</v>
      </c>
      <c r="I52" s="2" t="s">
        <v>393</v>
      </c>
      <c r="J52" s="2" t="s">
        <v>409</v>
      </c>
      <c r="K52" s="2" t="s">
        <v>95</v>
      </c>
      <c r="L52" s="3">
        <v>54.23</v>
      </c>
      <c r="M52" s="3">
        <v>56.94</v>
      </c>
      <c r="N52" s="3">
        <v>118.99</v>
      </c>
      <c r="O52" s="2" t="s">
        <v>96</v>
      </c>
      <c r="P52" s="2" t="s">
        <v>188</v>
      </c>
      <c r="Q52" s="2" t="s">
        <v>98</v>
      </c>
      <c r="R52" s="2" t="s">
        <v>99</v>
      </c>
      <c r="S52" s="2" t="s">
        <v>415</v>
      </c>
      <c r="T52" s="2" t="s">
        <v>99</v>
      </c>
      <c r="U52" s="2" t="s">
        <v>210</v>
      </c>
      <c r="V52" s="2" t="s">
        <v>181</v>
      </c>
      <c r="W52" s="2" t="s">
        <v>103</v>
      </c>
      <c r="X52" s="2" t="s">
        <v>416</v>
      </c>
      <c r="Y52" s="2" t="s">
        <v>405</v>
      </c>
      <c r="Z52" s="4">
        <v>54</v>
      </c>
      <c r="AA52" s="4">
        <f>=ROUNDDOWN(8.57142857142857,0)</f>
      </c>
      <c r="AB52" s="5">
        <v>6.3</v>
      </c>
      <c r="AC52" s="2" t="s">
        <v>99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/>
      <c r="BJ52" s="4">
        <v>30</v>
      </c>
      <c r="BK52" s="8">
        <v>1616.22</v>
      </c>
      <c r="BL52" s="2" t="s">
        <v>417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96</v>
      </c>
      <c r="BW52" s="2" t="s">
        <v>99</v>
      </c>
      <c r="BX52" s="2" t="s">
        <v>418</v>
      </c>
      <c r="BY52" s="2" t="s">
        <v>109</v>
      </c>
      <c r="BZ52" s="2" t="s">
        <v>109</v>
      </c>
      <c r="CA52" s="2" t="s">
        <v>99</v>
      </c>
    </row>
    <row r="53">
      <c r="A53" s="2" t="s">
        <v>419</v>
      </c>
      <c r="B53" s="2" t="s">
        <v>88</v>
      </c>
      <c r="C53" s="2" t="s">
        <v>203</v>
      </c>
      <c r="D53" s="2" t="s">
        <v>367</v>
      </c>
      <c r="E53" s="2" t="s">
        <v>368</v>
      </c>
      <c r="F53" s="2" t="s">
        <v>420</v>
      </c>
      <c r="G53" s="2" t="s">
        <v>420</v>
      </c>
      <c r="H53" s="2" t="s">
        <v>420</v>
      </c>
      <c r="I53" s="2" t="s">
        <v>421</v>
      </c>
      <c r="J53" s="2" t="s">
        <v>155</v>
      </c>
      <c r="K53" s="2" t="s">
        <v>422</v>
      </c>
      <c r="L53" s="3">
        <v>41.69</v>
      </c>
      <c r="M53" s="3">
        <v>43.77</v>
      </c>
      <c r="N53" s="3">
        <v>89.24</v>
      </c>
      <c r="O53" s="2" t="s">
        <v>304</v>
      </c>
      <c r="P53" s="2" t="s">
        <v>188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156</v>
      </c>
      <c r="V53" s="2" t="s">
        <v>388</v>
      </c>
      <c r="W53" s="2" t="s">
        <v>158</v>
      </c>
      <c r="X53" s="2" t="s">
        <v>99</v>
      </c>
      <c r="Y53" s="2" t="s">
        <v>423</v>
      </c>
      <c r="Z53" s="4">
        <v>107</v>
      </c>
      <c r="AA53" s="4">
        <f>=ROUNDDOWN(41.1538461538462,0)</f>
      </c>
      <c r="AB53" s="5">
        <v>2.6</v>
      </c>
      <c r="AC53" s="2" t="s">
        <v>99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2</v>
      </c>
      <c r="AQ53" s="8">
        <v>95.88</v>
      </c>
      <c r="AR53" s="4"/>
      <c r="AS53" s="8"/>
      <c r="AT53" s="7"/>
      <c r="AU53" s="7"/>
      <c r="AV53" s="4">
        <v>2</v>
      </c>
      <c r="AW53" s="8">
        <v>95.88</v>
      </c>
      <c r="AX53" s="4"/>
      <c r="AY53" s="8"/>
      <c r="AZ53" s="7"/>
      <c r="BA53" s="7"/>
      <c r="BB53" s="7">
        <v>1</v>
      </c>
      <c r="BC53" s="4">
        <v>2</v>
      </c>
      <c r="BD53" s="8">
        <v>95.88</v>
      </c>
      <c r="BE53" s="4"/>
      <c r="BF53" s="8"/>
      <c r="BG53" s="7"/>
      <c r="BH53" s="7"/>
      <c r="BI53" s="7">
        <v>1</v>
      </c>
      <c r="BJ53" s="4">
        <v>2</v>
      </c>
      <c r="BK53" s="8">
        <v>95.88</v>
      </c>
      <c r="BL53" s="2" t="s">
        <v>16</v>
      </c>
      <c r="BM53" s="7">
        <v>1</v>
      </c>
      <c r="BN53" s="7">
        <v>1</v>
      </c>
      <c r="BO53" s="4">
        <v>2</v>
      </c>
      <c r="BP53" s="8">
        <v>95.88</v>
      </c>
      <c r="BQ53" s="4"/>
      <c r="BR53" s="8"/>
      <c r="BS53" s="7"/>
      <c r="BT53" s="7"/>
      <c r="BU53" s="2" t="s">
        <v>107</v>
      </c>
      <c r="BV53" s="2" t="s">
        <v>96</v>
      </c>
      <c r="BW53" s="2" t="s">
        <v>99</v>
      </c>
      <c r="BX53" s="2" t="s">
        <v>424</v>
      </c>
      <c r="BY53" s="2" t="s">
        <v>109</v>
      </c>
      <c r="BZ53" s="2" t="s">
        <v>109</v>
      </c>
      <c r="CA53" s="2" t="s">
        <v>99</v>
      </c>
    </row>
    <row r="54">
      <c r="A54" s="2" t="s">
        <v>425</v>
      </c>
      <c r="B54" s="2" t="s">
        <v>88</v>
      </c>
      <c r="C54" s="2" t="s">
        <v>203</v>
      </c>
      <c r="D54" s="2" t="s">
        <v>367</v>
      </c>
      <c r="E54" s="2" t="s">
        <v>368</v>
      </c>
      <c r="F54" s="2" t="s">
        <v>426</v>
      </c>
      <c r="G54" s="2" t="s">
        <v>426</v>
      </c>
      <c r="H54" s="2" t="s">
        <v>426</v>
      </c>
      <c r="I54" s="2" t="s">
        <v>427</v>
      </c>
      <c r="J54" s="2" t="s">
        <v>273</v>
      </c>
      <c r="K54" s="2" t="s">
        <v>428</v>
      </c>
      <c r="L54" s="3">
        <v>57.82</v>
      </c>
      <c r="M54" s="3">
        <v>60.71</v>
      </c>
      <c r="N54" s="3">
        <v>127.49</v>
      </c>
      <c r="O54" s="2" t="s">
        <v>96</v>
      </c>
      <c r="P54" s="2" t="s">
        <v>188</v>
      </c>
      <c r="Q54" s="2" t="s">
        <v>98</v>
      </c>
      <c r="R54" s="2" t="s">
        <v>99</v>
      </c>
      <c r="S54" s="2" t="s">
        <v>429</v>
      </c>
      <c r="T54" s="2" t="s">
        <v>99</v>
      </c>
      <c r="U54" s="2" t="s">
        <v>156</v>
      </c>
      <c r="V54" s="2" t="s">
        <v>388</v>
      </c>
      <c r="W54" s="2" t="s">
        <v>158</v>
      </c>
      <c r="X54" s="2" t="s">
        <v>99</v>
      </c>
      <c r="Y54" s="2" t="s">
        <v>430</v>
      </c>
      <c r="Z54" s="4">
        <v>38</v>
      </c>
      <c r="AA54" s="4">
        <f>=ROUNDDOWN(6.03174603174603,0)</f>
      </c>
      <c r="AB54" s="5">
        <v>6.3</v>
      </c>
      <c r="AC54" s="2" t="s">
        <v>99</v>
      </c>
      <c r="AD54" s="4"/>
      <c r="AE54" s="4"/>
      <c r="AF54" s="6">
        <v>61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</v>
      </c>
      <c r="AQ54" s="8">
        <v>66.49</v>
      </c>
      <c r="AR54" s="4"/>
      <c r="AS54" s="8"/>
      <c r="AT54" s="7"/>
      <c r="AU54" s="7"/>
      <c r="AV54" s="4">
        <v>1</v>
      </c>
      <c r="AW54" s="8">
        <v>66.49</v>
      </c>
      <c r="AX54" s="4"/>
      <c r="AY54" s="8"/>
      <c r="AZ54" s="7"/>
      <c r="BA54" s="7"/>
      <c r="BB54" s="7">
        <v>1</v>
      </c>
      <c r="BC54" s="4">
        <v>1</v>
      </c>
      <c r="BD54" s="8">
        <v>66.49</v>
      </c>
      <c r="BE54" s="4"/>
      <c r="BF54" s="8"/>
      <c r="BG54" s="7"/>
      <c r="BH54" s="7"/>
      <c r="BI54" s="7">
        <v>1</v>
      </c>
      <c r="BJ54" s="4">
        <v>23</v>
      </c>
      <c r="BK54" s="8">
        <v>1636.84</v>
      </c>
      <c r="BL54" s="2" t="s">
        <v>431</v>
      </c>
      <c r="BM54" s="7">
        <v>0.0435</v>
      </c>
      <c r="BN54" s="7">
        <v>0.0406</v>
      </c>
      <c r="BO54" s="4">
        <v>1</v>
      </c>
      <c r="BP54" s="8">
        <v>66.49</v>
      </c>
      <c r="BQ54" s="4"/>
      <c r="BR54" s="8"/>
      <c r="BS54" s="7"/>
      <c r="BT54" s="7"/>
      <c r="BU54" s="2" t="s">
        <v>107</v>
      </c>
      <c r="BV54" s="2" t="s">
        <v>96</v>
      </c>
      <c r="BW54" s="2" t="s">
        <v>99</v>
      </c>
      <c r="BX54" s="2" t="s">
        <v>432</v>
      </c>
      <c r="BY54" s="2" t="s">
        <v>109</v>
      </c>
      <c r="BZ54" s="2" t="s">
        <v>109</v>
      </c>
      <c r="CA54" s="2" t="s">
        <v>99</v>
      </c>
    </row>
    <row r="55">
      <c r="A55" s="2" t="s">
        <v>433</v>
      </c>
      <c r="B55" s="2" t="s">
        <v>88</v>
      </c>
      <c r="C55" s="2" t="s">
        <v>203</v>
      </c>
      <c r="D55" s="2" t="s">
        <v>367</v>
      </c>
      <c r="E55" s="2" t="s">
        <v>368</v>
      </c>
      <c r="F55" s="2" t="s">
        <v>434</v>
      </c>
      <c r="G55" s="2" t="s">
        <v>434</v>
      </c>
      <c r="H55" s="2" t="s">
        <v>434</v>
      </c>
      <c r="I55" s="2" t="s">
        <v>435</v>
      </c>
      <c r="J55" s="2" t="s">
        <v>219</v>
      </c>
      <c r="K55" s="2" t="s">
        <v>220</v>
      </c>
      <c r="L55" s="3">
        <v>50.03</v>
      </c>
      <c r="M55" s="3">
        <v>52.53</v>
      </c>
      <c r="N55" s="3">
        <v>101.99</v>
      </c>
      <c r="O55" s="2" t="s">
        <v>304</v>
      </c>
      <c r="P55" s="2" t="s">
        <v>188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210</v>
      </c>
      <c r="V55" s="2" t="s">
        <v>181</v>
      </c>
      <c r="W55" s="2" t="s">
        <v>102</v>
      </c>
      <c r="X55" s="2" t="s">
        <v>99</v>
      </c>
      <c r="Y55" s="2" t="s">
        <v>436</v>
      </c>
      <c r="Z55" s="4">
        <v>18</v>
      </c>
      <c r="AA55" s="4">
        <f>=ROUNDDOWN(10.5882352941176,0)</f>
      </c>
      <c r="AB55" s="5">
        <v>1.7</v>
      </c>
      <c r="AC55" s="2" t="s">
        <v>99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</v>
      </c>
      <c r="AQ55" s="8">
        <v>56.15</v>
      </c>
      <c r="AR55" s="4"/>
      <c r="AS55" s="8"/>
      <c r="AT55" s="7"/>
      <c r="AU55" s="7"/>
      <c r="AV55" s="4">
        <v>1</v>
      </c>
      <c r="AW55" s="8">
        <v>56.15</v>
      </c>
      <c r="AX55" s="4"/>
      <c r="AY55" s="8"/>
      <c r="AZ55" s="7"/>
      <c r="BA55" s="7"/>
      <c r="BB55" s="7">
        <v>1</v>
      </c>
      <c r="BC55" s="4">
        <v>1</v>
      </c>
      <c r="BD55" s="8">
        <v>56.15</v>
      </c>
      <c r="BE55" s="4"/>
      <c r="BF55" s="8"/>
      <c r="BG55" s="7"/>
      <c r="BH55" s="7"/>
      <c r="BI55" s="7">
        <v>1</v>
      </c>
      <c r="BJ55" s="4">
        <v>6</v>
      </c>
      <c r="BK55" s="8">
        <v>329.6</v>
      </c>
      <c r="BL55" s="2" t="s">
        <v>437</v>
      </c>
      <c r="BM55" s="7">
        <v>0.1667</v>
      </c>
      <c r="BN55" s="7">
        <v>0.1704</v>
      </c>
      <c r="BO55" s="4">
        <v>1</v>
      </c>
      <c r="BP55" s="8">
        <v>56.15</v>
      </c>
      <c r="BQ55" s="4"/>
      <c r="BR55" s="8"/>
      <c r="BS55" s="7"/>
      <c r="BT55" s="7"/>
      <c r="BU55" s="2" t="s">
        <v>107</v>
      </c>
      <c r="BV55" s="2" t="s">
        <v>96</v>
      </c>
      <c r="BW55" s="2" t="s">
        <v>99</v>
      </c>
      <c r="BX55" s="2" t="s">
        <v>438</v>
      </c>
      <c r="BY55" s="2" t="s">
        <v>109</v>
      </c>
      <c r="BZ55" s="2" t="s">
        <v>109</v>
      </c>
      <c r="CA55" s="2" t="s">
        <v>99</v>
      </c>
    </row>
    <row r="56">
      <c r="A56" s="2" t="s">
        <v>439</v>
      </c>
      <c r="B56" s="2" t="s">
        <v>88</v>
      </c>
      <c r="C56" s="2" t="s">
        <v>203</v>
      </c>
      <c r="D56" s="2" t="s">
        <v>367</v>
      </c>
      <c r="E56" s="2" t="s">
        <v>368</v>
      </c>
      <c r="F56" s="2" t="s">
        <v>440</v>
      </c>
      <c r="G56" s="2" t="s">
        <v>440</v>
      </c>
      <c r="H56" s="2" t="s">
        <v>440</v>
      </c>
      <c r="I56" s="2" t="s">
        <v>441</v>
      </c>
      <c r="J56" s="2" t="s">
        <v>227</v>
      </c>
      <c r="K56" s="2" t="s">
        <v>442</v>
      </c>
      <c r="L56" s="3">
        <v>6.66</v>
      </c>
      <c r="M56" s="3">
        <v>6.99</v>
      </c>
      <c r="N56" s="3">
        <v>19.99</v>
      </c>
      <c r="O56" s="2" t="s">
        <v>443</v>
      </c>
      <c r="P56" s="2" t="s">
        <v>188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100</v>
      </c>
      <c r="V56" s="2" t="s">
        <v>329</v>
      </c>
      <c r="W56" s="2" t="s">
        <v>291</v>
      </c>
      <c r="X56" s="2" t="s">
        <v>363</v>
      </c>
      <c r="Y56" s="2" t="s">
        <v>444</v>
      </c>
      <c r="Z56" s="4">
        <v>49</v>
      </c>
      <c r="AA56" s="4">
        <f>=ROUNDDOWN(24.5,0)</f>
      </c>
      <c r="AB56" s="5">
        <v>2</v>
      </c>
      <c r="AC56" s="2" t="s">
        <v>99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/>
      <c r="BJ56" s="4">
        <v>14</v>
      </c>
      <c r="BK56" s="8">
        <v>113.26</v>
      </c>
      <c r="BL56" s="2" t="s">
        <v>445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122</v>
      </c>
      <c r="BW56" s="2" t="s">
        <v>99</v>
      </c>
      <c r="BX56" s="2" t="s">
        <v>446</v>
      </c>
      <c r="BY56" s="2" t="s">
        <v>109</v>
      </c>
      <c r="BZ56" s="2" t="s">
        <v>109</v>
      </c>
      <c r="CA56" s="2" t="s">
        <v>99</v>
      </c>
    </row>
    <row r="57">
      <c r="A57" s="2" t="s">
        <v>447</v>
      </c>
      <c r="B57" s="2" t="s">
        <v>88</v>
      </c>
      <c r="C57" s="2" t="s">
        <v>203</v>
      </c>
      <c r="D57" s="2" t="s">
        <v>367</v>
      </c>
      <c r="E57" s="2" t="s">
        <v>368</v>
      </c>
      <c r="F57" s="2" t="s">
        <v>440</v>
      </c>
      <c r="G57" s="2" t="s">
        <v>440</v>
      </c>
      <c r="H57" s="2" t="s">
        <v>440</v>
      </c>
      <c r="I57" s="2" t="s">
        <v>448</v>
      </c>
      <c r="J57" s="2" t="s">
        <v>227</v>
      </c>
      <c r="K57" s="2" t="s">
        <v>449</v>
      </c>
      <c r="L57" s="3">
        <v>6.66</v>
      </c>
      <c r="M57" s="3">
        <v>6.99</v>
      </c>
      <c r="N57" s="3">
        <v>19.99</v>
      </c>
      <c r="O57" s="2" t="s">
        <v>304</v>
      </c>
      <c r="P57" s="2" t="s">
        <v>188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100</v>
      </c>
      <c r="V57" s="2" t="s">
        <v>329</v>
      </c>
      <c r="W57" s="2" t="s">
        <v>291</v>
      </c>
      <c r="X57" s="2" t="s">
        <v>363</v>
      </c>
      <c r="Y57" s="2" t="s">
        <v>444</v>
      </c>
      <c r="Z57" s="4">
        <v>35</v>
      </c>
      <c r="AA57" s="4">
        <f>=ROUNDDOWN(8.75,0)</f>
      </c>
      <c r="AB57" s="5">
        <v>4</v>
      </c>
      <c r="AC57" s="2" t="s">
        <v>99</v>
      </c>
      <c r="AD57" s="4"/>
      <c r="AE57" s="4"/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/>
      <c r="BJ57" s="4">
        <v>26</v>
      </c>
      <c r="BK57" s="8">
        <v>199.17</v>
      </c>
      <c r="BL57" s="2" t="s">
        <v>450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96</v>
      </c>
      <c r="BW57" s="2" t="s">
        <v>99</v>
      </c>
      <c r="BX57" s="2" t="s">
        <v>446</v>
      </c>
      <c r="BY57" s="2" t="s">
        <v>109</v>
      </c>
      <c r="BZ57" s="2" t="s">
        <v>109</v>
      </c>
      <c r="CA57" s="2" t="s">
        <v>99</v>
      </c>
    </row>
    <row r="58">
      <c r="A58" s="2" t="s">
        <v>451</v>
      </c>
      <c r="B58" s="2" t="s">
        <v>88</v>
      </c>
      <c r="C58" s="2" t="s">
        <v>203</v>
      </c>
      <c r="D58" s="2" t="s">
        <v>367</v>
      </c>
      <c r="E58" s="2" t="s">
        <v>368</v>
      </c>
      <c r="F58" s="2" t="s">
        <v>452</v>
      </c>
      <c r="G58" s="2" t="s">
        <v>452</v>
      </c>
      <c r="H58" s="2" t="s">
        <v>452</v>
      </c>
      <c r="I58" s="2" t="s">
        <v>453</v>
      </c>
      <c r="J58" s="2" t="s">
        <v>273</v>
      </c>
      <c r="K58" s="2" t="s">
        <v>379</v>
      </c>
      <c r="L58" s="3">
        <v>45.74</v>
      </c>
      <c r="M58" s="3">
        <v>48.03</v>
      </c>
      <c r="N58" s="3">
        <v>89.24</v>
      </c>
      <c r="O58" s="2" t="s">
        <v>304</v>
      </c>
      <c r="P58" s="2" t="s">
        <v>188</v>
      </c>
      <c r="Q58" s="2" t="s">
        <v>98</v>
      </c>
      <c r="R58" s="2" t="s">
        <v>99</v>
      </c>
      <c r="S58" s="2" t="s">
        <v>454</v>
      </c>
      <c r="T58" s="2" t="s">
        <v>99</v>
      </c>
      <c r="U58" s="2" t="s">
        <v>156</v>
      </c>
      <c r="V58" s="2" t="s">
        <v>181</v>
      </c>
      <c r="W58" s="2" t="s">
        <v>158</v>
      </c>
      <c r="X58" s="2" t="s">
        <v>99</v>
      </c>
      <c r="Y58" s="2" t="s">
        <v>455</v>
      </c>
      <c r="Z58" s="4">
        <v>30</v>
      </c>
      <c r="AA58" s="4">
        <f>=ROUNDDOWN(7.14285714285714,0)</f>
      </c>
      <c r="AB58" s="5">
        <v>4.2</v>
      </c>
      <c r="AC58" s="2" t="s">
        <v>99</v>
      </c>
      <c r="AD58" s="4"/>
      <c r="AE58" s="4"/>
      <c r="AF58" s="6">
        <v>61</v>
      </c>
      <c r="AG58" s="6">
        <v>44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11</v>
      </c>
      <c r="BK58" s="8">
        <v>617.16</v>
      </c>
      <c r="BL58" s="2" t="s">
        <v>456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96</v>
      </c>
      <c r="BW58" s="2" t="s">
        <v>99</v>
      </c>
      <c r="BX58" s="2" t="s">
        <v>390</v>
      </c>
      <c r="BY58" s="2" t="s">
        <v>109</v>
      </c>
      <c r="BZ58" s="2" t="s">
        <v>109</v>
      </c>
      <c r="CA58" s="2" t="s">
        <v>99</v>
      </c>
    </row>
    <row r="59">
      <c r="A59" s="2" t="s">
        <v>457</v>
      </c>
      <c r="B59" s="2" t="s">
        <v>88</v>
      </c>
      <c r="C59" s="2" t="s">
        <v>203</v>
      </c>
      <c r="D59" s="2" t="s">
        <v>367</v>
      </c>
      <c r="E59" s="2" t="s">
        <v>368</v>
      </c>
      <c r="F59" s="2" t="s">
        <v>452</v>
      </c>
      <c r="G59" s="2" t="s">
        <v>452</v>
      </c>
      <c r="H59" s="2" t="s">
        <v>452</v>
      </c>
      <c r="I59" s="2" t="s">
        <v>453</v>
      </c>
      <c r="J59" s="2" t="s">
        <v>273</v>
      </c>
      <c r="K59" s="2" t="s">
        <v>458</v>
      </c>
      <c r="L59" s="3">
        <v>45.74</v>
      </c>
      <c r="M59" s="3">
        <v>48.03</v>
      </c>
      <c r="N59" s="3">
        <v>89.24</v>
      </c>
      <c r="O59" s="2" t="s">
        <v>304</v>
      </c>
      <c r="P59" s="2" t="s">
        <v>188</v>
      </c>
      <c r="Q59" s="2" t="s">
        <v>98</v>
      </c>
      <c r="R59" s="2" t="s">
        <v>99</v>
      </c>
      <c r="S59" s="2" t="s">
        <v>459</v>
      </c>
      <c r="T59" s="2" t="s">
        <v>99</v>
      </c>
      <c r="U59" s="2" t="s">
        <v>156</v>
      </c>
      <c r="V59" s="2" t="s">
        <v>181</v>
      </c>
      <c r="W59" s="2" t="s">
        <v>158</v>
      </c>
      <c r="X59" s="2" t="s">
        <v>99</v>
      </c>
      <c r="Y59" s="2" t="s">
        <v>164</v>
      </c>
      <c r="Z59" s="4">
        <v>13</v>
      </c>
      <c r="AA59" s="4">
        <f>=ROUNDDOWN(9.28571428571429,0)</f>
      </c>
      <c r="AB59" s="5">
        <v>1.4</v>
      </c>
      <c r="AC59" s="2" t="s">
        <v>99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>
        <v>5</v>
      </c>
      <c r="BK59" s="8">
        <v>282.56</v>
      </c>
      <c r="BL59" s="2" t="s">
        <v>460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96</v>
      </c>
      <c r="BW59" s="2" t="s">
        <v>99</v>
      </c>
      <c r="BX59" s="2" t="s">
        <v>390</v>
      </c>
      <c r="BY59" s="2" t="s">
        <v>109</v>
      </c>
      <c r="BZ59" s="2" t="s">
        <v>109</v>
      </c>
      <c r="CA59" s="2" t="s">
        <v>99</v>
      </c>
    </row>
    <row r="60">
      <c r="A60" s="2" t="s">
        <v>461</v>
      </c>
      <c r="B60" s="2" t="s">
        <v>88</v>
      </c>
      <c r="C60" s="2" t="s">
        <v>203</v>
      </c>
      <c r="D60" s="2" t="s">
        <v>367</v>
      </c>
      <c r="E60" s="2" t="s">
        <v>368</v>
      </c>
      <c r="F60" s="2" t="s">
        <v>462</v>
      </c>
      <c r="G60" s="2" t="s">
        <v>462</v>
      </c>
      <c r="H60" s="2" t="s">
        <v>462</v>
      </c>
      <c r="I60" s="2" t="s">
        <v>463</v>
      </c>
      <c r="J60" s="2" t="s">
        <v>464</v>
      </c>
      <c r="K60" s="2" t="s">
        <v>465</v>
      </c>
      <c r="L60" s="3">
        <v>50</v>
      </c>
      <c r="M60" s="3">
        <v>52.5</v>
      </c>
      <c r="N60" s="3">
        <v>104.99</v>
      </c>
      <c r="O60" s="2" t="s">
        <v>96</v>
      </c>
      <c r="P60" s="2" t="s">
        <v>317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99</v>
      </c>
      <c r="V60" s="2" t="s">
        <v>211</v>
      </c>
      <c r="W60" s="2" t="s">
        <v>158</v>
      </c>
      <c r="X60" s="2" t="s">
        <v>466</v>
      </c>
      <c r="Y60" s="2" t="s">
        <v>467</v>
      </c>
      <c r="Z60" s="4">
        <v>50</v>
      </c>
      <c r="AA60" s="4">
        <f>=ROUNDDOWN(33.3333333333333,0)</f>
      </c>
      <c r="AB60" s="5">
        <v>1.5</v>
      </c>
      <c r="AC60" s="2" t="s">
        <v>99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10</v>
      </c>
      <c r="BK60" s="8">
        <v>422.66</v>
      </c>
      <c r="BL60" s="2" t="s">
        <v>339</v>
      </c>
      <c r="BM60" s="7"/>
      <c r="BN60" s="7"/>
      <c r="BO60" s="4"/>
      <c r="BP60" s="8"/>
      <c r="BQ60" s="4"/>
      <c r="BR60" s="8"/>
      <c r="BS60" s="7"/>
      <c r="BT60" s="7"/>
      <c r="BU60" s="2" t="s">
        <v>306</v>
      </c>
      <c r="BV60" s="2" t="s">
        <v>96</v>
      </c>
      <c r="BW60" s="2" t="s">
        <v>99</v>
      </c>
      <c r="BX60" s="2" t="s">
        <v>99</v>
      </c>
      <c r="BY60" s="2" t="s">
        <v>109</v>
      </c>
      <c r="BZ60" s="2" t="s">
        <v>109</v>
      </c>
      <c r="CA60" s="2" t="s">
        <v>99</v>
      </c>
    </row>
    <row r="61">
      <c r="A61" s="2" t="s">
        <v>468</v>
      </c>
      <c r="B61" s="2" t="s">
        <v>88</v>
      </c>
      <c r="C61" s="2" t="s">
        <v>203</v>
      </c>
      <c r="D61" s="2" t="s">
        <v>367</v>
      </c>
      <c r="E61" s="2" t="s">
        <v>368</v>
      </c>
      <c r="F61" s="2" t="s">
        <v>469</v>
      </c>
      <c r="G61" s="2" t="s">
        <v>469</v>
      </c>
      <c r="H61" s="2" t="s">
        <v>469</v>
      </c>
      <c r="I61" s="2" t="s">
        <v>470</v>
      </c>
      <c r="J61" s="2" t="s">
        <v>219</v>
      </c>
      <c r="K61" s="2" t="s">
        <v>118</v>
      </c>
      <c r="L61" s="3">
        <v>61.71</v>
      </c>
      <c r="M61" s="3">
        <v>64.8</v>
      </c>
      <c r="N61" s="3">
        <v>127.49</v>
      </c>
      <c r="O61" s="2" t="s">
        <v>304</v>
      </c>
      <c r="P61" s="2" t="s">
        <v>188</v>
      </c>
      <c r="Q61" s="2" t="s">
        <v>98</v>
      </c>
      <c r="R61" s="2" t="s">
        <v>99</v>
      </c>
      <c r="S61" s="2" t="s">
        <v>471</v>
      </c>
      <c r="T61" s="2" t="s">
        <v>99</v>
      </c>
      <c r="U61" s="2" t="s">
        <v>210</v>
      </c>
      <c r="V61" s="2" t="s">
        <v>181</v>
      </c>
      <c r="W61" s="2" t="s">
        <v>102</v>
      </c>
      <c r="X61" s="2" t="s">
        <v>103</v>
      </c>
      <c r="Y61" s="2" t="s">
        <v>199</v>
      </c>
      <c r="Z61" s="4">
        <v>16</v>
      </c>
      <c r="AA61" s="4">
        <f>=ROUNDDOWN(4.84848484848485,0)</f>
      </c>
      <c r="AB61" s="5">
        <v>3.3</v>
      </c>
      <c r="AC61" s="2" t="s">
        <v>99</v>
      </c>
      <c r="AD61" s="4"/>
      <c r="AE61" s="4"/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12</v>
      </c>
      <c r="BK61" s="8">
        <v>879.12</v>
      </c>
      <c r="BL61" s="2" t="s">
        <v>472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96</v>
      </c>
      <c r="BW61" s="2" t="s">
        <v>99</v>
      </c>
      <c r="BX61" s="2" t="s">
        <v>201</v>
      </c>
      <c r="BY61" s="2" t="s">
        <v>109</v>
      </c>
      <c r="BZ61" s="2" t="s">
        <v>109</v>
      </c>
      <c r="CA61" s="2" t="s">
        <v>99</v>
      </c>
    </row>
    <row r="62">
      <c r="A62" s="2" t="s">
        <v>473</v>
      </c>
      <c r="B62" s="2" t="s">
        <v>88</v>
      </c>
      <c r="C62" s="2" t="s">
        <v>203</v>
      </c>
      <c r="D62" s="2" t="s">
        <v>367</v>
      </c>
      <c r="E62" s="2" t="s">
        <v>368</v>
      </c>
      <c r="F62" s="2" t="s">
        <v>474</v>
      </c>
      <c r="G62" s="2" t="s">
        <v>474</v>
      </c>
      <c r="H62" s="2" t="s">
        <v>474</v>
      </c>
      <c r="I62" s="2" t="s">
        <v>475</v>
      </c>
      <c r="J62" s="2" t="s">
        <v>227</v>
      </c>
      <c r="K62" s="2" t="s">
        <v>476</v>
      </c>
      <c r="L62" s="3">
        <v>40.47</v>
      </c>
      <c r="M62" s="3">
        <v>42.49</v>
      </c>
      <c r="N62" s="3">
        <v>84.99</v>
      </c>
      <c r="O62" s="2" t="s">
        <v>96</v>
      </c>
      <c r="P62" s="2" t="s">
        <v>131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100</v>
      </c>
      <c r="V62" s="2" t="s">
        <v>388</v>
      </c>
      <c r="W62" s="2" t="s">
        <v>330</v>
      </c>
      <c r="X62" s="2" t="s">
        <v>363</v>
      </c>
      <c r="Y62" s="2" t="s">
        <v>477</v>
      </c>
      <c r="Z62" s="4">
        <v>152</v>
      </c>
      <c r="AA62" s="4">
        <f>=ROUNDDOWN(38,0)</f>
      </c>
      <c r="AB62" s="5">
        <v>4</v>
      </c>
      <c r="AC62" s="2" t="s">
        <v>99</v>
      </c>
      <c r="AD62" s="4"/>
      <c r="AE62" s="4"/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13</v>
      </c>
      <c r="BK62" s="8">
        <v>689.42</v>
      </c>
      <c r="BL62" s="2" t="s">
        <v>478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96</v>
      </c>
      <c r="BW62" s="2" t="s">
        <v>99</v>
      </c>
      <c r="BX62" s="2" t="s">
        <v>479</v>
      </c>
      <c r="BY62" s="2" t="s">
        <v>109</v>
      </c>
      <c r="BZ62" s="2" t="s">
        <v>109</v>
      </c>
      <c r="CA62" s="2" t="s">
        <v>99</v>
      </c>
    </row>
    <row r="63">
      <c r="A63" s="2" t="s">
        <v>480</v>
      </c>
      <c r="B63" s="2" t="s">
        <v>88</v>
      </c>
      <c r="C63" s="2" t="s">
        <v>203</v>
      </c>
      <c r="D63" s="2" t="s">
        <v>367</v>
      </c>
      <c r="E63" s="2" t="s">
        <v>368</v>
      </c>
      <c r="F63" s="2" t="s">
        <v>481</v>
      </c>
      <c r="G63" s="2" t="s">
        <v>481</v>
      </c>
      <c r="H63" s="2" t="s">
        <v>481</v>
      </c>
      <c r="I63" s="2" t="s">
        <v>482</v>
      </c>
      <c r="J63" s="2" t="s">
        <v>227</v>
      </c>
      <c r="K63" s="2" t="s">
        <v>483</v>
      </c>
      <c r="L63" s="3">
        <v>6.66</v>
      </c>
      <c r="M63" s="3">
        <v>6.99</v>
      </c>
      <c r="N63" s="3">
        <v>19.99</v>
      </c>
      <c r="O63" s="2" t="s">
        <v>304</v>
      </c>
      <c r="P63" s="2" t="s">
        <v>188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100</v>
      </c>
      <c r="V63" s="2" t="s">
        <v>329</v>
      </c>
      <c r="W63" s="2" t="s">
        <v>291</v>
      </c>
      <c r="X63" s="2" t="s">
        <v>363</v>
      </c>
      <c r="Y63" s="2" t="s">
        <v>444</v>
      </c>
      <c r="Z63" s="4">
        <v>19</v>
      </c>
      <c r="AA63" s="4">
        <f>=ROUNDDOWN(7.03703703703704,0)</f>
      </c>
      <c r="AB63" s="5">
        <v>2.7</v>
      </c>
      <c r="AC63" s="2" t="s">
        <v>99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>
        <v>10</v>
      </c>
      <c r="BK63" s="8">
        <v>71.03</v>
      </c>
      <c r="BL63" s="2" t="s">
        <v>484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96</v>
      </c>
      <c r="BW63" s="2" t="s">
        <v>99</v>
      </c>
      <c r="BX63" s="2" t="s">
        <v>446</v>
      </c>
      <c r="BY63" s="2" t="s">
        <v>109</v>
      </c>
      <c r="BZ63" s="2" t="s">
        <v>109</v>
      </c>
      <c r="CA63" s="2" t="s">
        <v>99</v>
      </c>
    </row>
    <row r="64">
      <c r="A64" s="2" t="s">
        <v>485</v>
      </c>
      <c r="B64" s="2" t="s">
        <v>88</v>
      </c>
      <c r="C64" s="2" t="s">
        <v>203</v>
      </c>
      <c r="D64" s="2" t="s">
        <v>367</v>
      </c>
      <c r="E64" s="2" t="s">
        <v>368</v>
      </c>
      <c r="F64" s="2" t="s">
        <v>481</v>
      </c>
      <c r="G64" s="2" t="s">
        <v>481</v>
      </c>
      <c r="H64" s="2" t="s">
        <v>481</v>
      </c>
      <c r="I64" s="2" t="s">
        <v>486</v>
      </c>
      <c r="J64" s="2" t="s">
        <v>227</v>
      </c>
      <c r="K64" s="2" t="s">
        <v>487</v>
      </c>
      <c r="L64" s="3">
        <v>6.66</v>
      </c>
      <c r="M64" s="3">
        <v>6.99</v>
      </c>
      <c r="N64" s="3">
        <v>19.99</v>
      </c>
      <c r="O64" s="2" t="s">
        <v>443</v>
      </c>
      <c r="P64" s="2" t="s">
        <v>188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100</v>
      </c>
      <c r="V64" s="2" t="s">
        <v>329</v>
      </c>
      <c r="W64" s="2" t="s">
        <v>291</v>
      </c>
      <c r="X64" s="2" t="s">
        <v>363</v>
      </c>
      <c r="Y64" s="2" t="s">
        <v>444</v>
      </c>
      <c r="Z64" s="4">
        <v>41</v>
      </c>
      <c r="AA64" s="4">
        <f>=ROUNDDOWN(12.8125,0)</f>
      </c>
      <c r="AB64" s="5">
        <v>3.2</v>
      </c>
      <c r="AC64" s="2" t="s">
        <v>99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17</v>
      </c>
      <c r="BK64" s="8">
        <v>130.66</v>
      </c>
      <c r="BL64" s="2" t="s">
        <v>488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122</v>
      </c>
      <c r="BW64" s="2" t="s">
        <v>99</v>
      </c>
      <c r="BX64" s="2" t="s">
        <v>446</v>
      </c>
      <c r="BY64" s="2" t="s">
        <v>109</v>
      </c>
      <c r="BZ64" s="2" t="s">
        <v>109</v>
      </c>
      <c r="CA64" s="2" t="s">
        <v>99</v>
      </c>
    </row>
    <row r="65">
      <c r="A65" s="2" t="s">
        <v>489</v>
      </c>
      <c r="B65" s="2" t="s">
        <v>88</v>
      </c>
      <c r="C65" s="2" t="s">
        <v>203</v>
      </c>
      <c r="D65" s="2" t="s">
        <v>367</v>
      </c>
      <c r="E65" s="2" t="s">
        <v>351</v>
      </c>
      <c r="F65" s="2" t="s">
        <v>490</v>
      </c>
      <c r="G65" s="2" t="s">
        <v>490</v>
      </c>
      <c r="H65" s="2" t="s">
        <v>490</v>
      </c>
      <c r="I65" s="2" t="s">
        <v>491</v>
      </c>
      <c r="J65" s="2" t="s">
        <v>219</v>
      </c>
      <c r="K65" s="2" t="s">
        <v>492</v>
      </c>
      <c r="L65" s="3">
        <v>25.25</v>
      </c>
      <c r="M65" s="3">
        <v>26.51</v>
      </c>
      <c r="N65" s="3">
        <v>53.54</v>
      </c>
      <c r="O65" s="2" t="s">
        <v>96</v>
      </c>
      <c r="P65" s="2" t="s">
        <v>131</v>
      </c>
      <c r="Q65" s="2" t="s">
        <v>98</v>
      </c>
      <c r="R65" s="2" t="s">
        <v>99</v>
      </c>
      <c r="S65" s="2" t="s">
        <v>493</v>
      </c>
      <c r="T65" s="2" t="s">
        <v>99</v>
      </c>
      <c r="U65" s="2" t="s">
        <v>210</v>
      </c>
      <c r="V65" s="2" t="s">
        <v>494</v>
      </c>
      <c r="W65" s="2" t="s">
        <v>102</v>
      </c>
      <c r="X65" s="2" t="s">
        <v>99</v>
      </c>
      <c r="Y65" s="2" t="s">
        <v>495</v>
      </c>
      <c r="Z65" s="4">
        <v>130</v>
      </c>
      <c r="AA65" s="4">
        <f>=ROUNDDOWN(10.8333333333333,0)</f>
      </c>
      <c r="AB65" s="5">
        <v>12</v>
      </c>
      <c r="AC65" s="2" t="s">
        <v>183</v>
      </c>
      <c r="AD65" s="4">
        <v>274</v>
      </c>
      <c r="AE65" s="4">
        <v>274</v>
      </c>
      <c r="AF65" s="6">
        <v>61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8</v>
      </c>
      <c r="AQ65" s="8">
        <v>273.28</v>
      </c>
      <c r="AR65" s="4"/>
      <c r="AS65" s="8"/>
      <c r="AT65" s="7"/>
      <c r="AU65" s="7"/>
      <c r="AV65" s="4">
        <v>8</v>
      </c>
      <c r="AW65" s="8">
        <v>273.28</v>
      </c>
      <c r="AX65" s="4"/>
      <c r="AY65" s="8"/>
      <c r="AZ65" s="7"/>
      <c r="BA65" s="7"/>
      <c r="BB65" s="7">
        <v>1</v>
      </c>
      <c r="BC65" s="4">
        <v>8</v>
      </c>
      <c r="BD65" s="8">
        <v>273.28</v>
      </c>
      <c r="BE65" s="4"/>
      <c r="BF65" s="8"/>
      <c r="BG65" s="7"/>
      <c r="BH65" s="7"/>
      <c r="BI65" s="7">
        <v>1</v>
      </c>
      <c r="BJ65" s="4">
        <v>56</v>
      </c>
      <c r="BK65" s="8">
        <v>1452.83</v>
      </c>
      <c r="BL65" s="2" t="s">
        <v>496</v>
      </c>
      <c r="BM65" s="7">
        <v>0.1429</v>
      </c>
      <c r="BN65" s="7">
        <v>0.1881</v>
      </c>
      <c r="BO65" s="4">
        <v>8</v>
      </c>
      <c r="BP65" s="8">
        <v>273.28</v>
      </c>
      <c r="BQ65" s="4"/>
      <c r="BR65" s="8"/>
      <c r="BS65" s="7"/>
      <c r="BT65" s="7"/>
      <c r="BU65" s="2" t="s">
        <v>107</v>
      </c>
      <c r="BV65" s="2" t="s">
        <v>96</v>
      </c>
      <c r="BW65" s="2" t="s">
        <v>99</v>
      </c>
      <c r="BX65" s="2" t="s">
        <v>497</v>
      </c>
      <c r="BY65" s="2" t="s">
        <v>109</v>
      </c>
      <c r="BZ65" s="2" t="s">
        <v>109</v>
      </c>
      <c r="CA65" s="2" t="s">
        <v>99</v>
      </c>
    </row>
    <row r="66">
      <c r="A66" s="2" t="s">
        <v>498</v>
      </c>
      <c r="B66" s="2" t="s">
        <v>88</v>
      </c>
      <c r="C66" s="2" t="s">
        <v>203</v>
      </c>
      <c r="D66" s="2" t="s">
        <v>367</v>
      </c>
      <c r="E66" s="2" t="s">
        <v>351</v>
      </c>
      <c r="F66" s="2" t="s">
        <v>499</v>
      </c>
      <c r="G66" s="2" t="s">
        <v>499</v>
      </c>
      <c r="H66" s="2" t="s">
        <v>499</v>
      </c>
      <c r="I66" s="2" t="s">
        <v>500</v>
      </c>
      <c r="J66" s="2" t="s">
        <v>501</v>
      </c>
      <c r="K66" s="2" t="s">
        <v>234</v>
      </c>
      <c r="L66" s="3">
        <v>76.19</v>
      </c>
      <c r="M66" s="3">
        <v>80</v>
      </c>
      <c r="N66" s="3">
        <v>140.24</v>
      </c>
      <c r="O66" s="2" t="s">
        <v>96</v>
      </c>
      <c r="P66" s="2" t="s">
        <v>188</v>
      </c>
      <c r="Q66" s="2" t="s">
        <v>98</v>
      </c>
      <c r="R66" s="2" t="s">
        <v>99</v>
      </c>
      <c r="S66" s="2" t="s">
        <v>502</v>
      </c>
      <c r="T66" s="2" t="s">
        <v>99</v>
      </c>
      <c r="U66" s="2" t="s">
        <v>503</v>
      </c>
      <c r="V66" s="2" t="s">
        <v>181</v>
      </c>
      <c r="W66" s="2" t="s">
        <v>102</v>
      </c>
      <c r="X66" s="2" t="s">
        <v>99</v>
      </c>
      <c r="Y66" s="2" t="s">
        <v>504</v>
      </c>
      <c r="Z66" s="4">
        <v>11</v>
      </c>
      <c r="AA66" s="4">
        <f>=ROUNDDOWN(3.05555555555556,0)</f>
      </c>
      <c r="AB66" s="5">
        <v>3.6</v>
      </c>
      <c r="AC66" s="2" t="s">
        <v>99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3</v>
      </c>
      <c r="AQ66" s="8">
        <v>262.29</v>
      </c>
      <c r="AR66" s="4"/>
      <c r="AS66" s="8"/>
      <c r="AT66" s="7"/>
      <c r="AU66" s="7"/>
      <c r="AV66" s="4">
        <v>3</v>
      </c>
      <c r="AW66" s="8">
        <v>262.29</v>
      </c>
      <c r="AX66" s="4"/>
      <c r="AY66" s="8"/>
      <c r="AZ66" s="7"/>
      <c r="BA66" s="7"/>
      <c r="BB66" s="7">
        <v>1</v>
      </c>
      <c r="BC66" s="4">
        <v>3</v>
      </c>
      <c r="BD66" s="8">
        <v>262.29</v>
      </c>
      <c r="BE66" s="4"/>
      <c r="BF66" s="8"/>
      <c r="BG66" s="7"/>
      <c r="BH66" s="7"/>
      <c r="BI66" s="7">
        <v>1</v>
      </c>
      <c r="BJ66" s="4">
        <v>21</v>
      </c>
      <c r="BK66" s="8">
        <v>1819.93</v>
      </c>
      <c r="BL66" s="2" t="s">
        <v>505</v>
      </c>
      <c r="BM66" s="7">
        <v>0.1429</v>
      </c>
      <c r="BN66" s="7">
        <v>0.1441</v>
      </c>
      <c r="BO66" s="4">
        <v>3</v>
      </c>
      <c r="BP66" s="8">
        <v>262.29</v>
      </c>
      <c r="BQ66" s="4"/>
      <c r="BR66" s="8"/>
      <c r="BS66" s="7"/>
      <c r="BT66" s="7"/>
      <c r="BU66" s="2" t="s">
        <v>107</v>
      </c>
      <c r="BV66" s="2" t="s">
        <v>96</v>
      </c>
      <c r="BW66" s="2" t="s">
        <v>99</v>
      </c>
      <c r="BX66" s="2" t="s">
        <v>506</v>
      </c>
      <c r="BY66" s="2" t="s">
        <v>109</v>
      </c>
      <c r="BZ66" s="2" t="s">
        <v>109</v>
      </c>
      <c r="CA66" s="2" t="s">
        <v>99</v>
      </c>
    </row>
    <row r="67">
      <c r="A67" s="2" t="s">
        <v>507</v>
      </c>
      <c r="B67" s="2" t="s">
        <v>88</v>
      </c>
      <c r="C67" s="2" t="s">
        <v>203</v>
      </c>
      <c r="D67" s="2" t="s">
        <v>367</v>
      </c>
      <c r="E67" s="2" t="s">
        <v>351</v>
      </c>
      <c r="F67" s="2" t="s">
        <v>508</v>
      </c>
      <c r="G67" s="2" t="s">
        <v>99</v>
      </c>
      <c r="H67" s="2" t="s">
        <v>99</v>
      </c>
      <c r="I67" s="2" t="s">
        <v>509</v>
      </c>
      <c r="J67" s="2" t="s">
        <v>464</v>
      </c>
      <c r="K67" s="2" t="s">
        <v>274</v>
      </c>
      <c r="L67" s="3">
        <v>24.5</v>
      </c>
      <c r="M67" s="3">
        <v>25.72</v>
      </c>
      <c r="N67" s="3">
        <v>50.99</v>
      </c>
      <c r="O67" s="2" t="s">
        <v>304</v>
      </c>
      <c r="P67" s="2" t="s">
        <v>188</v>
      </c>
      <c r="Q67" s="2" t="s">
        <v>98</v>
      </c>
      <c r="R67" s="2" t="s">
        <v>99</v>
      </c>
      <c r="S67" s="2" t="s">
        <v>510</v>
      </c>
      <c r="T67" s="2" t="s">
        <v>99</v>
      </c>
      <c r="U67" s="2" t="s">
        <v>511</v>
      </c>
      <c r="V67" s="2" t="s">
        <v>212</v>
      </c>
      <c r="W67" s="2" t="s">
        <v>212</v>
      </c>
      <c r="X67" s="2" t="s">
        <v>99</v>
      </c>
      <c r="Y67" s="2" t="s">
        <v>512</v>
      </c>
      <c r="Z67" s="4">
        <v>22</v>
      </c>
      <c r="AA67" s="4">
        <f>=ROUNDDOWN(5.5,0)</f>
      </c>
      <c r="AB67" s="5">
        <v>4</v>
      </c>
      <c r="AC67" s="2" t="s">
        <v>99</v>
      </c>
      <c r="AD67" s="4"/>
      <c r="AE67" s="4"/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7</v>
      </c>
      <c r="AQ67" s="8">
        <v>198.17</v>
      </c>
      <c r="AR67" s="4"/>
      <c r="AS67" s="8"/>
      <c r="AT67" s="7"/>
      <c r="AU67" s="7"/>
      <c r="AV67" s="4">
        <v>7</v>
      </c>
      <c r="AW67" s="8">
        <v>198.17</v>
      </c>
      <c r="AX67" s="4"/>
      <c r="AY67" s="8"/>
      <c r="AZ67" s="7"/>
      <c r="BA67" s="7"/>
      <c r="BB67" s="7">
        <v>1</v>
      </c>
      <c r="BC67" s="4">
        <v>7</v>
      </c>
      <c r="BD67" s="8">
        <v>198.17</v>
      </c>
      <c r="BE67" s="4"/>
      <c r="BF67" s="8"/>
      <c r="BG67" s="7"/>
      <c r="BH67" s="7"/>
      <c r="BI67" s="7">
        <v>1</v>
      </c>
      <c r="BJ67" s="4">
        <v>11</v>
      </c>
      <c r="BK67" s="8">
        <v>315.45</v>
      </c>
      <c r="BL67" s="2" t="s">
        <v>513</v>
      </c>
      <c r="BM67" s="7">
        <v>0.6364</v>
      </c>
      <c r="BN67" s="7">
        <v>0.6282</v>
      </c>
      <c r="BO67" s="4">
        <v>7</v>
      </c>
      <c r="BP67" s="8">
        <v>198.17</v>
      </c>
      <c r="BQ67" s="4"/>
      <c r="BR67" s="8"/>
      <c r="BS67" s="7"/>
      <c r="BT67" s="7"/>
      <c r="BU67" s="2" t="s">
        <v>107</v>
      </c>
      <c r="BV67" s="2" t="s">
        <v>96</v>
      </c>
      <c r="BW67" s="2" t="s">
        <v>99</v>
      </c>
      <c r="BX67" s="2" t="s">
        <v>390</v>
      </c>
      <c r="BY67" s="2" t="s">
        <v>109</v>
      </c>
      <c r="BZ67" s="2" t="s">
        <v>109</v>
      </c>
      <c r="CA67" s="2" t="s">
        <v>99</v>
      </c>
    </row>
    <row r="68">
      <c r="A68" s="2" t="s">
        <v>514</v>
      </c>
      <c r="B68" s="2" t="s">
        <v>88</v>
      </c>
      <c r="C68" s="2" t="s">
        <v>203</v>
      </c>
      <c r="D68" s="2" t="s">
        <v>367</v>
      </c>
      <c r="E68" s="2" t="s">
        <v>351</v>
      </c>
      <c r="F68" s="2" t="s">
        <v>515</v>
      </c>
      <c r="G68" s="2" t="s">
        <v>515</v>
      </c>
      <c r="H68" s="2" t="s">
        <v>515</v>
      </c>
      <c r="I68" s="2" t="s">
        <v>516</v>
      </c>
      <c r="J68" s="2" t="s">
        <v>227</v>
      </c>
      <c r="K68" s="2" t="s">
        <v>274</v>
      </c>
      <c r="L68" s="3">
        <v>45.33</v>
      </c>
      <c r="M68" s="3">
        <v>47.6</v>
      </c>
      <c r="N68" s="3">
        <v>101.99</v>
      </c>
      <c r="O68" s="2" t="s">
        <v>96</v>
      </c>
      <c r="P68" s="2" t="s">
        <v>188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100</v>
      </c>
      <c r="V68" s="2" t="s">
        <v>181</v>
      </c>
      <c r="W68" s="2" t="s">
        <v>102</v>
      </c>
      <c r="X68" s="2" t="s">
        <v>99</v>
      </c>
      <c r="Y68" s="2" t="s">
        <v>517</v>
      </c>
      <c r="Z68" s="4">
        <v>60</v>
      </c>
      <c r="AA68" s="4">
        <f>=ROUNDDOWN(15.7894736842105,0)</f>
      </c>
      <c r="AB68" s="5">
        <v>3.8</v>
      </c>
      <c r="AC68" s="2" t="s">
        <v>99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3</v>
      </c>
      <c r="AQ68" s="8">
        <v>156.39</v>
      </c>
      <c r="AR68" s="4"/>
      <c r="AS68" s="8"/>
      <c r="AT68" s="7"/>
      <c r="AU68" s="7"/>
      <c r="AV68" s="4">
        <v>3</v>
      </c>
      <c r="AW68" s="8">
        <v>156.39</v>
      </c>
      <c r="AX68" s="4"/>
      <c r="AY68" s="8"/>
      <c r="AZ68" s="7"/>
      <c r="BA68" s="7"/>
      <c r="BB68" s="7">
        <v>1</v>
      </c>
      <c r="BC68" s="4">
        <v>3</v>
      </c>
      <c r="BD68" s="8">
        <v>156.39</v>
      </c>
      <c r="BE68" s="4"/>
      <c r="BF68" s="8"/>
      <c r="BG68" s="7"/>
      <c r="BH68" s="7"/>
      <c r="BI68" s="7">
        <v>1</v>
      </c>
      <c r="BJ68" s="4">
        <v>15</v>
      </c>
      <c r="BK68" s="8">
        <v>773.27</v>
      </c>
      <c r="BL68" s="2" t="s">
        <v>518</v>
      </c>
      <c r="BM68" s="7">
        <v>0.2</v>
      </c>
      <c r="BN68" s="7">
        <v>0.2022</v>
      </c>
      <c r="BO68" s="4">
        <v>3</v>
      </c>
      <c r="BP68" s="8">
        <v>156.39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99</v>
      </c>
      <c r="BX68" s="2" t="s">
        <v>519</v>
      </c>
      <c r="BY68" s="2" t="s">
        <v>109</v>
      </c>
      <c r="BZ68" s="2" t="s">
        <v>109</v>
      </c>
      <c r="CA68" s="2" t="s">
        <v>99</v>
      </c>
    </row>
    <row r="69">
      <c r="A69" s="2" t="s">
        <v>520</v>
      </c>
      <c r="B69" s="2" t="s">
        <v>88</v>
      </c>
      <c r="C69" s="2" t="s">
        <v>203</v>
      </c>
      <c r="D69" s="2" t="s">
        <v>367</v>
      </c>
      <c r="E69" s="2" t="s">
        <v>351</v>
      </c>
      <c r="F69" s="2" t="s">
        <v>462</v>
      </c>
      <c r="G69" s="2" t="s">
        <v>462</v>
      </c>
      <c r="H69" s="2" t="s">
        <v>462</v>
      </c>
      <c r="I69" s="2" t="s">
        <v>521</v>
      </c>
      <c r="J69" s="2" t="s">
        <v>464</v>
      </c>
      <c r="K69" s="2" t="s">
        <v>465</v>
      </c>
      <c r="L69" s="3">
        <v>63.6</v>
      </c>
      <c r="M69" s="3">
        <v>66.78</v>
      </c>
      <c r="N69" s="3">
        <v>124.94</v>
      </c>
      <c r="O69" s="2" t="s">
        <v>96</v>
      </c>
      <c r="P69" s="2" t="s">
        <v>131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511</v>
      </c>
      <c r="V69" s="2" t="s">
        <v>211</v>
      </c>
      <c r="W69" s="2" t="s">
        <v>158</v>
      </c>
      <c r="X69" s="2" t="s">
        <v>522</v>
      </c>
      <c r="Y69" s="2" t="s">
        <v>523</v>
      </c>
      <c r="Z69" s="4">
        <v>142</v>
      </c>
      <c r="AA69" s="4">
        <f>=ROUNDDOWN(15.9550561797753,0)</f>
      </c>
      <c r="AB69" s="5">
        <v>8.9</v>
      </c>
      <c r="AC69" s="2" t="s">
        <v>332</v>
      </c>
      <c r="AD69" s="4">
        <v>26</v>
      </c>
      <c r="AE69" s="4">
        <v>186</v>
      </c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73.14</v>
      </c>
      <c r="AR69" s="4"/>
      <c r="AS69" s="8"/>
      <c r="AT69" s="7"/>
      <c r="AU69" s="7"/>
      <c r="AV69" s="4">
        <v>1</v>
      </c>
      <c r="AW69" s="8">
        <v>73.14</v>
      </c>
      <c r="AX69" s="4"/>
      <c r="AY69" s="8"/>
      <c r="AZ69" s="7"/>
      <c r="BA69" s="7"/>
      <c r="BB69" s="7">
        <v>1</v>
      </c>
      <c r="BC69" s="4">
        <v>1</v>
      </c>
      <c r="BD69" s="8">
        <v>73.14</v>
      </c>
      <c r="BE69" s="4"/>
      <c r="BF69" s="8"/>
      <c r="BG69" s="7"/>
      <c r="BH69" s="7"/>
      <c r="BI69" s="7">
        <v>1</v>
      </c>
      <c r="BJ69" s="4">
        <v>34</v>
      </c>
      <c r="BK69" s="8">
        <v>2219.31</v>
      </c>
      <c r="BL69" s="2" t="s">
        <v>524</v>
      </c>
      <c r="BM69" s="7">
        <v>0.0294</v>
      </c>
      <c r="BN69" s="7">
        <v>0.033</v>
      </c>
      <c r="BO69" s="4">
        <v>1</v>
      </c>
      <c r="BP69" s="8">
        <v>73.14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99</v>
      </c>
      <c r="BX69" s="2" t="s">
        <v>525</v>
      </c>
      <c r="BY69" s="2" t="s">
        <v>109</v>
      </c>
      <c r="BZ69" s="2" t="s">
        <v>109</v>
      </c>
      <c r="CA69" s="2" t="s">
        <v>99</v>
      </c>
    </row>
    <row r="70">
      <c r="A70" s="2" t="s">
        <v>526</v>
      </c>
      <c r="B70" s="2" t="s">
        <v>88</v>
      </c>
      <c r="C70" s="2" t="s">
        <v>203</v>
      </c>
      <c r="D70" s="2" t="s">
        <v>367</v>
      </c>
      <c r="E70" s="2" t="s">
        <v>351</v>
      </c>
      <c r="F70" s="2" t="s">
        <v>527</v>
      </c>
      <c r="G70" s="2" t="s">
        <v>527</v>
      </c>
      <c r="H70" s="2" t="s">
        <v>527</v>
      </c>
      <c r="I70" s="2" t="s">
        <v>528</v>
      </c>
      <c r="J70" s="2" t="s">
        <v>227</v>
      </c>
      <c r="K70" s="2" t="s">
        <v>529</v>
      </c>
      <c r="L70" s="3">
        <v>42.43</v>
      </c>
      <c r="M70" s="3">
        <v>44.55</v>
      </c>
      <c r="N70" s="3">
        <v>89.99</v>
      </c>
      <c r="O70" s="2" t="s">
        <v>304</v>
      </c>
      <c r="P70" s="2" t="s">
        <v>188</v>
      </c>
      <c r="Q70" s="2" t="s">
        <v>98</v>
      </c>
      <c r="R70" s="2" t="s">
        <v>99</v>
      </c>
      <c r="S70" s="2" t="s">
        <v>530</v>
      </c>
      <c r="T70" s="2" t="s">
        <v>99</v>
      </c>
      <c r="U70" s="2" t="s">
        <v>100</v>
      </c>
      <c r="V70" s="2" t="s">
        <v>181</v>
      </c>
      <c r="W70" s="2" t="s">
        <v>102</v>
      </c>
      <c r="X70" s="2" t="s">
        <v>99</v>
      </c>
      <c r="Y70" s="2" t="s">
        <v>199</v>
      </c>
      <c r="Z70" s="4">
        <v>43</v>
      </c>
      <c r="AA70" s="4">
        <f>=ROUNDDOWN(14.3333333333333,0)</f>
      </c>
      <c r="AB70" s="5">
        <v>3</v>
      </c>
      <c r="AC70" s="2" t="s">
        <v>99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7</v>
      </c>
      <c r="BK70" s="8">
        <v>324.33</v>
      </c>
      <c r="BL70" s="2" t="s">
        <v>531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96</v>
      </c>
      <c r="BW70" s="2" t="s">
        <v>99</v>
      </c>
      <c r="BX70" s="2" t="s">
        <v>133</v>
      </c>
      <c r="BY70" s="2" t="s">
        <v>109</v>
      </c>
      <c r="BZ70" s="2" t="s">
        <v>109</v>
      </c>
      <c r="CA70" s="2" t="s">
        <v>99</v>
      </c>
    </row>
    <row r="71">
      <c r="A71" s="2" t="s">
        <v>532</v>
      </c>
      <c r="B71" s="2" t="s">
        <v>88</v>
      </c>
      <c r="C71" s="2" t="s">
        <v>203</v>
      </c>
      <c r="D71" s="2" t="s">
        <v>367</v>
      </c>
      <c r="E71" s="2" t="s">
        <v>351</v>
      </c>
      <c r="F71" s="2" t="s">
        <v>533</v>
      </c>
      <c r="G71" s="2" t="s">
        <v>533</v>
      </c>
      <c r="H71" s="2" t="s">
        <v>533</v>
      </c>
      <c r="I71" s="2" t="s">
        <v>534</v>
      </c>
      <c r="J71" s="2" t="s">
        <v>227</v>
      </c>
      <c r="K71" s="2" t="s">
        <v>220</v>
      </c>
      <c r="L71" s="3">
        <v>15.17</v>
      </c>
      <c r="M71" s="3">
        <v>15.93</v>
      </c>
      <c r="N71" s="3">
        <v>38.24</v>
      </c>
      <c r="O71" s="2" t="s">
        <v>304</v>
      </c>
      <c r="P71" s="2" t="s">
        <v>188</v>
      </c>
      <c r="Q71" s="2" t="s">
        <v>98</v>
      </c>
      <c r="R71" s="2" t="s">
        <v>99</v>
      </c>
      <c r="S71" s="2" t="s">
        <v>535</v>
      </c>
      <c r="T71" s="2" t="s">
        <v>99</v>
      </c>
      <c r="U71" s="2" t="s">
        <v>100</v>
      </c>
      <c r="V71" s="2" t="s">
        <v>388</v>
      </c>
      <c r="W71" s="2" t="s">
        <v>330</v>
      </c>
      <c r="X71" s="2" t="s">
        <v>522</v>
      </c>
      <c r="Y71" s="2" t="s">
        <v>495</v>
      </c>
      <c r="Z71" s="4">
        <v>49</v>
      </c>
      <c r="AA71" s="4">
        <f>=ROUNDDOWN(4.57943925233645,0)</f>
      </c>
      <c r="AB71" s="5">
        <v>10.7</v>
      </c>
      <c r="AC71" s="2" t="s">
        <v>99</v>
      </c>
      <c r="AD71" s="4"/>
      <c r="AE71" s="4"/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12</v>
      </c>
      <c r="BK71" s="8">
        <v>219.38</v>
      </c>
      <c r="BL71" s="2" t="s">
        <v>536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537</v>
      </c>
      <c r="BY71" s="2" t="s">
        <v>109</v>
      </c>
      <c r="BZ71" s="2" t="s">
        <v>109</v>
      </c>
      <c r="CA71" s="2" t="s">
        <v>99</v>
      </c>
    </row>
    <row r="72">
      <c r="A72" s="2" t="s">
        <v>538</v>
      </c>
      <c r="B72" s="2" t="s">
        <v>88</v>
      </c>
      <c r="C72" s="2" t="s">
        <v>203</v>
      </c>
      <c r="D72" s="2" t="s">
        <v>367</v>
      </c>
      <c r="E72" s="2" t="s">
        <v>351</v>
      </c>
      <c r="F72" s="2" t="s">
        <v>539</v>
      </c>
      <c r="G72" s="2" t="s">
        <v>539</v>
      </c>
      <c r="H72" s="2" t="s">
        <v>539</v>
      </c>
      <c r="I72" s="2" t="s">
        <v>540</v>
      </c>
      <c r="J72" s="2" t="s">
        <v>219</v>
      </c>
      <c r="K72" s="2" t="s">
        <v>274</v>
      </c>
      <c r="L72" s="3">
        <v>46.22</v>
      </c>
      <c r="M72" s="3">
        <v>48.53</v>
      </c>
      <c r="N72" s="3">
        <v>89.24</v>
      </c>
      <c r="O72" s="2" t="s">
        <v>304</v>
      </c>
      <c r="P72" s="2" t="s">
        <v>188</v>
      </c>
      <c r="Q72" s="2" t="s">
        <v>98</v>
      </c>
      <c r="R72" s="2" t="s">
        <v>99</v>
      </c>
      <c r="S72" s="2" t="s">
        <v>541</v>
      </c>
      <c r="T72" s="2" t="s">
        <v>99</v>
      </c>
      <c r="U72" s="2" t="s">
        <v>210</v>
      </c>
      <c r="V72" s="2" t="s">
        <v>181</v>
      </c>
      <c r="W72" s="2" t="s">
        <v>102</v>
      </c>
      <c r="X72" s="2" t="s">
        <v>99</v>
      </c>
      <c r="Y72" s="2" t="s">
        <v>542</v>
      </c>
      <c r="Z72" s="4">
        <v>29</v>
      </c>
      <c r="AA72" s="4">
        <f>=ROUNDDOWN(11.6,0)</f>
      </c>
      <c r="AB72" s="5">
        <v>2.5</v>
      </c>
      <c r="AC72" s="2" t="s">
        <v>99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4</v>
      </c>
      <c r="BK72" s="8">
        <v>233.25</v>
      </c>
      <c r="BL72" s="2" t="s">
        <v>543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96</v>
      </c>
      <c r="BW72" s="2" t="s">
        <v>99</v>
      </c>
      <c r="BX72" s="2" t="s">
        <v>196</v>
      </c>
      <c r="BY72" s="2" t="s">
        <v>109</v>
      </c>
      <c r="BZ72" s="2" t="s">
        <v>109</v>
      </c>
      <c r="CA72" s="2" t="s">
        <v>99</v>
      </c>
    </row>
    <row r="73">
      <c r="A73" s="2" t="s">
        <v>544</v>
      </c>
      <c r="B73" s="2" t="s">
        <v>88</v>
      </c>
      <c r="C73" s="2" t="s">
        <v>203</v>
      </c>
      <c r="D73" s="2" t="s">
        <v>367</v>
      </c>
      <c r="E73" s="2" t="s">
        <v>351</v>
      </c>
      <c r="F73" s="2" t="s">
        <v>545</v>
      </c>
      <c r="G73" s="2" t="s">
        <v>99</v>
      </c>
      <c r="H73" s="2" t="s">
        <v>99</v>
      </c>
      <c r="I73" s="2" t="s">
        <v>546</v>
      </c>
      <c r="J73" s="2" t="s">
        <v>219</v>
      </c>
      <c r="K73" s="2" t="s">
        <v>274</v>
      </c>
      <c r="L73" s="3">
        <v>48.43</v>
      </c>
      <c r="M73" s="3">
        <v>50.85</v>
      </c>
      <c r="N73" s="3">
        <v>98.59</v>
      </c>
      <c r="O73" s="2" t="s">
        <v>304</v>
      </c>
      <c r="P73" s="2" t="s">
        <v>188</v>
      </c>
      <c r="Q73" s="2" t="s">
        <v>98</v>
      </c>
      <c r="R73" s="2" t="s">
        <v>99</v>
      </c>
      <c r="S73" s="2" t="s">
        <v>547</v>
      </c>
      <c r="T73" s="2" t="s">
        <v>99</v>
      </c>
      <c r="U73" s="2" t="s">
        <v>210</v>
      </c>
      <c r="V73" s="2" t="s">
        <v>181</v>
      </c>
      <c r="W73" s="2" t="s">
        <v>102</v>
      </c>
      <c r="X73" s="2" t="s">
        <v>99</v>
      </c>
      <c r="Y73" s="2" t="s">
        <v>548</v>
      </c>
      <c r="Z73" s="4">
        <v>37</v>
      </c>
      <c r="AA73" s="4">
        <f>=ROUNDDOWN(18.5,0)</f>
      </c>
      <c r="AB73" s="5">
        <v>2</v>
      </c>
      <c r="AC73" s="2" t="s">
        <v>99</v>
      </c>
      <c r="AD73" s="4"/>
      <c r="AE73" s="4"/>
      <c r="AF73" s="6">
        <v>61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4</v>
      </c>
      <c r="BK73" s="8">
        <v>150.78</v>
      </c>
      <c r="BL73" s="2" t="s">
        <v>549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550</v>
      </c>
      <c r="BY73" s="2" t="s">
        <v>109</v>
      </c>
      <c r="BZ73" s="2" t="s">
        <v>109</v>
      </c>
      <c r="CA73" s="2" t="s">
        <v>99</v>
      </c>
    </row>
    <row r="74">
      <c r="A74" s="2" t="s">
        <v>551</v>
      </c>
      <c r="B74" s="2" t="s">
        <v>88</v>
      </c>
      <c r="C74" s="2" t="s">
        <v>203</v>
      </c>
      <c r="D74" s="2" t="s">
        <v>367</v>
      </c>
      <c r="E74" s="2" t="s">
        <v>351</v>
      </c>
      <c r="F74" s="2" t="s">
        <v>552</v>
      </c>
      <c r="G74" s="2" t="s">
        <v>552</v>
      </c>
      <c r="H74" s="2" t="s">
        <v>552</v>
      </c>
      <c r="I74" s="2" t="s">
        <v>553</v>
      </c>
      <c r="J74" s="2" t="s">
        <v>219</v>
      </c>
      <c r="K74" s="2" t="s">
        <v>220</v>
      </c>
      <c r="L74" s="3">
        <v>29.92</v>
      </c>
      <c r="M74" s="3">
        <v>31.42</v>
      </c>
      <c r="N74" s="3">
        <v>63.74</v>
      </c>
      <c r="O74" s="2" t="s">
        <v>304</v>
      </c>
      <c r="P74" s="2" t="s">
        <v>188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210</v>
      </c>
      <c r="V74" s="2" t="s">
        <v>211</v>
      </c>
      <c r="W74" s="2" t="s">
        <v>158</v>
      </c>
      <c r="X74" s="2" t="s">
        <v>522</v>
      </c>
      <c r="Y74" s="2" t="s">
        <v>554</v>
      </c>
      <c r="Z74" s="4">
        <v>15</v>
      </c>
      <c r="AA74" s="4">
        <f>=ROUNDDOWN(4.54545454545455,0)</f>
      </c>
      <c r="AB74" s="5">
        <v>3.3</v>
      </c>
      <c r="AC74" s="2" t="s">
        <v>99</v>
      </c>
      <c r="AD74" s="4"/>
      <c r="AE74" s="4"/>
      <c r="AF74" s="6">
        <v>61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9</v>
      </c>
      <c r="BK74" s="8">
        <v>279.72</v>
      </c>
      <c r="BL74" s="2" t="s">
        <v>555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525</v>
      </c>
      <c r="BY74" s="2" t="s">
        <v>109</v>
      </c>
      <c r="BZ74" s="2" t="s">
        <v>109</v>
      </c>
      <c r="CA74" s="2" t="s">
        <v>99</v>
      </c>
    </row>
    <row r="75">
      <c r="A75" s="2" t="s">
        <v>556</v>
      </c>
      <c r="B75" s="2" t="s">
        <v>88</v>
      </c>
      <c r="C75" s="2" t="s">
        <v>203</v>
      </c>
      <c r="D75" s="2" t="s">
        <v>367</v>
      </c>
      <c r="E75" s="2" t="s">
        <v>351</v>
      </c>
      <c r="F75" s="2" t="s">
        <v>557</v>
      </c>
      <c r="G75" s="2" t="s">
        <v>557</v>
      </c>
      <c r="H75" s="2" t="s">
        <v>557</v>
      </c>
      <c r="I75" s="2" t="s">
        <v>558</v>
      </c>
      <c r="J75" s="2" t="s">
        <v>273</v>
      </c>
      <c r="K75" s="2" t="s">
        <v>465</v>
      </c>
      <c r="L75" s="3">
        <v>41.91</v>
      </c>
      <c r="M75" s="3">
        <v>44.01</v>
      </c>
      <c r="N75" s="3">
        <v>90.94</v>
      </c>
      <c r="O75" s="2" t="s">
        <v>304</v>
      </c>
      <c r="P75" s="2" t="s">
        <v>188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156</v>
      </c>
      <c r="V75" s="2" t="s">
        <v>211</v>
      </c>
      <c r="W75" s="2" t="s">
        <v>158</v>
      </c>
      <c r="X75" s="2" t="s">
        <v>522</v>
      </c>
      <c r="Y75" s="2" t="s">
        <v>523</v>
      </c>
      <c r="Z75" s="4">
        <v>49</v>
      </c>
      <c r="AA75" s="4">
        <f>=ROUNDDOWN(23.3333333333333,0)</f>
      </c>
      <c r="AB75" s="5">
        <v>2.1</v>
      </c>
      <c r="AC75" s="2" t="s">
        <v>99</v>
      </c>
      <c r="AD75" s="4"/>
      <c r="AE75" s="4"/>
      <c r="AF75" s="6">
        <v>61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7</v>
      </c>
      <c r="BK75" s="8">
        <v>249.28</v>
      </c>
      <c r="BL75" s="2" t="s">
        <v>559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560</v>
      </c>
      <c r="BX75" s="2" t="s">
        <v>561</v>
      </c>
      <c r="BY75" s="2" t="s">
        <v>109</v>
      </c>
      <c r="BZ75" s="2" t="s">
        <v>109</v>
      </c>
      <c r="CA75" s="2" t="s">
        <v>99</v>
      </c>
    </row>
    <row r="76">
      <c r="A76" s="2" t="s">
        <v>562</v>
      </c>
      <c r="B76" s="2" t="s">
        <v>88</v>
      </c>
      <c r="C76" s="2" t="s">
        <v>203</v>
      </c>
      <c r="D76" s="2" t="s">
        <v>367</v>
      </c>
      <c r="E76" s="2" t="s">
        <v>351</v>
      </c>
      <c r="F76" s="2" t="s">
        <v>563</v>
      </c>
      <c r="G76" s="2" t="s">
        <v>563</v>
      </c>
      <c r="H76" s="2" t="s">
        <v>563</v>
      </c>
      <c r="I76" s="2" t="s">
        <v>564</v>
      </c>
      <c r="J76" s="2" t="s">
        <v>227</v>
      </c>
      <c r="K76" s="2" t="s">
        <v>220</v>
      </c>
      <c r="L76" s="3">
        <v>26.03</v>
      </c>
      <c r="M76" s="3">
        <v>27.33</v>
      </c>
      <c r="N76" s="3">
        <v>59.49</v>
      </c>
      <c r="O76" s="2" t="s">
        <v>96</v>
      </c>
      <c r="P76" s="2" t="s">
        <v>188</v>
      </c>
      <c r="Q76" s="2" t="s">
        <v>98</v>
      </c>
      <c r="R76" s="2" t="s">
        <v>99</v>
      </c>
      <c r="S76" s="2" t="s">
        <v>565</v>
      </c>
      <c r="T76" s="2" t="s">
        <v>99</v>
      </c>
      <c r="U76" s="2" t="s">
        <v>100</v>
      </c>
      <c r="V76" s="2" t="s">
        <v>388</v>
      </c>
      <c r="W76" s="2" t="s">
        <v>330</v>
      </c>
      <c r="X76" s="2" t="s">
        <v>522</v>
      </c>
      <c r="Y76" s="2" t="s">
        <v>495</v>
      </c>
      <c r="Z76" s="4">
        <v>39</v>
      </c>
      <c r="AA76" s="4">
        <f>=ROUNDDOWN(8.125,0)</f>
      </c>
      <c r="AB76" s="5">
        <v>4.8</v>
      </c>
      <c r="AC76" s="2" t="s">
        <v>99</v>
      </c>
      <c r="AD76" s="4"/>
      <c r="AE76" s="4"/>
      <c r="AF76" s="6">
        <v>61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13</v>
      </c>
      <c r="BK76" s="8">
        <v>394.49</v>
      </c>
      <c r="BL76" s="2" t="s">
        <v>566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96</v>
      </c>
      <c r="BW76" s="2" t="s">
        <v>99</v>
      </c>
      <c r="BX76" s="2" t="s">
        <v>537</v>
      </c>
      <c r="BY76" s="2" t="s">
        <v>109</v>
      </c>
      <c r="BZ76" s="2" t="s">
        <v>109</v>
      </c>
      <c r="CA76" s="2" t="s">
        <v>99</v>
      </c>
    </row>
    <row r="77">
      <c r="A77" s="2" t="s">
        <v>567</v>
      </c>
      <c r="B77" s="2" t="s">
        <v>88</v>
      </c>
      <c r="C77" s="2" t="s">
        <v>203</v>
      </c>
      <c r="D77" s="2" t="s">
        <v>367</v>
      </c>
      <c r="E77" s="2" t="s">
        <v>351</v>
      </c>
      <c r="F77" s="2" t="s">
        <v>568</v>
      </c>
      <c r="G77" s="2" t="s">
        <v>568</v>
      </c>
      <c r="H77" s="2" t="s">
        <v>568</v>
      </c>
      <c r="I77" s="2" t="s">
        <v>569</v>
      </c>
      <c r="J77" s="2" t="s">
        <v>227</v>
      </c>
      <c r="K77" s="2" t="s">
        <v>274</v>
      </c>
      <c r="L77" s="3">
        <v>59.5</v>
      </c>
      <c r="M77" s="3">
        <v>62.48</v>
      </c>
      <c r="N77" s="3">
        <v>127.49</v>
      </c>
      <c r="O77" s="2" t="s">
        <v>96</v>
      </c>
      <c r="P77" s="2" t="s">
        <v>386</v>
      </c>
      <c r="Q77" s="2" t="s">
        <v>98</v>
      </c>
      <c r="R77" s="2" t="s">
        <v>99</v>
      </c>
      <c r="S77" s="2" t="s">
        <v>570</v>
      </c>
      <c r="T77" s="2" t="s">
        <v>99</v>
      </c>
      <c r="U77" s="2" t="s">
        <v>100</v>
      </c>
      <c r="V77" s="2" t="s">
        <v>571</v>
      </c>
      <c r="W77" s="2" t="s">
        <v>242</v>
      </c>
      <c r="X77" s="2" t="s">
        <v>99</v>
      </c>
      <c r="Y77" s="2" t="s">
        <v>164</v>
      </c>
      <c r="Z77" s="4"/>
      <c r="AA77" s="4">
        <f>=ROUNDDOWN({0},0)</f>
      </c>
      <c r="AB77" s="5">
        <v>6.6</v>
      </c>
      <c r="AC77" s="2" t="s">
        <v>99</v>
      </c>
      <c r="AD77" s="4"/>
      <c r="AE77" s="4"/>
      <c r="AF77" s="6">
        <v>63</v>
      </c>
      <c r="AG77" s="6"/>
      <c r="AH77" s="7">
        <v>0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99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96</v>
      </c>
      <c r="BW77" s="2" t="s">
        <v>99</v>
      </c>
      <c r="BX77" s="2" t="s">
        <v>390</v>
      </c>
      <c r="BY77" s="2" t="s">
        <v>109</v>
      </c>
      <c r="BZ77" s="2" t="s">
        <v>109</v>
      </c>
      <c r="CA77" s="2" t="s">
        <v>99</v>
      </c>
    </row>
    <row r="78">
      <c r="A78" s="2" t="s">
        <v>572</v>
      </c>
      <c r="B78" s="2" t="s">
        <v>88</v>
      </c>
      <c r="C78" s="2" t="s">
        <v>203</v>
      </c>
      <c r="D78" s="2" t="s">
        <v>367</v>
      </c>
      <c r="E78" s="2" t="s">
        <v>351</v>
      </c>
      <c r="F78" s="2" t="s">
        <v>573</v>
      </c>
      <c r="G78" s="2" t="s">
        <v>573</v>
      </c>
      <c r="H78" s="2" t="s">
        <v>573</v>
      </c>
      <c r="I78" s="2" t="s">
        <v>574</v>
      </c>
      <c r="J78" s="2" t="s">
        <v>227</v>
      </c>
      <c r="K78" s="2" t="s">
        <v>575</v>
      </c>
      <c r="L78" s="3">
        <v>14</v>
      </c>
      <c r="M78" s="3">
        <v>14.7</v>
      </c>
      <c r="N78" s="3">
        <v>34.99</v>
      </c>
      <c r="O78" s="2" t="s">
        <v>443</v>
      </c>
      <c r="P78" s="2" t="s">
        <v>188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100</v>
      </c>
      <c r="V78" s="2" t="s">
        <v>329</v>
      </c>
      <c r="W78" s="2" t="s">
        <v>291</v>
      </c>
      <c r="X78" s="2" t="s">
        <v>363</v>
      </c>
      <c r="Y78" s="2" t="s">
        <v>576</v>
      </c>
      <c r="Z78" s="4">
        <v>159</v>
      </c>
      <c r="AA78" s="4">
        <f>=ROUNDDOWN(93.5294117647059,0)</f>
      </c>
      <c r="AB78" s="5">
        <v>1.7</v>
      </c>
      <c r="AC78" s="2" t="s">
        <v>99</v>
      </c>
      <c r="AD78" s="4"/>
      <c r="AE78" s="4"/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4</v>
      </c>
      <c r="BK78" s="8">
        <v>63.06</v>
      </c>
      <c r="BL78" s="2" t="s">
        <v>577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122</v>
      </c>
      <c r="BW78" s="2" t="s">
        <v>99</v>
      </c>
      <c r="BX78" s="2" t="s">
        <v>446</v>
      </c>
      <c r="BY78" s="2" t="s">
        <v>109</v>
      </c>
      <c r="BZ78" s="2" t="s">
        <v>109</v>
      </c>
      <c r="CA78" s="2" t="s">
        <v>99</v>
      </c>
    </row>
    <row r="79">
      <c r="A79" s="2" t="s">
        <v>578</v>
      </c>
      <c r="B79" s="2" t="s">
        <v>88</v>
      </c>
      <c r="C79" s="2" t="s">
        <v>203</v>
      </c>
      <c r="D79" s="2" t="s">
        <v>367</v>
      </c>
      <c r="E79" s="2" t="s">
        <v>351</v>
      </c>
      <c r="F79" s="2" t="s">
        <v>573</v>
      </c>
      <c r="G79" s="2" t="s">
        <v>573</v>
      </c>
      <c r="H79" s="2" t="s">
        <v>573</v>
      </c>
      <c r="I79" s="2" t="s">
        <v>579</v>
      </c>
      <c r="J79" s="2" t="s">
        <v>227</v>
      </c>
      <c r="K79" s="2" t="s">
        <v>580</v>
      </c>
      <c r="L79" s="3">
        <v>14</v>
      </c>
      <c r="M79" s="3">
        <v>14.7</v>
      </c>
      <c r="N79" s="3">
        <v>34.99</v>
      </c>
      <c r="O79" s="2" t="s">
        <v>443</v>
      </c>
      <c r="P79" s="2" t="s">
        <v>188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100</v>
      </c>
      <c r="V79" s="2" t="s">
        <v>329</v>
      </c>
      <c r="W79" s="2" t="s">
        <v>291</v>
      </c>
      <c r="X79" s="2" t="s">
        <v>102</v>
      </c>
      <c r="Y79" s="2" t="s">
        <v>576</v>
      </c>
      <c r="Z79" s="4">
        <v>84</v>
      </c>
      <c r="AA79" s="4">
        <f>=ROUNDDOWN(64.6153846153846,0)</f>
      </c>
      <c r="AB79" s="5">
        <v>1.3</v>
      </c>
      <c r="AC79" s="2" t="s">
        <v>99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7</v>
      </c>
      <c r="BK79" s="8">
        <v>112.44</v>
      </c>
      <c r="BL79" s="2" t="s">
        <v>581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122</v>
      </c>
      <c r="BW79" s="2" t="s">
        <v>99</v>
      </c>
      <c r="BX79" s="2" t="s">
        <v>446</v>
      </c>
      <c r="BY79" s="2" t="s">
        <v>109</v>
      </c>
      <c r="BZ79" s="2" t="s">
        <v>109</v>
      </c>
      <c r="CA79" s="2" t="s">
        <v>99</v>
      </c>
    </row>
    <row r="80">
      <c r="A80" s="2" t="s">
        <v>582</v>
      </c>
      <c r="B80" s="2" t="s">
        <v>88</v>
      </c>
      <c r="C80" s="2" t="s">
        <v>203</v>
      </c>
      <c r="D80" s="2" t="s">
        <v>367</v>
      </c>
      <c r="E80" s="2" t="s">
        <v>351</v>
      </c>
      <c r="F80" s="2" t="s">
        <v>573</v>
      </c>
      <c r="G80" s="2" t="s">
        <v>573</v>
      </c>
      <c r="H80" s="2" t="s">
        <v>573</v>
      </c>
      <c r="I80" s="2" t="s">
        <v>583</v>
      </c>
      <c r="J80" s="2" t="s">
        <v>227</v>
      </c>
      <c r="K80" s="2" t="s">
        <v>584</v>
      </c>
      <c r="L80" s="3">
        <v>14</v>
      </c>
      <c r="M80" s="3">
        <v>14.7</v>
      </c>
      <c r="N80" s="3">
        <v>34.99</v>
      </c>
      <c r="O80" s="2" t="s">
        <v>443</v>
      </c>
      <c r="P80" s="2" t="s">
        <v>188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100</v>
      </c>
      <c r="V80" s="2" t="s">
        <v>329</v>
      </c>
      <c r="W80" s="2" t="s">
        <v>291</v>
      </c>
      <c r="X80" s="2" t="s">
        <v>158</v>
      </c>
      <c r="Y80" s="2" t="s">
        <v>576</v>
      </c>
      <c r="Z80" s="4">
        <v>33</v>
      </c>
      <c r="AA80" s="4">
        <f>=ROUNDDOWN(27.5,0)</f>
      </c>
      <c r="AB80" s="5">
        <v>1.2</v>
      </c>
      <c r="AC80" s="2" t="s">
        <v>99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>
        <v>6</v>
      </c>
      <c r="BK80" s="8">
        <v>95.98</v>
      </c>
      <c r="BL80" s="2" t="s">
        <v>585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122</v>
      </c>
      <c r="BW80" s="2" t="s">
        <v>99</v>
      </c>
      <c r="BX80" s="2" t="s">
        <v>446</v>
      </c>
      <c r="BY80" s="2" t="s">
        <v>109</v>
      </c>
      <c r="BZ80" s="2" t="s">
        <v>109</v>
      </c>
      <c r="CA80" s="2" t="s">
        <v>99</v>
      </c>
    </row>
    <row r="81">
      <c r="A81" s="2" t="s">
        <v>586</v>
      </c>
      <c r="B81" s="2" t="s">
        <v>88</v>
      </c>
      <c r="C81" s="2" t="s">
        <v>203</v>
      </c>
      <c r="D81" s="2" t="s">
        <v>367</v>
      </c>
      <c r="E81" s="2" t="s">
        <v>351</v>
      </c>
      <c r="F81" s="2" t="s">
        <v>573</v>
      </c>
      <c r="G81" s="2" t="s">
        <v>573</v>
      </c>
      <c r="H81" s="2" t="s">
        <v>573</v>
      </c>
      <c r="I81" s="2" t="s">
        <v>587</v>
      </c>
      <c r="J81" s="2" t="s">
        <v>227</v>
      </c>
      <c r="K81" s="2" t="s">
        <v>588</v>
      </c>
      <c r="L81" s="3">
        <v>14</v>
      </c>
      <c r="M81" s="3">
        <v>14.7</v>
      </c>
      <c r="N81" s="3">
        <v>34.99</v>
      </c>
      <c r="O81" s="2" t="s">
        <v>96</v>
      </c>
      <c r="P81" s="2" t="s">
        <v>188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100</v>
      </c>
      <c r="V81" s="2" t="s">
        <v>329</v>
      </c>
      <c r="W81" s="2" t="s">
        <v>291</v>
      </c>
      <c r="X81" s="2" t="s">
        <v>362</v>
      </c>
      <c r="Y81" s="2" t="s">
        <v>576</v>
      </c>
      <c r="Z81" s="4">
        <v>60</v>
      </c>
      <c r="AA81" s="4">
        <f>=ROUNDDOWN(18.1818181818182,0)</f>
      </c>
      <c r="AB81" s="5">
        <v>3.3</v>
      </c>
      <c r="AC81" s="2" t="s">
        <v>99</v>
      </c>
      <c r="AD81" s="4"/>
      <c r="AE81" s="4"/>
      <c r="AF81" s="6">
        <v>61</v>
      </c>
      <c r="AG81" s="6">
        <v>44</v>
      </c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16</v>
      </c>
      <c r="BK81" s="8">
        <v>254.89</v>
      </c>
      <c r="BL81" s="2" t="s">
        <v>589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96</v>
      </c>
      <c r="BW81" s="2" t="s">
        <v>99</v>
      </c>
      <c r="BX81" s="2" t="s">
        <v>446</v>
      </c>
      <c r="BY81" s="2" t="s">
        <v>109</v>
      </c>
      <c r="BZ81" s="2" t="s">
        <v>109</v>
      </c>
      <c r="CA81" s="2" t="s">
        <v>99</v>
      </c>
    </row>
    <row r="82">
      <c r="A82" s="2" t="s">
        <v>590</v>
      </c>
      <c r="B82" s="2" t="s">
        <v>88</v>
      </c>
      <c r="C82" s="2" t="s">
        <v>203</v>
      </c>
      <c r="D82" s="2" t="s">
        <v>367</v>
      </c>
      <c r="E82" s="2" t="s">
        <v>351</v>
      </c>
      <c r="F82" s="2" t="s">
        <v>591</v>
      </c>
      <c r="G82" s="2" t="s">
        <v>591</v>
      </c>
      <c r="H82" s="2" t="s">
        <v>591</v>
      </c>
      <c r="I82" s="2" t="s">
        <v>592</v>
      </c>
      <c r="J82" s="2" t="s">
        <v>501</v>
      </c>
      <c r="K82" s="2" t="s">
        <v>220</v>
      </c>
      <c r="L82" s="3">
        <v>87.35</v>
      </c>
      <c r="M82" s="3">
        <v>91.72</v>
      </c>
      <c r="N82" s="3">
        <v>161.49</v>
      </c>
      <c r="O82" s="2" t="s">
        <v>96</v>
      </c>
      <c r="P82" s="2" t="s">
        <v>386</v>
      </c>
      <c r="Q82" s="2" t="s">
        <v>98</v>
      </c>
      <c r="R82" s="2" t="s">
        <v>99</v>
      </c>
      <c r="S82" s="2" t="s">
        <v>593</v>
      </c>
      <c r="T82" s="2" t="s">
        <v>99</v>
      </c>
      <c r="U82" s="2" t="s">
        <v>503</v>
      </c>
      <c r="V82" s="2" t="s">
        <v>388</v>
      </c>
      <c r="W82" s="2" t="s">
        <v>158</v>
      </c>
      <c r="X82" s="2" t="s">
        <v>522</v>
      </c>
      <c r="Y82" s="2" t="s">
        <v>594</v>
      </c>
      <c r="Z82" s="4">
        <v>87</v>
      </c>
      <c r="AA82" s="4">
        <f>=ROUNDDOWN(32.2222222222222,0)</f>
      </c>
      <c r="AB82" s="5">
        <v>2.7</v>
      </c>
      <c r="AC82" s="2" t="s">
        <v>99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10</v>
      </c>
      <c r="BK82" s="8">
        <v>915.24</v>
      </c>
      <c r="BL82" s="2" t="s">
        <v>595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96</v>
      </c>
      <c r="BW82" s="2" t="s">
        <v>99</v>
      </c>
      <c r="BX82" s="2" t="s">
        <v>596</v>
      </c>
      <c r="BY82" s="2" t="s">
        <v>109</v>
      </c>
      <c r="BZ82" s="2" t="s">
        <v>109</v>
      </c>
      <c r="CA82" s="2" t="s">
        <v>99</v>
      </c>
    </row>
    <row r="83">
      <c r="A83" s="2" t="s">
        <v>597</v>
      </c>
      <c r="B83" s="2" t="s">
        <v>88</v>
      </c>
      <c r="C83" s="2" t="s">
        <v>203</v>
      </c>
      <c r="D83" s="2" t="s">
        <v>367</v>
      </c>
      <c r="E83" s="2" t="s">
        <v>598</v>
      </c>
      <c r="F83" s="2" t="s">
        <v>599</v>
      </c>
      <c r="G83" s="2" t="s">
        <v>599</v>
      </c>
      <c r="H83" s="2" t="s">
        <v>599</v>
      </c>
      <c r="I83" s="2" t="s">
        <v>600</v>
      </c>
      <c r="J83" s="2" t="s">
        <v>227</v>
      </c>
      <c r="K83" s="2" t="s">
        <v>118</v>
      </c>
      <c r="L83" s="3">
        <v>20.36</v>
      </c>
      <c r="M83" s="3">
        <v>21.38</v>
      </c>
      <c r="N83" s="3">
        <v>49.99</v>
      </c>
      <c r="O83" s="2" t="s">
        <v>443</v>
      </c>
      <c r="P83" s="2" t="s">
        <v>188</v>
      </c>
      <c r="Q83" s="2" t="s">
        <v>98</v>
      </c>
      <c r="R83" s="2" t="s">
        <v>99</v>
      </c>
      <c r="S83" s="2" t="s">
        <v>601</v>
      </c>
      <c r="T83" s="2" t="s">
        <v>99</v>
      </c>
      <c r="U83" s="2" t="s">
        <v>100</v>
      </c>
      <c r="V83" s="2" t="s">
        <v>181</v>
      </c>
      <c r="W83" s="2" t="s">
        <v>102</v>
      </c>
      <c r="X83" s="2" t="s">
        <v>99</v>
      </c>
      <c r="Y83" s="2" t="s">
        <v>182</v>
      </c>
      <c r="Z83" s="4">
        <v>39</v>
      </c>
      <c r="AA83" s="4">
        <f>=ROUNDDOWN(78,0)</f>
      </c>
      <c r="AB83" s="5">
        <v>0.5</v>
      </c>
      <c r="AC83" s="2" t="s">
        <v>99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99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122</v>
      </c>
      <c r="BW83" s="2" t="s">
        <v>99</v>
      </c>
      <c r="BX83" s="2" t="s">
        <v>99</v>
      </c>
      <c r="BY83" s="2" t="s">
        <v>109</v>
      </c>
      <c r="BZ83" s="2" t="s">
        <v>109</v>
      </c>
      <c r="CA83" s="2" t="s">
        <v>99</v>
      </c>
    </row>
    <row r="84">
      <c r="A84" s="2" t="s">
        <v>602</v>
      </c>
      <c r="B84" s="2" t="s">
        <v>88</v>
      </c>
      <c r="C84" s="2" t="s">
        <v>203</v>
      </c>
      <c r="D84" s="2" t="s">
        <v>367</v>
      </c>
      <c r="E84" s="2" t="s">
        <v>598</v>
      </c>
      <c r="F84" s="2" t="s">
        <v>603</v>
      </c>
      <c r="G84" s="2" t="s">
        <v>603</v>
      </c>
      <c r="H84" s="2" t="s">
        <v>603</v>
      </c>
      <c r="I84" s="2" t="s">
        <v>604</v>
      </c>
      <c r="J84" s="2" t="s">
        <v>273</v>
      </c>
      <c r="K84" s="2" t="s">
        <v>605</v>
      </c>
      <c r="L84" s="3">
        <v>21.31</v>
      </c>
      <c r="M84" s="3">
        <v>22.38</v>
      </c>
      <c r="N84" s="3">
        <v>50.99</v>
      </c>
      <c r="O84" s="2" t="s">
        <v>96</v>
      </c>
      <c r="P84" s="2" t="s">
        <v>131</v>
      </c>
      <c r="Q84" s="2" t="s">
        <v>98</v>
      </c>
      <c r="R84" s="2" t="s">
        <v>99</v>
      </c>
      <c r="S84" s="2" t="s">
        <v>606</v>
      </c>
      <c r="T84" s="2" t="s">
        <v>99</v>
      </c>
      <c r="U84" s="2" t="s">
        <v>156</v>
      </c>
      <c r="V84" s="2" t="s">
        <v>211</v>
      </c>
      <c r="W84" s="2" t="s">
        <v>291</v>
      </c>
      <c r="X84" s="2" t="s">
        <v>158</v>
      </c>
      <c r="Y84" s="2" t="s">
        <v>182</v>
      </c>
      <c r="Z84" s="4">
        <v>176</v>
      </c>
      <c r="AA84" s="4">
        <f>=ROUNDDOWN(35.2,0)</f>
      </c>
      <c r="AB84" s="5">
        <v>5</v>
      </c>
      <c r="AC84" s="2" t="s">
        <v>99</v>
      </c>
      <c r="AD84" s="4"/>
      <c r="AE84" s="4"/>
      <c r="AF84" s="6">
        <v>61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16</v>
      </c>
      <c r="BK84" s="8">
        <v>425.25</v>
      </c>
      <c r="BL84" s="2" t="s">
        <v>607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96</v>
      </c>
      <c r="BW84" s="2" t="s">
        <v>99</v>
      </c>
      <c r="BX84" s="2" t="s">
        <v>519</v>
      </c>
      <c r="BY84" s="2" t="s">
        <v>109</v>
      </c>
      <c r="BZ84" s="2" t="s">
        <v>109</v>
      </c>
      <c r="CA84" s="2" t="s">
        <v>99</v>
      </c>
    </row>
    <row r="85">
      <c r="A85" s="2" t="s">
        <v>608</v>
      </c>
      <c r="B85" s="2" t="s">
        <v>88</v>
      </c>
      <c r="C85" s="2" t="s">
        <v>203</v>
      </c>
      <c r="D85" s="2" t="s">
        <v>367</v>
      </c>
      <c r="E85" s="2" t="s">
        <v>204</v>
      </c>
      <c r="F85" s="2" t="s">
        <v>609</v>
      </c>
      <c r="G85" s="2" t="s">
        <v>609</v>
      </c>
      <c r="H85" s="2" t="s">
        <v>609</v>
      </c>
      <c r="I85" s="2" t="s">
        <v>610</v>
      </c>
      <c r="J85" s="2" t="s">
        <v>611</v>
      </c>
      <c r="K85" s="2" t="s">
        <v>529</v>
      </c>
      <c r="L85" s="3">
        <v>77.71</v>
      </c>
      <c r="M85" s="3">
        <v>81.6</v>
      </c>
      <c r="N85" s="3">
        <v>169.99</v>
      </c>
      <c r="O85" s="2" t="s">
        <v>304</v>
      </c>
      <c r="P85" s="2" t="s">
        <v>188</v>
      </c>
      <c r="Q85" s="2" t="s">
        <v>98</v>
      </c>
      <c r="R85" s="2" t="s">
        <v>99</v>
      </c>
      <c r="S85" s="2" t="s">
        <v>612</v>
      </c>
      <c r="T85" s="2" t="s">
        <v>99</v>
      </c>
      <c r="U85" s="2" t="s">
        <v>503</v>
      </c>
      <c r="V85" s="2" t="s">
        <v>181</v>
      </c>
      <c r="W85" s="2" t="s">
        <v>102</v>
      </c>
      <c r="X85" s="2" t="s">
        <v>103</v>
      </c>
      <c r="Y85" s="2" t="s">
        <v>613</v>
      </c>
      <c r="Z85" s="4">
        <v>1</v>
      </c>
      <c r="AA85" s="4">
        <f>=ROUNDDOWN(0.666666666666667,0)</f>
      </c>
      <c r="AB85" s="5">
        <v>1.5</v>
      </c>
      <c r="AC85" s="2" t="s">
        <v>99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5</v>
      </c>
      <c r="BK85" s="8">
        <v>500.88</v>
      </c>
      <c r="BL85" s="2" t="s">
        <v>614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96</v>
      </c>
      <c r="BW85" s="2" t="s">
        <v>99</v>
      </c>
      <c r="BX85" s="2" t="s">
        <v>99</v>
      </c>
      <c r="BY85" s="2" t="s">
        <v>109</v>
      </c>
      <c r="BZ85" s="2" t="s">
        <v>109</v>
      </c>
      <c r="CA85" s="2" t="s">
        <v>99</v>
      </c>
    </row>
    <row r="86">
      <c r="A86" s="2" t="s">
        <v>615</v>
      </c>
      <c r="B86" s="2" t="s">
        <v>88</v>
      </c>
      <c r="C86" s="2" t="s">
        <v>203</v>
      </c>
      <c r="D86" s="2" t="s">
        <v>90</v>
      </c>
      <c r="E86" s="2" t="s">
        <v>616</v>
      </c>
      <c r="F86" s="2" t="s">
        <v>617</v>
      </c>
      <c r="G86" s="2" t="s">
        <v>617</v>
      </c>
      <c r="H86" s="2" t="s">
        <v>617</v>
      </c>
      <c r="I86" s="2" t="s">
        <v>618</v>
      </c>
      <c r="J86" s="2" t="s">
        <v>227</v>
      </c>
      <c r="K86" s="2" t="s">
        <v>95</v>
      </c>
      <c r="L86" s="3">
        <v>40.47</v>
      </c>
      <c r="M86" s="3">
        <v>42.49</v>
      </c>
      <c r="N86" s="3">
        <v>84.99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100</v>
      </c>
      <c r="V86" s="2" t="s">
        <v>310</v>
      </c>
      <c r="W86" s="2" t="s">
        <v>103</v>
      </c>
      <c r="X86" s="2" t="s">
        <v>330</v>
      </c>
      <c r="Y86" s="2" t="s">
        <v>311</v>
      </c>
      <c r="Z86" s="4">
        <v>642</v>
      </c>
      <c r="AA86" s="4">
        <f>=ROUNDDOWN(18.3428571428571,0)</f>
      </c>
      <c r="AB86" s="5">
        <v>35</v>
      </c>
      <c r="AC86" s="2" t="s">
        <v>143</v>
      </c>
      <c r="AD86" s="4">
        <v>200</v>
      </c>
      <c r="AE86" s="4">
        <v>200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16</v>
      </c>
      <c r="AQ86" s="8">
        <v>744.64</v>
      </c>
      <c r="AR86" s="4"/>
      <c r="AS86" s="8"/>
      <c r="AT86" s="7"/>
      <c r="AU86" s="7"/>
      <c r="AV86" s="4">
        <v>16</v>
      </c>
      <c r="AW86" s="8">
        <v>744.64</v>
      </c>
      <c r="AX86" s="4"/>
      <c r="AY86" s="8"/>
      <c r="AZ86" s="7"/>
      <c r="BA86" s="7"/>
      <c r="BB86" s="7">
        <v>1</v>
      </c>
      <c r="BC86" s="4">
        <v>16</v>
      </c>
      <c r="BD86" s="8">
        <v>744.64</v>
      </c>
      <c r="BE86" s="4"/>
      <c r="BF86" s="8"/>
      <c r="BG86" s="7"/>
      <c r="BH86" s="7"/>
      <c r="BI86" s="7">
        <v>1</v>
      </c>
      <c r="BJ86" s="4">
        <v>118</v>
      </c>
      <c r="BK86" s="8">
        <v>5733.31</v>
      </c>
      <c r="BL86" s="2" t="s">
        <v>619</v>
      </c>
      <c r="BM86" s="7">
        <v>0.1356</v>
      </c>
      <c r="BN86" s="7">
        <v>0.1299</v>
      </c>
      <c r="BO86" s="4">
        <v>16</v>
      </c>
      <c r="BP86" s="8">
        <v>744.64</v>
      </c>
      <c r="BQ86" s="4"/>
      <c r="BR86" s="8"/>
      <c r="BS86" s="7"/>
      <c r="BT86" s="7"/>
      <c r="BU86" s="2" t="s">
        <v>107</v>
      </c>
      <c r="BV86" s="2" t="s">
        <v>96</v>
      </c>
      <c r="BW86" s="2" t="s">
        <v>99</v>
      </c>
      <c r="BX86" s="2" t="s">
        <v>620</v>
      </c>
      <c r="BY86" s="2" t="s">
        <v>109</v>
      </c>
      <c r="BZ86" s="2" t="s">
        <v>109</v>
      </c>
      <c r="CA86" s="2" t="s">
        <v>99</v>
      </c>
    </row>
    <row r="87">
      <c r="A87" s="2" t="s">
        <v>621</v>
      </c>
      <c r="B87" s="2" t="s">
        <v>88</v>
      </c>
      <c r="C87" s="2" t="s">
        <v>203</v>
      </c>
      <c r="D87" s="2" t="s">
        <v>90</v>
      </c>
      <c r="E87" s="2" t="s">
        <v>616</v>
      </c>
      <c r="F87" s="2" t="s">
        <v>622</v>
      </c>
      <c r="G87" s="2" t="s">
        <v>622</v>
      </c>
      <c r="H87" s="2" t="s">
        <v>622</v>
      </c>
      <c r="I87" s="2" t="s">
        <v>623</v>
      </c>
      <c r="J87" s="2" t="s">
        <v>227</v>
      </c>
      <c r="K87" s="2" t="s">
        <v>95</v>
      </c>
      <c r="L87" s="3">
        <v>71.42</v>
      </c>
      <c r="M87" s="3">
        <v>75</v>
      </c>
      <c r="N87" s="3">
        <v>149.99</v>
      </c>
      <c r="O87" s="2" t="s">
        <v>96</v>
      </c>
      <c r="P87" s="2" t="s">
        <v>135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100</v>
      </c>
      <c r="V87" s="2" t="s">
        <v>310</v>
      </c>
      <c r="W87" s="2" t="s">
        <v>103</v>
      </c>
      <c r="X87" s="2" t="s">
        <v>103</v>
      </c>
      <c r="Y87" s="2" t="s">
        <v>624</v>
      </c>
      <c r="Z87" s="4">
        <v>150</v>
      </c>
      <c r="AA87" s="4">
        <f>=ROUNDDOWN(15.4639175257732,0)</f>
      </c>
      <c r="AB87" s="5">
        <v>9.7</v>
      </c>
      <c r="AC87" s="2" t="s">
        <v>143</v>
      </c>
      <c r="AD87" s="4">
        <v>100</v>
      </c>
      <c r="AE87" s="4">
        <v>100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1</v>
      </c>
      <c r="AQ87" s="8">
        <v>82.13</v>
      </c>
      <c r="AR87" s="4"/>
      <c r="AS87" s="8"/>
      <c r="AT87" s="7"/>
      <c r="AU87" s="7"/>
      <c r="AV87" s="4">
        <v>1</v>
      </c>
      <c r="AW87" s="8">
        <v>82.13</v>
      </c>
      <c r="AX87" s="4"/>
      <c r="AY87" s="8"/>
      <c r="AZ87" s="7"/>
      <c r="BA87" s="7"/>
      <c r="BB87" s="7">
        <v>1</v>
      </c>
      <c r="BC87" s="4">
        <v>1</v>
      </c>
      <c r="BD87" s="8">
        <v>82.13</v>
      </c>
      <c r="BE87" s="4"/>
      <c r="BF87" s="8"/>
      <c r="BG87" s="7"/>
      <c r="BH87" s="7"/>
      <c r="BI87" s="7">
        <v>1</v>
      </c>
      <c r="BJ87" s="4">
        <v>38</v>
      </c>
      <c r="BK87" s="8">
        <v>3293.27</v>
      </c>
      <c r="BL87" s="2" t="s">
        <v>625</v>
      </c>
      <c r="BM87" s="7">
        <v>0.0263</v>
      </c>
      <c r="BN87" s="7">
        <v>0.0249</v>
      </c>
      <c r="BO87" s="4">
        <v>1</v>
      </c>
      <c r="BP87" s="8">
        <v>82.13</v>
      </c>
      <c r="BQ87" s="4"/>
      <c r="BR87" s="8"/>
      <c r="BS87" s="7"/>
      <c r="BT87" s="7"/>
      <c r="BU87" s="2" t="s">
        <v>107</v>
      </c>
      <c r="BV87" s="2" t="s">
        <v>96</v>
      </c>
      <c r="BW87" s="2" t="s">
        <v>99</v>
      </c>
      <c r="BX87" s="2" t="s">
        <v>626</v>
      </c>
      <c r="BY87" s="2" t="s">
        <v>109</v>
      </c>
      <c r="BZ87" s="2" t="s">
        <v>109</v>
      </c>
      <c r="CA87" s="2" t="s">
        <v>99</v>
      </c>
    </row>
    <row r="88">
      <c r="A88" s="2" t="s">
        <v>627</v>
      </c>
      <c r="B88" s="2" t="s">
        <v>88</v>
      </c>
      <c r="C88" s="2" t="s">
        <v>203</v>
      </c>
      <c r="D88" s="2" t="s">
        <v>90</v>
      </c>
      <c r="E88" s="2" t="s">
        <v>616</v>
      </c>
      <c r="F88" s="2" t="s">
        <v>628</v>
      </c>
      <c r="G88" s="2" t="s">
        <v>628</v>
      </c>
      <c r="H88" s="2" t="s">
        <v>628</v>
      </c>
      <c r="I88" s="2" t="s">
        <v>629</v>
      </c>
      <c r="J88" s="2" t="s">
        <v>630</v>
      </c>
      <c r="K88" s="2" t="s">
        <v>95</v>
      </c>
      <c r="L88" s="3">
        <v>40.47</v>
      </c>
      <c r="M88" s="3">
        <v>42.49</v>
      </c>
      <c r="N88" s="3">
        <v>84.99</v>
      </c>
      <c r="O88" s="2" t="s">
        <v>96</v>
      </c>
      <c r="P88" s="2" t="s">
        <v>386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100</v>
      </c>
      <c r="V88" s="2" t="s">
        <v>310</v>
      </c>
      <c r="W88" s="2" t="s">
        <v>103</v>
      </c>
      <c r="X88" s="2" t="s">
        <v>99</v>
      </c>
      <c r="Y88" s="2" t="s">
        <v>631</v>
      </c>
      <c r="Z88" s="4">
        <v>68</v>
      </c>
      <c r="AA88" s="4">
        <f>=ROUNDDOWN(17.4358974358974,0)</f>
      </c>
      <c r="AB88" s="5">
        <v>3.9</v>
      </c>
      <c r="AC88" s="2" t="s">
        <v>99</v>
      </c>
      <c r="AD88" s="4"/>
      <c r="AE88" s="4"/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25</v>
      </c>
      <c r="BK88" s="8">
        <v>1237.13</v>
      </c>
      <c r="BL88" s="2" t="s">
        <v>632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96</v>
      </c>
      <c r="BW88" s="2" t="s">
        <v>99</v>
      </c>
      <c r="BX88" s="2" t="s">
        <v>446</v>
      </c>
      <c r="BY88" s="2" t="s">
        <v>109</v>
      </c>
      <c r="BZ88" s="2" t="s">
        <v>109</v>
      </c>
      <c r="CA88" s="2" t="s">
        <v>99</v>
      </c>
    </row>
    <row r="89">
      <c r="A89" s="2" t="s">
        <v>633</v>
      </c>
      <c r="B89" s="2" t="s">
        <v>88</v>
      </c>
      <c r="C89" s="2" t="s">
        <v>203</v>
      </c>
      <c r="D89" s="2" t="s">
        <v>90</v>
      </c>
      <c r="E89" s="2" t="s">
        <v>616</v>
      </c>
      <c r="F89" s="2" t="s">
        <v>634</v>
      </c>
      <c r="G89" s="2" t="s">
        <v>634</v>
      </c>
      <c r="H89" s="2" t="s">
        <v>634</v>
      </c>
      <c r="I89" s="2" t="s">
        <v>635</v>
      </c>
      <c r="J89" s="2" t="s">
        <v>227</v>
      </c>
      <c r="K89" s="2" t="s">
        <v>95</v>
      </c>
      <c r="L89" s="3">
        <v>57.14</v>
      </c>
      <c r="M89" s="3">
        <v>60</v>
      </c>
      <c r="N89" s="3">
        <v>119.99</v>
      </c>
      <c r="O89" s="2" t="s">
        <v>304</v>
      </c>
      <c r="P89" s="2" t="s">
        <v>188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100</v>
      </c>
      <c r="V89" s="2" t="s">
        <v>310</v>
      </c>
      <c r="W89" s="2" t="s">
        <v>103</v>
      </c>
      <c r="X89" s="2" t="s">
        <v>330</v>
      </c>
      <c r="Y89" s="2" t="s">
        <v>636</v>
      </c>
      <c r="Z89" s="4">
        <v>82</v>
      </c>
      <c r="AA89" s="4">
        <f>=ROUNDDOWN(48.2352941176471,0)</f>
      </c>
      <c r="AB89" s="5">
        <v>1.7</v>
      </c>
      <c r="AC89" s="2" t="s">
        <v>99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5</v>
      </c>
      <c r="BK89" s="8">
        <v>291.72</v>
      </c>
      <c r="BL89" s="2" t="s">
        <v>637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96</v>
      </c>
      <c r="BW89" s="2" t="s">
        <v>99</v>
      </c>
      <c r="BX89" s="2" t="s">
        <v>638</v>
      </c>
      <c r="BY89" s="2" t="s">
        <v>109</v>
      </c>
      <c r="BZ89" s="2" t="s">
        <v>109</v>
      </c>
      <c r="CA89" s="2" t="s">
        <v>99</v>
      </c>
    </row>
    <row r="90">
      <c r="A90" s="2" t="s">
        <v>639</v>
      </c>
      <c r="B90" s="2" t="s">
        <v>88</v>
      </c>
      <c r="C90" s="2" t="s">
        <v>203</v>
      </c>
      <c r="D90" s="2" t="s">
        <v>90</v>
      </c>
      <c r="E90" s="2" t="s">
        <v>616</v>
      </c>
      <c r="F90" s="2" t="s">
        <v>640</v>
      </c>
      <c r="G90" s="2" t="s">
        <v>640</v>
      </c>
      <c r="H90" s="2" t="s">
        <v>640</v>
      </c>
      <c r="I90" s="2" t="s">
        <v>641</v>
      </c>
      <c r="J90" s="2" t="s">
        <v>642</v>
      </c>
      <c r="K90" s="2" t="s">
        <v>643</v>
      </c>
      <c r="L90" s="3">
        <v>68</v>
      </c>
      <c r="M90" s="3">
        <v>71.39</v>
      </c>
      <c r="N90" s="3">
        <v>139.99</v>
      </c>
      <c r="O90" s="2" t="s">
        <v>96</v>
      </c>
      <c r="P90" s="2" t="s">
        <v>317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99</v>
      </c>
      <c r="V90" s="2" t="s">
        <v>644</v>
      </c>
      <c r="W90" s="2" t="s">
        <v>158</v>
      </c>
      <c r="X90" s="2" t="s">
        <v>291</v>
      </c>
      <c r="Y90" s="2" t="s">
        <v>99</v>
      </c>
      <c r="Z90" s="4"/>
      <c r="AA90" s="4">
        <f>=ROUNDDOWN({0},0)</f>
      </c>
      <c r="AB90" s="5"/>
      <c r="AC90" s="2" t="s">
        <v>147</v>
      </c>
      <c r="AD90" s="4">
        <v>95</v>
      </c>
      <c r="AE90" s="4">
        <v>95</v>
      </c>
      <c r="AF90" s="6">
        <v>63</v>
      </c>
      <c r="AG90" s="6"/>
      <c r="AH90" s="7"/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99</v>
      </c>
      <c r="BM90" s="7"/>
      <c r="BN90" s="7"/>
      <c r="BO90" s="4"/>
      <c r="BP90" s="8"/>
      <c r="BQ90" s="4"/>
      <c r="BR90" s="8"/>
      <c r="BS90" s="7"/>
      <c r="BT90" s="7"/>
      <c r="BU90" s="2" t="s">
        <v>645</v>
      </c>
      <c r="BV90" s="2" t="s">
        <v>96</v>
      </c>
      <c r="BW90" s="2" t="s">
        <v>99</v>
      </c>
      <c r="BX90" s="2" t="s">
        <v>99</v>
      </c>
      <c r="BY90" s="2" t="s">
        <v>109</v>
      </c>
      <c r="BZ90" s="2" t="s">
        <v>109</v>
      </c>
      <c r="CA90" s="2" t="s">
        <v>99</v>
      </c>
    </row>
    <row r="91">
      <c r="A91" s="2" t="s">
        <v>646</v>
      </c>
      <c r="B91" s="2" t="s">
        <v>88</v>
      </c>
      <c r="C91" s="2" t="s">
        <v>203</v>
      </c>
      <c r="D91" s="2" t="s">
        <v>90</v>
      </c>
      <c r="E91" s="2" t="s">
        <v>616</v>
      </c>
      <c r="F91" s="2" t="s">
        <v>647</v>
      </c>
      <c r="G91" s="2" t="s">
        <v>647</v>
      </c>
      <c r="H91" s="2" t="s">
        <v>647</v>
      </c>
      <c r="I91" s="2" t="s">
        <v>648</v>
      </c>
      <c r="J91" s="2" t="s">
        <v>642</v>
      </c>
      <c r="K91" s="2" t="s">
        <v>643</v>
      </c>
      <c r="L91" s="3">
        <v>71.42</v>
      </c>
      <c r="M91" s="3">
        <v>74.99</v>
      </c>
      <c r="N91" s="3">
        <v>149.99</v>
      </c>
      <c r="O91" s="2" t="s">
        <v>96</v>
      </c>
      <c r="P91" s="2" t="s">
        <v>317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99</v>
      </c>
      <c r="V91" s="2" t="s">
        <v>644</v>
      </c>
      <c r="W91" s="2" t="s">
        <v>158</v>
      </c>
      <c r="X91" s="2" t="s">
        <v>291</v>
      </c>
      <c r="Y91" s="2" t="s">
        <v>99</v>
      </c>
      <c r="Z91" s="4"/>
      <c r="AA91" s="4">
        <f>=ROUNDDOWN({0},0)</f>
      </c>
      <c r="AB91" s="5"/>
      <c r="AC91" s="2" t="s">
        <v>147</v>
      </c>
      <c r="AD91" s="4">
        <v>95</v>
      </c>
      <c r="AE91" s="4">
        <v>95</v>
      </c>
      <c r="AF91" s="6">
        <v>63</v>
      </c>
      <c r="AG91" s="6"/>
      <c r="AH91" s="7"/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/>
      <c r="BK91" s="8"/>
      <c r="BL91" s="2" t="s">
        <v>99</v>
      </c>
      <c r="BM91" s="7"/>
      <c r="BN91" s="7"/>
      <c r="BO91" s="4"/>
      <c r="BP91" s="8"/>
      <c r="BQ91" s="4"/>
      <c r="BR91" s="8"/>
      <c r="BS91" s="7"/>
      <c r="BT91" s="7"/>
      <c r="BU91" s="2" t="s">
        <v>645</v>
      </c>
      <c r="BV91" s="2" t="s">
        <v>96</v>
      </c>
      <c r="BW91" s="2" t="s">
        <v>99</v>
      </c>
      <c r="BX91" s="2" t="s">
        <v>99</v>
      </c>
      <c r="BY91" s="2" t="s">
        <v>109</v>
      </c>
      <c r="BZ91" s="2" t="s">
        <v>109</v>
      </c>
      <c r="CA91" s="2" t="s">
        <v>99</v>
      </c>
    </row>
    <row r="92">
      <c r="A92" s="2" t="s">
        <v>649</v>
      </c>
      <c r="B92" s="2" t="s">
        <v>88</v>
      </c>
      <c r="C92" s="2" t="s">
        <v>203</v>
      </c>
      <c r="D92" s="2" t="s">
        <v>90</v>
      </c>
      <c r="E92" s="2" t="s">
        <v>616</v>
      </c>
      <c r="F92" s="2" t="s">
        <v>647</v>
      </c>
      <c r="G92" s="2" t="s">
        <v>647</v>
      </c>
      <c r="H92" s="2" t="s">
        <v>647</v>
      </c>
      <c r="I92" s="2" t="s">
        <v>648</v>
      </c>
      <c r="J92" s="2" t="s">
        <v>642</v>
      </c>
      <c r="K92" s="2" t="s">
        <v>234</v>
      </c>
      <c r="L92" s="3">
        <v>71.42</v>
      </c>
      <c r="M92" s="3">
        <v>74.99</v>
      </c>
      <c r="N92" s="3">
        <v>149.99</v>
      </c>
      <c r="O92" s="2" t="s">
        <v>96</v>
      </c>
      <c r="P92" s="2" t="s">
        <v>317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99</v>
      </c>
      <c r="V92" s="2" t="s">
        <v>644</v>
      </c>
      <c r="W92" s="2" t="s">
        <v>158</v>
      </c>
      <c r="X92" s="2" t="s">
        <v>291</v>
      </c>
      <c r="Y92" s="2" t="s">
        <v>99</v>
      </c>
      <c r="Z92" s="4"/>
      <c r="AA92" s="4">
        <f>=ROUNDDOWN({0},0)</f>
      </c>
      <c r="AB92" s="5"/>
      <c r="AC92" s="2" t="s">
        <v>147</v>
      </c>
      <c r="AD92" s="4">
        <v>95</v>
      </c>
      <c r="AE92" s="4">
        <v>95</v>
      </c>
      <c r="AF92" s="6">
        <v>63</v>
      </c>
      <c r="AG92" s="6"/>
      <c r="AH92" s="7"/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/>
      <c r="BK92" s="8"/>
      <c r="BL92" s="2" t="s">
        <v>99</v>
      </c>
      <c r="BM92" s="7"/>
      <c r="BN92" s="7"/>
      <c r="BO92" s="4"/>
      <c r="BP92" s="8"/>
      <c r="BQ92" s="4"/>
      <c r="BR92" s="8"/>
      <c r="BS92" s="7"/>
      <c r="BT92" s="7"/>
      <c r="BU92" s="2" t="s">
        <v>645</v>
      </c>
      <c r="BV92" s="2" t="s">
        <v>96</v>
      </c>
      <c r="BW92" s="2" t="s">
        <v>99</v>
      </c>
      <c r="BX92" s="2" t="s">
        <v>99</v>
      </c>
      <c r="BY92" s="2" t="s">
        <v>109</v>
      </c>
      <c r="BZ92" s="2" t="s">
        <v>109</v>
      </c>
      <c r="CA92" s="2" t="s">
        <v>99</v>
      </c>
    </row>
    <row r="93">
      <c r="A93" s="2" t="s">
        <v>650</v>
      </c>
      <c r="B93" s="2" t="s">
        <v>88</v>
      </c>
      <c r="C93" s="2" t="s">
        <v>203</v>
      </c>
      <c r="D93" s="2" t="s">
        <v>90</v>
      </c>
      <c r="E93" s="2" t="s">
        <v>91</v>
      </c>
      <c r="F93" s="2" t="s">
        <v>651</v>
      </c>
      <c r="G93" s="2" t="s">
        <v>651</v>
      </c>
      <c r="H93" s="2" t="s">
        <v>651</v>
      </c>
      <c r="I93" s="2" t="s">
        <v>652</v>
      </c>
      <c r="J93" s="2" t="s">
        <v>227</v>
      </c>
      <c r="K93" s="2" t="s">
        <v>234</v>
      </c>
      <c r="L93" s="3">
        <v>57.85</v>
      </c>
      <c r="M93" s="3">
        <v>60.74</v>
      </c>
      <c r="N93" s="3">
        <v>114.74</v>
      </c>
      <c r="O93" s="2" t="s">
        <v>96</v>
      </c>
      <c r="P93" s="2" t="s">
        <v>131</v>
      </c>
      <c r="Q93" s="2" t="s">
        <v>98</v>
      </c>
      <c r="R93" s="2" t="s">
        <v>99</v>
      </c>
      <c r="S93" s="2" t="s">
        <v>653</v>
      </c>
      <c r="T93" s="2" t="s">
        <v>99</v>
      </c>
      <c r="U93" s="2" t="s">
        <v>100</v>
      </c>
      <c r="V93" s="2" t="s">
        <v>157</v>
      </c>
      <c r="W93" s="2" t="s">
        <v>212</v>
      </c>
      <c r="X93" s="2" t="s">
        <v>291</v>
      </c>
      <c r="Y93" s="2" t="s">
        <v>230</v>
      </c>
      <c r="Z93" s="4">
        <v>150</v>
      </c>
      <c r="AA93" s="4">
        <f>=ROUNDDOWN(21.4285714285714,0)</f>
      </c>
      <c r="AB93" s="5">
        <v>7</v>
      </c>
      <c r="AC93" s="2" t="s">
        <v>99</v>
      </c>
      <c r="AD93" s="4"/>
      <c r="AE93" s="4"/>
      <c r="AF93" s="6">
        <v>74</v>
      </c>
      <c r="AG93" s="6"/>
      <c r="AH93" s="7">
        <v>0.1724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13</v>
      </c>
      <c r="BK93" s="8">
        <v>826.1</v>
      </c>
      <c r="BL93" s="2" t="s">
        <v>654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96</v>
      </c>
      <c r="BW93" s="2" t="s">
        <v>99</v>
      </c>
      <c r="BX93" s="2" t="s">
        <v>655</v>
      </c>
      <c r="BY93" s="2" t="s">
        <v>109</v>
      </c>
      <c r="BZ93" s="2" t="s">
        <v>109</v>
      </c>
      <c r="CA93" s="2" t="s">
        <v>99</v>
      </c>
    </row>
    <row r="94">
      <c r="A94" s="2" t="s">
        <v>656</v>
      </c>
      <c r="B94" s="2" t="s">
        <v>88</v>
      </c>
      <c r="C94" s="2" t="s">
        <v>203</v>
      </c>
      <c r="D94" s="2" t="s">
        <v>657</v>
      </c>
      <c r="E94" s="2" t="s">
        <v>658</v>
      </c>
      <c r="F94" s="2" t="s">
        <v>659</v>
      </c>
      <c r="G94" s="2" t="s">
        <v>659</v>
      </c>
      <c r="H94" s="2" t="s">
        <v>659</v>
      </c>
      <c r="I94" s="2" t="s">
        <v>660</v>
      </c>
      <c r="J94" s="2" t="s">
        <v>227</v>
      </c>
      <c r="K94" s="2" t="s">
        <v>661</v>
      </c>
      <c r="L94" s="3">
        <v>40.19</v>
      </c>
      <c r="M94" s="3">
        <v>42.2</v>
      </c>
      <c r="N94" s="3">
        <v>89.99</v>
      </c>
      <c r="O94" s="2" t="s">
        <v>96</v>
      </c>
      <c r="P94" s="2" t="s">
        <v>131</v>
      </c>
      <c r="Q94" s="2" t="s">
        <v>98</v>
      </c>
      <c r="R94" s="2" t="s">
        <v>99</v>
      </c>
      <c r="S94" s="2" t="s">
        <v>662</v>
      </c>
      <c r="T94" s="2" t="s">
        <v>99</v>
      </c>
      <c r="U94" s="2" t="s">
        <v>100</v>
      </c>
      <c r="V94" s="2" t="s">
        <v>157</v>
      </c>
      <c r="W94" s="2" t="s">
        <v>102</v>
      </c>
      <c r="X94" s="2" t="s">
        <v>99</v>
      </c>
      <c r="Y94" s="2" t="s">
        <v>663</v>
      </c>
      <c r="Z94" s="4">
        <v>113</v>
      </c>
      <c r="AA94" s="4">
        <f>=ROUNDDOWN(14.125,0)</f>
      </c>
      <c r="AB94" s="5">
        <v>8</v>
      </c>
      <c r="AC94" s="2" t="s">
        <v>147</v>
      </c>
      <c r="AD94" s="4">
        <v>100</v>
      </c>
      <c r="AE94" s="4">
        <v>100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7</v>
      </c>
      <c r="AQ94" s="8">
        <v>323.54</v>
      </c>
      <c r="AR94" s="4"/>
      <c r="AS94" s="8"/>
      <c r="AT94" s="7"/>
      <c r="AU94" s="7"/>
      <c r="AV94" s="4">
        <v>7</v>
      </c>
      <c r="AW94" s="8">
        <v>323.54</v>
      </c>
      <c r="AX94" s="4"/>
      <c r="AY94" s="8"/>
      <c r="AZ94" s="7"/>
      <c r="BA94" s="7"/>
      <c r="BB94" s="7">
        <v>1</v>
      </c>
      <c r="BC94" s="4">
        <v>7</v>
      </c>
      <c r="BD94" s="8">
        <v>323.54</v>
      </c>
      <c r="BE94" s="4"/>
      <c r="BF94" s="8"/>
      <c r="BG94" s="7"/>
      <c r="BH94" s="7"/>
      <c r="BI94" s="7">
        <v>1</v>
      </c>
      <c r="BJ94" s="4">
        <v>55</v>
      </c>
      <c r="BK94" s="8">
        <v>2371.01</v>
      </c>
      <c r="BL94" s="2" t="s">
        <v>664</v>
      </c>
      <c r="BM94" s="7">
        <v>0.1273</v>
      </c>
      <c r="BN94" s="7">
        <v>0.1365</v>
      </c>
      <c r="BO94" s="4">
        <v>7</v>
      </c>
      <c r="BP94" s="8">
        <v>323.54</v>
      </c>
      <c r="BQ94" s="4"/>
      <c r="BR94" s="8"/>
      <c r="BS94" s="7"/>
      <c r="BT94" s="7"/>
      <c r="BU94" s="2" t="s">
        <v>107</v>
      </c>
      <c r="BV94" s="2" t="s">
        <v>96</v>
      </c>
      <c r="BW94" s="2" t="s">
        <v>99</v>
      </c>
      <c r="BX94" s="2" t="s">
        <v>413</v>
      </c>
      <c r="BY94" s="2" t="s">
        <v>109</v>
      </c>
      <c r="BZ94" s="2" t="s">
        <v>109</v>
      </c>
      <c r="CA94" s="2" t="s">
        <v>99</v>
      </c>
    </row>
    <row r="95">
      <c r="A95" s="2" t="s">
        <v>665</v>
      </c>
      <c r="B95" s="2" t="s">
        <v>88</v>
      </c>
      <c r="C95" s="2" t="s">
        <v>666</v>
      </c>
      <c r="D95" s="2" t="s">
        <v>177</v>
      </c>
      <c r="E95" s="2" t="s">
        <v>351</v>
      </c>
      <c r="F95" s="2" t="s">
        <v>667</v>
      </c>
      <c r="G95" s="2" t="s">
        <v>667</v>
      </c>
      <c r="H95" s="2" t="s">
        <v>667</v>
      </c>
      <c r="I95" s="2" t="s">
        <v>668</v>
      </c>
      <c r="J95" s="2" t="s">
        <v>227</v>
      </c>
      <c r="K95" s="2" t="s">
        <v>274</v>
      </c>
      <c r="L95" s="3">
        <v>38.46</v>
      </c>
      <c r="M95" s="3">
        <v>40.38</v>
      </c>
      <c r="N95" s="3">
        <v>84.99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669</v>
      </c>
      <c r="T95" s="2" t="s">
        <v>99</v>
      </c>
      <c r="U95" s="2" t="s">
        <v>100</v>
      </c>
      <c r="V95" s="2" t="s">
        <v>181</v>
      </c>
      <c r="W95" s="2" t="s">
        <v>102</v>
      </c>
      <c r="X95" s="2" t="s">
        <v>257</v>
      </c>
      <c r="Y95" s="2" t="s">
        <v>670</v>
      </c>
      <c r="Z95" s="4">
        <v>470</v>
      </c>
      <c r="AA95" s="4">
        <f>=ROUNDDOWN(15.6666666666667,0)</f>
      </c>
      <c r="AB95" s="5">
        <v>30</v>
      </c>
      <c r="AC95" s="2" t="s">
        <v>105</v>
      </c>
      <c r="AD95" s="4">
        <v>200</v>
      </c>
      <c r="AE95" s="4">
        <v>360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39</v>
      </c>
      <c r="AQ95" s="8">
        <v>1724.97</v>
      </c>
      <c r="AR95" s="4"/>
      <c r="AS95" s="8"/>
      <c r="AT95" s="7"/>
      <c r="AU95" s="7"/>
      <c r="AV95" s="4">
        <v>39</v>
      </c>
      <c r="AW95" s="8">
        <v>1724.97</v>
      </c>
      <c r="AX95" s="4"/>
      <c r="AY95" s="8"/>
      <c r="AZ95" s="7"/>
      <c r="BA95" s="7"/>
      <c r="BB95" s="7">
        <v>1</v>
      </c>
      <c r="BC95" s="4">
        <v>39</v>
      </c>
      <c r="BD95" s="8">
        <v>1724.97</v>
      </c>
      <c r="BE95" s="4"/>
      <c r="BF95" s="8"/>
      <c r="BG95" s="7"/>
      <c r="BH95" s="7"/>
      <c r="BI95" s="7">
        <v>1</v>
      </c>
      <c r="BJ95" s="4">
        <v>117</v>
      </c>
      <c r="BK95" s="8">
        <v>4577.82</v>
      </c>
      <c r="BL95" s="2" t="s">
        <v>671</v>
      </c>
      <c r="BM95" s="7">
        <v>0.3333</v>
      </c>
      <c r="BN95" s="7">
        <v>0.3768</v>
      </c>
      <c r="BO95" s="4">
        <v>39</v>
      </c>
      <c r="BP95" s="8">
        <v>1724.97</v>
      </c>
      <c r="BQ95" s="4"/>
      <c r="BR95" s="8"/>
      <c r="BS95" s="7"/>
      <c r="BT95" s="7"/>
      <c r="BU95" s="2" t="s">
        <v>107</v>
      </c>
      <c r="BV95" s="2" t="s">
        <v>96</v>
      </c>
      <c r="BW95" s="2" t="s">
        <v>99</v>
      </c>
      <c r="BX95" s="2" t="s">
        <v>672</v>
      </c>
      <c r="BY95" s="2" t="s">
        <v>109</v>
      </c>
      <c r="BZ95" s="2" t="s">
        <v>109</v>
      </c>
      <c r="CA95" s="2" t="s">
        <v>99</v>
      </c>
    </row>
    <row r="96">
      <c r="A96" s="2" t="s">
        <v>673</v>
      </c>
      <c r="B96" s="2" t="s">
        <v>88</v>
      </c>
      <c r="C96" s="2" t="s">
        <v>666</v>
      </c>
      <c r="D96" s="2" t="s">
        <v>177</v>
      </c>
      <c r="E96" s="2" t="s">
        <v>178</v>
      </c>
      <c r="F96" s="2" t="s">
        <v>674</v>
      </c>
      <c r="G96" s="2" t="s">
        <v>674</v>
      </c>
      <c r="H96" s="2" t="s">
        <v>674</v>
      </c>
      <c r="I96" s="2" t="s">
        <v>675</v>
      </c>
      <c r="J96" s="2" t="s">
        <v>227</v>
      </c>
      <c r="K96" s="2" t="s">
        <v>347</v>
      </c>
      <c r="L96" s="3">
        <v>52.62</v>
      </c>
      <c r="M96" s="3">
        <v>55.25</v>
      </c>
      <c r="N96" s="3">
        <v>110.49</v>
      </c>
      <c r="O96" s="2" t="s">
        <v>96</v>
      </c>
      <c r="P96" s="2" t="s">
        <v>131</v>
      </c>
      <c r="Q96" s="2" t="s">
        <v>98</v>
      </c>
      <c r="R96" s="2" t="s">
        <v>99</v>
      </c>
      <c r="S96" s="2" t="s">
        <v>676</v>
      </c>
      <c r="T96" s="2" t="s">
        <v>99</v>
      </c>
      <c r="U96" s="2" t="s">
        <v>100</v>
      </c>
      <c r="V96" s="2" t="s">
        <v>290</v>
      </c>
      <c r="W96" s="2" t="s">
        <v>677</v>
      </c>
      <c r="X96" s="2" t="s">
        <v>99</v>
      </c>
      <c r="Y96" s="2" t="s">
        <v>678</v>
      </c>
      <c r="Z96" s="4">
        <v>170</v>
      </c>
      <c r="AA96" s="4">
        <f>=ROUNDDOWN(28.3333333333333,0)</f>
      </c>
      <c r="AB96" s="5">
        <v>6</v>
      </c>
      <c r="AC96" s="2" t="s">
        <v>99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19</v>
      </c>
      <c r="AQ96" s="8">
        <v>1149.69</v>
      </c>
      <c r="AR96" s="4"/>
      <c r="AS96" s="8"/>
      <c r="AT96" s="7"/>
      <c r="AU96" s="7"/>
      <c r="AV96" s="4">
        <v>19</v>
      </c>
      <c r="AW96" s="8">
        <v>1149.69</v>
      </c>
      <c r="AX96" s="4"/>
      <c r="AY96" s="8"/>
      <c r="AZ96" s="7"/>
      <c r="BA96" s="7"/>
      <c r="BB96" s="7">
        <v>1</v>
      </c>
      <c r="BC96" s="4">
        <v>19</v>
      </c>
      <c r="BD96" s="8">
        <v>1149.69</v>
      </c>
      <c r="BE96" s="4"/>
      <c r="BF96" s="8"/>
      <c r="BG96" s="7"/>
      <c r="BH96" s="7"/>
      <c r="BI96" s="7">
        <v>1</v>
      </c>
      <c r="BJ96" s="4">
        <v>27</v>
      </c>
      <c r="BK96" s="8">
        <v>1527.82</v>
      </c>
      <c r="BL96" s="2" t="s">
        <v>679</v>
      </c>
      <c r="BM96" s="7">
        <v>0.7037</v>
      </c>
      <c r="BN96" s="7">
        <v>0.7525</v>
      </c>
      <c r="BO96" s="4">
        <v>19</v>
      </c>
      <c r="BP96" s="8">
        <v>1149.69</v>
      </c>
      <c r="BQ96" s="4"/>
      <c r="BR96" s="8"/>
      <c r="BS96" s="7"/>
      <c r="BT96" s="7"/>
      <c r="BU96" s="2" t="s">
        <v>107</v>
      </c>
      <c r="BV96" s="2" t="s">
        <v>96</v>
      </c>
      <c r="BW96" s="2" t="s">
        <v>99</v>
      </c>
      <c r="BX96" s="2" t="s">
        <v>680</v>
      </c>
      <c r="BY96" s="2" t="s">
        <v>109</v>
      </c>
      <c r="BZ96" s="2" t="s">
        <v>109</v>
      </c>
      <c r="CA96" s="2" t="s">
        <v>99</v>
      </c>
    </row>
    <row r="97">
      <c r="A97" s="2" t="s">
        <v>681</v>
      </c>
      <c r="B97" s="2" t="s">
        <v>88</v>
      </c>
      <c r="C97" s="2" t="s">
        <v>666</v>
      </c>
      <c r="D97" s="2" t="s">
        <v>177</v>
      </c>
      <c r="E97" s="2" t="s">
        <v>204</v>
      </c>
      <c r="F97" s="2" t="s">
        <v>682</v>
      </c>
      <c r="G97" s="2" t="s">
        <v>682</v>
      </c>
      <c r="H97" s="2" t="s">
        <v>682</v>
      </c>
      <c r="I97" s="2" t="s">
        <v>683</v>
      </c>
      <c r="J97" s="2" t="s">
        <v>227</v>
      </c>
      <c r="K97" s="2" t="s">
        <v>118</v>
      </c>
      <c r="L97" s="3">
        <v>22.24</v>
      </c>
      <c r="M97" s="3">
        <v>23.35</v>
      </c>
      <c r="N97" s="3">
        <v>50.99</v>
      </c>
      <c r="O97" s="2" t="s">
        <v>96</v>
      </c>
      <c r="P97" s="2" t="s">
        <v>131</v>
      </c>
      <c r="Q97" s="2" t="s">
        <v>98</v>
      </c>
      <c r="R97" s="2" t="s">
        <v>99</v>
      </c>
      <c r="S97" s="2" t="s">
        <v>684</v>
      </c>
      <c r="T97" s="2" t="s">
        <v>99</v>
      </c>
      <c r="U97" s="2" t="s">
        <v>100</v>
      </c>
      <c r="V97" s="2" t="s">
        <v>157</v>
      </c>
      <c r="W97" s="2" t="s">
        <v>685</v>
      </c>
      <c r="X97" s="2" t="s">
        <v>99</v>
      </c>
      <c r="Y97" s="2" t="s">
        <v>686</v>
      </c>
      <c r="Z97" s="4">
        <v>33</v>
      </c>
      <c r="AA97" s="4">
        <f>=ROUNDDOWN(2.82051282051282,0)</f>
      </c>
      <c r="AB97" s="5">
        <v>11.7</v>
      </c>
      <c r="AC97" s="2" t="s">
        <v>137</v>
      </c>
      <c r="AD97" s="4">
        <v>100</v>
      </c>
      <c r="AE97" s="4">
        <v>300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19</v>
      </c>
      <c r="AQ97" s="8">
        <v>486.02</v>
      </c>
      <c r="AR97" s="4"/>
      <c r="AS97" s="8"/>
      <c r="AT97" s="7"/>
      <c r="AU97" s="7"/>
      <c r="AV97" s="4">
        <v>19</v>
      </c>
      <c r="AW97" s="8">
        <v>486.02</v>
      </c>
      <c r="AX97" s="4"/>
      <c r="AY97" s="8"/>
      <c r="AZ97" s="7"/>
      <c r="BA97" s="7"/>
      <c r="BB97" s="7">
        <v>1</v>
      </c>
      <c r="BC97" s="4">
        <v>19</v>
      </c>
      <c r="BD97" s="8">
        <v>486.02</v>
      </c>
      <c r="BE97" s="4"/>
      <c r="BF97" s="8"/>
      <c r="BG97" s="7"/>
      <c r="BH97" s="7"/>
      <c r="BI97" s="7">
        <v>1</v>
      </c>
      <c r="BJ97" s="4">
        <v>59</v>
      </c>
      <c r="BK97" s="8">
        <v>1461.98</v>
      </c>
      <c r="BL97" s="2" t="s">
        <v>687</v>
      </c>
      <c r="BM97" s="7">
        <v>0.322</v>
      </c>
      <c r="BN97" s="7">
        <v>0.3324</v>
      </c>
      <c r="BO97" s="4">
        <v>19</v>
      </c>
      <c r="BP97" s="8">
        <v>486.02</v>
      </c>
      <c r="BQ97" s="4"/>
      <c r="BR97" s="8"/>
      <c r="BS97" s="7"/>
      <c r="BT97" s="7"/>
      <c r="BU97" s="2" t="s">
        <v>107</v>
      </c>
      <c r="BV97" s="2" t="s">
        <v>96</v>
      </c>
      <c r="BW97" s="2" t="s">
        <v>99</v>
      </c>
      <c r="BX97" s="2" t="s">
        <v>688</v>
      </c>
      <c r="BY97" s="2" t="s">
        <v>109</v>
      </c>
      <c r="BZ97" s="2" t="s">
        <v>109</v>
      </c>
      <c r="CA97" s="2" t="s">
        <v>99</v>
      </c>
    </row>
    <row r="98">
      <c r="A98" s="2" t="s">
        <v>689</v>
      </c>
      <c r="B98" s="2" t="s">
        <v>88</v>
      </c>
      <c r="C98" s="2" t="s">
        <v>666</v>
      </c>
      <c r="D98" s="2" t="s">
        <v>367</v>
      </c>
      <c r="E98" s="2" t="s">
        <v>368</v>
      </c>
      <c r="F98" s="2" t="s">
        <v>690</v>
      </c>
      <c r="G98" s="2" t="s">
        <v>690</v>
      </c>
      <c r="H98" s="2" t="s">
        <v>690</v>
      </c>
      <c r="I98" s="2" t="s">
        <v>691</v>
      </c>
      <c r="J98" s="2" t="s">
        <v>219</v>
      </c>
      <c r="K98" s="2" t="s">
        <v>118</v>
      </c>
      <c r="L98" s="3">
        <v>34.6</v>
      </c>
      <c r="M98" s="3">
        <v>36.33</v>
      </c>
      <c r="N98" s="3">
        <v>80.74</v>
      </c>
      <c r="O98" s="2" t="s">
        <v>96</v>
      </c>
      <c r="P98" s="2" t="s">
        <v>131</v>
      </c>
      <c r="Q98" s="2" t="s">
        <v>98</v>
      </c>
      <c r="R98" s="2" t="s">
        <v>99</v>
      </c>
      <c r="S98" s="2" t="s">
        <v>692</v>
      </c>
      <c r="T98" s="2" t="s">
        <v>99</v>
      </c>
      <c r="U98" s="2" t="s">
        <v>210</v>
      </c>
      <c r="V98" s="2" t="s">
        <v>693</v>
      </c>
      <c r="W98" s="2" t="s">
        <v>685</v>
      </c>
      <c r="X98" s="2" t="s">
        <v>99</v>
      </c>
      <c r="Y98" s="2" t="s">
        <v>164</v>
      </c>
      <c r="Z98" s="4">
        <v>146</v>
      </c>
      <c r="AA98" s="4">
        <f>=ROUNDDOWN(18.25,0)</f>
      </c>
      <c r="AB98" s="5">
        <v>8</v>
      </c>
      <c r="AC98" s="2" t="s">
        <v>183</v>
      </c>
      <c r="AD98" s="4">
        <v>151</v>
      </c>
      <c r="AE98" s="4">
        <v>151</v>
      </c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15</v>
      </c>
      <c r="AQ98" s="8">
        <v>603.3</v>
      </c>
      <c r="AR98" s="4"/>
      <c r="AS98" s="8"/>
      <c r="AT98" s="7"/>
      <c r="AU98" s="7"/>
      <c r="AV98" s="4">
        <v>15</v>
      </c>
      <c r="AW98" s="8">
        <v>603.3</v>
      </c>
      <c r="AX98" s="4"/>
      <c r="AY98" s="8"/>
      <c r="AZ98" s="7"/>
      <c r="BA98" s="7"/>
      <c r="BB98" s="7">
        <v>1</v>
      </c>
      <c r="BC98" s="4">
        <v>15</v>
      </c>
      <c r="BD98" s="8">
        <v>603.3</v>
      </c>
      <c r="BE98" s="4"/>
      <c r="BF98" s="8"/>
      <c r="BG98" s="7"/>
      <c r="BH98" s="7"/>
      <c r="BI98" s="7">
        <v>1</v>
      </c>
      <c r="BJ98" s="4">
        <v>40</v>
      </c>
      <c r="BK98" s="8">
        <v>1540.77</v>
      </c>
      <c r="BL98" s="2" t="s">
        <v>694</v>
      </c>
      <c r="BM98" s="7">
        <v>0.375</v>
      </c>
      <c r="BN98" s="7">
        <v>0.3916</v>
      </c>
      <c r="BO98" s="4">
        <v>15</v>
      </c>
      <c r="BP98" s="8">
        <v>603.3</v>
      </c>
      <c r="BQ98" s="4"/>
      <c r="BR98" s="8"/>
      <c r="BS98" s="7"/>
      <c r="BT98" s="7"/>
      <c r="BU98" s="2" t="s">
        <v>107</v>
      </c>
      <c r="BV98" s="2" t="s">
        <v>96</v>
      </c>
      <c r="BW98" s="2" t="s">
        <v>99</v>
      </c>
      <c r="BX98" s="2" t="s">
        <v>695</v>
      </c>
      <c r="BY98" s="2" t="s">
        <v>109</v>
      </c>
      <c r="BZ98" s="2" t="s">
        <v>109</v>
      </c>
      <c r="CA98" s="2" t="s">
        <v>99</v>
      </c>
    </row>
    <row r="99">
      <c r="A99" s="2" t="s">
        <v>696</v>
      </c>
      <c r="B99" s="2" t="s">
        <v>88</v>
      </c>
      <c r="C99" s="2" t="s">
        <v>666</v>
      </c>
      <c r="D99" s="2" t="s">
        <v>367</v>
      </c>
      <c r="E99" s="2" t="s">
        <v>368</v>
      </c>
      <c r="F99" s="2" t="s">
        <v>697</v>
      </c>
      <c r="G99" s="2" t="s">
        <v>697</v>
      </c>
      <c r="H99" s="2" t="s">
        <v>697</v>
      </c>
      <c r="I99" s="2" t="s">
        <v>698</v>
      </c>
      <c r="J99" s="2" t="s">
        <v>219</v>
      </c>
      <c r="K99" s="2" t="s">
        <v>465</v>
      </c>
      <c r="L99" s="3">
        <v>32.38</v>
      </c>
      <c r="M99" s="3">
        <v>34</v>
      </c>
      <c r="N99" s="3">
        <v>67.99</v>
      </c>
      <c r="O99" s="2" t="s">
        <v>96</v>
      </c>
      <c r="P99" s="2" t="s">
        <v>131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210</v>
      </c>
      <c r="V99" s="2" t="s">
        <v>310</v>
      </c>
      <c r="W99" s="2" t="s">
        <v>291</v>
      </c>
      <c r="X99" s="2" t="s">
        <v>158</v>
      </c>
      <c r="Y99" s="2" t="s">
        <v>699</v>
      </c>
      <c r="Z99" s="4">
        <v>154</v>
      </c>
      <c r="AA99" s="4">
        <f>=ROUNDDOWN(15.0980392156863,0)</f>
      </c>
      <c r="AB99" s="5">
        <v>10.2</v>
      </c>
      <c r="AC99" s="2" t="s">
        <v>183</v>
      </c>
      <c r="AD99" s="4">
        <v>208</v>
      </c>
      <c r="AE99" s="4">
        <v>208</v>
      </c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3</v>
      </c>
      <c r="AQ99" s="8">
        <v>111.72</v>
      </c>
      <c r="AR99" s="4"/>
      <c r="AS99" s="8"/>
      <c r="AT99" s="7"/>
      <c r="AU99" s="7"/>
      <c r="AV99" s="4">
        <v>3</v>
      </c>
      <c r="AW99" s="8">
        <v>111.72</v>
      </c>
      <c r="AX99" s="4"/>
      <c r="AY99" s="8"/>
      <c r="AZ99" s="7"/>
      <c r="BA99" s="7"/>
      <c r="BB99" s="7">
        <v>1</v>
      </c>
      <c r="BC99" s="4">
        <v>3</v>
      </c>
      <c r="BD99" s="8">
        <v>111.72</v>
      </c>
      <c r="BE99" s="4"/>
      <c r="BF99" s="8"/>
      <c r="BG99" s="7"/>
      <c r="BH99" s="7"/>
      <c r="BI99" s="7">
        <v>1</v>
      </c>
      <c r="BJ99" s="4">
        <v>52</v>
      </c>
      <c r="BK99" s="8">
        <v>2041.72</v>
      </c>
      <c r="BL99" s="2" t="s">
        <v>700</v>
      </c>
      <c r="BM99" s="7">
        <v>0.0577</v>
      </c>
      <c r="BN99" s="7">
        <v>0.0547</v>
      </c>
      <c r="BO99" s="4">
        <v>3</v>
      </c>
      <c r="BP99" s="8">
        <v>111.72</v>
      </c>
      <c r="BQ99" s="4"/>
      <c r="BR99" s="8"/>
      <c r="BS99" s="7"/>
      <c r="BT99" s="7"/>
      <c r="BU99" s="2" t="s">
        <v>107</v>
      </c>
      <c r="BV99" s="2" t="s">
        <v>122</v>
      </c>
      <c r="BW99" s="2" t="s">
        <v>99</v>
      </c>
      <c r="BX99" s="2" t="s">
        <v>701</v>
      </c>
      <c r="BY99" s="2" t="s">
        <v>109</v>
      </c>
      <c r="BZ99" s="2" t="s">
        <v>109</v>
      </c>
      <c r="CA99" s="2" t="s">
        <v>99</v>
      </c>
    </row>
    <row r="100">
      <c r="A100" s="2" t="s">
        <v>702</v>
      </c>
      <c r="B100" s="2" t="s">
        <v>88</v>
      </c>
      <c r="C100" s="2" t="s">
        <v>666</v>
      </c>
      <c r="D100" s="2" t="s">
        <v>367</v>
      </c>
      <c r="E100" s="2" t="s">
        <v>368</v>
      </c>
      <c r="F100" s="2" t="s">
        <v>703</v>
      </c>
      <c r="G100" s="2" t="s">
        <v>703</v>
      </c>
      <c r="H100" s="2" t="s">
        <v>703</v>
      </c>
      <c r="I100" s="2" t="s">
        <v>704</v>
      </c>
      <c r="J100" s="2" t="s">
        <v>227</v>
      </c>
      <c r="K100" s="2" t="s">
        <v>705</v>
      </c>
      <c r="L100" s="3">
        <v>40.03</v>
      </c>
      <c r="M100" s="3">
        <v>42.03</v>
      </c>
      <c r="N100" s="3">
        <v>87.54</v>
      </c>
      <c r="O100" s="2" t="s">
        <v>304</v>
      </c>
      <c r="P100" s="2" t="s">
        <v>188</v>
      </c>
      <c r="Q100" s="2" t="s">
        <v>98</v>
      </c>
      <c r="R100" s="2" t="s">
        <v>99</v>
      </c>
      <c r="S100" s="2" t="s">
        <v>706</v>
      </c>
      <c r="T100" s="2" t="s">
        <v>99</v>
      </c>
      <c r="U100" s="2" t="s">
        <v>100</v>
      </c>
      <c r="V100" s="2" t="s">
        <v>181</v>
      </c>
      <c r="W100" s="2" t="s">
        <v>102</v>
      </c>
      <c r="X100" s="2" t="s">
        <v>99</v>
      </c>
      <c r="Y100" s="2" t="s">
        <v>686</v>
      </c>
      <c r="Z100" s="4">
        <v>53</v>
      </c>
      <c r="AA100" s="4">
        <f>=ROUNDDOWN(17.6666666666667,0)</f>
      </c>
      <c r="AB100" s="5">
        <v>3</v>
      </c>
      <c r="AC100" s="2" t="s">
        <v>99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1</v>
      </c>
      <c r="AQ100" s="8">
        <v>46.03</v>
      </c>
      <c r="AR100" s="4"/>
      <c r="AS100" s="8"/>
      <c r="AT100" s="7"/>
      <c r="AU100" s="7"/>
      <c r="AV100" s="4">
        <v>1</v>
      </c>
      <c r="AW100" s="8">
        <v>46.03</v>
      </c>
      <c r="AX100" s="4"/>
      <c r="AY100" s="8"/>
      <c r="AZ100" s="7"/>
      <c r="BA100" s="7"/>
      <c r="BB100" s="7">
        <v>1</v>
      </c>
      <c r="BC100" s="4">
        <v>1</v>
      </c>
      <c r="BD100" s="8">
        <v>46.03</v>
      </c>
      <c r="BE100" s="4"/>
      <c r="BF100" s="8"/>
      <c r="BG100" s="7"/>
      <c r="BH100" s="7"/>
      <c r="BI100" s="7">
        <v>1</v>
      </c>
      <c r="BJ100" s="4">
        <v>5</v>
      </c>
      <c r="BK100" s="8">
        <v>229.36</v>
      </c>
      <c r="BL100" s="2" t="s">
        <v>707</v>
      </c>
      <c r="BM100" s="7">
        <v>0.2</v>
      </c>
      <c r="BN100" s="7">
        <v>0.2007</v>
      </c>
      <c r="BO100" s="4">
        <v>1</v>
      </c>
      <c r="BP100" s="8">
        <v>46.03</v>
      </c>
      <c r="BQ100" s="4"/>
      <c r="BR100" s="8"/>
      <c r="BS100" s="7"/>
      <c r="BT100" s="7"/>
      <c r="BU100" s="2" t="s">
        <v>107</v>
      </c>
      <c r="BV100" s="2" t="s">
        <v>96</v>
      </c>
      <c r="BW100" s="2" t="s">
        <v>99</v>
      </c>
      <c r="BX100" s="2" t="s">
        <v>708</v>
      </c>
      <c r="BY100" s="2" t="s">
        <v>109</v>
      </c>
      <c r="BZ100" s="2" t="s">
        <v>109</v>
      </c>
      <c r="CA100" s="2" t="s">
        <v>99</v>
      </c>
    </row>
    <row r="101">
      <c r="A101" s="2" t="s">
        <v>709</v>
      </c>
      <c r="B101" s="2" t="s">
        <v>88</v>
      </c>
      <c r="C101" s="2" t="s">
        <v>666</v>
      </c>
      <c r="D101" s="2" t="s">
        <v>367</v>
      </c>
      <c r="E101" s="2" t="s">
        <v>368</v>
      </c>
      <c r="F101" s="2" t="s">
        <v>710</v>
      </c>
      <c r="G101" s="2" t="s">
        <v>710</v>
      </c>
      <c r="H101" s="2" t="s">
        <v>710</v>
      </c>
      <c r="I101" s="2" t="s">
        <v>711</v>
      </c>
      <c r="J101" s="2" t="s">
        <v>155</v>
      </c>
      <c r="K101" s="2" t="s">
        <v>130</v>
      </c>
      <c r="L101" s="3">
        <v>68.81</v>
      </c>
      <c r="M101" s="3">
        <v>72.25</v>
      </c>
      <c r="N101" s="3">
        <v>144.49</v>
      </c>
      <c r="O101" s="2" t="s">
        <v>443</v>
      </c>
      <c r="P101" s="2" t="s">
        <v>188</v>
      </c>
      <c r="Q101" s="2" t="s">
        <v>98</v>
      </c>
      <c r="R101" s="2" t="s">
        <v>99</v>
      </c>
      <c r="S101" s="2" t="s">
        <v>712</v>
      </c>
      <c r="T101" s="2" t="s">
        <v>99</v>
      </c>
      <c r="U101" s="2" t="s">
        <v>156</v>
      </c>
      <c r="V101" s="2" t="s">
        <v>181</v>
      </c>
      <c r="W101" s="2" t="s">
        <v>102</v>
      </c>
      <c r="X101" s="2" t="s">
        <v>103</v>
      </c>
      <c r="Y101" s="2" t="s">
        <v>713</v>
      </c>
      <c r="Z101" s="4">
        <v>23</v>
      </c>
      <c r="AA101" s="4">
        <f>=ROUNDDOWN(28.75,0)</f>
      </c>
      <c r="AB101" s="5">
        <v>0.8</v>
      </c>
      <c r="AC101" s="2" t="s">
        <v>99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8</v>
      </c>
      <c r="BK101" s="8">
        <v>433.55</v>
      </c>
      <c r="BL101" s="2" t="s">
        <v>714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122</v>
      </c>
      <c r="BW101" s="2" t="s">
        <v>99</v>
      </c>
      <c r="BX101" s="2" t="s">
        <v>680</v>
      </c>
      <c r="BY101" s="2" t="s">
        <v>109</v>
      </c>
      <c r="BZ101" s="2" t="s">
        <v>109</v>
      </c>
      <c r="CA101" s="2" t="s">
        <v>99</v>
      </c>
    </row>
    <row r="102">
      <c r="A102" s="2" t="s">
        <v>715</v>
      </c>
      <c r="B102" s="2" t="s">
        <v>88</v>
      </c>
      <c r="C102" s="2" t="s">
        <v>666</v>
      </c>
      <c r="D102" s="2" t="s">
        <v>367</v>
      </c>
      <c r="E102" s="2" t="s">
        <v>368</v>
      </c>
      <c r="F102" s="2" t="s">
        <v>716</v>
      </c>
      <c r="G102" s="2" t="s">
        <v>716</v>
      </c>
      <c r="H102" s="2" t="s">
        <v>716</v>
      </c>
      <c r="I102" s="2" t="s">
        <v>717</v>
      </c>
      <c r="J102" s="2" t="s">
        <v>227</v>
      </c>
      <c r="K102" s="2" t="s">
        <v>643</v>
      </c>
      <c r="L102" s="3">
        <v>27.85</v>
      </c>
      <c r="M102" s="3">
        <v>29.24</v>
      </c>
      <c r="N102" s="3">
        <v>64.99</v>
      </c>
      <c r="O102" s="2" t="s">
        <v>304</v>
      </c>
      <c r="P102" s="2" t="s">
        <v>188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100</v>
      </c>
      <c r="V102" s="2" t="s">
        <v>310</v>
      </c>
      <c r="W102" s="2" t="s">
        <v>363</v>
      </c>
      <c r="X102" s="2" t="s">
        <v>718</v>
      </c>
      <c r="Y102" s="2" t="s">
        <v>719</v>
      </c>
      <c r="Z102" s="4">
        <v>2</v>
      </c>
      <c r="AA102" s="4">
        <f>=ROUNDDOWN(1.33333333333333,0)</f>
      </c>
      <c r="AB102" s="5">
        <v>1.5</v>
      </c>
      <c r="AC102" s="2" t="s">
        <v>99</v>
      </c>
      <c r="AD102" s="4"/>
      <c r="AE102" s="4"/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4</v>
      </c>
      <c r="BK102" s="8">
        <v>121.34</v>
      </c>
      <c r="BL102" s="2" t="s">
        <v>720</v>
      </c>
      <c r="BM102" s="7"/>
      <c r="BN102" s="7"/>
      <c r="BO102" s="4"/>
      <c r="BP102" s="8"/>
      <c r="BQ102" s="4"/>
      <c r="BR102" s="8"/>
      <c r="BS102" s="7"/>
      <c r="BT102" s="7"/>
      <c r="BU102" s="2" t="s">
        <v>306</v>
      </c>
      <c r="BV102" s="2" t="s">
        <v>96</v>
      </c>
      <c r="BW102" s="2" t="s">
        <v>99</v>
      </c>
      <c r="BX102" s="2" t="s">
        <v>99</v>
      </c>
      <c r="BY102" s="2" t="s">
        <v>109</v>
      </c>
      <c r="BZ102" s="2" t="s">
        <v>109</v>
      </c>
      <c r="CA102" s="2" t="s">
        <v>99</v>
      </c>
    </row>
    <row r="103">
      <c r="A103" s="2" t="s">
        <v>721</v>
      </c>
      <c r="B103" s="2" t="s">
        <v>88</v>
      </c>
      <c r="C103" s="2" t="s">
        <v>666</v>
      </c>
      <c r="D103" s="2" t="s">
        <v>367</v>
      </c>
      <c r="E103" s="2" t="s">
        <v>351</v>
      </c>
      <c r="F103" s="2" t="s">
        <v>722</v>
      </c>
      <c r="G103" s="2" t="s">
        <v>722</v>
      </c>
      <c r="H103" s="2" t="s">
        <v>722</v>
      </c>
      <c r="I103" s="2" t="s">
        <v>500</v>
      </c>
      <c r="J103" s="2" t="s">
        <v>501</v>
      </c>
      <c r="K103" s="2" t="s">
        <v>220</v>
      </c>
      <c r="L103" s="3">
        <v>79.42</v>
      </c>
      <c r="M103" s="3">
        <v>83.39</v>
      </c>
      <c r="N103" s="3">
        <v>157.24</v>
      </c>
      <c r="O103" s="2" t="s">
        <v>96</v>
      </c>
      <c r="P103" s="2" t="s">
        <v>188</v>
      </c>
      <c r="Q103" s="2" t="s">
        <v>98</v>
      </c>
      <c r="R103" s="2" t="s">
        <v>99</v>
      </c>
      <c r="S103" s="2" t="s">
        <v>723</v>
      </c>
      <c r="T103" s="2" t="s">
        <v>99</v>
      </c>
      <c r="U103" s="2" t="s">
        <v>503</v>
      </c>
      <c r="V103" s="2" t="s">
        <v>181</v>
      </c>
      <c r="W103" s="2" t="s">
        <v>102</v>
      </c>
      <c r="X103" s="2" t="s">
        <v>257</v>
      </c>
      <c r="Y103" s="2" t="s">
        <v>724</v>
      </c>
      <c r="Z103" s="4">
        <v>65</v>
      </c>
      <c r="AA103" s="4">
        <f>=ROUNDDOWN(18.5714285714286,0)</f>
      </c>
      <c r="AB103" s="5">
        <v>3.5</v>
      </c>
      <c r="AC103" s="2" t="s">
        <v>99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25</v>
      </c>
      <c r="BK103" s="8">
        <v>2190.87</v>
      </c>
      <c r="BL103" s="2" t="s">
        <v>725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96</v>
      </c>
      <c r="BW103" s="2" t="s">
        <v>99</v>
      </c>
      <c r="BX103" s="2" t="s">
        <v>133</v>
      </c>
      <c r="BY103" s="2" t="s">
        <v>109</v>
      </c>
      <c r="BZ103" s="2" t="s">
        <v>109</v>
      </c>
      <c r="CA103" s="2" t="s">
        <v>99</v>
      </c>
    </row>
    <row r="104">
      <c r="A104" s="2" t="s">
        <v>726</v>
      </c>
      <c r="B104" s="2" t="s">
        <v>88</v>
      </c>
      <c r="C104" s="2" t="s">
        <v>666</v>
      </c>
      <c r="D104" s="2" t="s">
        <v>90</v>
      </c>
      <c r="E104" s="2" t="s">
        <v>616</v>
      </c>
      <c r="F104" s="2" t="s">
        <v>727</v>
      </c>
      <c r="G104" s="2" t="s">
        <v>727</v>
      </c>
      <c r="H104" s="2" t="s">
        <v>727</v>
      </c>
      <c r="I104" s="2" t="s">
        <v>728</v>
      </c>
      <c r="J104" s="2" t="s">
        <v>729</v>
      </c>
      <c r="K104" s="2" t="s">
        <v>234</v>
      </c>
      <c r="L104" s="3">
        <v>59.52</v>
      </c>
      <c r="M104" s="3">
        <v>62.5</v>
      </c>
      <c r="N104" s="3">
        <v>124.99</v>
      </c>
      <c r="O104" s="2" t="s">
        <v>96</v>
      </c>
      <c r="P104" s="2" t="s">
        <v>317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99</v>
      </c>
      <c r="V104" s="2" t="s">
        <v>644</v>
      </c>
      <c r="W104" s="2" t="s">
        <v>291</v>
      </c>
      <c r="X104" s="2" t="s">
        <v>212</v>
      </c>
      <c r="Y104" s="2" t="s">
        <v>730</v>
      </c>
      <c r="Z104" s="4">
        <v>130</v>
      </c>
      <c r="AA104" s="4">
        <f>=ROUNDDOWN({0},0)</f>
      </c>
      <c r="AB104" s="5"/>
      <c r="AC104" s="2" t="s">
        <v>99</v>
      </c>
      <c r="AD104" s="4"/>
      <c r="AE104" s="4"/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/>
      <c r="BK104" s="8"/>
      <c r="BL104" s="2" t="s">
        <v>99</v>
      </c>
      <c r="BM104" s="7"/>
      <c r="BN104" s="7"/>
      <c r="BO104" s="4"/>
      <c r="BP104" s="8"/>
      <c r="BQ104" s="4"/>
      <c r="BR104" s="8"/>
      <c r="BS104" s="7"/>
      <c r="BT104" s="7"/>
      <c r="BU104" s="2" t="s">
        <v>645</v>
      </c>
      <c r="BV104" s="2" t="s">
        <v>96</v>
      </c>
      <c r="BW104" s="2" t="s">
        <v>99</v>
      </c>
      <c r="BX104" s="2" t="s">
        <v>99</v>
      </c>
      <c r="BY104" s="2" t="s">
        <v>109</v>
      </c>
      <c r="BZ104" s="2" t="s">
        <v>109</v>
      </c>
      <c r="CA104" s="2" t="s">
        <v>99</v>
      </c>
    </row>
    <row r="105">
      <c r="A105" s="2" t="s">
        <v>731</v>
      </c>
      <c r="B105" s="2" t="s">
        <v>88</v>
      </c>
      <c r="C105" s="2" t="s">
        <v>666</v>
      </c>
      <c r="D105" s="2" t="s">
        <v>90</v>
      </c>
      <c r="E105" s="2" t="s">
        <v>616</v>
      </c>
      <c r="F105" s="2" t="s">
        <v>727</v>
      </c>
      <c r="G105" s="2" t="s">
        <v>727</v>
      </c>
      <c r="H105" s="2" t="s">
        <v>727</v>
      </c>
      <c r="I105" s="2" t="s">
        <v>732</v>
      </c>
      <c r="J105" s="2" t="s">
        <v>733</v>
      </c>
      <c r="K105" s="2" t="s">
        <v>234</v>
      </c>
      <c r="L105" s="3">
        <v>59.52</v>
      </c>
      <c r="M105" s="3">
        <v>62.5</v>
      </c>
      <c r="N105" s="3">
        <v>124.99</v>
      </c>
      <c r="O105" s="2" t="s">
        <v>96</v>
      </c>
      <c r="P105" s="2" t="s">
        <v>135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100</v>
      </c>
      <c r="V105" s="2" t="s">
        <v>310</v>
      </c>
      <c r="W105" s="2" t="s">
        <v>291</v>
      </c>
      <c r="X105" s="2" t="s">
        <v>212</v>
      </c>
      <c r="Y105" s="2" t="s">
        <v>734</v>
      </c>
      <c r="Z105" s="4">
        <v>365</v>
      </c>
      <c r="AA105" s="4">
        <f>=ROUNDDOWN(24.3333333333333,0)</f>
      </c>
      <c r="AB105" s="5">
        <v>15</v>
      </c>
      <c r="AC105" s="2" t="s">
        <v>99</v>
      </c>
      <c r="AD105" s="4"/>
      <c r="AE105" s="4"/>
      <c r="AF105" s="6">
        <v>74</v>
      </c>
      <c r="AG105" s="6"/>
      <c r="AH105" s="7">
        <v>0.1724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/>
      <c r="BJ105" s="4">
        <v>3</v>
      </c>
      <c r="BK105" s="8">
        <v>246.86</v>
      </c>
      <c r="BL105" s="2" t="s">
        <v>654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96</v>
      </c>
      <c r="BW105" s="2" t="s">
        <v>99</v>
      </c>
      <c r="BX105" s="2" t="s">
        <v>735</v>
      </c>
      <c r="BY105" s="2" t="s">
        <v>109</v>
      </c>
      <c r="BZ105" s="2" t="s">
        <v>109</v>
      </c>
      <c r="CA105" s="2" t="s">
        <v>99</v>
      </c>
    </row>
    <row r="106">
      <c r="A106" s="2" t="s">
        <v>736</v>
      </c>
      <c r="B106" s="2" t="s">
        <v>88</v>
      </c>
      <c r="C106" s="2" t="s">
        <v>666</v>
      </c>
      <c r="D106" s="2" t="s">
        <v>90</v>
      </c>
      <c r="E106" s="2" t="s">
        <v>616</v>
      </c>
      <c r="F106" s="2" t="s">
        <v>727</v>
      </c>
      <c r="G106" s="2" t="s">
        <v>727</v>
      </c>
      <c r="H106" s="2" t="s">
        <v>727</v>
      </c>
      <c r="I106" s="2" t="s">
        <v>737</v>
      </c>
      <c r="J106" s="2" t="s">
        <v>738</v>
      </c>
      <c r="K106" s="2" t="s">
        <v>234</v>
      </c>
      <c r="L106" s="3">
        <v>69.33</v>
      </c>
      <c r="M106" s="3">
        <v>72.8</v>
      </c>
      <c r="N106" s="3">
        <v>139.99</v>
      </c>
      <c r="O106" s="2" t="s">
        <v>96</v>
      </c>
      <c r="P106" s="2" t="s">
        <v>317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99</v>
      </c>
      <c r="V106" s="2" t="s">
        <v>644</v>
      </c>
      <c r="W106" s="2" t="s">
        <v>291</v>
      </c>
      <c r="X106" s="2" t="s">
        <v>212</v>
      </c>
      <c r="Y106" s="2" t="s">
        <v>730</v>
      </c>
      <c r="Z106" s="4">
        <v>130</v>
      </c>
      <c r="AA106" s="4">
        <f>=ROUNDDOWN({0},0)</f>
      </c>
      <c r="AB106" s="5"/>
      <c r="AC106" s="2" t="s">
        <v>99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/>
      <c r="BJ106" s="4"/>
      <c r="BK106" s="8"/>
      <c r="BL106" s="2" t="s">
        <v>99</v>
      </c>
      <c r="BM106" s="7"/>
      <c r="BN106" s="7"/>
      <c r="BO106" s="4"/>
      <c r="BP106" s="8"/>
      <c r="BQ106" s="4"/>
      <c r="BR106" s="8"/>
      <c r="BS106" s="7"/>
      <c r="BT106" s="7"/>
      <c r="BU106" s="2" t="s">
        <v>306</v>
      </c>
      <c r="BV106" s="2" t="s">
        <v>96</v>
      </c>
      <c r="BW106" s="2" t="s">
        <v>99</v>
      </c>
      <c r="BX106" s="2" t="s">
        <v>99</v>
      </c>
      <c r="BY106" s="2" t="s">
        <v>109</v>
      </c>
      <c r="BZ106" s="2" t="s">
        <v>109</v>
      </c>
      <c r="CA106" s="2" t="s">
        <v>99</v>
      </c>
    </row>
    <row r="107">
      <c r="A107" s="2" t="s">
        <v>739</v>
      </c>
      <c r="B107" s="2" t="s">
        <v>88</v>
      </c>
      <c r="C107" s="2" t="s">
        <v>740</v>
      </c>
      <c r="D107" s="2" t="s">
        <v>90</v>
      </c>
      <c r="E107" s="2" t="s">
        <v>616</v>
      </c>
      <c r="F107" s="2" t="s">
        <v>741</v>
      </c>
      <c r="G107" s="2" t="s">
        <v>741</v>
      </c>
      <c r="H107" s="2" t="s">
        <v>741</v>
      </c>
      <c r="I107" s="2" t="s">
        <v>742</v>
      </c>
      <c r="J107" s="2" t="s">
        <v>743</v>
      </c>
      <c r="K107" s="2" t="s">
        <v>95</v>
      </c>
      <c r="L107" s="3">
        <v>62.26</v>
      </c>
      <c r="M107" s="3">
        <v>65.37</v>
      </c>
      <c r="N107" s="3">
        <v>130.04</v>
      </c>
      <c r="O107" s="2" t="s">
        <v>96</v>
      </c>
      <c r="P107" s="2" t="s">
        <v>97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100</v>
      </c>
      <c r="V107" s="2" t="s">
        <v>157</v>
      </c>
      <c r="W107" s="2" t="s">
        <v>158</v>
      </c>
      <c r="X107" s="2" t="s">
        <v>257</v>
      </c>
      <c r="Y107" s="2" t="s">
        <v>744</v>
      </c>
      <c r="Z107" s="4">
        <v>415</v>
      </c>
      <c r="AA107" s="4">
        <f>=ROUNDDOWN(16.6666666666667,0)</f>
      </c>
      <c r="AB107" s="5">
        <v>24.9</v>
      </c>
      <c r="AC107" s="2" t="s">
        <v>105</v>
      </c>
      <c r="AD107" s="4">
        <v>100</v>
      </c>
      <c r="AE107" s="4">
        <v>300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31</v>
      </c>
      <c r="AQ107" s="8">
        <v>2219.6</v>
      </c>
      <c r="AR107" s="4"/>
      <c r="AS107" s="8"/>
      <c r="AT107" s="7"/>
      <c r="AU107" s="7"/>
      <c r="AV107" s="4">
        <v>31</v>
      </c>
      <c r="AW107" s="8">
        <v>2219.6</v>
      </c>
      <c r="AX107" s="4"/>
      <c r="AY107" s="8"/>
      <c r="AZ107" s="7"/>
      <c r="BA107" s="7"/>
      <c r="BB107" s="7">
        <v>1</v>
      </c>
      <c r="BC107" s="4">
        <v>32</v>
      </c>
      <c r="BD107" s="8">
        <v>2291.2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0.9688</v>
      </c>
      <c r="BJ107" s="4">
        <v>112</v>
      </c>
      <c r="BK107" s="8">
        <v>7040.25</v>
      </c>
      <c r="BL107" s="2" t="s">
        <v>745</v>
      </c>
      <c r="BM107" s="7">
        <v>0.2768</v>
      </c>
      <c r="BN107" s="7">
        <v>0.3153</v>
      </c>
      <c r="BO107" s="4">
        <v>31</v>
      </c>
      <c r="BP107" s="8">
        <v>2219.6</v>
      </c>
      <c r="BQ107" s="4"/>
      <c r="BR107" s="8"/>
      <c r="BS107" s="7"/>
      <c r="BT107" s="7"/>
      <c r="BU107" s="2" t="s">
        <v>107</v>
      </c>
      <c r="BV107" s="2" t="s">
        <v>122</v>
      </c>
      <c r="BW107" s="2" t="s">
        <v>99</v>
      </c>
      <c r="BX107" s="2" t="s">
        <v>746</v>
      </c>
      <c r="BY107" s="2" t="s">
        <v>109</v>
      </c>
      <c r="BZ107" s="2" t="s">
        <v>109</v>
      </c>
      <c r="CA107" s="2" t="s">
        <v>99</v>
      </c>
    </row>
    <row r="108">
      <c r="A108" s="2" t="s">
        <v>747</v>
      </c>
      <c r="B108" s="2" t="s">
        <v>88</v>
      </c>
      <c r="C108" s="2" t="s">
        <v>740</v>
      </c>
      <c r="D108" s="2" t="s">
        <v>90</v>
      </c>
      <c r="E108" s="2" t="s">
        <v>616</v>
      </c>
      <c r="F108" s="2" t="s">
        <v>741</v>
      </c>
      <c r="G108" s="2" t="s">
        <v>741</v>
      </c>
      <c r="H108" s="2" t="s">
        <v>741</v>
      </c>
      <c r="I108" s="2" t="s">
        <v>748</v>
      </c>
      <c r="J108" s="2" t="s">
        <v>743</v>
      </c>
      <c r="K108" s="2" t="s">
        <v>141</v>
      </c>
      <c r="L108" s="3">
        <v>62.26</v>
      </c>
      <c r="M108" s="3">
        <v>65.37</v>
      </c>
      <c r="N108" s="3">
        <v>130.04</v>
      </c>
      <c r="O108" s="2" t="s">
        <v>96</v>
      </c>
      <c r="P108" s="2" t="s">
        <v>317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99</v>
      </c>
      <c r="V108" s="2" t="s">
        <v>157</v>
      </c>
      <c r="W108" s="2" t="s">
        <v>158</v>
      </c>
      <c r="X108" s="2" t="s">
        <v>257</v>
      </c>
      <c r="Y108" s="2" t="s">
        <v>338</v>
      </c>
      <c r="Z108" s="4">
        <v>75</v>
      </c>
      <c r="AA108" s="4">
        <f>=ROUNDDOWN(57.6923076923077,0)</f>
      </c>
      <c r="AB108" s="5">
        <v>1.3</v>
      </c>
      <c r="AC108" s="2" t="s">
        <v>99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1</v>
      </c>
      <c r="AQ108" s="8">
        <v>71.6</v>
      </c>
      <c r="AR108" s="4"/>
      <c r="AS108" s="8"/>
      <c r="AT108" s="7"/>
      <c r="AU108" s="7"/>
      <c r="AV108" s="4">
        <v>1</v>
      </c>
      <c r="AW108" s="8">
        <v>71.6</v>
      </c>
      <c r="AX108" s="4"/>
      <c r="AY108" s="8"/>
      <c r="AZ108" s="7"/>
      <c r="BA108" s="7"/>
      <c r="BB108" s="7">
        <v>1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0.0312</v>
      </c>
      <c r="BJ108" s="4">
        <v>6</v>
      </c>
      <c r="BK108" s="8">
        <v>381.9</v>
      </c>
      <c r="BL108" s="2" t="s">
        <v>144</v>
      </c>
      <c r="BM108" s="7">
        <v>0.1667</v>
      </c>
      <c r="BN108" s="7">
        <v>0.1875</v>
      </c>
      <c r="BO108" s="4">
        <v>1</v>
      </c>
      <c r="BP108" s="8">
        <v>71.6</v>
      </c>
      <c r="BQ108" s="4"/>
      <c r="BR108" s="8"/>
      <c r="BS108" s="7"/>
      <c r="BT108" s="7"/>
      <c r="BU108" s="2" t="s">
        <v>645</v>
      </c>
      <c r="BV108" s="2" t="s">
        <v>96</v>
      </c>
      <c r="BW108" s="2" t="s">
        <v>99</v>
      </c>
      <c r="BX108" s="2" t="s">
        <v>99</v>
      </c>
      <c r="BY108" s="2" t="s">
        <v>109</v>
      </c>
      <c r="BZ108" s="2" t="s">
        <v>109</v>
      </c>
      <c r="CA108" s="2" t="s">
        <v>99</v>
      </c>
    </row>
    <row r="109">
      <c r="A109" s="2" t="s">
        <v>749</v>
      </c>
      <c r="B109" s="2" t="s">
        <v>88</v>
      </c>
      <c r="C109" s="2" t="s">
        <v>740</v>
      </c>
      <c r="D109" s="2" t="s">
        <v>90</v>
      </c>
      <c r="E109" s="2" t="s">
        <v>616</v>
      </c>
      <c r="F109" s="2" t="s">
        <v>741</v>
      </c>
      <c r="G109" s="2" t="s">
        <v>741</v>
      </c>
      <c r="H109" s="2" t="s">
        <v>741</v>
      </c>
      <c r="I109" s="2" t="s">
        <v>748</v>
      </c>
      <c r="J109" s="2" t="s">
        <v>743</v>
      </c>
      <c r="K109" s="2" t="s">
        <v>130</v>
      </c>
      <c r="L109" s="3">
        <v>62.26</v>
      </c>
      <c r="M109" s="3">
        <v>65.37</v>
      </c>
      <c r="N109" s="3">
        <v>130.04</v>
      </c>
      <c r="O109" s="2" t="s">
        <v>96</v>
      </c>
      <c r="P109" s="2" t="s">
        <v>317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99</v>
      </c>
      <c r="V109" s="2" t="s">
        <v>157</v>
      </c>
      <c r="W109" s="2" t="s">
        <v>158</v>
      </c>
      <c r="X109" s="2" t="s">
        <v>257</v>
      </c>
      <c r="Y109" s="2" t="s">
        <v>750</v>
      </c>
      <c r="Z109" s="4">
        <v>27</v>
      </c>
      <c r="AA109" s="4">
        <f>=ROUNDDOWN(13.5,0)</f>
      </c>
      <c r="AB109" s="5">
        <v>2</v>
      </c>
      <c r="AC109" s="2" t="s">
        <v>137</v>
      </c>
      <c r="AD109" s="4">
        <v>50</v>
      </c>
      <c r="AE109" s="4">
        <v>50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>
        <v>7</v>
      </c>
      <c r="BK109" s="8">
        <v>504.4</v>
      </c>
      <c r="BL109" s="2" t="s">
        <v>751</v>
      </c>
      <c r="BM109" s="7"/>
      <c r="BN109" s="7"/>
      <c r="BO109" s="4"/>
      <c r="BP109" s="8"/>
      <c r="BQ109" s="4"/>
      <c r="BR109" s="8"/>
      <c r="BS109" s="7"/>
      <c r="BT109" s="7"/>
      <c r="BU109" s="2" t="s">
        <v>645</v>
      </c>
      <c r="BV109" s="2" t="s">
        <v>96</v>
      </c>
      <c r="BW109" s="2" t="s">
        <v>99</v>
      </c>
      <c r="BX109" s="2" t="s">
        <v>99</v>
      </c>
      <c r="BY109" s="2" t="s">
        <v>109</v>
      </c>
      <c r="BZ109" s="2" t="s">
        <v>109</v>
      </c>
      <c r="CA109" s="2" t="s">
        <v>99</v>
      </c>
    </row>
    <row r="110">
      <c r="A110" s="2" t="s">
        <v>752</v>
      </c>
      <c r="B110" s="2" t="s">
        <v>88</v>
      </c>
      <c r="C110" s="2" t="s">
        <v>740</v>
      </c>
      <c r="D110" s="2" t="s">
        <v>90</v>
      </c>
      <c r="E110" s="2" t="s">
        <v>616</v>
      </c>
      <c r="F110" s="2" t="s">
        <v>753</v>
      </c>
      <c r="G110" s="2" t="s">
        <v>753</v>
      </c>
      <c r="H110" s="2" t="s">
        <v>753</v>
      </c>
      <c r="I110" s="2" t="s">
        <v>737</v>
      </c>
      <c r="J110" s="2" t="s">
        <v>227</v>
      </c>
      <c r="K110" s="2" t="s">
        <v>234</v>
      </c>
      <c r="L110" s="3">
        <v>45.23</v>
      </c>
      <c r="M110" s="3">
        <v>47.49</v>
      </c>
      <c r="N110" s="3">
        <v>94.99</v>
      </c>
      <c r="O110" s="2" t="s">
        <v>96</v>
      </c>
      <c r="P110" s="2" t="s">
        <v>131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100</v>
      </c>
      <c r="V110" s="2" t="s">
        <v>310</v>
      </c>
      <c r="W110" s="2" t="s">
        <v>212</v>
      </c>
      <c r="X110" s="2" t="s">
        <v>754</v>
      </c>
      <c r="Y110" s="2" t="s">
        <v>734</v>
      </c>
      <c r="Z110" s="4">
        <v>248</v>
      </c>
      <c r="AA110" s="4">
        <f>=ROUNDDOWN(24.8,0)</f>
      </c>
      <c r="AB110" s="5">
        <v>10</v>
      </c>
      <c r="AC110" s="2" t="s">
        <v>99</v>
      </c>
      <c r="AD110" s="4"/>
      <c r="AE110" s="4"/>
      <c r="AF110" s="6">
        <v>74</v>
      </c>
      <c r="AG110" s="6"/>
      <c r="AH110" s="7">
        <v>0.1724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99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96</v>
      </c>
      <c r="BW110" s="2" t="s">
        <v>99</v>
      </c>
      <c r="BX110" s="2" t="s">
        <v>519</v>
      </c>
      <c r="BY110" s="2" t="s">
        <v>109</v>
      </c>
      <c r="BZ110" s="2" t="s">
        <v>109</v>
      </c>
      <c r="CA110" s="2" t="s">
        <v>99</v>
      </c>
    </row>
    <row r="111">
      <c r="A111" s="2" t="s">
        <v>755</v>
      </c>
      <c r="B111" s="2" t="s">
        <v>88</v>
      </c>
      <c r="C111" s="2" t="s">
        <v>756</v>
      </c>
      <c r="D111" s="2" t="s">
        <v>367</v>
      </c>
      <c r="E111" s="2" t="s">
        <v>351</v>
      </c>
      <c r="F111" s="2" t="s">
        <v>757</v>
      </c>
      <c r="G111" s="2" t="s">
        <v>757</v>
      </c>
      <c r="H111" s="2" t="s">
        <v>757</v>
      </c>
      <c r="I111" s="2" t="s">
        <v>758</v>
      </c>
      <c r="J111" s="2" t="s">
        <v>273</v>
      </c>
      <c r="K111" s="2" t="s">
        <v>759</v>
      </c>
      <c r="L111" s="3">
        <v>37.27</v>
      </c>
      <c r="M111" s="3">
        <v>39.13</v>
      </c>
      <c r="N111" s="3">
        <v>76.49</v>
      </c>
      <c r="O111" s="2" t="s">
        <v>443</v>
      </c>
      <c r="P111" s="2" t="s">
        <v>188</v>
      </c>
      <c r="Q111" s="2" t="s">
        <v>98</v>
      </c>
      <c r="R111" s="2" t="s">
        <v>99</v>
      </c>
      <c r="S111" s="2" t="s">
        <v>760</v>
      </c>
      <c r="T111" s="2" t="s">
        <v>99</v>
      </c>
      <c r="U111" s="2" t="s">
        <v>156</v>
      </c>
      <c r="V111" s="2" t="s">
        <v>101</v>
      </c>
      <c r="W111" s="2" t="s">
        <v>102</v>
      </c>
      <c r="X111" s="2" t="s">
        <v>761</v>
      </c>
      <c r="Y111" s="2" t="s">
        <v>762</v>
      </c>
      <c r="Z111" s="4">
        <v>2</v>
      </c>
      <c r="AA111" s="4">
        <f>=ROUNDDOWN(1.81818181818182,0)</f>
      </c>
      <c r="AB111" s="5">
        <v>1.1</v>
      </c>
      <c r="AC111" s="2" t="s">
        <v>99</v>
      </c>
      <c r="AD111" s="4"/>
      <c r="AE111" s="4"/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10</v>
      </c>
      <c r="BK111" s="8">
        <v>441.36</v>
      </c>
      <c r="BL111" s="2" t="s">
        <v>763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122</v>
      </c>
      <c r="BW111" s="2" t="s">
        <v>99</v>
      </c>
      <c r="BX111" s="2" t="s">
        <v>133</v>
      </c>
      <c r="BY111" s="2" t="s">
        <v>109</v>
      </c>
      <c r="BZ111" s="2" t="s">
        <v>109</v>
      </c>
      <c r="CA111" s="2" t="s">
        <v>99</v>
      </c>
    </row>
    <row r="112">
      <c r="A112" s="2" t="s">
        <v>764</v>
      </c>
      <c r="B112" s="2" t="s">
        <v>765</v>
      </c>
      <c r="C112" s="2" t="s">
        <v>203</v>
      </c>
      <c r="D112" s="2" t="s">
        <v>766</v>
      </c>
      <c r="E112" s="2" t="s">
        <v>767</v>
      </c>
      <c r="F112" s="2" t="s">
        <v>768</v>
      </c>
      <c r="G112" s="2" t="s">
        <v>769</v>
      </c>
      <c r="H112" s="2" t="s">
        <v>770</v>
      </c>
      <c r="I112" s="2" t="s">
        <v>771</v>
      </c>
      <c r="J112" s="2" t="s">
        <v>227</v>
      </c>
      <c r="K112" s="2" t="s">
        <v>228</v>
      </c>
      <c r="L112" s="3">
        <v>114</v>
      </c>
      <c r="M112" s="3">
        <v>119.7</v>
      </c>
      <c r="N112" s="3">
        <v>239</v>
      </c>
      <c r="O112" s="2" t="s">
        <v>96</v>
      </c>
      <c r="P112" s="2" t="s">
        <v>135</v>
      </c>
      <c r="Q112" s="2" t="s">
        <v>98</v>
      </c>
      <c r="R112" s="2" t="s">
        <v>99</v>
      </c>
      <c r="S112" s="2" t="s">
        <v>772</v>
      </c>
      <c r="T112" s="2" t="s">
        <v>99</v>
      </c>
      <c r="U112" s="2" t="s">
        <v>99</v>
      </c>
      <c r="V112" s="2" t="s">
        <v>157</v>
      </c>
      <c r="W112" s="2" t="s">
        <v>158</v>
      </c>
      <c r="X112" s="2" t="s">
        <v>99</v>
      </c>
      <c r="Y112" s="2" t="s">
        <v>686</v>
      </c>
      <c r="Z112" s="4">
        <v>17</v>
      </c>
      <c r="AA112" s="4">
        <f>=ROUNDDOWN(0.34,0)</f>
      </c>
      <c r="AB112" s="5">
        <v>50</v>
      </c>
      <c r="AC112" s="2" t="s">
        <v>332</v>
      </c>
      <c r="AD112" s="4">
        <v>75</v>
      </c>
      <c r="AE112" s="4">
        <v>855</v>
      </c>
      <c r="AF112" s="6">
        <v>74</v>
      </c>
      <c r="AG112" s="6">
        <v>60</v>
      </c>
      <c r="AH112" s="7">
        <v>0.8621</v>
      </c>
      <c r="AI112" s="4"/>
      <c r="AJ112" s="4">
        <f>=ROUNDDOWN({0},0)</f>
      </c>
      <c r="AK112" s="5"/>
      <c r="AL112" s="2" t="s">
        <v>773</v>
      </c>
      <c r="AM112" s="4">
        <v>50</v>
      </c>
      <c r="AN112" s="4">
        <v>50</v>
      </c>
      <c r="AO112" s="7"/>
      <c r="AP112" s="4">
        <v>104</v>
      </c>
      <c r="AQ112" s="8">
        <v>11659.44</v>
      </c>
      <c r="AR112" s="4"/>
      <c r="AS112" s="8"/>
      <c r="AT112" s="7"/>
      <c r="AU112" s="7"/>
      <c r="AV112" s="4">
        <v>104</v>
      </c>
      <c r="AW112" s="8">
        <v>11659.44</v>
      </c>
      <c r="AX112" s="4"/>
      <c r="AY112" s="8"/>
      <c r="AZ112" s="7"/>
      <c r="BA112" s="7"/>
      <c r="BB112" s="7">
        <v>1</v>
      </c>
      <c r="BC112" s="4">
        <v>432</v>
      </c>
      <c r="BD112" s="8">
        <v>49850.87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0.2339</v>
      </c>
      <c r="BJ112" s="4">
        <v>188</v>
      </c>
      <c r="BK112" s="8">
        <v>21422.41</v>
      </c>
      <c r="BL112" s="2" t="s">
        <v>774</v>
      </c>
      <c r="BM112" s="7">
        <v>0.5532</v>
      </c>
      <c r="BN112" s="7">
        <v>0.5443</v>
      </c>
      <c r="BO112" s="4">
        <v>104</v>
      </c>
      <c r="BP112" s="8">
        <v>11659.44</v>
      </c>
      <c r="BQ112" s="4"/>
      <c r="BR112" s="8"/>
      <c r="BS112" s="7"/>
      <c r="BT112" s="7"/>
      <c r="BU112" s="2" t="s">
        <v>107</v>
      </c>
      <c r="BV112" s="2" t="s">
        <v>96</v>
      </c>
      <c r="BW112" s="2" t="s">
        <v>99</v>
      </c>
      <c r="BX112" s="2" t="s">
        <v>775</v>
      </c>
      <c r="BY112" s="2" t="s">
        <v>109</v>
      </c>
      <c r="BZ112" s="2" t="s">
        <v>109</v>
      </c>
      <c r="CA112" s="2" t="s">
        <v>99</v>
      </c>
    </row>
    <row r="113">
      <c r="A113" s="2" t="s">
        <v>776</v>
      </c>
      <c r="B113" s="2" t="s">
        <v>765</v>
      </c>
      <c r="C113" s="2" t="s">
        <v>203</v>
      </c>
      <c r="D113" s="2" t="s">
        <v>766</v>
      </c>
      <c r="E113" s="2" t="s">
        <v>767</v>
      </c>
      <c r="F113" s="2" t="s">
        <v>768</v>
      </c>
      <c r="G113" s="2" t="s">
        <v>769</v>
      </c>
      <c r="H113" s="2" t="s">
        <v>770</v>
      </c>
      <c r="I113" s="2" t="s">
        <v>771</v>
      </c>
      <c r="J113" s="2" t="s">
        <v>227</v>
      </c>
      <c r="K113" s="2" t="s">
        <v>777</v>
      </c>
      <c r="L113" s="3">
        <v>114</v>
      </c>
      <c r="M113" s="3">
        <v>119.7</v>
      </c>
      <c r="N113" s="3">
        <v>239</v>
      </c>
      <c r="O113" s="2" t="s">
        <v>96</v>
      </c>
      <c r="P113" s="2" t="s">
        <v>131</v>
      </c>
      <c r="Q113" s="2" t="s">
        <v>98</v>
      </c>
      <c r="R113" s="2" t="s">
        <v>99</v>
      </c>
      <c r="S113" s="2" t="s">
        <v>778</v>
      </c>
      <c r="T113" s="2" t="s">
        <v>99</v>
      </c>
      <c r="U113" s="2" t="s">
        <v>99</v>
      </c>
      <c r="V113" s="2" t="s">
        <v>157</v>
      </c>
      <c r="W113" s="2" t="s">
        <v>158</v>
      </c>
      <c r="X113" s="2" t="s">
        <v>99</v>
      </c>
      <c r="Y113" s="2" t="s">
        <v>779</v>
      </c>
      <c r="Z113" s="4">
        <v>249</v>
      </c>
      <c r="AA113" s="4">
        <f>=ROUNDDOWN(15.0909090909091,0)</f>
      </c>
      <c r="AB113" s="5">
        <v>16.5</v>
      </c>
      <c r="AC113" s="2" t="s">
        <v>5</v>
      </c>
      <c r="AD113" s="4">
        <v>50</v>
      </c>
      <c r="AE113" s="4">
        <v>215</v>
      </c>
      <c r="AF113" s="6">
        <v>74</v>
      </c>
      <c r="AG113" s="6">
        <v>60</v>
      </c>
      <c r="AH113" s="7">
        <v>1</v>
      </c>
      <c r="AI113" s="4"/>
      <c r="AJ113" s="4">
        <f>=ROUNDDOWN({0},0)</f>
      </c>
      <c r="AK113" s="5"/>
      <c r="AL113" s="2" t="s">
        <v>780</v>
      </c>
      <c r="AM113" s="4">
        <v>60</v>
      </c>
      <c r="AN113" s="4">
        <v>100</v>
      </c>
      <c r="AO113" s="7"/>
      <c r="AP113" s="4">
        <v>78</v>
      </c>
      <c r="AQ113" s="8">
        <v>8744.58</v>
      </c>
      <c r="AR113" s="4"/>
      <c r="AS113" s="8"/>
      <c r="AT113" s="7"/>
      <c r="AU113" s="7"/>
      <c r="AV113" s="4">
        <v>78</v>
      </c>
      <c r="AW113" s="8">
        <v>8744.58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0.1754</v>
      </c>
      <c r="BJ113" s="4">
        <v>136</v>
      </c>
      <c r="BK113" s="8">
        <v>15154.59</v>
      </c>
      <c r="BL113" s="2" t="s">
        <v>781</v>
      </c>
      <c r="BM113" s="7">
        <v>0.5735</v>
      </c>
      <c r="BN113" s="7">
        <v>0.577</v>
      </c>
      <c r="BO113" s="4">
        <v>78</v>
      </c>
      <c r="BP113" s="8">
        <v>8744.58</v>
      </c>
      <c r="BQ113" s="4"/>
      <c r="BR113" s="8"/>
      <c r="BS113" s="7"/>
      <c r="BT113" s="7"/>
      <c r="BU113" s="2" t="s">
        <v>107</v>
      </c>
      <c r="BV113" s="2" t="s">
        <v>96</v>
      </c>
      <c r="BW113" s="2" t="s">
        <v>99</v>
      </c>
      <c r="BX113" s="2" t="s">
        <v>782</v>
      </c>
      <c r="BY113" s="2" t="s">
        <v>109</v>
      </c>
      <c r="BZ113" s="2" t="s">
        <v>109</v>
      </c>
      <c r="CA113" s="2" t="s">
        <v>99</v>
      </c>
    </row>
    <row r="114">
      <c r="A114" s="2" t="s">
        <v>783</v>
      </c>
      <c r="B114" s="2" t="s">
        <v>765</v>
      </c>
      <c r="C114" s="2" t="s">
        <v>203</v>
      </c>
      <c r="D114" s="2" t="s">
        <v>766</v>
      </c>
      <c r="E114" s="2" t="s">
        <v>767</v>
      </c>
      <c r="F114" s="2" t="s">
        <v>768</v>
      </c>
      <c r="G114" s="2" t="s">
        <v>769</v>
      </c>
      <c r="H114" s="2" t="s">
        <v>770</v>
      </c>
      <c r="I114" s="2" t="s">
        <v>771</v>
      </c>
      <c r="J114" s="2" t="s">
        <v>227</v>
      </c>
      <c r="K114" s="2" t="s">
        <v>784</v>
      </c>
      <c r="L114" s="3">
        <v>114</v>
      </c>
      <c r="M114" s="3">
        <v>119.7</v>
      </c>
      <c r="N114" s="3">
        <v>239</v>
      </c>
      <c r="O114" s="2" t="s">
        <v>96</v>
      </c>
      <c r="P114" s="2" t="s">
        <v>317</v>
      </c>
      <c r="Q114" s="2" t="s">
        <v>98</v>
      </c>
      <c r="R114" s="2" t="s">
        <v>99</v>
      </c>
      <c r="S114" s="2" t="s">
        <v>772</v>
      </c>
      <c r="T114" s="2" t="s">
        <v>99</v>
      </c>
      <c r="U114" s="2" t="s">
        <v>99</v>
      </c>
      <c r="V114" s="2" t="s">
        <v>157</v>
      </c>
      <c r="W114" s="2" t="s">
        <v>785</v>
      </c>
      <c r="X114" s="2" t="s">
        <v>99</v>
      </c>
      <c r="Y114" s="2" t="s">
        <v>786</v>
      </c>
      <c r="Z114" s="4">
        <v>134</v>
      </c>
      <c r="AA114" s="4">
        <f>=ROUNDDOWN(7.44444444444445,0)</f>
      </c>
      <c r="AB114" s="5">
        <v>18</v>
      </c>
      <c r="AC114" s="2" t="s">
        <v>5</v>
      </c>
      <c r="AD114" s="4">
        <v>35</v>
      </c>
      <c r="AE114" s="4">
        <v>156</v>
      </c>
      <c r="AF114" s="6">
        <v>74</v>
      </c>
      <c r="AG114" s="6">
        <v>60</v>
      </c>
      <c r="AH114" s="7">
        <v>0.8966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61</v>
      </c>
      <c r="AQ114" s="8">
        <v>7886.08</v>
      </c>
      <c r="AR114" s="4"/>
      <c r="AS114" s="8"/>
      <c r="AT114" s="7"/>
      <c r="AU114" s="7"/>
      <c r="AV114" s="4">
        <v>61</v>
      </c>
      <c r="AW114" s="8">
        <v>7886.08</v>
      </c>
      <c r="AX114" s="4"/>
      <c r="AY114" s="8"/>
      <c r="AZ114" s="7"/>
      <c r="BA114" s="7"/>
      <c r="BB114" s="7">
        <v>1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0.1582</v>
      </c>
      <c r="BJ114" s="4">
        <v>118</v>
      </c>
      <c r="BK114" s="8">
        <v>14084.22</v>
      </c>
      <c r="BL114" s="2" t="s">
        <v>787</v>
      </c>
      <c r="BM114" s="7">
        <v>0.5169</v>
      </c>
      <c r="BN114" s="7">
        <v>0.5599</v>
      </c>
      <c r="BO114" s="4">
        <v>61</v>
      </c>
      <c r="BP114" s="8">
        <v>7886.08</v>
      </c>
      <c r="BQ114" s="4"/>
      <c r="BR114" s="8"/>
      <c r="BS114" s="7"/>
      <c r="BT114" s="7"/>
      <c r="BU114" s="2" t="s">
        <v>645</v>
      </c>
      <c r="BV114" s="2" t="s">
        <v>96</v>
      </c>
      <c r="BW114" s="2" t="s">
        <v>99</v>
      </c>
      <c r="BX114" s="2" t="s">
        <v>99</v>
      </c>
      <c r="BY114" s="2" t="s">
        <v>109</v>
      </c>
      <c r="BZ114" s="2" t="s">
        <v>109</v>
      </c>
      <c r="CA114" s="2" t="s">
        <v>99</v>
      </c>
    </row>
    <row r="115">
      <c r="A115" s="2" t="s">
        <v>788</v>
      </c>
      <c r="B115" s="2" t="s">
        <v>765</v>
      </c>
      <c r="C115" s="2" t="s">
        <v>203</v>
      </c>
      <c r="D115" s="2" t="s">
        <v>766</v>
      </c>
      <c r="E115" s="2" t="s">
        <v>767</v>
      </c>
      <c r="F115" s="2" t="s">
        <v>768</v>
      </c>
      <c r="G115" s="2" t="s">
        <v>769</v>
      </c>
      <c r="H115" s="2" t="s">
        <v>770</v>
      </c>
      <c r="I115" s="2" t="s">
        <v>771</v>
      </c>
      <c r="J115" s="2" t="s">
        <v>227</v>
      </c>
      <c r="K115" s="2" t="s">
        <v>789</v>
      </c>
      <c r="L115" s="3">
        <v>114</v>
      </c>
      <c r="M115" s="3">
        <v>119.7</v>
      </c>
      <c r="N115" s="3">
        <v>239</v>
      </c>
      <c r="O115" s="2" t="s">
        <v>96</v>
      </c>
      <c r="P115" s="2" t="s">
        <v>131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100</v>
      </c>
      <c r="V115" s="2" t="s">
        <v>101</v>
      </c>
      <c r="W115" s="2" t="s">
        <v>158</v>
      </c>
      <c r="X115" s="2" t="s">
        <v>99</v>
      </c>
      <c r="Y115" s="2" t="s">
        <v>790</v>
      </c>
      <c r="Z115" s="4">
        <v>43</v>
      </c>
      <c r="AA115" s="4">
        <f>=ROUNDDOWN(1.65384615384615,0)</f>
      </c>
      <c r="AB115" s="5">
        <v>26</v>
      </c>
      <c r="AC115" s="2" t="s">
        <v>5</v>
      </c>
      <c r="AD115" s="4">
        <v>100</v>
      </c>
      <c r="AE115" s="4">
        <v>455</v>
      </c>
      <c r="AF115" s="6">
        <v>74</v>
      </c>
      <c r="AG115" s="6">
        <v>60</v>
      </c>
      <c r="AH115" s="7">
        <v>0.9655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62</v>
      </c>
      <c r="AQ115" s="8">
        <v>6718.32</v>
      </c>
      <c r="AR115" s="4"/>
      <c r="AS115" s="8"/>
      <c r="AT115" s="7"/>
      <c r="AU115" s="7"/>
      <c r="AV115" s="4">
        <v>62</v>
      </c>
      <c r="AW115" s="8">
        <v>6718.32</v>
      </c>
      <c r="AX115" s="4"/>
      <c r="AY115" s="8"/>
      <c r="AZ115" s="7"/>
      <c r="BA115" s="7"/>
      <c r="BB115" s="7">
        <v>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0.1348</v>
      </c>
      <c r="BJ115" s="4">
        <v>104</v>
      </c>
      <c r="BK115" s="8">
        <v>11691.39</v>
      </c>
      <c r="BL115" s="2" t="s">
        <v>791</v>
      </c>
      <c r="BM115" s="7">
        <v>0.5962</v>
      </c>
      <c r="BN115" s="7">
        <v>0.5746</v>
      </c>
      <c r="BO115" s="4">
        <v>62</v>
      </c>
      <c r="BP115" s="8">
        <v>6718.32</v>
      </c>
      <c r="BQ115" s="4"/>
      <c r="BR115" s="8"/>
      <c r="BS115" s="7"/>
      <c r="BT115" s="7"/>
      <c r="BU115" s="2" t="s">
        <v>107</v>
      </c>
      <c r="BV115" s="2" t="s">
        <v>96</v>
      </c>
      <c r="BW115" s="2" t="s">
        <v>792</v>
      </c>
      <c r="BX115" s="2" t="s">
        <v>793</v>
      </c>
      <c r="BY115" s="2" t="s">
        <v>109</v>
      </c>
      <c r="BZ115" s="2" t="s">
        <v>109</v>
      </c>
      <c r="CA115" s="2" t="s">
        <v>99</v>
      </c>
    </row>
    <row r="116">
      <c r="A116" s="2" t="s">
        <v>794</v>
      </c>
      <c r="B116" s="2" t="s">
        <v>765</v>
      </c>
      <c r="C116" s="2" t="s">
        <v>203</v>
      </c>
      <c r="D116" s="2" t="s">
        <v>766</v>
      </c>
      <c r="E116" s="2" t="s">
        <v>767</v>
      </c>
      <c r="F116" s="2" t="s">
        <v>768</v>
      </c>
      <c r="G116" s="2" t="s">
        <v>769</v>
      </c>
      <c r="H116" s="2" t="s">
        <v>770</v>
      </c>
      <c r="I116" s="2" t="s">
        <v>771</v>
      </c>
      <c r="J116" s="2" t="s">
        <v>227</v>
      </c>
      <c r="K116" s="2" t="s">
        <v>795</v>
      </c>
      <c r="L116" s="3">
        <v>114</v>
      </c>
      <c r="M116" s="3">
        <v>119.7</v>
      </c>
      <c r="N116" s="3">
        <v>239</v>
      </c>
      <c r="O116" s="2" t="s">
        <v>96</v>
      </c>
      <c r="P116" s="2" t="s">
        <v>131</v>
      </c>
      <c r="Q116" s="2" t="s">
        <v>98</v>
      </c>
      <c r="R116" s="2" t="s">
        <v>99</v>
      </c>
      <c r="S116" s="2" t="s">
        <v>99</v>
      </c>
      <c r="T116" s="2" t="s">
        <v>99</v>
      </c>
      <c r="U116" s="2" t="s">
        <v>100</v>
      </c>
      <c r="V116" s="2" t="s">
        <v>157</v>
      </c>
      <c r="W116" s="2" t="s">
        <v>158</v>
      </c>
      <c r="X116" s="2" t="s">
        <v>99</v>
      </c>
      <c r="Y116" s="2" t="s">
        <v>796</v>
      </c>
      <c r="Z116" s="4">
        <v>356</v>
      </c>
      <c r="AA116" s="4">
        <f>=ROUNDDOWN(22.111801242236,0)</f>
      </c>
      <c r="AB116" s="5">
        <v>16.1</v>
      </c>
      <c r="AC116" s="2" t="s">
        <v>797</v>
      </c>
      <c r="AD116" s="4">
        <v>20</v>
      </c>
      <c r="AE116" s="4">
        <v>20</v>
      </c>
      <c r="AF116" s="6">
        <v>74</v>
      </c>
      <c r="AG116" s="6">
        <v>60</v>
      </c>
      <c r="AH116" s="7">
        <v>1</v>
      </c>
      <c r="AI116" s="4"/>
      <c r="AJ116" s="4">
        <f>=ROUNDDOWN({0},0)</f>
      </c>
      <c r="AK116" s="5"/>
      <c r="AL116" s="2" t="s">
        <v>780</v>
      </c>
      <c r="AM116" s="4">
        <v>70</v>
      </c>
      <c r="AN116" s="4">
        <v>70</v>
      </c>
      <c r="AO116" s="7"/>
      <c r="AP116" s="4">
        <v>48</v>
      </c>
      <c r="AQ116" s="8">
        <v>5626.08</v>
      </c>
      <c r="AR116" s="4"/>
      <c r="AS116" s="8"/>
      <c r="AT116" s="7"/>
      <c r="AU116" s="7"/>
      <c r="AV116" s="4">
        <v>48</v>
      </c>
      <c r="AW116" s="8">
        <v>5626.08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0.1129</v>
      </c>
      <c r="BJ116" s="4">
        <v>101</v>
      </c>
      <c r="BK116" s="8">
        <v>11587.87</v>
      </c>
      <c r="BL116" s="2" t="s">
        <v>798</v>
      </c>
      <c r="BM116" s="7">
        <v>0.4752</v>
      </c>
      <c r="BN116" s="7">
        <v>0.4855</v>
      </c>
      <c r="BO116" s="4">
        <v>48</v>
      </c>
      <c r="BP116" s="8">
        <v>5626.08</v>
      </c>
      <c r="BQ116" s="4"/>
      <c r="BR116" s="8"/>
      <c r="BS116" s="7"/>
      <c r="BT116" s="7"/>
      <c r="BU116" s="2" t="s">
        <v>107</v>
      </c>
      <c r="BV116" s="2" t="s">
        <v>96</v>
      </c>
      <c r="BW116" s="2" t="s">
        <v>99</v>
      </c>
      <c r="BX116" s="2" t="s">
        <v>99</v>
      </c>
      <c r="BY116" s="2" t="s">
        <v>109</v>
      </c>
      <c r="BZ116" s="2" t="s">
        <v>109</v>
      </c>
      <c r="CA116" s="2" t="s">
        <v>99</v>
      </c>
    </row>
    <row r="117">
      <c r="A117" s="2" t="s">
        <v>799</v>
      </c>
      <c r="B117" s="2" t="s">
        <v>765</v>
      </c>
      <c r="C117" s="2" t="s">
        <v>203</v>
      </c>
      <c r="D117" s="2" t="s">
        <v>766</v>
      </c>
      <c r="E117" s="2" t="s">
        <v>767</v>
      </c>
      <c r="F117" s="2" t="s">
        <v>768</v>
      </c>
      <c r="G117" s="2" t="s">
        <v>769</v>
      </c>
      <c r="H117" s="2" t="s">
        <v>770</v>
      </c>
      <c r="I117" s="2" t="s">
        <v>771</v>
      </c>
      <c r="J117" s="2" t="s">
        <v>227</v>
      </c>
      <c r="K117" s="2" t="s">
        <v>274</v>
      </c>
      <c r="L117" s="3">
        <v>114</v>
      </c>
      <c r="M117" s="3">
        <v>119.7</v>
      </c>
      <c r="N117" s="3">
        <v>239</v>
      </c>
      <c r="O117" s="2" t="s">
        <v>96</v>
      </c>
      <c r="P117" s="2" t="s">
        <v>131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100</v>
      </c>
      <c r="V117" s="2" t="s">
        <v>157</v>
      </c>
      <c r="W117" s="2" t="s">
        <v>158</v>
      </c>
      <c r="X117" s="2" t="s">
        <v>330</v>
      </c>
      <c r="Y117" s="2" t="s">
        <v>800</v>
      </c>
      <c r="Z117" s="4">
        <v>150</v>
      </c>
      <c r="AA117" s="4">
        <f>=ROUNDDOWN(8.82352941176471,0)</f>
      </c>
      <c r="AB117" s="5">
        <v>17</v>
      </c>
      <c r="AC117" s="2" t="s">
        <v>801</v>
      </c>
      <c r="AD117" s="4">
        <v>100</v>
      </c>
      <c r="AE117" s="4">
        <v>265</v>
      </c>
      <c r="AF117" s="6">
        <v>74</v>
      </c>
      <c r="AG117" s="6">
        <v>60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45</v>
      </c>
      <c r="AQ117" s="8">
        <v>4820.85</v>
      </c>
      <c r="AR117" s="4"/>
      <c r="AS117" s="8"/>
      <c r="AT117" s="7"/>
      <c r="AU117" s="7"/>
      <c r="AV117" s="4">
        <v>45</v>
      </c>
      <c r="AW117" s="8">
        <v>4820.85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0.0967</v>
      </c>
      <c r="BJ117" s="4">
        <v>87</v>
      </c>
      <c r="BK117" s="8">
        <v>9199.07</v>
      </c>
      <c r="BL117" s="2" t="s">
        <v>802</v>
      </c>
      <c r="BM117" s="7">
        <v>0.5172</v>
      </c>
      <c r="BN117" s="7">
        <v>0.5241</v>
      </c>
      <c r="BO117" s="4">
        <v>45</v>
      </c>
      <c r="BP117" s="8">
        <v>4820.85</v>
      </c>
      <c r="BQ117" s="4"/>
      <c r="BR117" s="8"/>
      <c r="BS117" s="7"/>
      <c r="BT117" s="7"/>
      <c r="BU117" s="2" t="s">
        <v>107</v>
      </c>
      <c r="BV117" s="2" t="s">
        <v>96</v>
      </c>
      <c r="BW117" s="2" t="s">
        <v>792</v>
      </c>
      <c r="BX117" s="2" t="s">
        <v>803</v>
      </c>
      <c r="BY117" s="2" t="s">
        <v>109</v>
      </c>
      <c r="BZ117" s="2" t="s">
        <v>109</v>
      </c>
      <c r="CA117" s="2" t="s">
        <v>99</v>
      </c>
    </row>
    <row r="118">
      <c r="A118" s="2" t="s">
        <v>804</v>
      </c>
      <c r="B118" s="2" t="s">
        <v>765</v>
      </c>
      <c r="C118" s="2" t="s">
        <v>203</v>
      </c>
      <c r="D118" s="2" t="s">
        <v>766</v>
      </c>
      <c r="E118" s="2" t="s">
        <v>767</v>
      </c>
      <c r="F118" s="2" t="s">
        <v>768</v>
      </c>
      <c r="G118" s="2" t="s">
        <v>768</v>
      </c>
      <c r="H118" s="2" t="s">
        <v>768</v>
      </c>
      <c r="I118" s="2" t="s">
        <v>771</v>
      </c>
      <c r="J118" s="2" t="s">
        <v>227</v>
      </c>
      <c r="K118" s="2" t="s">
        <v>805</v>
      </c>
      <c r="L118" s="3">
        <v>114</v>
      </c>
      <c r="M118" s="3">
        <v>119.7</v>
      </c>
      <c r="N118" s="3">
        <v>239</v>
      </c>
      <c r="O118" s="2" t="s">
        <v>96</v>
      </c>
      <c r="P118" s="2" t="s">
        <v>317</v>
      </c>
      <c r="Q118" s="2" t="s">
        <v>98</v>
      </c>
      <c r="R118" s="2" t="s">
        <v>99</v>
      </c>
      <c r="S118" s="2" t="s">
        <v>772</v>
      </c>
      <c r="T118" s="2" t="s">
        <v>99</v>
      </c>
      <c r="U118" s="2" t="s">
        <v>99</v>
      </c>
      <c r="V118" s="2" t="s">
        <v>157</v>
      </c>
      <c r="W118" s="2" t="s">
        <v>785</v>
      </c>
      <c r="X118" s="2" t="s">
        <v>99</v>
      </c>
      <c r="Y118" s="2" t="s">
        <v>806</v>
      </c>
      <c r="Z118" s="4">
        <v>3</v>
      </c>
      <c r="AA118" s="4">
        <f>=ROUNDDOWN(0.6,0)</f>
      </c>
      <c r="AB118" s="5">
        <v>5</v>
      </c>
      <c r="AC118" s="2" t="s">
        <v>807</v>
      </c>
      <c r="AD118" s="4">
        <v>50</v>
      </c>
      <c r="AE118" s="4">
        <v>150</v>
      </c>
      <c r="AF118" s="6">
        <v>74</v>
      </c>
      <c r="AG118" s="6"/>
      <c r="AH118" s="7">
        <v>0.8966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18</v>
      </c>
      <c r="AQ118" s="8">
        <v>2327.04</v>
      </c>
      <c r="AR118" s="4"/>
      <c r="AS118" s="8"/>
      <c r="AT118" s="7"/>
      <c r="AU118" s="7"/>
      <c r="AV118" s="4">
        <v>18</v>
      </c>
      <c r="AW118" s="8">
        <v>2327.04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0.0467</v>
      </c>
      <c r="BJ118" s="4">
        <v>36</v>
      </c>
      <c r="BK118" s="8">
        <v>4515.53</v>
      </c>
      <c r="BL118" s="2" t="s">
        <v>808</v>
      </c>
      <c r="BM118" s="7">
        <v>0.5</v>
      </c>
      <c r="BN118" s="7">
        <v>0.5153</v>
      </c>
      <c r="BO118" s="4">
        <v>18</v>
      </c>
      <c r="BP118" s="8">
        <v>2327.04</v>
      </c>
      <c r="BQ118" s="4"/>
      <c r="BR118" s="8"/>
      <c r="BS118" s="7"/>
      <c r="BT118" s="7"/>
      <c r="BU118" s="2" t="s">
        <v>645</v>
      </c>
      <c r="BV118" s="2" t="s">
        <v>96</v>
      </c>
      <c r="BW118" s="2" t="s">
        <v>99</v>
      </c>
      <c r="BX118" s="2" t="s">
        <v>99</v>
      </c>
      <c r="BY118" s="2" t="s">
        <v>109</v>
      </c>
      <c r="BZ118" s="2" t="s">
        <v>109</v>
      </c>
      <c r="CA118" s="2" t="s">
        <v>99</v>
      </c>
    </row>
    <row r="119">
      <c r="A119" s="2" t="s">
        <v>809</v>
      </c>
      <c r="B119" s="2" t="s">
        <v>765</v>
      </c>
      <c r="C119" s="2" t="s">
        <v>203</v>
      </c>
      <c r="D119" s="2" t="s">
        <v>766</v>
      </c>
      <c r="E119" s="2" t="s">
        <v>767</v>
      </c>
      <c r="F119" s="2" t="s">
        <v>768</v>
      </c>
      <c r="G119" s="2" t="s">
        <v>769</v>
      </c>
      <c r="H119" s="2" t="s">
        <v>770</v>
      </c>
      <c r="I119" s="2" t="s">
        <v>771</v>
      </c>
      <c r="J119" s="2" t="s">
        <v>227</v>
      </c>
      <c r="K119" s="2" t="s">
        <v>465</v>
      </c>
      <c r="L119" s="3">
        <v>114</v>
      </c>
      <c r="M119" s="3">
        <v>119.7</v>
      </c>
      <c r="N119" s="3">
        <v>239</v>
      </c>
      <c r="O119" s="2" t="s">
        <v>96</v>
      </c>
      <c r="P119" s="2" t="s">
        <v>131</v>
      </c>
      <c r="Q119" s="2" t="s">
        <v>98</v>
      </c>
      <c r="R119" s="2" t="s">
        <v>99</v>
      </c>
      <c r="S119" s="2" t="s">
        <v>778</v>
      </c>
      <c r="T119" s="2" t="s">
        <v>99</v>
      </c>
      <c r="U119" s="2" t="s">
        <v>99</v>
      </c>
      <c r="V119" s="2" t="s">
        <v>157</v>
      </c>
      <c r="W119" s="2" t="s">
        <v>158</v>
      </c>
      <c r="X119" s="2" t="s">
        <v>99</v>
      </c>
      <c r="Y119" s="2" t="s">
        <v>810</v>
      </c>
      <c r="Z119" s="4">
        <v>180</v>
      </c>
      <c r="AA119" s="4">
        <f>=ROUNDDOWN(9.47368421052632,0)</f>
      </c>
      <c r="AB119" s="5">
        <v>19</v>
      </c>
      <c r="AC119" s="2" t="s">
        <v>811</v>
      </c>
      <c r="AD119" s="4">
        <v>24</v>
      </c>
      <c r="AE119" s="4">
        <v>311</v>
      </c>
      <c r="AF119" s="6">
        <v>74</v>
      </c>
      <c r="AG119" s="6">
        <v>60</v>
      </c>
      <c r="AH119" s="7">
        <v>0.3448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16</v>
      </c>
      <c r="AQ119" s="8">
        <v>2068.48</v>
      </c>
      <c r="AR119" s="4"/>
      <c r="AS119" s="8"/>
      <c r="AT119" s="7"/>
      <c r="AU119" s="7"/>
      <c r="AV119" s="4">
        <v>16</v>
      </c>
      <c r="AW119" s="8">
        <v>2068.48</v>
      </c>
      <c r="AX119" s="4"/>
      <c r="AY119" s="8"/>
      <c r="AZ119" s="7"/>
      <c r="BA119" s="7"/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0.0415</v>
      </c>
      <c r="BJ119" s="4">
        <v>23</v>
      </c>
      <c r="BK119" s="8">
        <v>2929.87</v>
      </c>
      <c r="BL119" s="2" t="s">
        <v>324</v>
      </c>
      <c r="BM119" s="7">
        <v>0.6957</v>
      </c>
      <c r="BN119" s="7">
        <v>0.706</v>
      </c>
      <c r="BO119" s="4">
        <v>16</v>
      </c>
      <c r="BP119" s="8">
        <v>2068.48</v>
      </c>
      <c r="BQ119" s="4"/>
      <c r="BR119" s="8"/>
      <c r="BS119" s="7"/>
      <c r="BT119" s="7"/>
      <c r="BU119" s="2" t="s">
        <v>645</v>
      </c>
      <c r="BV119" s="2" t="s">
        <v>96</v>
      </c>
      <c r="BW119" s="2" t="s">
        <v>99</v>
      </c>
      <c r="BX119" s="2" t="s">
        <v>99</v>
      </c>
      <c r="BY119" s="2" t="s">
        <v>109</v>
      </c>
      <c r="BZ119" s="2" t="s">
        <v>109</v>
      </c>
      <c r="CA119" s="2" t="s">
        <v>99</v>
      </c>
    </row>
    <row r="120">
      <c r="A120" s="2" t="s">
        <v>812</v>
      </c>
      <c r="B120" s="2" t="s">
        <v>765</v>
      </c>
      <c r="C120" s="2" t="s">
        <v>203</v>
      </c>
      <c r="D120" s="2" t="s">
        <v>766</v>
      </c>
      <c r="E120" s="2" t="s">
        <v>767</v>
      </c>
      <c r="F120" s="2" t="s">
        <v>768</v>
      </c>
      <c r="G120" s="2" t="s">
        <v>769</v>
      </c>
      <c r="H120" s="2" t="s">
        <v>770</v>
      </c>
      <c r="I120" s="2" t="s">
        <v>771</v>
      </c>
      <c r="J120" s="2" t="s">
        <v>227</v>
      </c>
      <c r="K120" s="2" t="s">
        <v>813</v>
      </c>
      <c r="L120" s="3">
        <v>0.01</v>
      </c>
      <c r="M120" s="3">
        <v>0.01</v>
      </c>
      <c r="N120" s="3"/>
      <c r="O120" s="2" t="s">
        <v>96</v>
      </c>
      <c r="P120" s="2" t="s">
        <v>814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99</v>
      </c>
      <c r="V120" s="2" t="s">
        <v>310</v>
      </c>
      <c r="W120" s="2" t="s">
        <v>99</v>
      </c>
      <c r="X120" s="2" t="s">
        <v>99</v>
      </c>
      <c r="Y120" s="2" t="s">
        <v>815</v>
      </c>
      <c r="Z120" s="4">
        <v>2</v>
      </c>
      <c r="AA120" s="4">
        <f>=ROUNDDOWN({0},0)</f>
      </c>
      <c r="AB120" s="5"/>
      <c r="AC120" s="2" t="s">
        <v>99</v>
      </c>
      <c r="AD120" s="4"/>
      <c r="AE120" s="4"/>
      <c r="AF120" s="6"/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 t="s">
        <v>99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/>
      <c r="BK120" s="8"/>
      <c r="BL120" s="2" t="s">
        <v>99</v>
      </c>
      <c r="BM120" s="7"/>
      <c r="BN120" s="7"/>
      <c r="BO120" s="4"/>
      <c r="BP120" s="8"/>
      <c r="BQ120" s="4"/>
      <c r="BR120" s="8"/>
      <c r="BS120" s="7"/>
      <c r="BT120" s="7"/>
      <c r="BU120" s="2" t="s">
        <v>645</v>
      </c>
      <c r="BV120" s="2" t="s">
        <v>96</v>
      </c>
      <c r="BW120" s="2" t="s">
        <v>99</v>
      </c>
      <c r="BX120" s="2" t="s">
        <v>99</v>
      </c>
      <c r="BY120" s="2" t="s">
        <v>109</v>
      </c>
      <c r="BZ120" s="2" t="s">
        <v>109</v>
      </c>
      <c r="CA120" s="2" t="s">
        <v>99</v>
      </c>
    </row>
    <row r="121">
      <c r="A121" s="2" t="s">
        <v>816</v>
      </c>
      <c r="B121" s="2" t="s">
        <v>765</v>
      </c>
      <c r="C121" s="2" t="s">
        <v>203</v>
      </c>
      <c r="D121" s="2" t="s">
        <v>766</v>
      </c>
      <c r="E121" s="2" t="s">
        <v>767</v>
      </c>
      <c r="F121" s="2" t="s">
        <v>768</v>
      </c>
      <c r="G121" s="2" t="s">
        <v>769</v>
      </c>
      <c r="H121" s="2" t="s">
        <v>770</v>
      </c>
      <c r="I121" s="2" t="s">
        <v>771</v>
      </c>
      <c r="J121" s="2" t="s">
        <v>227</v>
      </c>
      <c r="K121" s="2" t="s">
        <v>813</v>
      </c>
      <c r="L121" s="3">
        <v>0.01</v>
      </c>
      <c r="M121" s="3">
        <v>0.01</v>
      </c>
      <c r="N121" s="3"/>
      <c r="O121" s="2" t="s">
        <v>96</v>
      </c>
      <c r="P121" s="2" t="s">
        <v>814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99</v>
      </c>
      <c r="V121" s="2" t="s">
        <v>310</v>
      </c>
      <c r="W121" s="2" t="s">
        <v>99</v>
      </c>
      <c r="X121" s="2" t="s">
        <v>99</v>
      </c>
      <c r="Y121" s="2" t="s">
        <v>815</v>
      </c>
      <c r="Z121" s="4"/>
      <c r="AA121" s="4">
        <f>=ROUNDDOWN({0},0)</f>
      </c>
      <c r="AB121" s="5"/>
      <c r="AC121" s="2" t="s">
        <v>99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 t="s">
        <v>99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/>
      <c r="BK121" s="8"/>
      <c r="BL121" s="2" t="s">
        <v>99</v>
      </c>
      <c r="BM121" s="7"/>
      <c r="BN121" s="7"/>
      <c r="BO121" s="4"/>
      <c r="BP121" s="8"/>
      <c r="BQ121" s="4"/>
      <c r="BR121" s="8"/>
      <c r="BS121" s="7"/>
      <c r="BT121" s="7"/>
      <c r="BU121" s="2" t="s">
        <v>645</v>
      </c>
      <c r="BV121" s="2" t="s">
        <v>96</v>
      </c>
      <c r="BW121" s="2" t="s">
        <v>99</v>
      </c>
      <c r="BX121" s="2" t="s">
        <v>99</v>
      </c>
      <c r="BY121" s="2" t="s">
        <v>109</v>
      </c>
      <c r="BZ121" s="2" t="s">
        <v>109</v>
      </c>
      <c r="CA121" s="2" t="s">
        <v>99</v>
      </c>
    </row>
    <row r="122">
      <c r="A122" s="2" t="s">
        <v>817</v>
      </c>
      <c r="B122" s="2" t="s">
        <v>765</v>
      </c>
      <c r="C122" s="2" t="s">
        <v>203</v>
      </c>
      <c r="D122" s="2" t="s">
        <v>766</v>
      </c>
      <c r="E122" s="2" t="s">
        <v>767</v>
      </c>
      <c r="F122" s="2" t="s">
        <v>768</v>
      </c>
      <c r="G122" s="2" t="s">
        <v>769</v>
      </c>
      <c r="H122" s="2" t="s">
        <v>770</v>
      </c>
      <c r="I122" s="2" t="s">
        <v>771</v>
      </c>
      <c r="J122" s="2" t="s">
        <v>227</v>
      </c>
      <c r="K122" s="2" t="s">
        <v>813</v>
      </c>
      <c r="L122" s="3">
        <v>0.01</v>
      </c>
      <c r="M122" s="3">
        <v>0.01</v>
      </c>
      <c r="N122" s="3"/>
      <c r="O122" s="2" t="s">
        <v>96</v>
      </c>
      <c r="P122" s="2" t="s">
        <v>814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99</v>
      </c>
      <c r="V122" s="2" t="s">
        <v>310</v>
      </c>
      <c r="W122" s="2" t="s">
        <v>99</v>
      </c>
      <c r="X122" s="2" t="s">
        <v>99</v>
      </c>
      <c r="Y122" s="2" t="s">
        <v>815</v>
      </c>
      <c r="Z122" s="4">
        <v>4</v>
      </c>
      <c r="AA122" s="4">
        <f>=ROUNDDOWN({0},0)</f>
      </c>
      <c r="AB122" s="5"/>
      <c r="AC122" s="2" t="s">
        <v>99</v>
      </c>
      <c r="AD122" s="4"/>
      <c r="AE122" s="4"/>
      <c r="AF122" s="6"/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 t="s">
        <v>99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/>
      <c r="BK122" s="8"/>
      <c r="BL122" s="2" t="s">
        <v>99</v>
      </c>
      <c r="BM122" s="7"/>
      <c r="BN122" s="7"/>
      <c r="BO122" s="4"/>
      <c r="BP122" s="8"/>
      <c r="BQ122" s="4"/>
      <c r="BR122" s="8"/>
      <c r="BS122" s="7"/>
      <c r="BT122" s="7"/>
      <c r="BU122" s="2" t="s">
        <v>645</v>
      </c>
      <c r="BV122" s="2" t="s">
        <v>96</v>
      </c>
      <c r="BW122" s="2" t="s">
        <v>99</v>
      </c>
      <c r="BX122" s="2" t="s">
        <v>99</v>
      </c>
      <c r="BY122" s="2" t="s">
        <v>109</v>
      </c>
      <c r="BZ122" s="2" t="s">
        <v>109</v>
      </c>
      <c r="CA122" s="2" t="s">
        <v>99</v>
      </c>
    </row>
    <row r="123">
      <c r="A123" s="2" t="s">
        <v>818</v>
      </c>
      <c r="B123" s="2" t="s">
        <v>765</v>
      </c>
      <c r="C123" s="2" t="s">
        <v>203</v>
      </c>
      <c r="D123" s="2" t="s">
        <v>766</v>
      </c>
      <c r="E123" s="2" t="s">
        <v>767</v>
      </c>
      <c r="F123" s="2" t="s">
        <v>768</v>
      </c>
      <c r="G123" s="2" t="s">
        <v>769</v>
      </c>
      <c r="H123" s="2" t="s">
        <v>770</v>
      </c>
      <c r="I123" s="2" t="s">
        <v>771</v>
      </c>
      <c r="J123" s="2" t="s">
        <v>227</v>
      </c>
      <c r="K123" s="2" t="s">
        <v>813</v>
      </c>
      <c r="L123" s="3">
        <v>0.01</v>
      </c>
      <c r="M123" s="3">
        <v>0.01</v>
      </c>
      <c r="N123" s="3"/>
      <c r="O123" s="2" t="s">
        <v>96</v>
      </c>
      <c r="P123" s="2" t="s">
        <v>814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99</v>
      </c>
      <c r="V123" s="2" t="s">
        <v>310</v>
      </c>
      <c r="W123" s="2" t="s">
        <v>99</v>
      </c>
      <c r="X123" s="2" t="s">
        <v>99</v>
      </c>
      <c r="Y123" s="2" t="s">
        <v>99</v>
      </c>
      <c r="Z123" s="4"/>
      <c r="AA123" s="4">
        <f>=ROUNDDOWN({0},0)</f>
      </c>
      <c r="AB123" s="5"/>
      <c r="AC123" s="2" t="s">
        <v>99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 t="s">
        <v>99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/>
      <c r="BK123" s="8"/>
      <c r="BL123" s="2" t="s">
        <v>99</v>
      </c>
      <c r="BM123" s="7"/>
      <c r="BN123" s="7"/>
      <c r="BO123" s="4"/>
      <c r="BP123" s="8"/>
      <c r="BQ123" s="4"/>
      <c r="BR123" s="8"/>
      <c r="BS123" s="7"/>
      <c r="BT123" s="7"/>
      <c r="BU123" s="2" t="s">
        <v>819</v>
      </c>
      <c r="BV123" s="2" t="s">
        <v>96</v>
      </c>
      <c r="BW123" s="2" t="s">
        <v>99</v>
      </c>
      <c r="BX123" s="2" t="s">
        <v>99</v>
      </c>
      <c r="BY123" s="2" t="s">
        <v>109</v>
      </c>
      <c r="BZ123" s="2" t="s">
        <v>109</v>
      </c>
      <c r="CA123" s="2" t="s">
        <v>99</v>
      </c>
    </row>
    <row r="124">
      <c r="A124" s="2" t="s">
        <v>820</v>
      </c>
      <c r="B124" s="2" t="s">
        <v>765</v>
      </c>
      <c r="C124" s="2" t="s">
        <v>203</v>
      </c>
      <c r="D124" s="2" t="s">
        <v>766</v>
      </c>
      <c r="E124" s="2" t="s">
        <v>767</v>
      </c>
      <c r="F124" s="2" t="s">
        <v>768</v>
      </c>
      <c r="G124" s="2" t="s">
        <v>769</v>
      </c>
      <c r="H124" s="2" t="s">
        <v>770</v>
      </c>
      <c r="I124" s="2" t="s">
        <v>771</v>
      </c>
      <c r="J124" s="2" t="s">
        <v>227</v>
      </c>
      <c r="K124" s="2" t="s">
        <v>813</v>
      </c>
      <c r="L124" s="3">
        <v>0.01</v>
      </c>
      <c r="M124" s="3">
        <v>0.01</v>
      </c>
      <c r="N124" s="3"/>
      <c r="O124" s="2" t="s">
        <v>96</v>
      </c>
      <c r="P124" s="2" t="s">
        <v>814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99</v>
      </c>
      <c r="V124" s="2" t="s">
        <v>310</v>
      </c>
      <c r="W124" s="2" t="s">
        <v>99</v>
      </c>
      <c r="X124" s="2" t="s">
        <v>99</v>
      </c>
      <c r="Y124" s="2" t="s">
        <v>815</v>
      </c>
      <c r="Z124" s="4">
        <v>5</v>
      </c>
      <c r="AA124" s="4">
        <f>=ROUNDDOWN({0},0)</f>
      </c>
      <c r="AB124" s="5"/>
      <c r="AC124" s="2" t="s">
        <v>99</v>
      </c>
      <c r="AD124" s="4"/>
      <c r="AE124" s="4"/>
      <c r="AF124" s="6"/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 t="s">
        <v>99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/>
      <c r="BK124" s="8"/>
      <c r="BL124" s="2" t="s">
        <v>99</v>
      </c>
      <c r="BM124" s="7"/>
      <c r="BN124" s="7"/>
      <c r="BO124" s="4"/>
      <c r="BP124" s="8"/>
      <c r="BQ124" s="4"/>
      <c r="BR124" s="8"/>
      <c r="BS124" s="7"/>
      <c r="BT124" s="7"/>
      <c r="BU124" s="2" t="s">
        <v>645</v>
      </c>
      <c r="BV124" s="2" t="s">
        <v>96</v>
      </c>
      <c r="BW124" s="2" t="s">
        <v>99</v>
      </c>
      <c r="BX124" s="2" t="s">
        <v>99</v>
      </c>
      <c r="BY124" s="2" t="s">
        <v>109</v>
      </c>
      <c r="BZ124" s="2" t="s">
        <v>109</v>
      </c>
      <c r="CA124" s="2" t="s">
        <v>99</v>
      </c>
    </row>
    <row r="125">
      <c r="A125" s="2" t="s">
        <v>821</v>
      </c>
      <c r="B125" s="2" t="s">
        <v>765</v>
      </c>
      <c r="C125" s="2" t="s">
        <v>203</v>
      </c>
      <c r="D125" s="2" t="s">
        <v>766</v>
      </c>
      <c r="E125" s="2" t="s">
        <v>767</v>
      </c>
      <c r="F125" s="2" t="s">
        <v>822</v>
      </c>
      <c r="G125" s="2" t="s">
        <v>823</v>
      </c>
      <c r="H125" s="2" t="s">
        <v>824</v>
      </c>
      <c r="I125" s="2" t="s">
        <v>825</v>
      </c>
      <c r="J125" s="2" t="s">
        <v>227</v>
      </c>
      <c r="K125" s="2" t="s">
        <v>784</v>
      </c>
      <c r="L125" s="3">
        <v>171</v>
      </c>
      <c r="M125" s="3">
        <v>179.55</v>
      </c>
      <c r="N125" s="3">
        <v>359</v>
      </c>
      <c r="O125" s="2" t="s">
        <v>96</v>
      </c>
      <c r="P125" s="2" t="s">
        <v>131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100</v>
      </c>
      <c r="V125" s="2" t="s">
        <v>157</v>
      </c>
      <c r="W125" s="2" t="s">
        <v>158</v>
      </c>
      <c r="X125" s="2" t="s">
        <v>330</v>
      </c>
      <c r="Y125" s="2" t="s">
        <v>826</v>
      </c>
      <c r="Z125" s="4">
        <v>96</v>
      </c>
      <c r="AA125" s="4">
        <f>=ROUNDDOWN(12,0)</f>
      </c>
      <c r="AB125" s="5">
        <v>8</v>
      </c>
      <c r="AC125" s="2" t="s">
        <v>807</v>
      </c>
      <c r="AD125" s="4">
        <v>69</v>
      </c>
      <c r="AE125" s="4">
        <v>100</v>
      </c>
      <c r="AF125" s="6">
        <v>74</v>
      </c>
      <c r="AG125" s="6">
        <v>60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6</v>
      </c>
      <c r="AQ125" s="8">
        <v>1459.44</v>
      </c>
      <c r="AR125" s="4"/>
      <c r="AS125" s="8"/>
      <c r="AT125" s="7"/>
      <c r="AU125" s="7"/>
      <c r="AV125" s="4">
        <v>6</v>
      </c>
      <c r="AW125" s="8">
        <v>1459.44</v>
      </c>
      <c r="AX125" s="4"/>
      <c r="AY125" s="8"/>
      <c r="AZ125" s="7"/>
      <c r="BA125" s="7"/>
      <c r="BB125" s="7">
        <v>1</v>
      </c>
      <c r="BC125" s="4">
        <v>6</v>
      </c>
      <c r="BD125" s="8">
        <v>1459.44</v>
      </c>
      <c r="BE125" s="4"/>
      <c r="BF125" s="8"/>
      <c r="BG125" s="7"/>
      <c r="BH125" s="7"/>
      <c r="BI125" s="7">
        <v>1</v>
      </c>
      <c r="BJ125" s="4">
        <v>44</v>
      </c>
      <c r="BK125" s="8">
        <v>7984.95</v>
      </c>
      <c r="BL125" s="2" t="s">
        <v>827</v>
      </c>
      <c r="BM125" s="7">
        <v>0.1364</v>
      </c>
      <c r="BN125" s="7">
        <v>0.1828</v>
      </c>
      <c r="BO125" s="4">
        <v>6</v>
      </c>
      <c r="BP125" s="8">
        <v>1459.44</v>
      </c>
      <c r="BQ125" s="4"/>
      <c r="BR125" s="8"/>
      <c r="BS125" s="7"/>
      <c r="BT125" s="7"/>
      <c r="BU125" s="2" t="s">
        <v>107</v>
      </c>
      <c r="BV125" s="2" t="s">
        <v>96</v>
      </c>
      <c r="BW125" s="2" t="s">
        <v>828</v>
      </c>
      <c r="BX125" s="2" t="s">
        <v>829</v>
      </c>
      <c r="BY125" s="2" t="s">
        <v>109</v>
      </c>
      <c r="BZ125" s="2" t="s">
        <v>109</v>
      </c>
      <c r="CA125" s="2" t="s">
        <v>99</v>
      </c>
    </row>
    <row r="126">
      <c r="A126" s="2" t="s">
        <v>830</v>
      </c>
      <c r="B126" s="2" t="s">
        <v>765</v>
      </c>
      <c r="C126" s="2" t="s">
        <v>203</v>
      </c>
      <c r="D126" s="2" t="s">
        <v>766</v>
      </c>
      <c r="E126" s="2" t="s">
        <v>767</v>
      </c>
      <c r="F126" s="2" t="s">
        <v>831</v>
      </c>
      <c r="G126" s="2" t="s">
        <v>832</v>
      </c>
      <c r="H126" s="2" t="s">
        <v>833</v>
      </c>
      <c r="I126" s="2" t="s">
        <v>834</v>
      </c>
      <c r="J126" s="2" t="s">
        <v>227</v>
      </c>
      <c r="K126" s="2" t="s">
        <v>835</v>
      </c>
      <c r="L126" s="3">
        <v>118.8</v>
      </c>
      <c r="M126" s="3">
        <v>124.74</v>
      </c>
      <c r="N126" s="3">
        <v>249</v>
      </c>
      <c r="O126" s="2" t="s">
        <v>304</v>
      </c>
      <c r="P126" s="2" t="s">
        <v>188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100</v>
      </c>
      <c r="V126" s="2" t="s">
        <v>310</v>
      </c>
      <c r="W126" s="2" t="s">
        <v>103</v>
      </c>
      <c r="X126" s="2" t="s">
        <v>102</v>
      </c>
      <c r="Y126" s="2" t="s">
        <v>836</v>
      </c>
      <c r="Z126" s="4">
        <v>14</v>
      </c>
      <c r="AA126" s="4">
        <f>=ROUNDDOWN(8.23529411764706,0)</f>
      </c>
      <c r="AB126" s="5">
        <v>1.7</v>
      </c>
      <c r="AC126" s="2" t="s">
        <v>99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7</v>
      </c>
      <c r="BK126" s="8">
        <v>609.94</v>
      </c>
      <c r="BL126" s="2" t="s">
        <v>837</v>
      </c>
      <c r="BM126" s="7"/>
      <c r="BN126" s="7"/>
      <c r="BO126" s="4"/>
      <c r="BP126" s="8"/>
      <c r="BQ126" s="4"/>
      <c r="BR126" s="8"/>
      <c r="BS126" s="7"/>
      <c r="BT126" s="7"/>
      <c r="BU126" s="2" t="s">
        <v>306</v>
      </c>
      <c r="BV126" s="2" t="s">
        <v>96</v>
      </c>
      <c r="BW126" s="2" t="s">
        <v>99</v>
      </c>
      <c r="BX126" s="2" t="s">
        <v>99</v>
      </c>
      <c r="BY126" s="2" t="s">
        <v>109</v>
      </c>
      <c r="BZ126" s="2" t="s">
        <v>109</v>
      </c>
      <c r="CA126" s="2" t="s">
        <v>99</v>
      </c>
    </row>
    <row r="127">
      <c r="A127" s="2" t="s">
        <v>838</v>
      </c>
      <c r="B127" s="2" t="s">
        <v>765</v>
      </c>
      <c r="C127" s="2" t="s">
        <v>203</v>
      </c>
      <c r="D127" s="2" t="s">
        <v>766</v>
      </c>
      <c r="E127" s="2" t="s">
        <v>839</v>
      </c>
      <c r="F127" s="2" t="s">
        <v>840</v>
      </c>
      <c r="G127" s="2" t="s">
        <v>841</v>
      </c>
      <c r="H127" s="2" t="s">
        <v>842</v>
      </c>
      <c r="I127" s="2" t="s">
        <v>843</v>
      </c>
      <c r="J127" s="2" t="s">
        <v>227</v>
      </c>
      <c r="K127" s="2" t="s">
        <v>705</v>
      </c>
      <c r="L127" s="3">
        <v>114</v>
      </c>
      <c r="M127" s="3">
        <v>119.7</v>
      </c>
      <c r="N127" s="3">
        <v>239</v>
      </c>
      <c r="O127" s="2" t="s">
        <v>96</v>
      </c>
      <c r="P127" s="2" t="s">
        <v>131</v>
      </c>
      <c r="Q127" s="2" t="s">
        <v>98</v>
      </c>
      <c r="R127" s="2" t="s">
        <v>99</v>
      </c>
      <c r="S127" s="2" t="s">
        <v>844</v>
      </c>
      <c r="T127" s="2" t="s">
        <v>99</v>
      </c>
      <c r="U127" s="2" t="s">
        <v>99</v>
      </c>
      <c r="V127" s="2" t="s">
        <v>157</v>
      </c>
      <c r="W127" s="2" t="s">
        <v>102</v>
      </c>
      <c r="X127" s="2" t="s">
        <v>99</v>
      </c>
      <c r="Y127" s="2" t="s">
        <v>164</v>
      </c>
      <c r="Z127" s="4">
        <v>85</v>
      </c>
      <c r="AA127" s="4">
        <f>=ROUNDDOWN(5,0)</f>
      </c>
      <c r="AB127" s="5">
        <v>17</v>
      </c>
      <c r="AC127" s="2" t="s">
        <v>7</v>
      </c>
      <c r="AD127" s="4">
        <v>70</v>
      </c>
      <c r="AE127" s="4">
        <v>438</v>
      </c>
      <c r="AF127" s="6">
        <v>83</v>
      </c>
      <c r="AG127" s="6">
        <v>69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24</v>
      </c>
      <c r="AQ127" s="8">
        <v>3291.84</v>
      </c>
      <c r="AR127" s="4"/>
      <c r="AS127" s="8"/>
      <c r="AT127" s="7"/>
      <c r="AU127" s="7"/>
      <c r="AV127" s="4">
        <v>24</v>
      </c>
      <c r="AW127" s="8">
        <v>3291.84</v>
      </c>
      <c r="AX127" s="4"/>
      <c r="AY127" s="8"/>
      <c r="AZ127" s="7"/>
      <c r="BA127" s="7"/>
      <c r="BB127" s="7">
        <v>1</v>
      </c>
      <c r="BC127" s="4">
        <v>42</v>
      </c>
      <c r="BD127" s="8">
        <v>5402.49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0.6093</v>
      </c>
      <c r="BJ127" s="4">
        <v>105</v>
      </c>
      <c r="BK127" s="8">
        <v>12625.67</v>
      </c>
      <c r="BL127" s="2" t="s">
        <v>845</v>
      </c>
      <c r="BM127" s="7">
        <v>0.2286</v>
      </c>
      <c r="BN127" s="7">
        <v>0.2607</v>
      </c>
      <c r="BO127" s="4">
        <v>24</v>
      </c>
      <c r="BP127" s="8">
        <v>3291.84</v>
      </c>
      <c r="BQ127" s="4"/>
      <c r="BR127" s="8"/>
      <c r="BS127" s="7"/>
      <c r="BT127" s="7"/>
      <c r="BU127" s="2" t="s">
        <v>107</v>
      </c>
      <c r="BV127" s="2" t="s">
        <v>96</v>
      </c>
      <c r="BW127" s="2" t="s">
        <v>846</v>
      </c>
      <c r="BX127" s="2" t="s">
        <v>847</v>
      </c>
      <c r="BY127" s="2" t="s">
        <v>109</v>
      </c>
      <c r="BZ127" s="2" t="s">
        <v>109</v>
      </c>
      <c r="CA127" s="2" t="s">
        <v>99</v>
      </c>
    </row>
    <row r="128">
      <c r="A128" s="2" t="s">
        <v>848</v>
      </c>
      <c r="B128" s="2" t="s">
        <v>765</v>
      </c>
      <c r="C128" s="2" t="s">
        <v>203</v>
      </c>
      <c r="D128" s="2" t="s">
        <v>766</v>
      </c>
      <c r="E128" s="2" t="s">
        <v>839</v>
      </c>
      <c r="F128" s="2" t="s">
        <v>840</v>
      </c>
      <c r="G128" s="2" t="s">
        <v>841</v>
      </c>
      <c r="H128" s="2" t="s">
        <v>842</v>
      </c>
      <c r="I128" s="2" t="s">
        <v>843</v>
      </c>
      <c r="J128" s="2" t="s">
        <v>227</v>
      </c>
      <c r="K128" s="2" t="s">
        <v>274</v>
      </c>
      <c r="L128" s="3">
        <v>114</v>
      </c>
      <c r="M128" s="3">
        <v>119.7</v>
      </c>
      <c r="N128" s="3">
        <v>239</v>
      </c>
      <c r="O128" s="2" t="s">
        <v>96</v>
      </c>
      <c r="P128" s="2" t="s">
        <v>188</v>
      </c>
      <c r="Q128" s="2" t="s">
        <v>98</v>
      </c>
      <c r="R128" s="2" t="s">
        <v>99</v>
      </c>
      <c r="S128" s="2" t="s">
        <v>849</v>
      </c>
      <c r="T128" s="2" t="s">
        <v>99</v>
      </c>
      <c r="U128" s="2" t="s">
        <v>99</v>
      </c>
      <c r="V128" s="2" t="s">
        <v>157</v>
      </c>
      <c r="W128" s="2" t="s">
        <v>158</v>
      </c>
      <c r="X128" s="2" t="s">
        <v>99</v>
      </c>
      <c r="Y128" s="2" t="s">
        <v>164</v>
      </c>
      <c r="Z128" s="4">
        <v>18</v>
      </c>
      <c r="AA128" s="4">
        <f>=ROUNDDOWN(2.25,0)</f>
      </c>
      <c r="AB128" s="5">
        <v>8</v>
      </c>
      <c r="AC128" s="2" t="s">
        <v>99</v>
      </c>
      <c r="AD128" s="4"/>
      <c r="AE128" s="4"/>
      <c r="AF128" s="6">
        <v>83</v>
      </c>
      <c r="AG128" s="6">
        <v>69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7</v>
      </c>
      <c r="AQ128" s="8">
        <v>768.11</v>
      </c>
      <c r="AR128" s="4"/>
      <c r="AS128" s="8"/>
      <c r="AT128" s="7"/>
      <c r="AU128" s="7"/>
      <c r="AV128" s="4">
        <v>7</v>
      </c>
      <c r="AW128" s="8">
        <v>768.11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0.1422</v>
      </c>
      <c r="BJ128" s="4">
        <v>73</v>
      </c>
      <c r="BK128" s="8">
        <v>8167.04</v>
      </c>
      <c r="BL128" s="2" t="s">
        <v>850</v>
      </c>
      <c r="BM128" s="7">
        <v>0.0959</v>
      </c>
      <c r="BN128" s="7">
        <v>0.094</v>
      </c>
      <c r="BO128" s="4">
        <v>7</v>
      </c>
      <c r="BP128" s="8">
        <v>768.11</v>
      </c>
      <c r="BQ128" s="4"/>
      <c r="BR128" s="8"/>
      <c r="BS128" s="7"/>
      <c r="BT128" s="7"/>
      <c r="BU128" s="2" t="s">
        <v>107</v>
      </c>
      <c r="BV128" s="2" t="s">
        <v>96</v>
      </c>
      <c r="BW128" s="2" t="s">
        <v>390</v>
      </c>
      <c r="BX128" s="2" t="s">
        <v>851</v>
      </c>
      <c r="BY128" s="2" t="s">
        <v>109</v>
      </c>
      <c r="BZ128" s="2" t="s">
        <v>109</v>
      </c>
      <c r="CA128" s="2" t="s">
        <v>99</v>
      </c>
    </row>
    <row r="129">
      <c r="A129" s="2" t="s">
        <v>852</v>
      </c>
      <c r="B129" s="2" t="s">
        <v>765</v>
      </c>
      <c r="C129" s="2" t="s">
        <v>203</v>
      </c>
      <c r="D129" s="2" t="s">
        <v>766</v>
      </c>
      <c r="E129" s="2" t="s">
        <v>839</v>
      </c>
      <c r="F129" s="2" t="s">
        <v>840</v>
      </c>
      <c r="G129" s="2" t="s">
        <v>841</v>
      </c>
      <c r="H129" s="2" t="s">
        <v>842</v>
      </c>
      <c r="I129" s="2" t="s">
        <v>843</v>
      </c>
      <c r="J129" s="2" t="s">
        <v>227</v>
      </c>
      <c r="K129" s="2" t="s">
        <v>853</v>
      </c>
      <c r="L129" s="3">
        <v>114</v>
      </c>
      <c r="M129" s="3">
        <v>119.7</v>
      </c>
      <c r="N129" s="3">
        <v>239</v>
      </c>
      <c r="O129" s="2" t="s">
        <v>96</v>
      </c>
      <c r="P129" s="2" t="s">
        <v>131</v>
      </c>
      <c r="Q129" s="2" t="s">
        <v>98</v>
      </c>
      <c r="R129" s="2" t="s">
        <v>99</v>
      </c>
      <c r="S129" s="2" t="s">
        <v>854</v>
      </c>
      <c r="T129" s="2" t="s">
        <v>99</v>
      </c>
      <c r="U129" s="2" t="s">
        <v>99</v>
      </c>
      <c r="V129" s="2" t="s">
        <v>157</v>
      </c>
      <c r="W129" s="2" t="s">
        <v>158</v>
      </c>
      <c r="X129" s="2" t="s">
        <v>99</v>
      </c>
      <c r="Y129" s="2" t="s">
        <v>855</v>
      </c>
      <c r="Z129" s="4">
        <v>9</v>
      </c>
      <c r="AA129" s="4">
        <f>=ROUNDDOWN(0.642857142857143,0)</f>
      </c>
      <c r="AB129" s="5">
        <v>14</v>
      </c>
      <c r="AC129" s="2" t="s">
        <v>856</v>
      </c>
      <c r="AD129" s="4">
        <v>100</v>
      </c>
      <c r="AE129" s="4">
        <v>290</v>
      </c>
      <c r="AF129" s="6">
        <v>83</v>
      </c>
      <c r="AG129" s="6">
        <v>69</v>
      </c>
      <c r="AH129" s="7">
        <v>0.7586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6</v>
      </c>
      <c r="AQ129" s="8">
        <v>688.26</v>
      </c>
      <c r="AR129" s="4"/>
      <c r="AS129" s="8"/>
      <c r="AT129" s="7"/>
      <c r="AU129" s="7"/>
      <c r="AV129" s="4">
        <v>6</v>
      </c>
      <c r="AW129" s="8">
        <v>688.26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0.1274</v>
      </c>
      <c r="BJ129" s="4">
        <v>119</v>
      </c>
      <c r="BK129" s="8">
        <v>13506.58</v>
      </c>
      <c r="BL129" s="2" t="s">
        <v>857</v>
      </c>
      <c r="BM129" s="7">
        <v>0.0504</v>
      </c>
      <c r="BN129" s="7">
        <v>0.051</v>
      </c>
      <c r="BO129" s="4">
        <v>6</v>
      </c>
      <c r="BP129" s="8">
        <v>688.26</v>
      </c>
      <c r="BQ129" s="4"/>
      <c r="BR129" s="8"/>
      <c r="BS129" s="7"/>
      <c r="BT129" s="7"/>
      <c r="BU129" s="2" t="s">
        <v>107</v>
      </c>
      <c r="BV129" s="2" t="s">
        <v>96</v>
      </c>
      <c r="BW129" s="2" t="s">
        <v>858</v>
      </c>
      <c r="BX129" s="2" t="s">
        <v>859</v>
      </c>
      <c r="BY129" s="2" t="s">
        <v>109</v>
      </c>
      <c r="BZ129" s="2" t="s">
        <v>109</v>
      </c>
      <c r="CA129" s="2" t="s">
        <v>99</v>
      </c>
    </row>
    <row r="130">
      <c r="A130" s="2" t="s">
        <v>860</v>
      </c>
      <c r="B130" s="2" t="s">
        <v>765</v>
      </c>
      <c r="C130" s="2" t="s">
        <v>203</v>
      </c>
      <c r="D130" s="2" t="s">
        <v>766</v>
      </c>
      <c r="E130" s="2" t="s">
        <v>839</v>
      </c>
      <c r="F130" s="2" t="s">
        <v>840</v>
      </c>
      <c r="G130" s="2" t="s">
        <v>841</v>
      </c>
      <c r="H130" s="2" t="s">
        <v>842</v>
      </c>
      <c r="I130" s="2" t="s">
        <v>843</v>
      </c>
      <c r="J130" s="2" t="s">
        <v>227</v>
      </c>
      <c r="K130" s="2" t="s">
        <v>234</v>
      </c>
      <c r="L130" s="3">
        <v>114</v>
      </c>
      <c r="M130" s="3">
        <v>119.7</v>
      </c>
      <c r="N130" s="3">
        <v>239</v>
      </c>
      <c r="O130" s="2" t="s">
        <v>96</v>
      </c>
      <c r="P130" s="2" t="s">
        <v>135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99</v>
      </c>
      <c r="V130" s="2" t="s">
        <v>157</v>
      </c>
      <c r="W130" s="2" t="s">
        <v>158</v>
      </c>
      <c r="X130" s="2" t="s">
        <v>99</v>
      </c>
      <c r="Y130" s="2" t="s">
        <v>123</v>
      </c>
      <c r="Z130" s="4">
        <v>101</v>
      </c>
      <c r="AA130" s="4">
        <f>=ROUNDDOWN(4.59090909090909,0)</f>
      </c>
      <c r="AB130" s="5">
        <v>22</v>
      </c>
      <c r="AC130" s="2" t="s">
        <v>7</v>
      </c>
      <c r="AD130" s="4">
        <v>100</v>
      </c>
      <c r="AE130" s="4">
        <v>626</v>
      </c>
      <c r="AF130" s="6">
        <v>83</v>
      </c>
      <c r="AG130" s="6">
        <v>69</v>
      </c>
      <c r="AH130" s="7">
        <v>0.3103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4</v>
      </c>
      <c r="AQ130" s="8">
        <v>517.12</v>
      </c>
      <c r="AR130" s="4"/>
      <c r="AS130" s="8"/>
      <c r="AT130" s="7"/>
      <c r="AU130" s="7"/>
      <c r="AV130" s="4">
        <v>4</v>
      </c>
      <c r="AW130" s="8">
        <v>517.12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0.0957</v>
      </c>
      <c r="BJ130" s="4">
        <v>95</v>
      </c>
      <c r="BK130" s="8">
        <v>11021.31</v>
      </c>
      <c r="BL130" s="2" t="s">
        <v>861</v>
      </c>
      <c r="BM130" s="7">
        <v>0.0421</v>
      </c>
      <c r="BN130" s="7">
        <v>0.0469</v>
      </c>
      <c r="BO130" s="4">
        <v>4</v>
      </c>
      <c r="BP130" s="8">
        <v>517.12</v>
      </c>
      <c r="BQ130" s="4"/>
      <c r="BR130" s="8"/>
      <c r="BS130" s="7"/>
      <c r="BT130" s="7"/>
      <c r="BU130" s="2" t="s">
        <v>107</v>
      </c>
      <c r="BV130" s="2" t="s">
        <v>96</v>
      </c>
      <c r="BW130" s="2" t="s">
        <v>792</v>
      </c>
      <c r="BX130" s="2" t="s">
        <v>620</v>
      </c>
      <c r="BY130" s="2" t="s">
        <v>109</v>
      </c>
      <c r="BZ130" s="2" t="s">
        <v>109</v>
      </c>
      <c r="CA130" s="2" t="s">
        <v>99</v>
      </c>
    </row>
    <row r="131">
      <c r="A131" s="2" t="s">
        <v>862</v>
      </c>
      <c r="B131" s="2" t="s">
        <v>765</v>
      </c>
      <c r="C131" s="2" t="s">
        <v>203</v>
      </c>
      <c r="D131" s="2" t="s">
        <v>766</v>
      </c>
      <c r="E131" s="2" t="s">
        <v>839</v>
      </c>
      <c r="F131" s="2" t="s">
        <v>840</v>
      </c>
      <c r="G131" s="2" t="s">
        <v>841</v>
      </c>
      <c r="H131" s="2" t="s">
        <v>842</v>
      </c>
      <c r="I131" s="2" t="s">
        <v>843</v>
      </c>
      <c r="J131" s="2" t="s">
        <v>227</v>
      </c>
      <c r="K131" s="2" t="s">
        <v>863</v>
      </c>
      <c r="L131" s="3">
        <v>114</v>
      </c>
      <c r="M131" s="3">
        <v>119.7</v>
      </c>
      <c r="N131" s="3">
        <v>239</v>
      </c>
      <c r="O131" s="2" t="s">
        <v>96</v>
      </c>
      <c r="P131" s="2" t="s">
        <v>131</v>
      </c>
      <c r="Q131" s="2" t="s">
        <v>98</v>
      </c>
      <c r="R131" s="2" t="s">
        <v>99</v>
      </c>
      <c r="S131" s="2" t="s">
        <v>864</v>
      </c>
      <c r="T131" s="2" t="s">
        <v>99</v>
      </c>
      <c r="U131" s="2" t="s">
        <v>99</v>
      </c>
      <c r="V131" s="2" t="s">
        <v>157</v>
      </c>
      <c r="W131" s="2" t="s">
        <v>102</v>
      </c>
      <c r="X131" s="2" t="s">
        <v>99</v>
      </c>
      <c r="Y131" s="2" t="s">
        <v>164</v>
      </c>
      <c r="Z131" s="4">
        <v>72</v>
      </c>
      <c r="AA131" s="4">
        <f>=ROUNDDOWN(4.8,0)</f>
      </c>
      <c r="AB131" s="5">
        <v>15</v>
      </c>
      <c r="AC131" s="2" t="s">
        <v>856</v>
      </c>
      <c r="AD131" s="4">
        <v>100</v>
      </c>
      <c r="AE131" s="4">
        <v>210</v>
      </c>
      <c r="AF131" s="6">
        <v>83</v>
      </c>
      <c r="AG131" s="6">
        <v>69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1</v>
      </c>
      <c r="AQ131" s="8">
        <v>137.16</v>
      </c>
      <c r="AR131" s="4"/>
      <c r="AS131" s="8"/>
      <c r="AT131" s="7"/>
      <c r="AU131" s="7"/>
      <c r="AV131" s="4">
        <v>1</v>
      </c>
      <c r="AW131" s="8">
        <v>137.16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0.0254</v>
      </c>
      <c r="BJ131" s="4">
        <v>119</v>
      </c>
      <c r="BK131" s="8">
        <v>12828.68</v>
      </c>
      <c r="BL131" s="2" t="s">
        <v>865</v>
      </c>
      <c r="BM131" s="7">
        <v>0.0084</v>
      </c>
      <c r="BN131" s="7">
        <v>0.0107</v>
      </c>
      <c r="BO131" s="4">
        <v>1</v>
      </c>
      <c r="BP131" s="8">
        <v>137.16</v>
      </c>
      <c r="BQ131" s="4"/>
      <c r="BR131" s="8"/>
      <c r="BS131" s="7"/>
      <c r="BT131" s="7"/>
      <c r="BU131" s="2" t="s">
        <v>107</v>
      </c>
      <c r="BV131" s="2" t="s">
        <v>96</v>
      </c>
      <c r="BW131" s="2" t="s">
        <v>866</v>
      </c>
      <c r="BX131" s="2" t="s">
        <v>867</v>
      </c>
      <c r="BY131" s="2" t="s">
        <v>109</v>
      </c>
      <c r="BZ131" s="2" t="s">
        <v>109</v>
      </c>
      <c r="CA131" s="2" t="s">
        <v>99</v>
      </c>
    </row>
    <row r="132">
      <c r="A132" s="2" t="s">
        <v>868</v>
      </c>
      <c r="B132" s="2" t="s">
        <v>765</v>
      </c>
      <c r="C132" s="2" t="s">
        <v>203</v>
      </c>
      <c r="D132" s="2" t="s">
        <v>766</v>
      </c>
      <c r="E132" s="2" t="s">
        <v>839</v>
      </c>
      <c r="F132" s="2" t="s">
        <v>840</v>
      </c>
      <c r="G132" s="2" t="s">
        <v>841</v>
      </c>
      <c r="H132" s="2" t="s">
        <v>842</v>
      </c>
      <c r="I132" s="2" t="s">
        <v>843</v>
      </c>
      <c r="J132" s="2" t="s">
        <v>227</v>
      </c>
      <c r="K132" s="2" t="s">
        <v>228</v>
      </c>
      <c r="L132" s="3">
        <v>114</v>
      </c>
      <c r="M132" s="3">
        <v>119.7</v>
      </c>
      <c r="N132" s="3">
        <v>239</v>
      </c>
      <c r="O132" s="2" t="s">
        <v>96</v>
      </c>
      <c r="P132" s="2" t="s">
        <v>135</v>
      </c>
      <c r="Q132" s="2" t="s">
        <v>98</v>
      </c>
      <c r="R132" s="2" t="s">
        <v>99</v>
      </c>
      <c r="S132" s="2" t="s">
        <v>869</v>
      </c>
      <c r="T132" s="2" t="s">
        <v>99</v>
      </c>
      <c r="U132" s="2" t="s">
        <v>99</v>
      </c>
      <c r="V132" s="2" t="s">
        <v>157</v>
      </c>
      <c r="W132" s="2" t="s">
        <v>102</v>
      </c>
      <c r="X132" s="2" t="s">
        <v>99</v>
      </c>
      <c r="Y132" s="2" t="s">
        <v>164</v>
      </c>
      <c r="Z132" s="4">
        <v>143</v>
      </c>
      <c r="AA132" s="4">
        <f>=ROUNDDOWN(5.72,0)</f>
      </c>
      <c r="AB132" s="5">
        <v>25</v>
      </c>
      <c r="AC132" s="2" t="s">
        <v>7</v>
      </c>
      <c r="AD132" s="4">
        <v>144</v>
      </c>
      <c r="AE132" s="4">
        <v>646</v>
      </c>
      <c r="AF132" s="6">
        <v>83</v>
      </c>
      <c r="AG132" s="6">
        <v>69</v>
      </c>
      <c r="AH132" s="7">
        <v>0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/>
      <c r="BJ132" s="4"/>
      <c r="BK132" s="8"/>
      <c r="BL132" s="2" t="s">
        <v>99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122</v>
      </c>
      <c r="BW132" s="2" t="s">
        <v>99</v>
      </c>
      <c r="BX132" s="2" t="s">
        <v>870</v>
      </c>
      <c r="BY132" s="2" t="s">
        <v>109</v>
      </c>
      <c r="BZ132" s="2" t="s">
        <v>109</v>
      </c>
      <c r="CA132" s="2" t="s">
        <v>99</v>
      </c>
    </row>
    <row r="133">
      <c r="A133" s="2" t="s">
        <v>871</v>
      </c>
      <c r="B133" s="2" t="s">
        <v>765</v>
      </c>
      <c r="C133" s="2" t="s">
        <v>203</v>
      </c>
      <c r="D133" s="2" t="s">
        <v>766</v>
      </c>
      <c r="E133" s="2" t="s">
        <v>839</v>
      </c>
      <c r="F133" s="2" t="s">
        <v>840</v>
      </c>
      <c r="G133" s="2" t="s">
        <v>840</v>
      </c>
      <c r="H133" s="2" t="s">
        <v>840</v>
      </c>
      <c r="I133" s="2" t="s">
        <v>843</v>
      </c>
      <c r="J133" s="2" t="s">
        <v>227</v>
      </c>
      <c r="K133" s="2" t="s">
        <v>805</v>
      </c>
      <c r="L133" s="3">
        <v>114</v>
      </c>
      <c r="M133" s="3">
        <v>119.7</v>
      </c>
      <c r="N133" s="3">
        <v>239</v>
      </c>
      <c r="O133" s="2" t="s">
        <v>96</v>
      </c>
      <c r="P133" s="2" t="s">
        <v>317</v>
      </c>
      <c r="Q133" s="2" t="s">
        <v>98</v>
      </c>
      <c r="R133" s="2" t="s">
        <v>99</v>
      </c>
      <c r="S133" s="2" t="s">
        <v>849</v>
      </c>
      <c r="T133" s="2" t="s">
        <v>99</v>
      </c>
      <c r="U133" s="2" t="s">
        <v>99</v>
      </c>
      <c r="V133" s="2" t="s">
        <v>157</v>
      </c>
      <c r="W133" s="2" t="s">
        <v>785</v>
      </c>
      <c r="X133" s="2" t="s">
        <v>99</v>
      </c>
      <c r="Y133" s="2" t="s">
        <v>872</v>
      </c>
      <c r="Z133" s="4">
        <v>172</v>
      </c>
      <c r="AA133" s="4">
        <f>=ROUNDDOWN(35.8333333333333,0)</f>
      </c>
      <c r="AB133" s="5">
        <v>4.8</v>
      </c>
      <c r="AC133" s="2" t="s">
        <v>99</v>
      </c>
      <c r="AD133" s="4"/>
      <c r="AE133" s="4"/>
      <c r="AF133" s="6">
        <v>83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>
        <v>20</v>
      </c>
      <c r="BK133" s="8">
        <v>2205.42</v>
      </c>
      <c r="BL133" s="2" t="s">
        <v>873</v>
      </c>
      <c r="BM133" s="7"/>
      <c r="BN133" s="7"/>
      <c r="BO133" s="4"/>
      <c r="BP133" s="8"/>
      <c r="BQ133" s="4"/>
      <c r="BR133" s="8"/>
      <c r="BS133" s="7"/>
      <c r="BT133" s="7"/>
      <c r="BU133" s="2" t="s">
        <v>645</v>
      </c>
      <c r="BV133" s="2" t="s">
        <v>96</v>
      </c>
      <c r="BW133" s="2" t="s">
        <v>99</v>
      </c>
      <c r="BX133" s="2" t="s">
        <v>99</v>
      </c>
      <c r="BY133" s="2" t="s">
        <v>109</v>
      </c>
      <c r="BZ133" s="2" t="s">
        <v>109</v>
      </c>
      <c r="CA133" s="2" t="s">
        <v>99</v>
      </c>
    </row>
    <row r="134">
      <c r="A134" s="2" t="s">
        <v>874</v>
      </c>
      <c r="B134" s="2" t="s">
        <v>765</v>
      </c>
      <c r="C134" s="2" t="s">
        <v>203</v>
      </c>
      <c r="D134" s="2" t="s">
        <v>766</v>
      </c>
      <c r="E134" s="2" t="s">
        <v>839</v>
      </c>
      <c r="F134" s="2" t="s">
        <v>875</v>
      </c>
      <c r="G134" s="2" t="s">
        <v>876</v>
      </c>
      <c r="H134" s="2" t="s">
        <v>877</v>
      </c>
      <c r="I134" s="2" t="s">
        <v>878</v>
      </c>
      <c r="J134" s="2" t="s">
        <v>227</v>
      </c>
      <c r="K134" s="2" t="s">
        <v>853</v>
      </c>
      <c r="L134" s="3">
        <v>85.5</v>
      </c>
      <c r="M134" s="3">
        <v>89.78</v>
      </c>
      <c r="N134" s="3">
        <v>179</v>
      </c>
      <c r="O134" s="2" t="s">
        <v>96</v>
      </c>
      <c r="P134" s="2" t="s">
        <v>188</v>
      </c>
      <c r="Q134" s="2" t="s">
        <v>98</v>
      </c>
      <c r="R134" s="2" t="s">
        <v>99</v>
      </c>
      <c r="S134" s="2" t="s">
        <v>879</v>
      </c>
      <c r="T134" s="2" t="s">
        <v>99</v>
      </c>
      <c r="U134" s="2" t="s">
        <v>99</v>
      </c>
      <c r="V134" s="2" t="s">
        <v>157</v>
      </c>
      <c r="W134" s="2" t="s">
        <v>102</v>
      </c>
      <c r="X134" s="2" t="s">
        <v>99</v>
      </c>
      <c r="Y134" s="2" t="s">
        <v>164</v>
      </c>
      <c r="Z134" s="4">
        <v>13</v>
      </c>
      <c r="AA134" s="4">
        <f>=ROUNDDOWN(2.6,0)</f>
      </c>
      <c r="AB134" s="5">
        <v>5</v>
      </c>
      <c r="AC134" s="2" t="s">
        <v>99</v>
      </c>
      <c r="AD134" s="4"/>
      <c r="AE134" s="4"/>
      <c r="AF134" s="6">
        <v>83</v>
      </c>
      <c r="AG134" s="6">
        <v>69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3</v>
      </c>
      <c r="AQ134" s="8">
        <v>290.88</v>
      </c>
      <c r="AR134" s="4"/>
      <c r="AS134" s="8"/>
      <c r="AT134" s="7"/>
      <c r="AU134" s="7"/>
      <c r="AV134" s="4">
        <v>3</v>
      </c>
      <c r="AW134" s="8">
        <v>290.88</v>
      </c>
      <c r="AX134" s="4"/>
      <c r="AY134" s="8"/>
      <c r="AZ134" s="7"/>
      <c r="BA134" s="7"/>
      <c r="BB134" s="7">
        <v>1</v>
      </c>
      <c r="BC134" s="4">
        <v>6</v>
      </c>
      <c r="BD134" s="8">
        <v>567.3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0.5127</v>
      </c>
      <c r="BJ134" s="4">
        <v>59</v>
      </c>
      <c r="BK134" s="8">
        <v>5161.96</v>
      </c>
      <c r="BL134" s="2" t="s">
        <v>880</v>
      </c>
      <c r="BM134" s="7">
        <v>0.0508</v>
      </c>
      <c r="BN134" s="7">
        <v>0.0564</v>
      </c>
      <c r="BO134" s="4">
        <v>3</v>
      </c>
      <c r="BP134" s="8">
        <v>290.88</v>
      </c>
      <c r="BQ134" s="4"/>
      <c r="BR134" s="8"/>
      <c r="BS134" s="7"/>
      <c r="BT134" s="7"/>
      <c r="BU134" s="2" t="s">
        <v>107</v>
      </c>
      <c r="BV134" s="2" t="s">
        <v>96</v>
      </c>
      <c r="BW134" s="2" t="s">
        <v>695</v>
      </c>
      <c r="BX134" s="2" t="s">
        <v>881</v>
      </c>
      <c r="BY134" s="2" t="s">
        <v>109</v>
      </c>
      <c r="BZ134" s="2" t="s">
        <v>109</v>
      </c>
      <c r="CA134" s="2" t="s">
        <v>99</v>
      </c>
    </row>
    <row r="135">
      <c r="A135" s="2" t="s">
        <v>882</v>
      </c>
      <c r="B135" s="2" t="s">
        <v>765</v>
      </c>
      <c r="C135" s="2" t="s">
        <v>203</v>
      </c>
      <c r="D135" s="2" t="s">
        <v>766</v>
      </c>
      <c r="E135" s="2" t="s">
        <v>839</v>
      </c>
      <c r="F135" s="2" t="s">
        <v>875</v>
      </c>
      <c r="G135" s="2" t="s">
        <v>876</v>
      </c>
      <c r="H135" s="2" t="s">
        <v>877</v>
      </c>
      <c r="I135" s="2" t="s">
        <v>878</v>
      </c>
      <c r="J135" s="2" t="s">
        <v>227</v>
      </c>
      <c r="K135" s="2" t="s">
        <v>379</v>
      </c>
      <c r="L135" s="3">
        <v>85.5</v>
      </c>
      <c r="M135" s="3">
        <v>89.78</v>
      </c>
      <c r="N135" s="3">
        <v>179</v>
      </c>
      <c r="O135" s="2" t="s">
        <v>304</v>
      </c>
      <c r="P135" s="2" t="s">
        <v>188</v>
      </c>
      <c r="Q135" s="2" t="s">
        <v>98</v>
      </c>
      <c r="R135" s="2" t="s">
        <v>99</v>
      </c>
      <c r="S135" s="2" t="s">
        <v>883</v>
      </c>
      <c r="T135" s="2" t="s">
        <v>99</v>
      </c>
      <c r="U135" s="2" t="s">
        <v>99</v>
      </c>
      <c r="V135" s="2" t="s">
        <v>157</v>
      </c>
      <c r="W135" s="2" t="s">
        <v>102</v>
      </c>
      <c r="X135" s="2" t="s">
        <v>99</v>
      </c>
      <c r="Y135" s="2" t="s">
        <v>164</v>
      </c>
      <c r="Z135" s="4">
        <v>1</v>
      </c>
      <c r="AA135" s="4">
        <f>=ROUNDDOWN(0.25,0)</f>
      </c>
      <c r="AB135" s="5">
        <v>4</v>
      </c>
      <c r="AC135" s="2" t="s">
        <v>99</v>
      </c>
      <c r="AD135" s="4"/>
      <c r="AE135" s="4"/>
      <c r="AF135" s="6">
        <v>83</v>
      </c>
      <c r="AG135" s="6">
        <v>69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2</v>
      </c>
      <c r="AQ135" s="8">
        <v>193.92</v>
      </c>
      <c r="AR135" s="4"/>
      <c r="AS135" s="8"/>
      <c r="AT135" s="7"/>
      <c r="AU135" s="7"/>
      <c r="AV135" s="4">
        <v>2</v>
      </c>
      <c r="AW135" s="8">
        <v>193.92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0.3418</v>
      </c>
      <c r="BJ135" s="4">
        <v>18</v>
      </c>
      <c r="BK135" s="8">
        <v>1582.27</v>
      </c>
      <c r="BL135" s="2" t="s">
        <v>884</v>
      </c>
      <c r="BM135" s="7">
        <v>0.1111</v>
      </c>
      <c r="BN135" s="7">
        <v>0.1226</v>
      </c>
      <c r="BO135" s="4">
        <v>2</v>
      </c>
      <c r="BP135" s="8">
        <v>193.92</v>
      </c>
      <c r="BQ135" s="4"/>
      <c r="BR135" s="8"/>
      <c r="BS135" s="7"/>
      <c r="BT135" s="7"/>
      <c r="BU135" s="2" t="s">
        <v>107</v>
      </c>
      <c r="BV135" s="2" t="s">
        <v>96</v>
      </c>
      <c r="BW135" s="2" t="s">
        <v>846</v>
      </c>
      <c r="BX135" s="2" t="s">
        <v>885</v>
      </c>
      <c r="BY135" s="2" t="s">
        <v>109</v>
      </c>
      <c r="BZ135" s="2" t="s">
        <v>109</v>
      </c>
      <c r="CA135" s="2" t="s">
        <v>99</v>
      </c>
    </row>
    <row r="136">
      <c r="A136" s="2" t="s">
        <v>886</v>
      </c>
      <c r="B136" s="2" t="s">
        <v>765</v>
      </c>
      <c r="C136" s="2" t="s">
        <v>203</v>
      </c>
      <c r="D136" s="2" t="s">
        <v>766</v>
      </c>
      <c r="E136" s="2" t="s">
        <v>839</v>
      </c>
      <c r="F136" s="2" t="s">
        <v>875</v>
      </c>
      <c r="G136" s="2" t="s">
        <v>876</v>
      </c>
      <c r="H136" s="2" t="s">
        <v>877</v>
      </c>
      <c r="I136" s="2" t="s">
        <v>878</v>
      </c>
      <c r="J136" s="2" t="s">
        <v>227</v>
      </c>
      <c r="K136" s="2" t="s">
        <v>887</v>
      </c>
      <c r="L136" s="3">
        <v>85.5</v>
      </c>
      <c r="M136" s="3">
        <v>89.78</v>
      </c>
      <c r="N136" s="3">
        <v>179</v>
      </c>
      <c r="O136" s="2" t="s">
        <v>96</v>
      </c>
      <c r="P136" s="2" t="s">
        <v>131</v>
      </c>
      <c r="Q136" s="2" t="s">
        <v>98</v>
      </c>
      <c r="R136" s="2" t="s">
        <v>99</v>
      </c>
      <c r="S136" s="2" t="s">
        <v>888</v>
      </c>
      <c r="T136" s="2" t="s">
        <v>99</v>
      </c>
      <c r="U136" s="2" t="s">
        <v>99</v>
      </c>
      <c r="V136" s="2" t="s">
        <v>157</v>
      </c>
      <c r="W136" s="2" t="s">
        <v>158</v>
      </c>
      <c r="X136" s="2" t="s">
        <v>99</v>
      </c>
      <c r="Y136" s="2" t="s">
        <v>889</v>
      </c>
      <c r="Z136" s="4">
        <v>10</v>
      </c>
      <c r="AA136" s="4">
        <f>=ROUNDDOWN(0.833333333333333,0)</f>
      </c>
      <c r="AB136" s="5">
        <v>12</v>
      </c>
      <c r="AC136" s="2" t="s">
        <v>890</v>
      </c>
      <c r="AD136" s="4">
        <v>123</v>
      </c>
      <c r="AE136" s="4">
        <v>323</v>
      </c>
      <c r="AF136" s="6">
        <v>83</v>
      </c>
      <c r="AG136" s="6">
        <v>69</v>
      </c>
      <c r="AH136" s="7">
        <v>0.3103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1</v>
      </c>
      <c r="AQ136" s="8">
        <v>82.5</v>
      </c>
      <c r="AR136" s="4"/>
      <c r="AS136" s="8"/>
      <c r="AT136" s="7"/>
      <c r="AU136" s="7"/>
      <c r="AV136" s="4">
        <v>1</v>
      </c>
      <c r="AW136" s="8">
        <v>82.5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0.1454</v>
      </c>
      <c r="BJ136" s="4">
        <v>47</v>
      </c>
      <c r="BK136" s="8">
        <v>3976.24</v>
      </c>
      <c r="BL136" s="2" t="s">
        <v>891</v>
      </c>
      <c r="BM136" s="7">
        <v>0.0213</v>
      </c>
      <c r="BN136" s="7">
        <v>0.0207</v>
      </c>
      <c r="BO136" s="4">
        <v>1</v>
      </c>
      <c r="BP136" s="8">
        <v>82.5</v>
      </c>
      <c r="BQ136" s="4"/>
      <c r="BR136" s="8"/>
      <c r="BS136" s="7"/>
      <c r="BT136" s="7"/>
      <c r="BU136" s="2" t="s">
        <v>107</v>
      </c>
      <c r="BV136" s="2" t="s">
        <v>96</v>
      </c>
      <c r="BW136" s="2" t="s">
        <v>390</v>
      </c>
      <c r="BX136" s="2" t="s">
        <v>892</v>
      </c>
      <c r="BY136" s="2" t="s">
        <v>109</v>
      </c>
      <c r="BZ136" s="2" t="s">
        <v>109</v>
      </c>
      <c r="CA136" s="2" t="s">
        <v>99</v>
      </c>
    </row>
    <row r="137">
      <c r="A137" s="2" t="s">
        <v>893</v>
      </c>
      <c r="B137" s="2" t="s">
        <v>765</v>
      </c>
      <c r="C137" s="2" t="s">
        <v>203</v>
      </c>
      <c r="D137" s="2" t="s">
        <v>766</v>
      </c>
      <c r="E137" s="2" t="s">
        <v>839</v>
      </c>
      <c r="F137" s="2" t="s">
        <v>894</v>
      </c>
      <c r="G137" s="2" t="s">
        <v>895</v>
      </c>
      <c r="H137" s="2" t="s">
        <v>896</v>
      </c>
      <c r="I137" s="2" t="s">
        <v>897</v>
      </c>
      <c r="J137" s="2" t="s">
        <v>227</v>
      </c>
      <c r="K137" s="2" t="s">
        <v>234</v>
      </c>
      <c r="L137" s="3">
        <v>135.85</v>
      </c>
      <c r="M137" s="3">
        <v>142.64</v>
      </c>
      <c r="N137" s="3">
        <v>289</v>
      </c>
      <c r="O137" s="2" t="s">
        <v>96</v>
      </c>
      <c r="P137" s="2" t="s">
        <v>188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100</v>
      </c>
      <c r="V137" s="2" t="s">
        <v>157</v>
      </c>
      <c r="W137" s="2" t="s">
        <v>158</v>
      </c>
      <c r="X137" s="2" t="s">
        <v>99</v>
      </c>
      <c r="Y137" s="2" t="s">
        <v>898</v>
      </c>
      <c r="Z137" s="4">
        <v>66</v>
      </c>
      <c r="AA137" s="4">
        <f>=ROUNDDOWN(9.42857142857143,0)</f>
      </c>
      <c r="AB137" s="5">
        <v>7</v>
      </c>
      <c r="AC137" s="2" t="s">
        <v>99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3</v>
      </c>
      <c r="AQ137" s="8">
        <v>528.15</v>
      </c>
      <c r="AR137" s="4"/>
      <c r="AS137" s="8"/>
      <c r="AT137" s="7"/>
      <c r="AU137" s="7"/>
      <c r="AV137" s="4">
        <v>3</v>
      </c>
      <c r="AW137" s="8">
        <v>528.15</v>
      </c>
      <c r="AX137" s="4"/>
      <c r="AY137" s="8"/>
      <c r="AZ137" s="7"/>
      <c r="BA137" s="7"/>
      <c r="BB137" s="7">
        <v>1</v>
      </c>
      <c r="BC137" s="4">
        <v>3</v>
      </c>
      <c r="BD137" s="8">
        <v>528.15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1</v>
      </c>
      <c r="BJ137" s="4">
        <v>81</v>
      </c>
      <c r="BK137" s="8">
        <v>10997.48</v>
      </c>
      <c r="BL137" s="2" t="s">
        <v>899</v>
      </c>
      <c r="BM137" s="7">
        <v>0.037</v>
      </c>
      <c r="BN137" s="7">
        <v>0.048</v>
      </c>
      <c r="BO137" s="4">
        <v>3</v>
      </c>
      <c r="BP137" s="8">
        <v>528.15</v>
      </c>
      <c r="BQ137" s="4"/>
      <c r="BR137" s="8"/>
      <c r="BS137" s="7"/>
      <c r="BT137" s="7"/>
      <c r="BU137" s="2" t="s">
        <v>107</v>
      </c>
      <c r="BV137" s="2" t="s">
        <v>96</v>
      </c>
      <c r="BW137" s="2" t="s">
        <v>99</v>
      </c>
      <c r="BX137" s="2" t="s">
        <v>900</v>
      </c>
      <c r="BY137" s="2" t="s">
        <v>109</v>
      </c>
      <c r="BZ137" s="2" t="s">
        <v>109</v>
      </c>
      <c r="CA137" s="2" t="s">
        <v>99</v>
      </c>
    </row>
    <row r="138">
      <c r="A138" s="2" t="s">
        <v>901</v>
      </c>
      <c r="B138" s="2" t="s">
        <v>765</v>
      </c>
      <c r="C138" s="2" t="s">
        <v>203</v>
      </c>
      <c r="D138" s="2" t="s">
        <v>766</v>
      </c>
      <c r="E138" s="2" t="s">
        <v>839</v>
      </c>
      <c r="F138" s="2" t="s">
        <v>894</v>
      </c>
      <c r="G138" s="2" t="s">
        <v>895</v>
      </c>
      <c r="H138" s="2" t="s">
        <v>896</v>
      </c>
      <c r="I138" s="2" t="s">
        <v>897</v>
      </c>
      <c r="J138" s="2" t="s">
        <v>227</v>
      </c>
      <c r="K138" s="2" t="s">
        <v>902</v>
      </c>
      <c r="L138" s="3">
        <v>135.85</v>
      </c>
      <c r="M138" s="3">
        <v>142.64</v>
      </c>
      <c r="N138" s="3">
        <v>289</v>
      </c>
      <c r="O138" s="2" t="s">
        <v>96</v>
      </c>
      <c r="P138" s="2" t="s">
        <v>131</v>
      </c>
      <c r="Q138" s="2" t="s">
        <v>98</v>
      </c>
      <c r="R138" s="2" t="s">
        <v>99</v>
      </c>
      <c r="S138" s="2" t="s">
        <v>903</v>
      </c>
      <c r="T138" s="2" t="s">
        <v>99</v>
      </c>
      <c r="U138" s="2" t="s">
        <v>99</v>
      </c>
      <c r="V138" s="2" t="s">
        <v>157</v>
      </c>
      <c r="W138" s="2" t="s">
        <v>330</v>
      </c>
      <c r="X138" s="2" t="s">
        <v>99</v>
      </c>
      <c r="Y138" s="2" t="s">
        <v>164</v>
      </c>
      <c r="Z138" s="4">
        <v>6</v>
      </c>
      <c r="AA138" s="4">
        <f>=ROUNDDOWN(0.666666666666667,0)</f>
      </c>
      <c r="AB138" s="5">
        <v>9</v>
      </c>
      <c r="AC138" s="2" t="s">
        <v>904</v>
      </c>
      <c r="AD138" s="4">
        <v>100</v>
      </c>
      <c r="AE138" s="4">
        <v>100</v>
      </c>
      <c r="AF138" s="6">
        <v>74</v>
      </c>
      <c r="AG138" s="6"/>
      <c r="AH138" s="7">
        <v>0.8966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1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72</v>
      </c>
      <c r="BK138" s="8">
        <v>9372.66</v>
      </c>
      <c r="BL138" s="2" t="s">
        <v>905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96</v>
      </c>
      <c r="BW138" s="2" t="s">
        <v>390</v>
      </c>
      <c r="BX138" s="2" t="s">
        <v>906</v>
      </c>
      <c r="BY138" s="2" t="s">
        <v>109</v>
      </c>
      <c r="BZ138" s="2" t="s">
        <v>109</v>
      </c>
      <c r="CA138" s="2" t="s">
        <v>99</v>
      </c>
    </row>
    <row r="139">
      <c r="A139" s="2" t="s">
        <v>907</v>
      </c>
      <c r="B139" s="2" t="s">
        <v>765</v>
      </c>
      <c r="C139" s="2" t="s">
        <v>203</v>
      </c>
      <c r="D139" s="2" t="s">
        <v>766</v>
      </c>
      <c r="E139" s="2" t="s">
        <v>839</v>
      </c>
      <c r="F139" s="2" t="s">
        <v>908</v>
      </c>
      <c r="G139" s="2" t="s">
        <v>909</v>
      </c>
      <c r="H139" s="2" t="s">
        <v>910</v>
      </c>
      <c r="I139" s="2" t="s">
        <v>911</v>
      </c>
      <c r="J139" s="2" t="s">
        <v>227</v>
      </c>
      <c r="K139" s="2" t="s">
        <v>784</v>
      </c>
      <c r="L139" s="3">
        <v>128.7</v>
      </c>
      <c r="M139" s="3">
        <v>135.14</v>
      </c>
      <c r="N139" s="3">
        <v>269</v>
      </c>
      <c r="O139" s="2" t="s">
        <v>96</v>
      </c>
      <c r="P139" s="2" t="s">
        <v>131</v>
      </c>
      <c r="Q139" s="2" t="s">
        <v>98</v>
      </c>
      <c r="R139" s="2" t="s">
        <v>99</v>
      </c>
      <c r="S139" s="2" t="s">
        <v>912</v>
      </c>
      <c r="T139" s="2" t="s">
        <v>99</v>
      </c>
      <c r="U139" s="2" t="s">
        <v>99</v>
      </c>
      <c r="V139" s="2" t="s">
        <v>157</v>
      </c>
      <c r="W139" s="2" t="s">
        <v>102</v>
      </c>
      <c r="X139" s="2" t="s">
        <v>99</v>
      </c>
      <c r="Y139" s="2" t="s">
        <v>164</v>
      </c>
      <c r="Z139" s="4">
        <v>84</v>
      </c>
      <c r="AA139" s="4">
        <f>=ROUNDDOWN(7,0)</f>
      </c>
      <c r="AB139" s="5">
        <v>12</v>
      </c>
      <c r="AC139" s="2" t="s">
        <v>913</v>
      </c>
      <c r="AD139" s="4">
        <v>212</v>
      </c>
      <c r="AE139" s="4">
        <v>220</v>
      </c>
      <c r="AF139" s="6">
        <v>74</v>
      </c>
      <c r="AG139" s="6">
        <v>60</v>
      </c>
      <c r="AH139" s="7">
        <v>0.5517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17</v>
      </c>
      <c r="BK139" s="8">
        <v>2116.1</v>
      </c>
      <c r="BL139" s="2" t="s">
        <v>914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96</v>
      </c>
      <c r="BW139" s="2" t="s">
        <v>858</v>
      </c>
      <c r="BX139" s="2" t="s">
        <v>915</v>
      </c>
      <c r="BY139" s="2" t="s">
        <v>109</v>
      </c>
      <c r="BZ139" s="2" t="s">
        <v>109</v>
      </c>
      <c r="CA139" s="2" t="s">
        <v>99</v>
      </c>
    </row>
    <row r="140">
      <c r="A140" s="2" t="s">
        <v>916</v>
      </c>
      <c r="B140" s="2" t="s">
        <v>765</v>
      </c>
      <c r="C140" s="2" t="s">
        <v>203</v>
      </c>
      <c r="D140" s="2" t="s">
        <v>917</v>
      </c>
      <c r="E140" s="2" t="s">
        <v>918</v>
      </c>
      <c r="F140" s="2" t="s">
        <v>919</v>
      </c>
      <c r="G140" s="2" t="s">
        <v>920</v>
      </c>
      <c r="H140" s="2" t="s">
        <v>921</v>
      </c>
      <c r="I140" s="2" t="s">
        <v>922</v>
      </c>
      <c r="J140" s="2" t="s">
        <v>923</v>
      </c>
      <c r="K140" s="2" t="s">
        <v>784</v>
      </c>
      <c r="L140" s="3">
        <v>204.25</v>
      </c>
      <c r="M140" s="3">
        <v>214.46</v>
      </c>
      <c r="N140" s="3">
        <v>429</v>
      </c>
      <c r="O140" s="2" t="s">
        <v>96</v>
      </c>
      <c r="P140" s="2" t="s">
        <v>97</v>
      </c>
      <c r="Q140" s="2" t="s">
        <v>175</v>
      </c>
      <c r="R140" s="2" t="s">
        <v>99</v>
      </c>
      <c r="S140" s="2" t="s">
        <v>924</v>
      </c>
      <c r="T140" s="2" t="s">
        <v>99</v>
      </c>
      <c r="U140" s="2" t="s">
        <v>100</v>
      </c>
      <c r="V140" s="2" t="s">
        <v>157</v>
      </c>
      <c r="W140" s="2" t="s">
        <v>158</v>
      </c>
      <c r="X140" s="2" t="s">
        <v>99</v>
      </c>
      <c r="Y140" s="2" t="s">
        <v>925</v>
      </c>
      <c r="Z140" s="4">
        <v>171</v>
      </c>
      <c r="AA140" s="4">
        <f>=ROUNDDOWN(7.27659574468085,0)</f>
      </c>
      <c r="AB140" s="5">
        <v>23.5</v>
      </c>
      <c r="AC140" s="2" t="s">
        <v>926</v>
      </c>
      <c r="AD140" s="4">
        <v>230</v>
      </c>
      <c r="AE140" s="4">
        <v>520</v>
      </c>
      <c r="AF140" s="6">
        <v>74</v>
      </c>
      <c r="AG140" s="6">
        <v>60</v>
      </c>
      <c r="AH140" s="7">
        <v>0.3793</v>
      </c>
      <c r="AI140" s="4"/>
      <c r="AJ140" s="4">
        <f>=ROUNDDOWN({0},0)</f>
      </c>
      <c r="AK140" s="5"/>
      <c r="AL140" s="2" t="s">
        <v>786</v>
      </c>
      <c r="AM140" s="4">
        <v>135</v>
      </c>
      <c r="AN140" s="4">
        <v>135</v>
      </c>
      <c r="AO140" s="7"/>
      <c r="AP140" s="4">
        <v>1</v>
      </c>
      <c r="AQ140" s="8">
        <v>229.87</v>
      </c>
      <c r="AR140" s="4"/>
      <c r="AS140" s="8"/>
      <c r="AT140" s="7"/>
      <c r="AU140" s="7"/>
      <c r="AV140" s="4">
        <v>66</v>
      </c>
      <c r="AW140" s="8">
        <v>12563.62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0.0183</v>
      </c>
      <c r="BC140" s="4">
        <v>114</v>
      </c>
      <c r="BD140" s="8">
        <v>22460.8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0.5594</v>
      </c>
      <c r="BJ140" s="4">
        <v>24</v>
      </c>
      <c r="BK140" s="8">
        <v>5546.9</v>
      </c>
      <c r="BL140" s="2" t="s">
        <v>927</v>
      </c>
      <c r="BM140" s="7">
        <v>0.0417</v>
      </c>
      <c r="BN140" s="7">
        <v>0.0414</v>
      </c>
      <c r="BO140" s="4">
        <v>1</v>
      </c>
      <c r="BP140" s="8">
        <v>229.87</v>
      </c>
      <c r="BQ140" s="4"/>
      <c r="BR140" s="8"/>
      <c r="BS140" s="7"/>
      <c r="BT140" s="7"/>
      <c r="BU140" s="2" t="s">
        <v>107</v>
      </c>
      <c r="BV140" s="2" t="s">
        <v>96</v>
      </c>
      <c r="BW140" s="2" t="s">
        <v>99</v>
      </c>
      <c r="BX140" s="2" t="s">
        <v>928</v>
      </c>
      <c r="BY140" s="2" t="s">
        <v>109</v>
      </c>
      <c r="BZ140" s="2" t="s">
        <v>109</v>
      </c>
      <c r="CA140" s="2" t="s">
        <v>99</v>
      </c>
    </row>
    <row r="141">
      <c r="A141" s="2" t="s">
        <v>929</v>
      </c>
      <c r="B141" s="2" t="s">
        <v>765</v>
      </c>
      <c r="C141" s="2" t="s">
        <v>203</v>
      </c>
      <c r="D141" s="2" t="s">
        <v>917</v>
      </c>
      <c r="E141" s="2" t="s">
        <v>918</v>
      </c>
      <c r="F141" s="2" t="s">
        <v>919</v>
      </c>
      <c r="G141" s="2" t="s">
        <v>920</v>
      </c>
      <c r="H141" s="2" t="s">
        <v>921</v>
      </c>
      <c r="I141" s="2" t="s">
        <v>922</v>
      </c>
      <c r="J141" s="2" t="s">
        <v>930</v>
      </c>
      <c r="K141" s="2" t="s">
        <v>784</v>
      </c>
      <c r="L141" s="3">
        <v>180.5</v>
      </c>
      <c r="M141" s="3">
        <v>189.52</v>
      </c>
      <c r="N141" s="3">
        <v>379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931</v>
      </c>
      <c r="T141" s="2" t="s">
        <v>99</v>
      </c>
      <c r="U141" s="2" t="s">
        <v>100</v>
      </c>
      <c r="V141" s="2" t="s">
        <v>157</v>
      </c>
      <c r="W141" s="2" t="s">
        <v>158</v>
      </c>
      <c r="X141" s="2" t="s">
        <v>99</v>
      </c>
      <c r="Y141" s="2" t="s">
        <v>932</v>
      </c>
      <c r="Z141" s="4">
        <v>257</v>
      </c>
      <c r="AA141" s="4">
        <f>=ROUNDDOWN(6.69270833333333,0)</f>
      </c>
      <c r="AB141" s="5">
        <v>38.4</v>
      </c>
      <c r="AC141" s="2" t="s">
        <v>926</v>
      </c>
      <c r="AD141" s="4">
        <v>60</v>
      </c>
      <c r="AE141" s="4">
        <v>420</v>
      </c>
      <c r="AF141" s="6">
        <v>74</v>
      </c>
      <c r="AG141" s="6">
        <v>60</v>
      </c>
      <c r="AH141" s="7">
        <v>1</v>
      </c>
      <c r="AI141" s="4"/>
      <c r="AJ141" s="4">
        <f>=ROUNDDOWN({0},0)</f>
      </c>
      <c r="AK141" s="5"/>
      <c r="AL141" s="2" t="s">
        <v>786</v>
      </c>
      <c r="AM141" s="4">
        <v>100</v>
      </c>
      <c r="AN141" s="4">
        <v>100</v>
      </c>
      <c r="AO141" s="7"/>
      <c r="AP141" s="4">
        <v>65</v>
      </c>
      <c r="AQ141" s="8">
        <v>12333.75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0.9817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132</v>
      </c>
      <c r="BK141" s="8">
        <v>24210.69</v>
      </c>
      <c r="BL141" s="2" t="s">
        <v>933</v>
      </c>
      <c r="BM141" s="7">
        <v>0.4924</v>
      </c>
      <c r="BN141" s="7">
        <v>0.5094</v>
      </c>
      <c r="BO141" s="4">
        <v>65</v>
      </c>
      <c r="BP141" s="8">
        <v>12333.75</v>
      </c>
      <c r="BQ141" s="4"/>
      <c r="BR141" s="8"/>
      <c r="BS141" s="7"/>
      <c r="BT141" s="7"/>
      <c r="BU141" s="2" t="s">
        <v>107</v>
      </c>
      <c r="BV141" s="2" t="s">
        <v>96</v>
      </c>
      <c r="BW141" s="2" t="s">
        <v>934</v>
      </c>
      <c r="BX141" s="2" t="s">
        <v>935</v>
      </c>
      <c r="BY141" s="2" t="s">
        <v>109</v>
      </c>
      <c r="BZ141" s="2" t="s">
        <v>109</v>
      </c>
      <c r="CA141" s="2" t="s">
        <v>99</v>
      </c>
    </row>
    <row r="142">
      <c r="A142" s="2" t="s">
        <v>936</v>
      </c>
      <c r="B142" s="2" t="s">
        <v>765</v>
      </c>
      <c r="C142" s="2" t="s">
        <v>203</v>
      </c>
      <c r="D142" s="2" t="s">
        <v>917</v>
      </c>
      <c r="E142" s="2" t="s">
        <v>918</v>
      </c>
      <c r="F142" s="2" t="s">
        <v>919</v>
      </c>
      <c r="G142" s="2" t="s">
        <v>920</v>
      </c>
      <c r="H142" s="2" t="s">
        <v>921</v>
      </c>
      <c r="I142" s="2" t="s">
        <v>922</v>
      </c>
      <c r="J142" s="2" t="s">
        <v>923</v>
      </c>
      <c r="K142" s="2" t="s">
        <v>228</v>
      </c>
      <c r="L142" s="3">
        <v>204.25</v>
      </c>
      <c r="M142" s="3">
        <v>214.46</v>
      </c>
      <c r="N142" s="3">
        <v>429</v>
      </c>
      <c r="O142" s="2" t="s">
        <v>96</v>
      </c>
      <c r="P142" s="2" t="s">
        <v>131</v>
      </c>
      <c r="Q142" s="2" t="s">
        <v>175</v>
      </c>
      <c r="R142" s="2" t="s">
        <v>99</v>
      </c>
      <c r="S142" s="2" t="s">
        <v>937</v>
      </c>
      <c r="T142" s="2" t="s">
        <v>99</v>
      </c>
      <c r="U142" s="2" t="s">
        <v>100</v>
      </c>
      <c r="V142" s="2" t="s">
        <v>157</v>
      </c>
      <c r="W142" s="2" t="s">
        <v>158</v>
      </c>
      <c r="X142" s="2" t="s">
        <v>99</v>
      </c>
      <c r="Y142" s="2" t="s">
        <v>925</v>
      </c>
      <c r="Z142" s="4">
        <v>92</v>
      </c>
      <c r="AA142" s="4">
        <f>=ROUNDDOWN(18.4,0)</f>
      </c>
      <c r="AB142" s="5">
        <v>5</v>
      </c>
      <c r="AC142" s="2" t="s">
        <v>183</v>
      </c>
      <c r="AD142" s="4">
        <v>50</v>
      </c>
      <c r="AE142" s="4">
        <v>50</v>
      </c>
      <c r="AF142" s="6">
        <v>74</v>
      </c>
      <c r="AG142" s="6">
        <v>60</v>
      </c>
      <c r="AH142" s="7">
        <v>0.9655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7</v>
      </c>
      <c r="AQ142" s="8">
        <v>1609.09</v>
      </c>
      <c r="AR142" s="4"/>
      <c r="AS142" s="8"/>
      <c r="AT142" s="7"/>
      <c r="AU142" s="7"/>
      <c r="AV142" s="4">
        <v>32</v>
      </c>
      <c r="AW142" s="8">
        <v>6352.84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0.2533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0.2828</v>
      </c>
      <c r="BJ142" s="4">
        <v>40</v>
      </c>
      <c r="BK142" s="8">
        <v>7516.08</v>
      </c>
      <c r="BL142" s="2" t="s">
        <v>938</v>
      </c>
      <c r="BM142" s="7">
        <v>0.175</v>
      </c>
      <c r="BN142" s="7">
        <v>0.2141</v>
      </c>
      <c r="BO142" s="4">
        <v>7</v>
      </c>
      <c r="BP142" s="8">
        <v>1609.09</v>
      </c>
      <c r="BQ142" s="4"/>
      <c r="BR142" s="8"/>
      <c r="BS142" s="7"/>
      <c r="BT142" s="7"/>
      <c r="BU142" s="2" t="s">
        <v>107</v>
      </c>
      <c r="BV142" s="2" t="s">
        <v>96</v>
      </c>
      <c r="BW142" s="2" t="s">
        <v>939</v>
      </c>
      <c r="BX142" s="2" t="s">
        <v>940</v>
      </c>
      <c r="BY142" s="2" t="s">
        <v>109</v>
      </c>
      <c r="BZ142" s="2" t="s">
        <v>109</v>
      </c>
      <c r="CA142" s="2" t="s">
        <v>99</v>
      </c>
    </row>
    <row r="143">
      <c r="A143" s="2" t="s">
        <v>941</v>
      </c>
      <c r="B143" s="2" t="s">
        <v>765</v>
      </c>
      <c r="C143" s="2" t="s">
        <v>203</v>
      </c>
      <c r="D143" s="2" t="s">
        <v>917</v>
      </c>
      <c r="E143" s="2" t="s">
        <v>918</v>
      </c>
      <c r="F143" s="2" t="s">
        <v>919</v>
      </c>
      <c r="G143" s="2" t="s">
        <v>920</v>
      </c>
      <c r="H143" s="2" t="s">
        <v>921</v>
      </c>
      <c r="I143" s="2" t="s">
        <v>922</v>
      </c>
      <c r="J143" s="2" t="s">
        <v>930</v>
      </c>
      <c r="K143" s="2" t="s">
        <v>228</v>
      </c>
      <c r="L143" s="3">
        <v>180.5</v>
      </c>
      <c r="M143" s="3">
        <v>189.52</v>
      </c>
      <c r="N143" s="3">
        <v>379</v>
      </c>
      <c r="O143" s="2" t="s">
        <v>96</v>
      </c>
      <c r="P143" s="2" t="s">
        <v>135</v>
      </c>
      <c r="Q143" s="2" t="s">
        <v>98</v>
      </c>
      <c r="R143" s="2" t="s">
        <v>99</v>
      </c>
      <c r="S143" s="2" t="s">
        <v>942</v>
      </c>
      <c r="T143" s="2" t="s">
        <v>99</v>
      </c>
      <c r="U143" s="2" t="s">
        <v>100</v>
      </c>
      <c r="V143" s="2" t="s">
        <v>157</v>
      </c>
      <c r="W143" s="2" t="s">
        <v>158</v>
      </c>
      <c r="X143" s="2" t="s">
        <v>99</v>
      </c>
      <c r="Y143" s="2" t="s">
        <v>925</v>
      </c>
      <c r="Z143" s="4">
        <v>78</v>
      </c>
      <c r="AA143" s="4">
        <f>=ROUNDDOWN(6.5,0)</f>
      </c>
      <c r="AB143" s="5">
        <v>12</v>
      </c>
      <c r="AC143" s="2" t="s">
        <v>926</v>
      </c>
      <c r="AD143" s="4">
        <v>150</v>
      </c>
      <c r="AE143" s="4">
        <v>250</v>
      </c>
      <c r="AF143" s="6">
        <v>74</v>
      </c>
      <c r="AG143" s="6">
        <v>60</v>
      </c>
      <c r="AH143" s="7">
        <v>0.8621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25</v>
      </c>
      <c r="AQ143" s="8">
        <v>4743.75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0.7467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51</v>
      </c>
      <c r="BK143" s="8">
        <v>9430.26</v>
      </c>
      <c r="BL143" s="2" t="s">
        <v>933</v>
      </c>
      <c r="BM143" s="7">
        <v>0.4902</v>
      </c>
      <c r="BN143" s="7">
        <v>0.503</v>
      </c>
      <c r="BO143" s="4">
        <v>25</v>
      </c>
      <c r="BP143" s="8">
        <v>4743.75</v>
      </c>
      <c r="BQ143" s="4"/>
      <c r="BR143" s="8"/>
      <c r="BS143" s="7"/>
      <c r="BT143" s="7"/>
      <c r="BU143" s="2" t="s">
        <v>107</v>
      </c>
      <c r="BV143" s="2" t="s">
        <v>96</v>
      </c>
      <c r="BW143" s="2" t="s">
        <v>506</v>
      </c>
      <c r="BX143" s="2" t="s">
        <v>405</v>
      </c>
      <c r="BY143" s="2" t="s">
        <v>109</v>
      </c>
      <c r="BZ143" s="2" t="s">
        <v>109</v>
      </c>
      <c r="CA143" s="2" t="s">
        <v>99</v>
      </c>
    </row>
    <row r="144">
      <c r="A144" s="2" t="s">
        <v>943</v>
      </c>
      <c r="B144" s="2" t="s">
        <v>765</v>
      </c>
      <c r="C144" s="2" t="s">
        <v>203</v>
      </c>
      <c r="D144" s="2" t="s">
        <v>917</v>
      </c>
      <c r="E144" s="2" t="s">
        <v>918</v>
      </c>
      <c r="F144" s="2" t="s">
        <v>919</v>
      </c>
      <c r="G144" s="2" t="s">
        <v>920</v>
      </c>
      <c r="H144" s="2" t="s">
        <v>921</v>
      </c>
      <c r="I144" s="2" t="s">
        <v>922</v>
      </c>
      <c r="J144" s="2" t="s">
        <v>923</v>
      </c>
      <c r="K144" s="2" t="s">
        <v>705</v>
      </c>
      <c r="L144" s="3">
        <v>204.25</v>
      </c>
      <c r="M144" s="3">
        <v>214.46</v>
      </c>
      <c r="N144" s="3">
        <v>429</v>
      </c>
      <c r="O144" s="2" t="s">
        <v>96</v>
      </c>
      <c r="P144" s="2" t="s">
        <v>188</v>
      </c>
      <c r="Q144" s="2" t="s">
        <v>175</v>
      </c>
      <c r="R144" s="2" t="s">
        <v>99</v>
      </c>
      <c r="S144" s="2" t="s">
        <v>99</v>
      </c>
      <c r="T144" s="2" t="s">
        <v>99</v>
      </c>
      <c r="U144" s="2" t="s">
        <v>100</v>
      </c>
      <c r="V144" s="2" t="s">
        <v>157</v>
      </c>
      <c r="W144" s="2" t="s">
        <v>158</v>
      </c>
      <c r="X144" s="2" t="s">
        <v>99</v>
      </c>
      <c r="Y144" s="2" t="s">
        <v>944</v>
      </c>
      <c r="Z144" s="4">
        <v>105</v>
      </c>
      <c r="AA144" s="4">
        <f>=ROUNDDOWN(25,0)</f>
      </c>
      <c r="AB144" s="5">
        <v>4.2</v>
      </c>
      <c r="AC144" s="2" t="s">
        <v>99</v>
      </c>
      <c r="AD144" s="4"/>
      <c r="AE144" s="4"/>
      <c r="AF144" s="6">
        <v>74</v>
      </c>
      <c r="AG144" s="6">
        <v>60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10</v>
      </c>
      <c r="AQ144" s="8">
        <v>2316.2</v>
      </c>
      <c r="AR144" s="4"/>
      <c r="AS144" s="8"/>
      <c r="AT144" s="7"/>
      <c r="AU144" s="7"/>
      <c r="AV144" s="4">
        <v>16</v>
      </c>
      <c r="AW144" s="8">
        <v>3544.34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0.6535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0.1578</v>
      </c>
      <c r="BJ144" s="4">
        <v>20</v>
      </c>
      <c r="BK144" s="8">
        <v>4328.65</v>
      </c>
      <c r="BL144" s="2" t="s">
        <v>945</v>
      </c>
      <c r="BM144" s="7">
        <v>0.5</v>
      </c>
      <c r="BN144" s="7">
        <v>0.5351</v>
      </c>
      <c r="BO144" s="4">
        <v>10</v>
      </c>
      <c r="BP144" s="8">
        <v>2316.2</v>
      </c>
      <c r="BQ144" s="4"/>
      <c r="BR144" s="8"/>
      <c r="BS144" s="7"/>
      <c r="BT144" s="7"/>
      <c r="BU144" s="2" t="s">
        <v>107</v>
      </c>
      <c r="BV144" s="2" t="s">
        <v>96</v>
      </c>
      <c r="BW144" s="2" t="s">
        <v>946</v>
      </c>
      <c r="BX144" s="2" t="s">
        <v>947</v>
      </c>
      <c r="BY144" s="2" t="s">
        <v>109</v>
      </c>
      <c r="BZ144" s="2" t="s">
        <v>109</v>
      </c>
      <c r="CA144" s="2" t="s">
        <v>99</v>
      </c>
    </row>
    <row r="145">
      <c r="A145" s="2" t="s">
        <v>948</v>
      </c>
      <c r="B145" s="2" t="s">
        <v>765</v>
      </c>
      <c r="C145" s="2" t="s">
        <v>203</v>
      </c>
      <c r="D145" s="2" t="s">
        <v>917</v>
      </c>
      <c r="E145" s="2" t="s">
        <v>918</v>
      </c>
      <c r="F145" s="2" t="s">
        <v>919</v>
      </c>
      <c r="G145" s="2" t="s">
        <v>920</v>
      </c>
      <c r="H145" s="2" t="s">
        <v>921</v>
      </c>
      <c r="I145" s="2" t="s">
        <v>922</v>
      </c>
      <c r="J145" s="2" t="s">
        <v>930</v>
      </c>
      <c r="K145" s="2" t="s">
        <v>705</v>
      </c>
      <c r="L145" s="3">
        <v>180.5</v>
      </c>
      <c r="M145" s="3">
        <v>189.52</v>
      </c>
      <c r="N145" s="3">
        <v>379</v>
      </c>
      <c r="O145" s="2" t="s">
        <v>96</v>
      </c>
      <c r="P145" s="2" t="s">
        <v>131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100</v>
      </c>
      <c r="V145" s="2" t="s">
        <v>157</v>
      </c>
      <c r="W145" s="2" t="s">
        <v>158</v>
      </c>
      <c r="X145" s="2" t="s">
        <v>99</v>
      </c>
      <c r="Y145" s="2" t="s">
        <v>944</v>
      </c>
      <c r="Z145" s="4">
        <v>108</v>
      </c>
      <c r="AA145" s="4">
        <f>=ROUNDDOWN(18,0)</f>
      </c>
      <c r="AB145" s="5">
        <v>6</v>
      </c>
      <c r="AC145" s="2" t="s">
        <v>926</v>
      </c>
      <c r="AD145" s="4">
        <v>100</v>
      </c>
      <c r="AE145" s="4">
        <v>100</v>
      </c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6</v>
      </c>
      <c r="AQ145" s="8">
        <v>1228.14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0.3465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24</v>
      </c>
      <c r="BK145" s="8">
        <v>4406.03</v>
      </c>
      <c r="BL145" s="2" t="s">
        <v>949</v>
      </c>
      <c r="BM145" s="7">
        <v>0.25</v>
      </c>
      <c r="BN145" s="7">
        <v>0.2787</v>
      </c>
      <c r="BO145" s="4">
        <v>6</v>
      </c>
      <c r="BP145" s="8">
        <v>1228.14</v>
      </c>
      <c r="BQ145" s="4"/>
      <c r="BR145" s="8"/>
      <c r="BS145" s="7"/>
      <c r="BT145" s="7"/>
      <c r="BU145" s="2" t="s">
        <v>107</v>
      </c>
      <c r="BV145" s="2" t="s">
        <v>96</v>
      </c>
      <c r="BW145" s="2" t="s">
        <v>946</v>
      </c>
      <c r="BX145" s="2" t="s">
        <v>950</v>
      </c>
      <c r="BY145" s="2" t="s">
        <v>109</v>
      </c>
      <c r="BZ145" s="2" t="s">
        <v>109</v>
      </c>
      <c r="CA145" s="2" t="s">
        <v>99</v>
      </c>
    </row>
    <row r="146">
      <c r="A146" s="2" t="s">
        <v>951</v>
      </c>
      <c r="B146" s="2" t="s">
        <v>765</v>
      </c>
      <c r="C146" s="2" t="s">
        <v>203</v>
      </c>
      <c r="D146" s="2" t="s">
        <v>917</v>
      </c>
      <c r="E146" s="2" t="s">
        <v>918</v>
      </c>
      <c r="F146" s="2" t="s">
        <v>919</v>
      </c>
      <c r="G146" s="2" t="s">
        <v>920</v>
      </c>
      <c r="H146" s="2" t="s">
        <v>921</v>
      </c>
      <c r="I146" s="2" t="s">
        <v>922</v>
      </c>
      <c r="J146" s="2" t="s">
        <v>923</v>
      </c>
      <c r="K146" s="2" t="s">
        <v>952</v>
      </c>
      <c r="L146" s="3">
        <v>204.25</v>
      </c>
      <c r="M146" s="3">
        <v>214.46</v>
      </c>
      <c r="N146" s="3">
        <v>429</v>
      </c>
      <c r="O146" s="2" t="s">
        <v>96</v>
      </c>
      <c r="P146" s="2" t="s">
        <v>88</v>
      </c>
      <c r="Q146" s="2" t="s">
        <v>175</v>
      </c>
      <c r="R146" s="2" t="s">
        <v>953</v>
      </c>
      <c r="S146" s="2" t="s">
        <v>99</v>
      </c>
      <c r="T146" s="2" t="s">
        <v>99</v>
      </c>
      <c r="U146" s="2" t="s">
        <v>100</v>
      </c>
      <c r="V146" s="2" t="s">
        <v>157</v>
      </c>
      <c r="W146" s="2" t="s">
        <v>785</v>
      </c>
      <c r="X146" s="2" t="s">
        <v>99</v>
      </c>
      <c r="Y146" s="2" t="s">
        <v>954</v>
      </c>
      <c r="Z146" s="4">
        <v>239</v>
      </c>
      <c r="AA146" s="4">
        <f>=ROUNDDOWN({0},0)</f>
      </c>
      <c r="AB146" s="5"/>
      <c r="AC146" s="2" t="s">
        <v>99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/>
      <c r="BK146" s="8"/>
      <c r="BL146" s="2" t="s">
        <v>99</v>
      </c>
      <c r="BM146" s="7"/>
      <c r="BN146" s="7"/>
      <c r="BO146" s="4"/>
      <c r="BP146" s="8"/>
      <c r="BQ146" s="4"/>
      <c r="BR146" s="8"/>
      <c r="BS146" s="7"/>
      <c r="BT146" s="7"/>
      <c r="BU146" s="2" t="s">
        <v>645</v>
      </c>
      <c r="BV146" s="2" t="s">
        <v>122</v>
      </c>
      <c r="BW146" s="2" t="s">
        <v>99</v>
      </c>
      <c r="BX146" s="2" t="s">
        <v>99</v>
      </c>
      <c r="BY146" s="2" t="s">
        <v>109</v>
      </c>
      <c r="BZ146" s="2" t="s">
        <v>109</v>
      </c>
      <c r="CA146" s="2" t="s">
        <v>99</v>
      </c>
    </row>
    <row r="147">
      <c r="A147" s="2" t="s">
        <v>955</v>
      </c>
      <c r="B147" s="2" t="s">
        <v>765</v>
      </c>
      <c r="C147" s="2" t="s">
        <v>203</v>
      </c>
      <c r="D147" s="2" t="s">
        <v>917</v>
      </c>
      <c r="E147" s="2" t="s">
        <v>918</v>
      </c>
      <c r="F147" s="2" t="s">
        <v>919</v>
      </c>
      <c r="G147" s="2" t="s">
        <v>920</v>
      </c>
      <c r="H147" s="2" t="s">
        <v>921</v>
      </c>
      <c r="I147" s="2" t="s">
        <v>922</v>
      </c>
      <c r="J147" s="2" t="s">
        <v>930</v>
      </c>
      <c r="K147" s="2" t="s">
        <v>952</v>
      </c>
      <c r="L147" s="3">
        <v>180.5</v>
      </c>
      <c r="M147" s="3">
        <v>189.52</v>
      </c>
      <c r="N147" s="3">
        <v>379</v>
      </c>
      <c r="O147" s="2" t="s">
        <v>96</v>
      </c>
      <c r="P147" s="2" t="s">
        <v>88</v>
      </c>
      <c r="Q147" s="2" t="s">
        <v>98</v>
      </c>
      <c r="R147" s="2" t="s">
        <v>953</v>
      </c>
      <c r="S147" s="2" t="s">
        <v>99</v>
      </c>
      <c r="T147" s="2" t="s">
        <v>99</v>
      </c>
      <c r="U147" s="2" t="s">
        <v>100</v>
      </c>
      <c r="V147" s="2" t="s">
        <v>157</v>
      </c>
      <c r="W147" s="2" t="s">
        <v>785</v>
      </c>
      <c r="X147" s="2" t="s">
        <v>99</v>
      </c>
      <c r="Y147" s="2" t="s">
        <v>956</v>
      </c>
      <c r="Z147" s="4">
        <v>200</v>
      </c>
      <c r="AA147" s="4">
        <f>=ROUNDDOWN({0},0)</f>
      </c>
      <c r="AB147" s="5"/>
      <c r="AC147" s="2" t="s">
        <v>99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/>
      <c r="BK147" s="8"/>
      <c r="BL147" s="2" t="s">
        <v>99</v>
      </c>
      <c r="BM147" s="7"/>
      <c r="BN147" s="7"/>
      <c r="BO147" s="4"/>
      <c r="BP147" s="8"/>
      <c r="BQ147" s="4"/>
      <c r="BR147" s="8"/>
      <c r="BS147" s="7"/>
      <c r="BT147" s="7"/>
      <c r="BU147" s="2" t="s">
        <v>645</v>
      </c>
      <c r="BV147" s="2" t="s">
        <v>122</v>
      </c>
      <c r="BW147" s="2" t="s">
        <v>99</v>
      </c>
      <c r="BX147" s="2" t="s">
        <v>99</v>
      </c>
      <c r="BY147" s="2" t="s">
        <v>109</v>
      </c>
      <c r="BZ147" s="2" t="s">
        <v>109</v>
      </c>
      <c r="CA147" s="2" t="s">
        <v>99</v>
      </c>
    </row>
    <row r="148">
      <c r="A148" s="2" t="s">
        <v>957</v>
      </c>
      <c r="B148" s="2" t="s">
        <v>765</v>
      </c>
      <c r="C148" s="2" t="s">
        <v>203</v>
      </c>
      <c r="D148" s="2" t="s">
        <v>917</v>
      </c>
      <c r="E148" s="2" t="s">
        <v>918</v>
      </c>
      <c r="F148" s="2" t="s">
        <v>919</v>
      </c>
      <c r="G148" s="2" t="s">
        <v>99</v>
      </c>
      <c r="H148" s="2" t="s">
        <v>99</v>
      </c>
      <c r="I148" s="2" t="s">
        <v>922</v>
      </c>
      <c r="J148" s="2" t="s">
        <v>923</v>
      </c>
      <c r="K148" s="2" t="s">
        <v>958</v>
      </c>
      <c r="L148" s="3">
        <v>204.25</v>
      </c>
      <c r="M148" s="3">
        <v>214.46</v>
      </c>
      <c r="N148" s="3">
        <v>429</v>
      </c>
      <c r="O148" s="2" t="s">
        <v>96</v>
      </c>
      <c r="P148" s="2" t="s">
        <v>317</v>
      </c>
      <c r="Q148" s="2" t="s">
        <v>175</v>
      </c>
      <c r="R148" s="2" t="s">
        <v>99</v>
      </c>
      <c r="S148" s="2" t="s">
        <v>99</v>
      </c>
      <c r="T148" s="2" t="s">
        <v>99</v>
      </c>
      <c r="U148" s="2" t="s">
        <v>100</v>
      </c>
      <c r="V148" s="2" t="s">
        <v>157</v>
      </c>
      <c r="W148" s="2" t="s">
        <v>785</v>
      </c>
      <c r="X148" s="2" t="s">
        <v>99</v>
      </c>
      <c r="Y148" s="2" t="s">
        <v>959</v>
      </c>
      <c r="Z148" s="4">
        <v>310</v>
      </c>
      <c r="AA148" s="4">
        <f>=ROUNDDOWN(775,0)</f>
      </c>
      <c r="AB148" s="5">
        <v>0.4</v>
      </c>
      <c r="AC148" s="2" t="s">
        <v>99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1</v>
      </c>
      <c r="BK148" s="8">
        <v>214.09</v>
      </c>
      <c r="BL148" s="2" t="s">
        <v>200</v>
      </c>
      <c r="BM148" s="7"/>
      <c r="BN148" s="7"/>
      <c r="BO148" s="4"/>
      <c r="BP148" s="8"/>
      <c r="BQ148" s="4"/>
      <c r="BR148" s="8"/>
      <c r="BS148" s="7"/>
      <c r="BT148" s="7"/>
      <c r="BU148" s="2" t="s">
        <v>819</v>
      </c>
      <c r="BV148" s="2" t="s">
        <v>96</v>
      </c>
      <c r="BW148" s="2" t="s">
        <v>99</v>
      </c>
      <c r="BX148" s="2" t="s">
        <v>99</v>
      </c>
      <c r="BY148" s="2" t="s">
        <v>109</v>
      </c>
      <c r="BZ148" s="2" t="s">
        <v>109</v>
      </c>
      <c r="CA148" s="2" t="s">
        <v>99</v>
      </c>
    </row>
    <row r="149">
      <c r="A149" s="2" t="s">
        <v>960</v>
      </c>
      <c r="B149" s="2" t="s">
        <v>765</v>
      </c>
      <c r="C149" s="2" t="s">
        <v>203</v>
      </c>
      <c r="D149" s="2" t="s">
        <v>917</v>
      </c>
      <c r="E149" s="2" t="s">
        <v>918</v>
      </c>
      <c r="F149" s="2" t="s">
        <v>919</v>
      </c>
      <c r="G149" s="2" t="s">
        <v>99</v>
      </c>
      <c r="H149" s="2" t="s">
        <v>99</v>
      </c>
      <c r="I149" s="2" t="s">
        <v>922</v>
      </c>
      <c r="J149" s="2" t="s">
        <v>930</v>
      </c>
      <c r="K149" s="2" t="s">
        <v>958</v>
      </c>
      <c r="L149" s="3">
        <v>180.5</v>
      </c>
      <c r="M149" s="3">
        <v>189.52</v>
      </c>
      <c r="N149" s="3">
        <v>379</v>
      </c>
      <c r="O149" s="2" t="s">
        <v>96</v>
      </c>
      <c r="P149" s="2" t="s">
        <v>317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100</v>
      </c>
      <c r="V149" s="2" t="s">
        <v>157</v>
      </c>
      <c r="W149" s="2" t="s">
        <v>785</v>
      </c>
      <c r="X149" s="2" t="s">
        <v>99</v>
      </c>
      <c r="Y149" s="2" t="s">
        <v>961</v>
      </c>
      <c r="Z149" s="4">
        <v>355</v>
      </c>
      <c r="AA149" s="4">
        <f>=ROUNDDOWN(443.75,0)</f>
      </c>
      <c r="AB149" s="5">
        <v>0.8</v>
      </c>
      <c r="AC149" s="2" t="s">
        <v>99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2</v>
      </c>
      <c r="BK149" s="8">
        <v>367.04</v>
      </c>
      <c r="BL149" s="2" t="s">
        <v>200</v>
      </c>
      <c r="BM149" s="7"/>
      <c r="BN149" s="7"/>
      <c r="BO149" s="4"/>
      <c r="BP149" s="8"/>
      <c r="BQ149" s="4"/>
      <c r="BR149" s="8"/>
      <c r="BS149" s="7"/>
      <c r="BT149" s="7"/>
      <c r="BU149" s="2" t="s">
        <v>819</v>
      </c>
      <c r="BV149" s="2" t="s">
        <v>96</v>
      </c>
      <c r="BW149" s="2" t="s">
        <v>99</v>
      </c>
      <c r="BX149" s="2" t="s">
        <v>99</v>
      </c>
      <c r="BY149" s="2" t="s">
        <v>109</v>
      </c>
      <c r="BZ149" s="2" t="s">
        <v>109</v>
      </c>
      <c r="CA149" s="2" t="s">
        <v>99</v>
      </c>
    </row>
    <row r="150">
      <c r="A150" s="2" t="s">
        <v>962</v>
      </c>
      <c r="B150" s="2" t="s">
        <v>765</v>
      </c>
      <c r="C150" s="2" t="s">
        <v>203</v>
      </c>
      <c r="D150" s="2" t="s">
        <v>917</v>
      </c>
      <c r="E150" s="2" t="s">
        <v>918</v>
      </c>
      <c r="F150" s="2" t="s">
        <v>919</v>
      </c>
      <c r="G150" s="2" t="s">
        <v>920</v>
      </c>
      <c r="H150" s="2" t="s">
        <v>921</v>
      </c>
      <c r="I150" s="2" t="s">
        <v>922</v>
      </c>
      <c r="J150" s="2" t="s">
        <v>923</v>
      </c>
      <c r="K150" s="2" t="s">
        <v>963</v>
      </c>
      <c r="L150" s="3">
        <v>204.25</v>
      </c>
      <c r="M150" s="3">
        <v>214.46</v>
      </c>
      <c r="N150" s="3">
        <v>429</v>
      </c>
      <c r="O150" s="2" t="s">
        <v>96</v>
      </c>
      <c r="P150" s="2" t="s">
        <v>317</v>
      </c>
      <c r="Q150" s="2" t="s">
        <v>175</v>
      </c>
      <c r="R150" s="2" t="s">
        <v>99</v>
      </c>
      <c r="S150" s="2" t="s">
        <v>99</v>
      </c>
      <c r="T150" s="2" t="s">
        <v>99</v>
      </c>
      <c r="U150" s="2" t="s">
        <v>100</v>
      </c>
      <c r="V150" s="2" t="s">
        <v>157</v>
      </c>
      <c r="W150" s="2" t="s">
        <v>785</v>
      </c>
      <c r="X150" s="2" t="s">
        <v>99</v>
      </c>
      <c r="Y150" s="2" t="s">
        <v>964</v>
      </c>
      <c r="Z150" s="4">
        <v>135</v>
      </c>
      <c r="AA150" s="4">
        <f>=ROUNDDOWN({0},0)</f>
      </c>
      <c r="AB150" s="5"/>
      <c r="AC150" s="2" t="s">
        <v>965</v>
      </c>
      <c r="AD150" s="4">
        <v>8</v>
      </c>
      <c r="AE150" s="4">
        <v>75</v>
      </c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/>
      <c r="BK150" s="8"/>
      <c r="BL150" s="2" t="s">
        <v>99</v>
      </c>
      <c r="BM150" s="7"/>
      <c r="BN150" s="7"/>
      <c r="BO150" s="4"/>
      <c r="BP150" s="8"/>
      <c r="BQ150" s="4"/>
      <c r="BR150" s="8"/>
      <c r="BS150" s="7"/>
      <c r="BT150" s="7"/>
      <c r="BU150" s="2" t="s">
        <v>819</v>
      </c>
      <c r="BV150" s="2" t="s">
        <v>96</v>
      </c>
      <c r="BW150" s="2" t="s">
        <v>99</v>
      </c>
      <c r="BX150" s="2" t="s">
        <v>99</v>
      </c>
      <c r="BY150" s="2" t="s">
        <v>109</v>
      </c>
      <c r="BZ150" s="2" t="s">
        <v>109</v>
      </c>
      <c r="CA150" s="2" t="s">
        <v>99</v>
      </c>
    </row>
    <row r="151">
      <c r="A151" s="2" t="s">
        <v>966</v>
      </c>
      <c r="B151" s="2" t="s">
        <v>765</v>
      </c>
      <c r="C151" s="2" t="s">
        <v>203</v>
      </c>
      <c r="D151" s="2" t="s">
        <v>917</v>
      </c>
      <c r="E151" s="2" t="s">
        <v>918</v>
      </c>
      <c r="F151" s="2" t="s">
        <v>919</v>
      </c>
      <c r="G151" s="2" t="s">
        <v>920</v>
      </c>
      <c r="H151" s="2" t="s">
        <v>921</v>
      </c>
      <c r="I151" s="2" t="s">
        <v>922</v>
      </c>
      <c r="J151" s="2" t="s">
        <v>930</v>
      </c>
      <c r="K151" s="2" t="s">
        <v>963</v>
      </c>
      <c r="L151" s="3">
        <v>180.5</v>
      </c>
      <c r="M151" s="3">
        <v>189.52</v>
      </c>
      <c r="N151" s="3">
        <v>379</v>
      </c>
      <c r="O151" s="2" t="s">
        <v>96</v>
      </c>
      <c r="P151" s="2" t="s">
        <v>317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100</v>
      </c>
      <c r="V151" s="2" t="s">
        <v>157</v>
      </c>
      <c r="W151" s="2" t="s">
        <v>785</v>
      </c>
      <c r="X151" s="2" t="s">
        <v>99</v>
      </c>
      <c r="Y151" s="2" t="s">
        <v>954</v>
      </c>
      <c r="Z151" s="4">
        <v>164</v>
      </c>
      <c r="AA151" s="4">
        <f>=ROUNDDOWN({0},0)</f>
      </c>
      <c r="AB151" s="5"/>
      <c r="AC151" s="2" t="s">
        <v>965</v>
      </c>
      <c r="AD151" s="4">
        <v>103</v>
      </c>
      <c r="AE151" s="4">
        <v>103</v>
      </c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/>
      <c r="BK151" s="8"/>
      <c r="BL151" s="2" t="s">
        <v>99</v>
      </c>
      <c r="BM151" s="7"/>
      <c r="BN151" s="7"/>
      <c r="BO151" s="4"/>
      <c r="BP151" s="8"/>
      <c r="BQ151" s="4"/>
      <c r="BR151" s="8"/>
      <c r="BS151" s="7"/>
      <c r="BT151" s="7"/>
      <c r="BU151" s="2" t="s">
        <v>819</v>
      </c>
      <c r="BV151" s="2" t="s">
        <v>96</v>
      </c>
      <c r="BW151" s="2" t="s">
        <v>99</v>
      </c>
      <c r="BX151" s="2" t="s">
        <v>99</v>
      </c>
      <c r="BY151" s="2" t="s">
        <v>109</v>
      </c>
      <c r="BZ151" s="2" t="s">
        <v>109</v>
      </c>
      <c r="CA151" s="2" t="s">
        <v>99</v>
      </c>
    </row>
    <row r="152">
      <c r="A152" s="2" t="s">
        <v>967</v>
      </c>
      <c r="B152" s="2" t="s">
        <v>765</v>
      </c>
      <c r="C152" s="2" t="s">
        <v>203</v>
      </c>
      <c r="D152" s="2" t="s">
        <v>917</v>
      </c>
      <c r="E152" s="2" t="s">
        <v>918</v>
      </c>
      <c r="F152" s="2" t="s">
        <v>919</v>
      </c>
      <c r="G152" s="2" t="s">
        <v>99</v>
      </c>
      <c r="H152" s="2" t="s">
        <v>99</v>
      </c>
      <c r="I152" s="2" t="s">
        <v>922</v>
      </c>
      <c r="J152" s="2" t="s">
        <v>923</v>
      </c>
      <c r="K152" s="2" t="s">
        <v>968</v>
      </c>
      <c r="L152" s="3">
        <v>204.25</v>
      </c>
      <c r="M152" s="3">
        <v>214.46</v>
      </c>
      <c r="N152" s="3">
        <v>429</v>
      </c>
      <c r="O152" s="2" t="s">
        <v>96</v>
      </c>
      <c r="P152" s="2" t="s">
        <v>317</v>
      </c>
      <c r="Q152" s="2" t="s">
        <v>175</v>
      </c>
      <c r="R152" s="2" t="s">
        <v>99</v>
      </c>
      <c r="S152" s="2" t="s">
        <v>99</v>
      </c>
      <c r="T152" s="2" t="s">
        <v>99</v>
      </c>
      <c r="U152" s="2" t="s">
        <v>100</v>
      </c>
      <c r="V152" s="2" t="s">
        <v>157</v>
      </c>
      <c r="W152" s="2" t="s">
        <v>785</v>
      </c>
      <c r="X152" s="2" t="s">
        <v>99</v>
      </c>
      <c r="Y152" s="2" t="s">
        <v>969</v>
      </c>
      <c r="Z152" s="4">
        <v>179</v>
      </c>
      <c r="AA152" s="4">
        <f>=ROUNDDOWN({0},0)</f>
      </c>
      <c r="AB152" s="5"/>
      <c r="AC152" s="2" t="s">
        <v>965</v>
      </c>
      <c r="AD152" s="4">
        <v>80</v>
      </c>
      <c r="AE152" s="4">
        <v>208</v>
      </c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/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/>
      <c r="BK152" s="8"/>
      <c r="BL152" s="2" t="s">
        <v>99</v>
      </c>
      <c r="BM152" s="7"/>
      <c r="BN152" s="7"/>
      <c r="BO152" s="4"/>
      <c r="BP152" s="8"/>
      <c r="BQ152" s="4"/>
      <c r="BR152" s="8"/>
      <c r="BS152" s="7"/>
      <c r="BT152" s="7"/>
      <c r="BU152" s="2" t="s">
        <v>819</v>
      </c>
      <c r="BV152" s="2" t="s">
        <v>96</v>
      </c>
      <c r="BW152" s="2" t="s">
        <v>99</v>
      </c>
      <c r="BX152" s="2" t="s">
        <v>99</v>
      </c>
      <c r="BY152" s="2" t="s">
        <v>109</v>
      </c>
      <c r="BZ152" s="2" t="s">
        <v>109</v>
      </c>
      <c r="CA152" s="2" t="s">
        <v>99</v>
      </c>
    </row>
    <row r="153">
      <c r="A153" s="2" t="s">
        <v>970</v>
      </c>
      <c r="B153" s="2" t="s">
        <v>765</v>
      </c>
      <c r="C153" s="2" t="s">
        <v>203</v>
      </c>
      <c r="D153" s="2" t="s">
        <v>917</v>
      </c>
      <c r="E153" s="2" t="s">
        <v>918</v>
      </c>
      <c r="F153" s="2" t="s">
        <v>919</v>
      </c>
      <c r="G153" s="2" t="s">
        <v>99</v>
      </c>
      <c r="H153" s="2" t="s">
        <v>99</v>
      </c>
      <c r="I153" s="2" t="s">
        <v>922</v>
      </c>
      <c r="J153" s="2" t="s">
        <v>930</v>
      </c>
      <c r="K153" s="2" t="s">
        <v>968</v>
      </c>
      <c r="L153" s="3">
        <v>180.5</v>
      </c>
      <c r="M153" s="3">
        <v>189.52</v>
      </c>
      <c r="N153" s="3">
        <v>379</v>
      </c>
      <c r="O153" s="2" t="s">
        <v>96</v>
      </c>
      <c r="P153" s="2" t="s">
        <v>317</v>
      </c>
      <c r="Q153" s="2" t="s">
        <v>98</v>
      </c>
      <c r="R153" s="2" t="s">
        <v>99</v>
      </c>
      <c r="S153" s="2" t="s">
        <v>99</v>
      </c>
      <c r="T153" s="2" t="s">
        <v>99</v>
      </c>
      <c r="U153" s="2" t="s">
        <v>100</v>
      </c>
      <c r="V153" s="2" t="s">
        <v>157</v>
      </c>
      <c r="W153" s="2" t="s">
        <v>785</v>
      </c>
      <c r="X153" s="2" t="s">
        <v>99</v>
      </c>
      <c r="Y153" s="2" t="s">
        <v>959</v>
      </c>
      <c r="Z153" s="4">
        <v>167</v>
      </c>
      <c r="AA153" s="4">
        <f>=ROUNDDOWN({0},0)</f>
      </c>
      <c r="AB153" s="5"/>
      <c r="AC153" s="2" t="s">
        <v>7</v>
      </c>
      <c r="AD153" s="4">
        <v>36</v>
      </c>
      <c r="AE153" s="4">
        <v>188</v>
      </c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/>
      <c r="BK153" s="8"/>
      <c r="BL153" s="2" t="s">
        <v>99</v>
      </c>
      <c r="BM153" s="7"/>
      <c r="BN153" s="7"/>
      <c r="BO153" s="4"/>
      <c r="BP153" s="8"/>
      <c r="BQ153" s="4"/>
      <c r="BR153" s="8"/>
      <c r="BS153" s="7"/>
      <c r="BT153" s="7"/>
      <c r="BU153" s="2" t="s">
        <v>819</v>
      </c>
      <c r="BV153" s="2" t="s">
        <v>96</v>
      </c>
      <c r="BW153" s="2" t="s">
        <v>99</v>
      </c>
      <c r="BX153" s="2" t="s">
        <v>99</v>
      </c>
      <c r="BY153" s="2" t="s">
        <v>109</v>
      </c>
      <c r="BZ153" s="2" t="s">
        <v>109</v>
      </c>
      <c r="CA153" s="2" t="s">
        <v>99</v>
      </c>
    </row>
    <row r="154">
      <c r="A154" s="2" t="s">
        <v>971</v>
      </c>
      <c r="B154" s="2" t="s">
        <v>765</v>
      </c>
      <c r="C154" s="2" t="s">
        <v>203</v>
      </c>
      <c r="D154" s="2" t="s">
        <v>917</v>
      </c>
      <c r="E154" s="2" t="s">
        <v>918</v>
      </c>
      <c r="F154" s="2" t="s">
        <v>919</v>
      </c>
      <c r="G154" s="2" t="s">
        <v>920</v>
      </c>
      <c r="H154" s="2" t="s">
        <v>921</v>
      </c>
      <c r="I154" s="2" t="s">
        <v>972</v>
      </c>
      <c r="J154" s="2" t="s">
        <v>227</v>
      </c>
      <c r="K154" s="2" t="s">
        <v>813</v>
      </c>
      <c r="L154" s="3">
        <v>0.01</v>
      </c>
      <c r="M154" s="3">
        <v>0.01</v>
      </c>
      <c r="N154" s="3"/>
      <c r="O154" s="2" t="s">
        <v>96</v>
      </c>
      <c r="P154" s="2" t="s">
        <v>814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99</v>
      </c>
      <c r="V154" s="2" t="s">
        <v>310</v>
      </c>
      <c r="W154" s="2" t="s">
        <v>99</v>
      </c>
      <c r="X154" s="2" t="s">
        <v>99</v>
      </c>
      <c r="Y154" s="2" t="s">
        <v>815</v>
      </c>
      <c r="Z154" s="4">
        <v>11</v>
      </c>
      <c r="AA154" s="4">
        <f>=ROUNDDOWN({0},0)</f>
      </c>
      <c r="AB154" s="5"/>
      <c r="AC154" s="2" t="s">
        <v>99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 t="s">
        <v>99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/>
      <c r="BK154" s="8"/>
      <c r="BL154" s="2" t="s">
        <v>99</v>
      </c>
      <c r="BM154" s="7"/>
      <c r="BN154" s="7"/>
      <c r="BO154" s="4"/>
      <c r="BP154" s="8"/>
      <c r="BQ154" s="4"/>
      <c r="BR154" s="8"/>
      <c r="BS154" s="7"/>
      <c r="BT154" s="7"/>
      <c r="BU154" s="2" t="s">
        <v>645</v>
      </c>
      <c r="BV154" s="2" t="s">
        <v>96</v>
      </c>
      <c r="BW154" s="2" t="s">
        <v>99</v>
      </c>
      <c r="BX154" s="2" t="s">
        <v>99</v>
      </c>
      <c r="BY154" s="2" t="s">
        <v>109</v>
      </c>
      <c r="BZ154" s="2" t="s">
        <v>109</v>
      </c>
      <c r="CA154" s="2" t="s">
        <v>99</v>
      </c>
    </row>
    <row r="155">
      <c r="A155" s="2" t="s">
        <v>973</v>
      </c>
      <c r="B155" s="2" t="s">
        <v>765</v>
      </c>
      <c r="C155" s="2" t="s">
        <v>203</v>
      </c>
      <c r="D155" s="2" t="s">
        <v>917</v>
      </c>
      <c r="E155" s="2" t="s">
        <v>918</v>
      </c>
      <c r="F155" s="2" t="s">
        <v>919</v>
      </c>
      <c r="G155" s="2" t="s">
        <v>920</v>
      </c>
      <c r="H155" s="2" t="s">
        <v>921</v>
      </c>
      <c r="I155" s="2" t="s">
        <v>972</v>
      </c>
      <c r="J155" s="2" t="s">
        <v>227</v>
      </c>
      <c r="K155" s="2" t="s">
        <v>813</v>
      </c>
      <c r="L155" s="3">
        <v>0.01</v>
      </c>
      <c r="M155" s="3">
        <v>0.01</v>
      </c>
      <c r="N155" s="3"/>
      <c r="O155" s="2" t="s">
        <v>96</v>
      </c>
      <c r="P155" s="2" t="s">
        <v>814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99</v>
      </c>
      <c r="V155" s="2" t="s">
        <v>310</v>
      </c>
      <c r="W155" s="2" t="s">
        <v>99</v>
      </c>
      <c r="X155" s="2" t="s">
        <v>99</v>
      </c>
      <c r="Y155" s="2" t="s">
        <v>974</v>
      </c>
      <c r="Z155" s="4">
        <v>7</v>
      </c>
      <c r="AA155" s="4">
        <f>=ROUNDDOWN({0},0)</f>
      </c>
      <c r="AB155" s="5"/>
      <c r="AC155" s="2" t="s">
        <v>99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 t="s">
        <v>99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/>
      <c r="BK155" s="8"/>
      <c r="BL155" s="2" t="s">
        <v>99</v>
      </c>
      <c r="BM155" s="7"/>
      <c r="BN155" s="7"/>
      <c r="BO155" s="4"/>
      <c r="BP155" s="8"/>
      <c r="BQ155" s="4"/>
      <c r="BR155" s="8"/>
      <c r="BS155" s="7"/>
      <c r="BT155" s="7"/>
      <c r="BU155" s="2" t="s">
        <v>645</v>
      </c>
      <c r="BV155" s="2" t="s">
        <v>96</v>
      </c>
      <c r="BW155" s="2" t="s">
        <v>99</v>
      </c>
      <c r="BX155" s="2" t="s">
        <v>99</v>
      </c>
      <c r="BY155" s="2" t="s">
        <v>109</v>
      </c>
      <c r="BZ155" s="2" t="s">
        <v>109</v>
      </c>
      <c r="CA155" s="2" t="s">
        <v>99</v>
      </c>
    </row>
    <row r="156">
      <c r="A156" s="2" t="s">
        <v>975</v>
      </c>
      <c r="B156" s="2" t="s">
        <v>765</v>
      </c>
      <c r="C156" s="2" t="s">
        <v>203</v>
      </c>
      <c r="D156" s="2" t="s">
        <v>917</v>
      </c>
      <c r="E156" s="2" t="s">
        <v>918</v>
      </c>
      <c r="F156" s="2" t="s">
        <v>919</v>
      </c>
      <c r="G156" s="2" t="s">
        <v>920</v>
      </c>
      <c r="H156" s="2" t="s">
        <v>921</v>
      </c>
      <c r="I156" s="2" t="s">
        <v>972</v>
      </c>
      <c r="J156" s="2" t="s">
        <v>227</v>
      </c>
      <c r="K156" s="2" t="s">
        <v>813</v>
      </c>
      <c r="L156" s="3">
        <v>0.01</v>
      </c>
      <c r="M156" s="3">
        <v>0.01</v>
      </c>
      <c r="N156" s="3"/>
      <c r="O156" s="2" t="s">
        <v>96</v>
      </c>
      <c r="P156" s="2" t="s">
        <v>814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99</v>
      </c>
      <c r="V156" s="2" t="s">
        <v>310</v>
      </c>
      <c r="W156" s="2" t="s">
        <v>99</v>
      </c>
      <c r="X156" s="2" t="s">
        <v>99</v>
      </c>
      <c r="Y156" s="2" t="s">
        <v>976</v>
      </c>
      <c r="Z156" s="4">
        <v>15</v>
      </c>
      <c r="AA156" s="4">
        <f>=ROUNDDOWN({0},0)</f>
      </c>
      <c r="AB156" s="5"/>
      <c r="AC156" s="2" t="s">
        <v>99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 t="s">
        <v>99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/>
      <c r="BK156" s="8"/>
      <c r="BL156" s="2" t="s">
        <v>99</v>
      </c>
      <c r="BM156" s="7"/>
      <c r="BN156" s="7"/>
      <c r="BO156" s="4"/>
      <c r="BP156" s="8"/>
      <c r="BQ156" s="4"/>
      <c r="BR156" s="8"/>
      <c r="BS156" s="7"/>
      <c r="BT156" s="7"/>
      <c r="BU156" s="2" t="s">
        <v>645</v>
      </c>
      <c r="BV156" s="2" t="s">
        <v>96</v>
      </c>
      <c r="BW156" s="2" t="s">
        <v>99</v>
      </c>
      <c r="BX156" s="2" t="s">
        <v>99</v>
      </c>
      <c r="BY156" s="2" t="s">
        <v>109</v>
      </c>
      <c r="BZ156" s="2" t="s">
        <v>109</v>
      </c>
      <c r="CA156" s="2" t="s">
        <v>99</v>
      </c>
    </row>
    <row r="157">
      <c r="A157" s="2" t="s">
        <v>977</v>
      </c>
      <c r="B157" s="2" t="s">
        <v>765</v>
      </c>
      <c r="C157" s="2" t="s">
        <v>203</v>
      </c>
      <c r="D157" s="2" t="s">
        <v>917</v>
      </c>
      <c r="E157" s="2" t="s">
        <v>918</v>
      </c>
      <c r="F157" s="2" t="s">
        <v>919</v>
      </c>
      <c r="G157" s="2" t="s">
        <v>920</v>
      </c>
      <c r="H157" s="2" t="s">
        <v>921</v>
      </c>
      <c r="I157" s="2" t="s">
        <v>972</v>
      </c>
      <c r="J157" s="2" t="s">
        <v>227</v>
      </c>
      <c r="K157" s="2" t="s">
        <v>813</v>
      </c>
      <c r="L157" s="3">
        <v>0.01</v>
      </c>
      <c r="M157" s="3">
        <v>0.01</v>
      </c>
      <c r="N157" s="3"/>
      <c r="O157" s="2" t="s">
        <v>96</v>
      </c>
      <c r="P157" s="2" t="s">
        <v>814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99</v>
      </c>
      <c r="V157" s="2" t="s">
        <v>310</v>
      </c>
      <c r="W157" s="2" t="s">
        <v>99</v>
      </c>
      <c r="X157" s="2" t="s">
        <v>99</v>
      </c>
      <c r="Y157" s="2" t="s">
        <v>978</v>
      </c>
      <c r="Z157" s="4">
        <v>5</v>
      </c>
      <c r="AA157" s="4">
        <f>=ROUNDDOWN({0},0)</f>
      </c>
      <c r="AB157" s="5"/>
      <c r="AC157" s="2" t="s">
        <v>99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 t="s">
        <v>99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/>
      <c r="BK157" s="8"/>
      <c r="BL157" s="2" t="s">
        <v>99</v>
      </c>
      <c r="BM157" s="7"/>
      <c r="BN157" s="7"/>
      <c r="BO157" s="4"/>
      <c r="BP157" s="8"/>
      <c r="BQ157" s="4"/>
      <c r="BR157" s="8"/>
      <c r="BS157" s="7"/>
      <c r="BT157" s="7"/>
      <c r="BU157" s="2" t="s">
        <v>819</v>
      </c>
      <c r="BV157" s="2" t="s">
        <v>96</v>
      </c>
      <c r="BW157" s="2" t="s">
        <v>99</v>
      </c>
      <c r="BX157" s="2" t="s">
        <v>99</v>
      </c>
      <c r="BY157" s="2" t="s">
        <v>109</v>
      </c>
      <c r="BZ157" s="2" t="s">
        <v>109</v>
      </c>
      <c r="CA157" s="2" t="s">
        <v>99</v>
      </c>
    </row>
    <row r="158">
      <c r="A158" s="2" t="s">
        <v>979</v>
      </c>
      <c r="B158" s="2" t="s">
        <v>765</v>
      </c>
      <c r="C158" s="2" t="s">
        <v>203</v>
      </c>
      <c r="D158" s="2" t="s">
        <v>917</v>
      </c>
      <c r="E158" s="2" t="s">
        <v>918</v>
      </c>
      <c r="F158" s="2" t="s">
        <v>919</v>
      </c>
      <c r="G158" s="2" t="s">
        <v>920</v>
      </c>
      <c r="H158" s="2" t="s">
        <v>921</v>
      </c>
      <c r="I158" s="2" t="s">
        <v>972</v>
      </c>
      <c r="J158" s="2" t="s">
        <v>227</v>
      </c>
      <c r="K158" s="2" t="s">
        <v>813</v>
      </c>
      <c r="L158" s="3">
        <v>0.01</v>
      </c>
      <c r="M158" s="3">
        <v>0.01</v>
      </c>
      <c r="N158" s="3"/>
      <c r="O158" s="2" t="s">
        <v>96</v>
      </c>
      <c r="P158" s="2" t="s">
        <v>814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99</v>
      </c>
      <c r="V158" s="2" t="s">
        <v>310</v>
      </c>
      <c r="W158" s="2" t="s">
        <v>99</v>
      </c>
      <c r="X158" s="2" t="s">
        <v>99</v>
      </c>
      <c r="Y158" s="2" t="s">
        <v>978</v>
      </c>
      <c r="Z158" s="4">
        <v>2</v>
      </c>
      <c r="AA158" s="4">
        <f>=ROUNDDOWN({0},0)</f>
      </c>
      <c r="AB158" s="5"/>
      <c r="AC158" s="2" t="s">
        <v>99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 t="s">
        <v>99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/>
      <c r="BK158" s="8"/>
      <c r="BL158" s="2" t="s">
        <v>99</v>
      </c>
      <c r="BM158" s="7"/>
      <c r="BN158" s="7"/>
      <c r="BO158" s="4"/>
      <c r="BP158" s="8"/>
      <c r="BQ158" s="4"/>
      <c r="BR158" s="8"/>
      <c r="BS158" s="7"/>
      <c r="BT158" s="7"/>
      <c r="BU158" s="2" t="s">
        <v>819</v>
      </c>
      <c r="BV158" s="2" t="s">
        <v>96</v>
      </c>
      <c r="BW158" s="2" t="s">
        <v>99</v>
      </c>
      <c r="BX158" s="2" t="s">
        <v>99</v>
      </c>
      <c r="BY158" s="2" t="s">
        <v>109</v>
      </c>
      <c r="BZ158" s="2" t="s">
        <v>109</v>
      </c>
      <c r="CA158" s="2" t="s">
        <v>99</v>
      </c>
    </row>
    <row r="159">
      <c r="A159" s="2" t="s">
        <v>980</v>
      </c>
      <c r="B159" s="2" t="s">
        <v>765</v>
      </c>
      <c r="C159" s="2" t="s">
        <v>203</v>
      </c>
      <c r="D159" s="2" t="s">
        <v>917</v>
      </c>
      <c r="E159" s="2" t="s">
        <v>918</v>
      </c>
      <c r="F159" s="2" t="s">
        <v>919</v>
      </c>
      <c r="G159" s="2" t="s">
        <v>920</v>
      </c>
      <c r="H159" s="2" t="s">
        <v>921</v>
      </c>
      <c r="I159" s="2" t="s">
        <v>972</v>
      </c>
      <c r="J159" s="2" t="s">
        <v>227</v>
      </c>
      <c r="K159" s="2" t="s">
        <v>813</v>
      </c>
      <c r="L159" s="3">
        <v>0.01</v>
      </c>
      <c r="M159" s="3">
        <v>0.01</v>
      </c>
      <c r="N159" s="3"/>
      <c r="O159" s="2" t="s">
        <v>96</v>
      </c>
      <c r="P159" s="2" t="s">
        <v>814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310</v>
      </c>
      <c r="W159" s="2" t="s">
        <v>99</v>
      </c>
      <c r="X159" s="2" t="s">
        <v>99</v>
      </c>
      <c r="Y159" s="2" t="s">
        <v>974</v>
      </c>
      <c r="Z159" s="4">
        <v>9</v>
      </c>
      <c r="AA159" s="4">
        <f>=ROUNDDOWN({0},0)</f>
      </c>
      <c r="AB159" s="5"/>
      <c r="AC159" s="2" t="s">
        <v>99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 t="s">
        <v>99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/>
      <c r="BK159" s="8"/>
      <c r="BL159" s="2" t="s">
        <v>99</v>
      </c>
      <c r="BM159" s="7"/>
      <c r="BN159" s="7"/>
      <c r="BO159" s="4"/>
      <c r="BP159" s="8"/>
      <c r="BQ159" s="4"/>
      <c r="BR159" s="8"/>
      <c r="BS159" s="7"/>
      <c r="BT159" s="7"/>
      <c r="BU159" s="2" t="s">
        <v>645</v>
      </c>
      <c r="BV159" s="2" t="s">
        <v>96</v>
      </c>
      <c r="BW159" s="2" t="s">
        <v>99</v>
      </c>
      <c r="BX159" s="2" t="s">
        <v>99</v>
      </c>
      <c r="BY159" s="2" t="s">
        <v>109</v>
      </c>
      <c r="BZ159" s="2" t="s">
        <v>109</v>
      </c>
      <c r="CA159" s="2" t="s">
        <v>99</v>
      </c>
    </row>
    <row r="160">
      <c r="A160" s="2" t="s">
        <v>981</v>
      </c>
      <c r="B160" s="2" t="s">
        <v>765</v>
      </c>
      <c r="C160" s="2" t="s">
        <v>203</v>
      </c>
      <c r="D160" s="2" t="s">
        <v>982</v>
      </c>
      <c r="E160" s="2" t="s">
        <v>983</v>
      </c>
      <c r="F160" s="2" t="s">
        <v>984</v>
      </c>
      <c r="G160" s="2" t="s">
        <v>985</v>
      </c>
      <c r="H160" s="2" t="s">
        <v>986</v>
      </c>
      <c r="I160" s="2" t="s">
        <v>987</v>
      </c>
      <c r="J160" s="2" t="s">
        <v>227</v>
      </c>
      <c r="K160" s="2" t="s">
        <v>988</v>
      </c>
      <c r="L160" s="3">
        <v>251.08</v>
      </c>
      <c r="M160" s="3">
        <v>263.63</v>
      </c>
      <c r="N160" s="3">
        <v>529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100</v>
      </c>
      <c r="V160" s="2" t="s">
        <v>157</v>
      </c>
      <c r="W160" s="2" t="s">
        <v>330</v>
      </c>
      <c r="X160" s="2" t="s">
        <v>99</v>
      </c>
      <c r="Y160" s="2" t="s">
        <v>989</v>
      </c>
      <c r="Z160" s="4">
        <v>190</v>
      </c>
      <c r="AA160" s="4">
        <f>=ROUNDDOWN(5.75757575757576,0)</f>
      </c>
      <c r="AB160" s="5">
        <v>33</v>
      </c>
      <c r="AC160" s="2" t="s">
        <v>990</v>
      </c>
      <c r="AD160" s="4">
        <v>238</v>
      </c>
      <c r="AE160" s="4">
        <v>518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31</v>
      </c>
      <c r="AQ160" s="8">
        <v>9290.7</v>
      </c>
      <c r="AR160" s="4"/>
      <c r="AS160" s="8"/>
      <c r="AT160" s="7"/>
      <c r="AU160" s="7"/>
      <c r="AV160" s="4">
        <v>31</v>
      </c>
      <c r="AW160" s="8">
        <v>9290.7</v>
      </c>
      <c r="AX160" s="4"/>
      <c r="AY160" s="8"/>
      <c r="AZ160" s="7"/>
      <c r="BA160" s="7"/>
      <c r="BB160" s="7">
        <v>1</v>
      </c>
      <c r="BC160" s="4">
        <v>40</v>
      </c>
      <c r="BD160" s="8">
        <v>11868.16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0.7828</v>
      </c>
      <c r="BJ160" s="4">
        <v>91</v>
      </c>
      <c r="BK160" s="8">
        <v>24382.12</v>
      </c>
      <c r="BL160" s="2" t="s">
        <v>991</v>
      </c>
      <c r="BM160" s="7">
        <v>0.3407</v>
      </c>
      <c r="BN160" s="7">
        <v>0.381</v>
      </c>
      <c r="BO160" s="4">
        <v>31</v>
      </c>
      <c r="BP160" s="8">
        <v>9290.7</v>
      </c>
      <c r="BQ160" s="4"/>
      <c r="BR160" s="8"/>
      <c r="BS160" s="7"/>
      <c r="BT160" s="7"/>
      <c r="BU160" s="2" t="s">
        <v>107</v>
      </c>
      <c r="BV160" s="2" t="s">
        <v>96</v>
      </c>
      <c r="BW160" s="2" t="s">
        <v>992</v>
      </c>
      <c r="BX160" s="2" t="s">
        <v>993</v>
      </c>
      <c r="BY160" s="2" t="s">
        <v>109</v>
      </c>
      <c r="BZ160" s="2" t="s">
        <v>109</v>
      </c>
      <c r="CA160" s="2" t="s">
        <v>99</v>
      </c>
    </row>
    <row r="161">
      <c r="A161" s="2" t="s">
        <v>994</v>
      </c>
      <c r="B161" s="2" t="s">
        <v>765</v>
      </c>
      <c r="C161" s="2" t="s">
        <v>203</v>
      </c>
      <c r="D161" s="2" t="s">
        <v>982</v>
      </c>
      <c r="E161" s="2" t="s">
        <v>983</v>
      </c>
      <c r="F161" s="2" t="s">
        <v>984</v>
      </c>
      <c r="G161" s="2" t="s">
        <v>985</v>
      </c>
      <c r="H161" s="2" t="s">
        <v>986</v>
      </c>
      <c r="I161" s="2" t="s">
        <v>987</v>
      </c>
      <c r="J161" s="2" t="s">
        <v>227</v>
      </c>
      <c r="K161" s="2" t="s">
        <v>995</v>
      </c>
      <c r="L161" s="3">
        <v>251.08</v>
      </c>
      <c r="M161" s="3">
        <v>263.63</v>
      </c>
      <c r="N161" s="3">
        <v>529</v>
      </c>
      <c r="O161" s="2" t="s">
        <v>96</v>
      </c>
      <c r="P161" s="2" t="s">
        <v>135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100</v>
      </c>
      <c r="V161" s="2" t="s">
        <v>157</v>
      </c>
      <c r="W161" s="2" t="s">
        <v>330</v>
      </c>
      <c r="X161" s="2" t="s">
        <v>212</v>
      </c>
      <c r="Y161" s="2" t="s">
        <v>996</v>
      </c>
      <c r="Z161" s="4">
        <v>118</v>
      </c>
      <c r="AA161" s="4">
        <f>=ROUNDDOWN(6.21052631578947,0)</f>
      </c>
      <c r="AB161" s="5">
        <v>19</v>
      </c>
      <c r="AC161" s="2" t="s">
        <v>990</v>
      </c>
      <c r="AD161" s="4">
        <v>153</v>
      </c>
      <c r="AE161" s="4">
        <v>360</v>
      </c>
      <c r="AF161" s="6">
        <v>74</v>
      </c>
      <c r="AG161" s="6">
        <v>60</v>
      </c>
      <c r="AH161" s="7">
        <v>0.6552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8</v>
      </c>
      <c r="AQ161" s="8">
        <v>2277.76</v>
      </c>
      <c r="AR161" s="4"/>
      <c r="AS161" s="8"/>
      <c r="AT161" s="7"/>
      <c r="AU161" s="7"/>
      <c r="AV161" s="4">
        <v>8</v>
      </c>
      <c r="AW161" s="8">
        <v>2277.76</v>
      </c>
      <c r="AX161" s="4"/>
      <c r="AY161" s="8"/>
      <c r="AZ161" s="7"/>
      <c r="BA161" s="7"/>
      <c r="BB161" s="7">
        <v>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0.1919</v>
      </c>
      <c r="BJ161" s="4">
        <v>46</v>
      </c>
      <c r="BK161" s="8">
        <v>12006.94</v>
      </c>
      <c r="BL161" s="2" t="s">
        <v>997</v>
      </c>
      <c r="BM161" s="7">
        <v>0.1739</v>
      </c>
      <c r="BN161" s="7">
        <v>0.1897</v>
      </c>
      <c r="BO161" s="4">
        <v>8</v>
      </c>
      <c r="BP161" s="8">
        <v>2277.76</v>
      </c>
      <c r="BQ161" s="4"/>
      <c r="BR161" s="8"/>
      <c r="BS161" s="7"/>
      <c r="BT161" s="7"/>
      <c r="BU161" s="2" t="s">
        <v>107</v>
      </c>
      <c r="BV161" s="2" t="s">
        <v>96</v>
      </c>
      <c r="BW161" s="2" t="s">
        <v>99</v>
      </c>
      <c r="BX161" s="2" t="s">
        <v>998</v>
      </c>
      <c r="BY161" s="2" t="s">
        <v>109</v>
      </c>
      <c r="BZ161" s="2" t="s">
        <v>109</v>
      </c>
      <c r="CA161" s="2" t="s">
        <v>99</v>
      </c>
    </row>
    <row r="162">
      <c r="A162" s="2" t="s">
        <v>99</v>
      </c>
      <c r="B162" s="2" t="s">
        <v>765</v>
      </c>
      <c r="C162" s="2" t="s">
        <v>203</v>
      </c>
      <c r="D162" s="2" t="s">
        <v>982</v>
      </c>
      <c r="E162" s="2" t="s">
        <v>983</v>
      </c>
      <c r="F162" s="2" t="s">
        <v>984</v>
      </c>
      <c r="G162" s="2" t="s">
        <v>985</v>
      </c>
      <c r="H162" s="2" t="s">
        <v>986</v>
      </c>
      <c r="I162" s="2" t="s">
        <v>987</v>
      </c>
      <c r="J162" s="2" t="s">
        <v>227</v>
      </c>
      <c r="K162" s="2" t="s">
        <v>999</v>
      </c>
      <c r="L162" s="3">
        <v>251.08</v>
      </c>
      <c r="M162" s="3">
        <v>263.63</v>
      </c>
      <c r="N162" s="3">
        <v>529</v>
      </c>
      <c r="O162" s="2" t="s">
        <v>96</v>
      </c>
      <c r="P162" s="2" t="s">
        <v>131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100</v>
      </c>
      <c r="V162" s="2" t="s">
        <v>157</v>
      </c>
      <c r="W162" s="2" t="s">
        <v>330</v>
      </c>
      <c r="X162" s="2" t="s">
        <v>99</v>
      </c>
      <c r="Y162" s="2" t="s">
        <v>1000</v>
      </c>
      <c r="Z162" s="4">
        <v>51</v>
      </c>
      <c r="AA162" s="4">
        <f>=ROUNDDOWN(4.25,0)</f>
      </c>
      <c r="AB162" s="5">
        <v>12</v>
      </c>
      <c r="AC162" s="2" t="s">
        <v>990</v>
      </c>
      <c r="AD162" s="4">
        <v>67</v>
      </c>
      <c r="AE162" s="4">
        <v>190</v>
      </c>
      <c r="AF162" s="6">
        <v>74</v>
      </c>
      <c r="AG162" s="6">
        <v>60</v>
      </c>
      <c r="AH162" s="7">
        <v>0.6207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1</v>
      </c>
      <c r="AQ162" s="8">
        <v>299.7</v>
      </c>
      <c r="AR162" s="4"/>
      <c r="AS162" s="8"/>
      <c r="AT162" s="7"/>
      <c r="AU162" s="7"/>
      <c r="AV162" s="4">
        <v>1</v>
      </c>
      <c r="AW162" s="8">
        <v>299.7</v>
      </c>
      <c r="AX162" s="4"/>
      <c r="AY162" s="8"/>
      <c r="AZ162" s="7"/>
      <c r="BA162" s="7"/>
      <c r="BB162" s="7">
        <v>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>
        <v>0.0253</v>
      </c>
      <c r="BJ162" s="4">
        <v>22</v>
      </c>
      <c r="BK162" s="8">
        <v>5695.53</v>
      </c>
      <c r="BL162" s="2" t="s">
        <v>1001</v>
      </c>
      <c r="BM162" s="7">
        <v>0.0455</v>
      </c>
      <c r="BN162" s="7">
        <v>0.0526</v>
      </c>
      <c r="BO162" s="4">
        <v>1</v>
      </c>
      <c r="BP162" s="8">
        <v>299.7</v>
      </c>
      <c r="BQ162" s="4"/>
      <c r="BR162" s="8"/>
      <c r="BS162" s="7"/>
      <c r="BT162" s="7"/>
      <c r="BU162" s="2" t="s">
        <v>107</v>
      </c>
      <c r="BV162" s="2" t="s">
        <v>96</v>
      </c>
      <c r="BW162" s="2" t="s">
        <v>1002</v>
      </c>
      <c r="BX162" s="2" t="s">
        <v>1003</v>
      </c>
      <c r="BY162" s="2" t="s">
        <v>109</v>
      </c>
      <c r="BZ162" s="2" t="s">
        <v>109</v>
      </c>
      <c r="CA162" s="2" t="s">
        <v>99</v>
      </c>
    </row>
    <row r="163">
      <c r="A163" s="2" t="s">
        <v>1004</v>
      </c>
      <c r="B163" s="2" t="s">
        <v>765</v>
      </c>
      <c r="C163" s="2" t="s">
        <v>203</v>
      </c>
      <c r="D163" s="2" t="s">
        <v>982</v>
      </c>
      <c r="E163" s="2" t="s">
        <v>983</v>
      </c>
      <c r="F163" s="2" t="s">
        <v>1005</v>
      </c>
      <c r="G163" s="2" t="s">
        <v>1006</v>
      </c>
      <c r="H163" s="2" t="s">
        <v>1007</v>
      </c>
      <c r="I163" s="2" t="s">
        <v>1008</v>
      </c>
      <c r="J163" s="2" t="s">
        <v>227</v>
      </c>
      <c r="K163" s="2" t="s">
        <v>1009</v>
      </c>
      <c r="L163" s="3">
        <v>171</v>
      </c>
      <c r="M163" s="3">
        <v>179.55</v>
      </c>
      <c r="N163" s="3">
        <v>369</v>
      </c>
      <c r="O163" s="2" t="s">
        <v>96</v>
      </c>
      <c r="P163" s="2" t="s">
        <v>131</v>
      </c>
      <c r="Q163" s="2" t="s">
        <v>98</v>
      </c>
      <c r="R163" s="2" t="s">
        <v>99</v>
      </c>
      <c r="S163" s="2" t="s">
        <v>1010</v>
      </c>
      <c r="T163" s="2" t="s">
        <v>99</v>
      </c>
      <c r="U163" s="2" t="s">
        <v>100</v>
      </c>
      <c r="V163" s="2" t="s">
        <v>157</v>
      </c>
      <c r="W163" s="2" t="s">
        <v>158</v>
      </c>
      <c r="X163" s="2" t="s">
        <v>99</v>
      </c>
      <c r="Y163" s="2" t="s">
        <v>1011</v>
      </c>
      <c r="Z163" s="4">
        <v>9</v>
      </c>
      <c r="AA163" s="4">
        <f>=ROUNDDOWN(0.6,0)</f>
      </c>
      <c r="AB163" s="5">
        <v>15</v>
      </c>
      <c r="AC163" s="2" t="s">
        <v>801</v>
      </c>
      <c r="AD163" s="4">
        <v>81</v>
      </c>
      <c r="AE163" s="4">
        <v>310</v>
      </c>
      <c r="AF163" s="6">
        <v>74</v>
      </c>
      <c r="AG163" s="6">
        <v>60</v>
      </c>
      <c r="AH163" s="7">
        <v>0.7586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1</v>
      </c>
      <c r="AQ163" s="8">
        <v>217.58</v>
      </c>
      <c r="AR163" s="4"/>
      <c r="AS163" s="8"/>
      <c r="AT163" s="7"/>
      <c r="AU163" s="7"/>
      <c r="AV163" s="4">
        <v>1</v>
      </c>
      <c r="AW163" s="8">
        <v>217.58</v>
      </c>
      <c r="AX163" s="4"/>
      <c r="AY163" s="8"/>
      <c r="AZ163" s="7"/>
      <c r="BA163" s="7"/>
      <c r="BB163" s="7">
        <v>1</v>
      </c>
      <c r="BC163" s="4">
        <v>1</v>
      </c>
      <c r="BD163" s="8">
        <v>217.58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1</v>
      </c>
      <c r="BJ163" s="4">
        <v>48</v>
      </c>
      <c r="BK163" s="8">
        <v>8040.05</v>
      </c>
      <c r="BL163" s="2" t="s">
        <v>1012</v>
      </c>
      <c r="BM163" s="7">
        <v>0.0208</v>
      </c>
      <c r="BN163" s="7">
        <v>0.0271</v>
      </c>
      <c r="BO163" s="4">
        <v>1</v>
      </c>
      <c r="BP163" s="8">
        <v>217.58</v>
      </c>
      <c r="BQ163" s="4"/>
      <c r="BR163" s="8"/>
      <c r="BS163" s="7"/>
      <c r="BT163" s="7"/>
      <c r="BU163" s="2" t="s">
        <v>107</v>
      </c>
      <c r="BV163" s="2" t="s">
        <v>96</v>
      </c>
      <c r="BW163" s="2" t="s">
        <v>828</v>
      </c>
      <c r="BX163" s="2" t="s">
        <v>1013</v>
      </c>
      <c r="BY163" s="2" t="s">
        <v>109</v>
      </c>
      <c r="BZ163" s="2" t="s">
        <v>109</v>
      </c>
      <c r="CA163" s="2" t="s">
        <v>99</v>
      </c>
    </row>
    <row r="164">
      <c r="A164" s="2" t="s">
        <v>1014</v>
      </c>
      <c r="B164" s="2" t="s">
        <v>765</v>
      </c>
      <c r="C164" s="2" t="s">
        <v>203</v>
      </c>
      <c r="D164" s="2" t="s">
        <v>982</v>
      </c>
      <c r="E164" s="2" t="s">
        <v>983</v>
      </c>
      <c r="F164" s="2" t="s">
        <v>1005</v>
      </c>
      <c r="G164" s="2" t="s">
        <v>1006</v>
      </c>
      <c r="H164" s="2" t="s">
        <v>1007</v>
      </c>
      <c r="I164" s="2" t="s">
        <v>1008</v>
      </c>
      <c r="J164" s="2" t="s">
        <v>227</v>
      </c>
      <c r="K164" s="2" t="s">
        <v>605</v>
      </c>
      <c r="L164" s="3">
        <v>171</v>
      </c>
      <c r="M164" s="3">
        <v>179.55</v>
      </c>
      <c r="N164" s="3">
        <v>369</v>
      </c>
      <c r="O164" s="2" t="s">
        <v>96</v>
      </c>
      <c r="P164" s="2" t="s">
        <v>131</v>
      </c>
      <c r="Q164" s="2" t="s">
        <v>98</v>
      </c>
      <c r="R164" s="2" t="s">
        <v>99</v>
      </c>
      <c r="S164" s="2" t="s">
        <v>1015</v>
      </c>
      <c r="T164" s="2" t="s">
        <v>99</v>
      </c>
      <c r="U164" s="2" t="s">
        <v>99</v>
      </c>
      <c r="V164" s="2" t="s">
        <v>157</v>
      </c>
      <c r="W164" s="2" t="s">
        <v>158</v>
      </c>
      <c r="X164" s="2" t="s">
        <v>99</v>
      </c>
      <c r="Y164" s="2" t="s">
        <v>1016</v>
      </c>
      <c r="Z164" s="4">
        <v>1</v>
      </c>
      <c r="AA164" s="4">
        <f>=ROUNDDOWN(0.05,0)</f>
      </c>
      <c r="AB164" s="5">
        <v>20</v>
      </c>
      <c r="AC164" s="2" t="s">
        <v>1017</v>
      </c>
      <c r="AD164" s="4">
        <v>45</v>
      </c>
      <c r="AE164" s="4">
        <v>376</v>
      </c>
      <c r="AF164" s="6">
        <v>74</v>
      </c>
      <c r="AG164" s="6">
        <v>60</v>
      </c>
      <c r="AH164" s="7">
        <v>0.2069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/>
      <c r="BJ164" s="4">
        <v>8</v>
      </c>
      <c r="BK164" s="8">
        <v>1386</v>
      </c>
      <c r="BL164" s="2" t="s">
        <v>1018</v>
      </c>
      <c r="BM164" s="7"/>
      <c r="BN164" s="7"/>
      <c r="BO164" s="4"/>
      <c r="BP164" s="8"/>
      <c r="BQ164" s="4"/>
      <c r="BR164" s="8"/>
      <c r="BS164" s="7"/>
      <c r="BT164" s="7"/>
      <c r="BU164" s="2" t="s">
        <v>1019</v>
      </c>
      <c r="BV164" s="2" t="s">
        <v>122</v>
      </c>
      <c r="BW164" s="2" t="s">
        <v>99</v>
      </c>
      <c r="BX164" s="2" t="s">
        <v>1020</v>
      </c>
      <c r="BY164" s="2" t="s">
        <v>109</v>
      </c>
      <c r="BZ164" s="2" t="s">
        <v>109</v>
      </c>
      <c r="CA164" s="2" t="s">
        <v>99</v>
      </c>
    </row>
    <row r="165">
      <c r="A165" s="2" t="s">
        <v>1021</v>
      </c>
      <c r="B165" s="2" t="s">
        <v>765</v>
      </c>
      <c r="C165" s="2" t="s">
        <v>203</v>
      </c>
      <c r="D165" s="2" t="s">
        <v>982</v>
      </c>
      <c r="E165" s="2" t="s">
        <v>983</v>
      </c>
      <c r="F165" s="2" t="s">
        <v>1005</v>
      </c>
      <c r="G165" s="2" t="s">
        <v>1006</v>
      </c>
      <c r="H165" s="2" t="s">
        <v>1007</v>
      </c>
      <c r="I165" s="2" t="s">
        <v>1008</v>
      </c>
      <c r="J165" s="2" t="s">
        <v>227</v>
      </c>
      <c r="K165" s="2" t="s">
        <v>228</v>
      </c>
      <c r="L165" s="3">
        <v>171</v>
      </c>
      <c r="M165" s="3">
        <v>179.55</v>
      </c>
      <c r="N165" s="3">
        <v>369</v>
      </c>
      <c r="O165" s="2" t="s">
        <v>96</v>
      </c>
      <c r="P165" s="2" t="s">
        <v>131</v>
      </c>
      <c r="Q165" s="2" t="s">
        <v>98</v>
      </c>
      <c r="R165" s="2" t="s">
        <v>99</v>
      </c>
      <c r="S165" s="2" t="s">
        <v>1022</v>
      </c>
      <c r="T165" s="2" t="s">
        <v>99</v>
      </c>
      <c r="U165" s="2" t="s">
        <v>99</v>
      </c>
      <c r="V165" s="2" t="s">
        <v>157</v>
      </c>
      <c r="W165" s="2" t="s">
        <v>158</v>
      </c>
      <c r="X165" s="2" t="s">
        <v>99</v>
      </c>
      <c r="Y165" s="2" t="s">
        <v>164</v>
      </c>
      <c r="Z165" s="4">
        <v>2</v>
      </c>
      <c r="AA165" s="4">
        <f>=ROUNDDOWN(0.333333333333333,0)</f>
      </c>
      <c r="AB165" s="5">
        <v>6</v>
      </c>
      <c r="AC165" s="2" t="s">
        <v>990</v>
      </c>
      <c r="AD165" s="4">
        <v>100</v>
      </c>
      <c r="AE165" s="4">
        <v>100</v>
      </c>
      <c r="AF165" s="6">
        <v>74</v>
      </c>
      <c r="AG165" s="6">
        <v>60</v>
      </c>
      <c r="AH165" s="7">
        <v>0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/>
      <c r="BJ165" s="4">
        <v>2</v>
      </c>
      <c r="BK165" s="8">
        <v>479.36</v>
      </c>
      <c r="BL165" s="2" t="s">
        <v>654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96</v>
      </c>
      <c r="BW165" s="2" t="s">
        <v>1023</v>
      </c>
      <c r="BX165" s="2" t="s">
        <v>1024</v>
      </c>
      <c r="BY165" s="2" t="s">
        <v>109</v>
      </c>
      <c r="BZ165" s="2" t="s">
        <v>109</v>
      </c>
      <c r="CA165" s="2" t="s">
        <v>99</v>
      </c>
    </row>
    <row r="166">
      <c r="A166" s="2" t="s">
        <v>1025</v>
      </c>
      <c r="B166" s="2" t="s">
        <v>765</v>
      </c>
      <c r="C166" s="2" t="s">
        <v>203</v>
      </c>
      <c r="D166" s="2" t="s">
        <v>982</v>
      </c>
      <c r="E166" s="2" t="s">
        <v>983</v>
      </c>
      <c r="F166" s="2" t="s">
        <v>1005</v>
      </c>
      <c r="G166" s="2" t="s">
        <v>1006</v>
      </c>
      <c r="H166" s="2" t="s">
        <v>1007</v>
      </c>
      <c r="I166" s="2" t="s">
        <v>1008</v>
      </c>
      <c r="J166" s="2" t="s">
        <v>227</v>
      </c>
      <c r="K166" s="2" t="s">
        <v>705</v>
      </c>
      <c r="L166" s="3">
        <v>171</v>
      </c>
      <c r="M166" s="3">
        <v>179.55</v>
      </c>
      <c r="N166" s="3">
        <v>369</v>
      </c>
      <c r="O166" s="2" t="s">
        <v>96</v>
      </c>
      <c r="P166" s="2" t="s">
        <v>131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100</v>
      </c>
      <c r="V166" s="2" t="s">
        <v>157</v>
      </c>
      <c r="W166" s="2" t="s">
        <v>158</v>
      </c>
      <c r="X166" s="2" t="s">
        <v>99</v>
      </c>
      <c r="Y166" s="2" t="s">
        <v>1026</v>
      </c>
      <c r="Z166" s="4"/>
      <c r="AA166" s="4">
        <f>=ROUNDDOWN({0},0)</f>
      </c>
      <c r="AB166" s="5">
        <v>16</v>
      </c>
      <c r="AC166" s="2" t="s">
        <v>1017</v>
      </c>
      <c r="AD166" s="4">
        <v>60</v>
      </c>
      <c r="AE166" s="4">
        <v>350</v>
      </c>
      <c r="AF166" s="6">
        <v>74</v>
      </c>
      <c r="AG166" s="6">
        <v>60</v>
      </c>
      <c r="AH166" s="7">
        <v>0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/>
      <c r="BJ166" s="4">
        <v>1</v>
      </c>
      <c r="BK166" s="8">
        <v>239.4</v>
      </c>
      <c r="BL166" s="2" t="s">
        <v>654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96</v>
      </c>
      <c r="BW166" s="2" t="s">
        <v>1027</v>
      </c>
      <c r="BX166" s="2" t="s">
        <v>1028</v>
      </c>
      <c r="BY166" s="2" t="s">
        <v>109</v>
      </c>
      <c r="BZ166" s="2" t="s">
        <v>109</v>
      </c>
      <c r="CA166" s="2" t="s">
        <v>99</v>
      </c>
    </row>
    <row r="167">
      <c r="A167" s="2" t="s">
        <v>1029</v>
      </c>
      <c r="B167" s="2" t="s">
        <v>765</v>
      </c>
      <c r="C167" s="2" t="s">
        <v>203</v>
      </c>
      <c r="D167" s="2" t="s">
        <v>982</v>
      </c>
      <c r="E167" s="2" t="s">
        <v>983</v>
      </c>
      <c r="F167" s="2" t="s">
        <v>1005</v>
      </c>
      <c r="G167" s="2" t="s">
        <v>1006</v>
      </c>
      <c r="H167" s="2" t="s">
        <v>1007</v>
      </c>
      <c r="I167" s="2" t="s">
        <v>1008</v>
      </c>
      <c r="J167" s="2" t="s">
        <v>227</v>
      </c>
      <c r="K167" s="2" t="s">
        <v>280</v>
      </c>
      <c r="L167" s="3">
        <v>171</v>
      </c>
      <c r="M167" s="3">
        <v>179.55</v>
      </c>
      <c r="N167" s="3">
        <v>369</v>
      </c>
      <c r="O167" s="2" t="s">
        <v>96</v>
      </c>
      <c r="P167" s="2" t="s">
        <v>188</v>
      </c>
      <c r="Q167" s="2" t="s">
        <v>98</v>
      </c>
      <c r="R167" s="2" t="s">
        <v>99</v>
      </c>
      <c r="S167" s="2" t="s">
        <v>99</v>
      </c>
      <c r="T167" s="2" t="s">
        <v>99</v>
      </c>
      <c r="U167" s="2" t="s">
        <v>100</v>
      </c>
      <c r="V167" s="2" t="s">
        <v>157</v>
      </c>
      <c r="W167" s="2" t="s">
        <v>158</v>
      </c>
      <c r="X167" s="2" t="s">
        <v>103</v>
      </c>
      <c r="Y167" s="2" t="s">
        <v>1030</v>
      </c>
      <c r="Z167" s="4">
        <v>57</v>
      </c>
      <c r="AA167" s="4">
        <f>=ROUNDDOWN(7.03703703703704,0)</f>
      </c>
      <c r="AB167" s="5">
        <v>8.1</v>
      </c>
      <c r="AC167" s="2" t="s">
        <v>99</v>
      </c>
      <c r="AD167" s="4"/>
      <c r="AE167" s="4"/>
      <c r="AF167" s="6">
        <v>76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/>
      <c r="BJ167" s="4">
        <v>52</v>
      </c>
      <c r="BK167" s="8">
        <v>8629.69</v>
      </c>
      <c r="BL167" s="2" t="s">
        <v>1031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96</v>
      </c>
      <c r="BW167" s="2" t="s">
        <v>828</v>
      </c>
      <c r="BX167" s="2" t="s">
        <v>1032</v>
      </c>
      <c r="BY167" s="2" t="s">
        <v>109</v>
      </c>
      <c r="BZ167" s="2" t="s">
        <v>109</v>
      </c>
      <c r="CA167" s="2" t="s">
        <v>99</v>
      </c>
    </row>
    <row r="168">
      <c r="A168" s="2" t="s">
        <v>1033</v>
      </c>
      <c r="B168" s="2" t="s">
        <v>765</v>
      </c>
      <c r="C168" s="2" t="s">
        <v>203</v>
      </c>
      <c r="D168" s="2" t="s">
        <v>982</v>
      </c>
      <c r="E168" s="2" t="s">
        <v>983</v>
      </c>
      <c r="F168" s="2" t="s">
        <v>1005</v>
      </c>
      <c r="G168" s="2" t="s">
        <v>1006</v>
      </c>
      <c r="H168" s="2" t="s">
        <v>1007</v>
      </c>
      <c r="I168" s="2" t="s">
        <v>1008</v>
      </c>
      <c r="J168" s="2" t="s">
        <v>227</v>
      </c>
      <c r="K168" s="2" t="s">
        <v>458</v>
      </c>
      <c r="L168" s="3">
        <v>171</v>
      </c>
      <c r="M168" s="3">
        <v>179.55</v>
      </c>
      <c r="N168" s="3">
        <v>369</v>
      </c>
      <c r="O168" s="2" t="s">
        <v>96</v>
      </c>
      <c r="P168" s="2" t="s">
        <v>131</v>
      </c>
      <c r="Q168" s="2" t="s">
        <v>98</v>
      </c>
      <c r="R168" s="2" t="s">
        <v>99</v>
      </c>
      <c r="S168" s="2" t="s">
        <v>1034</v>
      </c>
      <c r="T168" s="2" t="s">
        <v>99</v>
      </c>
      <c r="U168" s="2" t="s">
        <v>99</v>
      </c>
      <c r="V168" s="2" t="s">
        <v>157</v>
      </c>
      <c r="W168" s="2" t="s">
        <v>158</v>
      </c>
      <c r="X168" s="2" t="s">
        <v>99</v>
      </c>
      <c r="Y168" s="2" t="s">
        <v>164</v>
      </c>
      <c r="Z168" s="4">
        <v>2</v>
      </c>
      <c r="AA168" s="4">
        <f>=ROUNDDOWN(0.4,0)</f>
      </c>
      <c r="AB168" s="5">
        <v>5</v>
      </c>
      <c r="AC168" s="2" t="s">
        <v>1035</v>
      </c>
      <c r="AD168" s="4">
        <v>60</v>
      </c>
      <c r="AE168" s="4">
        <v>100</v>
      </c>
      <c r="AF168" s="6">
        <v>74</v>
      </c>
      <c r="AG168" s="6"/>
      <c r="AH168" s="7">
        <v>0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/>
      <c r="BJ168" s="4"/>
      <c r="BK168" s="8"/>
      <c r="BL168" s="2" t="s">
        <v>99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96</v>
      </c>
      <c r="BW168" s="2" t="s">
        <v>695</v>
      </c>
      <c r="BX168" s="2" t="s">
        <v>1036</v>
      </c>
      <c r="BY168" s="2" t="s">
        <v>109</v>
      </c>
      <c r="BZ168" s="2" t="s">
        <v>109</v>
      </c>
      <c r="CA168" s="2" t="s">
        <v>99</v>
      </c>
    </row>
    <row r="169">
      <c r="A169" s="2" t="s">
        <v>1037</v>
      </c>
      <c r="B169" s="2" t="s">
        <v>765</v>
      </c>
      <c r="C169" s="2" t="s">
        <v>203</v>
      </c>
      <c r="D169" s="2" t="s">
        <v>982</v>
      </c>
      <c r="E169" s="2" t="s">
        <v>983</v>
      </c>
      <c r="F169" s="2" t="s">
        <v>1038</v>
      </c>
      <c r="G169" s="2" t="s">
        <v>1039</v>
      </c>
      <c r="H169" s="2" t="s">
        <v>1040</v>
      </c>
      <c r="I169" s="2" t="s">
        <v>1041</v>
      </c>
      <c r="J169" s="2" t="s">
        <v>227</v>
      </c>
      <c r="K169" s="2" t="s">
        <v>1042</v>
      </c>
      <c r="L169" s="3">
        <v>182.75</v>
      </c>
      <c r="M169" s="3">
        <v>191.89</v>
      </c>
      <c r="N169" s="3">
        <v>379</v>
      </c>
      <c r="O169" s="2" t="s">
        <v>96</v>
      </c>
      <c r="P169" s="2" t="s">
        <v>131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99</v>
      </c>
      <c r="V169" s="2" t="s">
        <v>1043</v>
      </c>
      <c r="W169" s="2" t="s">
        <v>158</v>
      </c>
      <c r="X169" s="2" t="s">
        <v>99</v>
      </c>
      <c r="Y169" s="2" t="s">
        <v>1044</v>
      </c>
      <c r="Z169" s="4">
        <v>108</v>
      </c>
      <c r="AA169" s="4">
        <f>=ROUNDDOWN(12,0)</f>
      </c>
      <c r="AB169" s="5">
        <v>9</v>
      </c>
      <c r="AC169" s="2" t="s">
        <v>1045</v>
      </c>
      <c r="AD169" s="4">
        <v>100</v>
      </c>
      <c r="AE169" s="4">
        <v>100</v>
      </c>
      <c r="AF169" s="6">
        <v>74</v>
      </c>
      <c r="AG169" s="6">
        <v>60</v>
      </c>
      <c r="AH169" s="7">
        <v>0.7586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28</v>
      </c>
      <c r="BK169" s="8">
        <v>5703.63</v>
      </c>
      <c r="BL169" s="2" t="s">
        <v>1046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96</v>
      </c>
      <c r="BW169" s="2" t="s">
        <v>1047</v>
      </c>
      <c r="BX169" s="2" t="s">
        <v>1048</v>
      </c>
      <c r="BY169" s="2" t="s">
        <v>109</v>
      </c>
      <c r="BZ169" s="2" t="s">
        <v>109</v>
      </c>
      <c r="CA169" s="2" t="s">
        <v>99</v>
      </c>
    </row>
    <row r="170">
      <c r="A170" s="2" t="s">
        <v>1049</v>
      </c>
      <c r="B170" s="2" t="s">
        <v>765</v>
      </c>
      <c r="C170" s="2" t="s">
        <v>203</v>
      </c>
      <c r="D170" s="2" t="s">
        <v>982</v>
      </c>
      <c r="E170" s="2" t="s">
        <v>983</v>
      </c>
      <c r="F170" s="2" t="s">
        <v>1050</v>
      </c>
      <c r="G170" s="2" t="s">
        <v>1051</v>
      </c>
      <c r="H170" s="2" t="s">
        <v>1052</v>
      </c>
      <c r="I170" s="2" t="s">
        <v>1053</v>
      </c>
      <c r="J170" s="2" t="s">
        <v>227</v>
      </c>
      <c r="K170" s="2" t="s">
        <v>234</v>
      </c>
      <c r="L170" s="3">
        <v>162.45</v>
      </c>
      <c r="M170" s="3">
        <v>170.57</v>
      </c>
      <c r="N170" s="3">
        <v>339</v>
      </c>
      <c r="O170" s="2" t="s">
        <v>96</v>
      </c>
      <c r="P170" s="2" t="s">
        <v>131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99</v>
      </c>
      <c r="V170" s="2" t="s">
        <v>101</v>
      </c>
      <c r="W170" s="2" t="s">
        <v>158</v>
      </c>
      <c r="X170" s="2" t="s">
        <v>99</v>
      </c>
      <c r="Y170" s="2" t="s">
        <v>744</v>
      </c>
      <c r="Z170" s="4">
        <v>3</v>
      </c>
      <c r="AA170" s="4">
        <f>=ROUNDDOWN(0.333333333333333,0)</f>
      </c>
      <c r="AB170" s="5">
        <v>9</v>
      </c>
      <c r="AC170" s="2" t="s">
        <v>807</v>
      </c>
      <c r="AD170" s="4">
        <v>100</v>
      </c>
      <c r="AE170" s="4">
        <v>220</v>
      </c>
      <c r="AF170" s="6">
        <v>74</v>
      </c>
      <c r="AG170" s="6"/>
      <c r="AH170" s="7">
        <v>0.3103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/>
      <c r="BJ170" s="4">
        <v>27</v>
      </c>
      <c r="BK170" s="8">
        <v>4623.35</v>
      </c>
      <c r="BL170" s="2" t="s">
        <v>1054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96</v>
      </c>
      <c r="BW170" s="2" t="s">
        <v>1047</v>
      </c>
      <c r="BX170" s="2" t="s">
        <v>1055</v>
      </c>
      <c r="BY170" s="2" t="s">
        <v>109</v>
      </c>
      <c r="BZ170" s="2" t="s">
        <v>109</v>
      </c>
      <c r="CA170" s="2" t="s">
        <v>99</v>
      </c>
    </row>
    <row r="171">
      <c r="A171" s="2" t="s">
        <v>1056</v>
      </c>
      <c r="B171" s="2" t="s">
        <v>765</v>
      </c>
      <c r="C171" s="2" t="s">
        <v>203</v>
      </c>
      <c r="D171" s="2" t="s">
        <v>982</v>
      </c>
      <c r="E171" s="2" t="s">
        <v>983</v>
      </c>
      <c r="F171" s="2" t="s">
        <v>1050</v>
      </c>
      <c r="G171" s="2" t="s">
        <v>1051</v>
      </c>
      <c r="H171" s="2" t="s">
        <v>1052</v>
      </c>
      <c r="I171" s="2" t="s">
        <v>1053</v>
      </c>
      <c r="J171" s="2" t="s">
        <v>227</v>
      </c>
      <c r="K171" s="2" t="s">
        <v>705</v>
      </c>
      <c r="L171" s="3">
        <v>162.45</v>
      </c>
      <c r="M171" s="3">
        <v>170.57</v>
      </c>
      <c r="N171" s="3">
        <v>339</v>
      </c>
      <c r="O171" s="2" t="s">
        <v>96</v>
      </c>
      <c r="P171" s="2" t="s">
        <v>131</v>
      </c>
      <c r="Q171" s="2" t="s">
        <v>98</v>
      </c>
      <c r="R171" s="2" t="s">
        <v>99</v>
      </c>
      <c r="S171" s="2" t="s">
        <v>1057</v>
      </c>
      <c r="T171" s="2" t="s">
        <v>99</v>
      </c>
      <c r="U171" s="2" t="s">
        <v>99</v>
      </c>
      <c r="V171" s="2" t="s">
        <v>1058</v>
      </c>
      <c r="W171" s="2" t="s">
        <v>102</v>
      </c>
      <c r="X171" s="2" t="s">
        <v>99</v>
      </c>
      <c r="Y171" s="2" t="s">
        <v>164</v>
      </c>
      <c r="Z171" s="4">
        <v>1</v>
      </c>
      <c r="AA171" s="4">
        <f>=ROUNDDOWN(0.166666666666667,0)</f>
      </c>
      <c r="AB171" s="5">
        <v>6</v>
      </c>
      <c r="AC171" s="2" t="s">
        <v>807</v>
      </c>
      <c r="AD171" s="4">
        <v>100</v>
      </c>
      <c r="AE171" s="4">
        <v>100</v>
      </c>
      <c r="AF171" s="6">
        <v>74</v>
      </c>
      <c r="AG171" s="6"/>
      <c r="AH171" s="7">
        <v>0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/>
      <c r="BJ171" s="4">
        <v>2</v>
      </c>
      <c r="BK171" s="8">
        <v>673.49</v>
      </c>
      <c r="BL171" s="2" t="s">
        <v>1059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96</v>
      </c>
      <c r="BW171" s="2" t="s">
        <v>1023</v>
      </c>
      <c r="BX171" s="2" t="s">
        <v>1060</v>
      </c>
      <c r="BY171" s="2" t="s">
        <v>109</v>
      </c>
      <c r="BZ171" s="2" t="s">
        <v>109</v>
      </c>
      <c r="CA171" s="2" t="s">
        <v>99</v>
      </c>
    </row>
    <row r="172">
      <c r="A172" s="2" t="s">
        <v>1061</v>
      </c>
      <c r="B172" s="2" t="s">
        <v>765</v>
      </c>
      <c r="C172" s="2" t="s">
        <v>203</v>
      </c>
      <c r="D172" s="2" t="s">
        <v>982</v>
      </c>
      <c r="E172" s="2" t="s">
        <v>983</v>
      </c>
      <c r="F172" s="2" t="s">
        <v>1062</v>
      </c>
      <c r="G172" s="2" t="s">
        <v>1063</v>
      </c>
      <c r="H172" s="2" t="s">
        <v>1064</v>
      </c>
      <c r="I172" s="2" t="s">
        <v>1065</v>
      </c>
      <c r="J172" s="2" t="s">
        <v>227</v>
      </c>
      <c r="K172" s="2" t="s">
        <v>234</v>
      </c>
      <c r="L172" s="3">
        <v>214.2</v>
      </c>
      <c r="M172" s="3">
        <v>224.91</v>
      </c>
      <c r="N172" s="3">
        <v>449</v>
      </c>
      <c r="O172" s="2" t="s">
        <v>96</v>
      </c>
      <c r="P172" s="2" t="s">
        <v>131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100</v>
      </c>
      <c r="V172" s="2" t="s">
        <v>157</v>
      </c>
      <c r="W172" s="2" t="s">
        <v>212</v>
      </c>
      <c r="X172" s="2" t="s">
        <v>158</v>
      </c>
      <c r="Y172" s="2" t="s">
        <v>724</v>
      </c>
      <c r="Z172" s="4">
        <v>121</v>
      </c>
      <c r="AA172" s="4">
        <f>=ROUNDDOWN(30.25,0)</f>
      </c>
      <c r="AB172" s="5">
        <v>4</v>
      </c>
      <c r="AC172" s="2" t="s">
        <v>7</v>
      </c>
      <c r="AD172" s="4">
        <v>70</v>
      </c>
      <c r="AE172" s="4">
        <v>70</v>
      </c>
      <c r="AF172" s="6">
        <v>83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12</v>
      </c>
      <c r="BK172" s="8">
        <v>2343.62</v>
      </c>
      <c r="BL172" s="2" t="s">
        <v>1066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96</v>
      </c>
      <c r="BW172" s="2" t="s">
        <v>1067</v>
      </c>
      <c r="BX172" s="2" t="s">
        <v>1068</v>
      </c>
      <c r="BY172" s="2" t="s">
        <v>109</v>
      </c>
      <c r="BZ172" s="2" t="s">
        <v>109</v>
      </c>
      <c r="CA172" s="2" t="s">
        <v>99</v>
      </c>
    </row>
    <row r="173">
      <c r="A173" s="2" t="s">
        <v>1069</v>
      </c>
      <c r="B173" s="2" t="s">
        <v>765</v>
      </c>
      <c r="C173" s="2" t="s">
        <v>203</v>
      </c>
      <c r="D173" s="2" t="s">
        <v>982</v>
      </c>
      <c r="E173" s="2" t="s">
        <v>983</v>
      </c>
      <c r="F173" s="2" t="s">
        <v>1070</v>
      </c>
      <c r="G173" s="2" t="s">
        <v>1071</v>
      </c>
      <c r="H173" s="2" t="s">
        <v>1072</v>
      </c>
      <c r="I173" s="2" t="s">
        <v>1065</v>
      </c>
      <c r="J173" s="2" t="s">
        <v>227</v>
      </c>
      <c r="K173" s="2" t="s">
        <v>784</v>
      </c>
      <c r="L173" s="3">
        <v>189</v>
      </c>
      <c r="M173" s="3">
        <v>198.45</v>
      </c>
      <c r="N173" s="3">
        <v>399</v>
      </c>
      <c r="O173" s="2" t="s">
        <v>96</v>
      </c>
      <c r="P173" s="2" t="s">
        <v>188</v>
      </c>
      <c r="Q173" s="2" t="s">
        <v>98</v>
      </c>
      <c r="R173" s="2" t="s">
        <v>99</v>
      </c>
      <c r="S173" s="2" t="s">
        <v>1073</v>
      </c>
      <c r="T173" s="2" t="s">
        <v>99</v>
      </c>
      <c r="U173" s="2" t="s">
        <v>99</v>
      </c>
      <c r="V173" s="2" t="s">
        <v>1058</v>
      </c>
      <c r="W173" s="2" t="s">
        <v>158</v>
      </c>
      <c r="X173" s="2" t="s">
        <v>99</v>
      </c>
      <c r="Y173" s="2" t="s">
        <v>686</v>
      </c>
      <c r="Z173" s="4">
        <v>73</v>
      </c>
      <c r="AA173" s="4">
        <f>=ROUNDDOWN(14.3137254901961,0)</f>
      </c>
      <c r="AB173" s="5">
        <v>5.1</v>
      </c>
      <c r="AC173" s="2" t="s">
        <v>99</v>
      </c>
      <c r="AD173" s="4"/>
      <c r="AE173" s="4"/>
      <c r="AF173" s="6">
        <v>74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23</v>
      </c>
      <c r="BK173" s="8">
        <v>3686.1</v>
      </c>
      <c r="BL173" s="2" t="s">
        <v>1074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96</v>
      </c>
      <c r="BW173" s="2" t="s">
        <v>1075</v>
      </c>
      <c r="BX173" s="2" t="s">
        <v>1076</v>
      </c>
      <c r="BY173" s="2" t="s">
        <v>109</v>
      </c>
      <c r="BZ173" s="2" t="s">
        <v>109</v>
      </c>
      <c r="CA173" s="2" t="s">
        <v>99</v>
      </c>
    </row>
    <row r="174">
      <c r="A174" s="2" t="s">
        <v>1077</v>
      </c>
      <c r="B174" s="2" t="s">
        <v>765</v>
      </c>
      <c r="C174" s="2" t="s">
        <v>203</v>
      </c>
      <c r="D174" s="2" t="s">
        <v>982</v>
      </c>
      <c r="E174" s="2" t="s">
        <v>983</v>
      </c>
      <c r="F174" s="2" t="s">
        <v>1078</v>
      </c>
      <c r="G174" s="2" t="s">
        <v>1079</v>
      </c>
      <c r="H174" s="2" t="s">
        <v>1080</v>
      </c>
      <c r="I174" s="2" t="s">
        <v>1065</v>
      </c>
      <c r="J174" s="2" t="s">
        <v>227</v>
      </c>
      <c r="K174" s="2" t="s">
        <v>118</v>
      </c>
      <c r="L174" s="3">
        <v>285.94</v>
      </c>
      <c r="M174" s="3">
        <v>300.24</v>
      </c>
      <c r="N174" s="3">
        <v>599</v>
      </c>
      <c r="O174" s="2" t="s">
        <v>96</v>
      </c>
      <c r="P174" s="2" t="s">
        <v>188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100</v>
      </c>
      <c r="V174" s="2" t="s">
        <v>157</v>
      </c>
      <c r="W174" s="2" t="s">
        <v>158</v>
      </c>
      <c r="X174" s="2" t="s">
        <v>102</v>
      </c>
      <c r="Y174" s="2" t="s">
        <v>1081</v>
      </c>
      <c r="Z174" s="4">
        <v>38</v>
      </c>
      <c r="AA174" s="4">
        <f>=ROUNDDOWN(34.5454545454545,0)</f>
      </c>
      <c r="AB174" s="5">
        <v>1.1</v>
      </c>
      <c r="AC174" s="2" t="s">
        <v>99</v>
      </c>
      <c r="AD174" s="4"/>
      <c r="AE174" s="4"/>
      <c r="AF174" s="6">
        <v>74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/>
      <c r="BJ174" s="4">
        <v>5</v>
      </c>
      <c r="BK174" s="8">
        <v>1334.11</v>
      </c>
      <c r="BL174" s="2" t="s">
        <v>1082</v>
      </c>
      <c r="BM174" s="7"/>
      <c r="BN174" s="7"/>
      <c r="BO174" s="4"/>
      <c r="BP174" s="8"/>
      <c r="BQ174" s="4"/>
      <c r="BR174" s="8"/>
      <c r="BS174" s="7"/>
      <c r="BT174" s="7"/>
      <c r="BU174" s="2" t="s">
        <v>306</v>
      </c>
      <c r="BV174" s="2" t="s">
        <v>96</v>
      </c>
      <c r="BW174" s="2" t="s">
        <v>99</v>
      </c>
      <c r="BX174" s="2" t="s">
        <v>99</v>
      </c>
      <c r="BY174" s="2" t="s">
        <v>109</v>
      </c>
      <c r="BZ174" s="2" t="s">
        <v>109</v>
      </c>
      <c r="CA174" s="2" t="s">
        <v>99</v>
      </c>
    </row>
    <row r="175">
      <c r="A175" s="2" t="s">
        <v>1083</v>
      </c>
      <c r="B175" s="2" t="s">
        <v>765</v>
      </c>
      <c r="C175" s="2" t="s">
        <v>203</v>
      </c>
      <c r="D175" s="2" t="s">
        <v>982</v>
      </c>
      <c r="E175" s="2" t="s">
        <v>983</v>
      </c>
      <c r="F175" s="2" t="s">
        <v>1078</v>
      </c>
      <c r="G175" s="2" t="s">
        <v>1079</v>
      </c>
      <c r="H175" s="2" t="s">
        <v>1080</v>
      </c>
      <c r="I175" s="2" t="s">
        <v>1084</v>
      </c>
      <c r="J175" s="2" t="s">
        <v>227</v>
      </c>
      <c r="K175" s="2" t="s">
        <v>1085</v>
      </c>
      <c r="L175" s="3">
        <v>285.94</v>
      </c>
      <c r="M175" s="3">
        <v>300.24</v>
      </c>
      <c r="N175" s="3">
        <v>599</v>
      </c>
      <c r="O175" s="2" t="s">
        <v>96</v>
      </c>
      <c r="P175" s="2" t="s">
        <v>131</v>
      </c>
      <c r="Q175" s="2" t="s">
        <v>98</v>
      </c>
      <c r="R175" s="2" t="s">
        <v>99</v>
      </c>
      <c r="S175" s="2" t="s">
        <v>1086</v>
      </c>
      <c r="T175" s="2" t="s">
        <v>99</v>
      </c>
      <c r="U175" s="2" t="s">
        <v>99</v>
      </c>
      <c r="V175" s="2" t="s">
        <v>157</v>
      </c>
      <c r="W175" s="2" t="s">
        <v>158</v>
      </c>
      <c r="X175" s="2" t="s">
        <v>102</v>
      </c>
      <c r="Y175" s="2" t="s">
        <v>686</v>
      </c>
      <c r="Z175" s="4">
        <v>318</v>
      </c>
      <c r="AA175" s="4">
        <f>=ROUNDDOWN(79.5,0)</f>
      </c>
      <c r="AB175" s="5">
        <v>4</v>
      </c>
      <c r="AC175" s="2" t="s">
        <v>99</v>
      </c>
      <c r="AD175" s="4"/>
      <c r="AE175" s="4"/>
      <c r="AF175" s="6">
        <v>74</v>
      </c>
      <c r="AG175" s="6">
        <v>60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>
        <v>22</v>
      </c>
      <c r="BK175" s="8">
        <v>6328.49</v>
      </c>
      <c r="BL175" s="2" t="s">
        <v>1087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96</v>
      </c>
      <c r="BW175" s="2" t="s">
        <v>1088</v>
      </c>
      <c r="BX175" s="2" t="s">
        <v>1089</v>
      </c>
      <c r="BY175" s="2" t="s">
        <v>109</v>
      </c>
      <c r="BZ175" s="2" t="s">
        <v>109</v>
      </c>
      <c r="CA175" s="2" t="s">
        <v>99</v>
      </c>
    </row>
    <row r="176">
      <c r="A176" s="2" t="s">
        <v>1090</v>
      </c>
      <c r="B176" s="2" t="s">
        <v>765</v>
      </c>
      <c r="C176" s="2" t="s">
        <v>203</v>
      </c>
      <c r="D176" s="2" t="s">
        <v>982</v>
      </c>
      <c r="E176" s="2" t="s">
        <v>983</v>
      </c>
      <c r="F176" s="2" t="s">
        <v>1078</v>
      </c>
      <c r="G176" s="2" t="s">
        <v>1079</v>
      </c>
      <c r="H176" s="2" t="s">
        <v>1080</v>
      </c>
      <c r="I176" s="2" t="s">
        <v>1084</v>
      </c>
      <c r="J176" s="2" t="s">
        <v>227</v>
      </c>
      <c r="K176" s="2" t="s">
        <v>1091</v>
      </c>
      <c r="L176" s="3">
        <v>285.94</v>
      </c>
      <c r="M176" s="3">
        <v>300.24</v>
      </c>
      <c r="N176" s="3">
        <v>599</v>
      </c>
      <c r="O176" s="2" t="s">
        <v>96</v>
      </c>
      <c r="P176" s="2" t="s">
        <v>188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100</v>
      </c>
      <c r="V176" s="2" t="s">
        <v>157</v>
      </c>
      <c r="W176" s="2" t="s">
        <v>158</v>
      </c>
      <c r="X176" s="2" t="s">
        <v>102</v>
      </c>
      <c r="Y176" s="2" t="s">
        <v>1092</v>
      </c>
      <c r="Z176" s="4"/>
      <c r="AA176" s="4">
        <f>=ROUNDDOWN({0},0)</f>
      </c>
      <c r="AB176" s="5">
        <v>3.2</v>
      </c>
      <c r="AC176" s="2" t="s">
        <v>99</v>
      </c>
      <c r="AD176" s="4"/>
      <c r="AE176" s="4"/>
      <c r="AF176" s="6">
        <v>74</v>
      </c>
      <c r="AG176" s="6"/>
      <c r="AH176" s="7">
        <v>0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/>
      <c r="BJ176" s="4"/>
      <c r="BK176" s="8"/>
      <c r="BL176" s="2" t="s">
        <v>99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96</v>
      </c>
      <c r="BW176" s="2" t="s">
        <v>1093</v>
      </c>
      <c r="BX176" s="2" t="s">
        <v>870</v>
      </c>
      <c r="BY176" s="2" t="s">
        <v>109</v>
      </c>
      <c r="BZ176" s="2" t="s">
        <v>109</v>
      </c>
      <c r="CA176" s="2" t="s">
        <v>99</v>
      </c>
    </row>
    <row r="177">
      <c r="A177" s="2" t="s">
        <v>1094</v>
      </c>
      <c r="B177" s="2" t="s">
        <v>765</v>
      </c>
      <c r="C177" s="2" t="s">
        <v>203</v>
      </c>
      <c r="D177" s="2" t="s">
        <v>982</v>
      </c>
      <c r="E177" s="2" t="s">
        <v>983</v>
      </c>
      <c r="F177" s="2" t="s">
        <v>1095</v>
      </c>
      <c r="G177" s="2" t="s">
        <v>1096</v>
      </c>
      <c r="H177" s="2" t="s">
        <v>1097</v>
      </c>
      <c r="I177" s="2" t="s">
        <v>1098</v>
      </c>
      <c r="J177" s="2" t="s">
        <v>227</v>
      </c>
      <c r="K177" s="2" t="s">
        <v>1099</v>
      </c>
      <c r="L177" s="3">
        <v>204.25</v>
      </c>
      <c r="M177" s="3">
        <v>214.46</v>
      </c>
      <c r="N177" s="3">
        <v>429</v>
      </c>
      <c r="O177" s="2" t="s">
        <v>96</v>
      </c>
      <c r="P177" s="2" t="s">
        <v>131</v>
      </c>
      <c r="Q177" s="2" t="s">
        <v>98</v>
      </c>
      <c r="R177" s="2" t="s">
        <v>99</v>
      </c>
      <c r="S177" s="2" t="s">
        <v>1100</v>
      </c>
      <c r="T177" s="2" t="s">
        <v>99</v>
      </c>
      <c r="U177" s="2" t="s">
        <v>99</v>
      </c>
      <c r="V177" s="2" t="s">
        <v>157</v>
      </c>
      <c r="W177" s="2" t="s">
        <v>158</v>
      </c>
      <c r="X177" s="2" t="s">
        <v>99</v>
      </c>
      <c r="Y177" s="2" t="s">
        <v>164</v>
      </c>
      <c r="Z177" s="4">
        <v>92</v>
      </c>
      <c r="AA177" s="4">
        <f>=ROUNDDOWN(18.4,0)</f>
      </c>
      <c r="AB177" s="5">
        <v>5</v>
      </c>
      <c r="AC177" s="2" t="s">
        <v>1101</v>
      </c>
      <c r="AD177" s="4">
        <v>100</v>
      </c>
      <c r="AE177" s="4">
        <v>100</v>
      </c>
      <c r="AF177" s="6">
        <v>74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1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27</v>
      </c>
      <c r="BK177" s="8">
        <v>5791.2</v>
      </c>
      <c r="BL177" s="2" t="s">
        <v>1102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96</v>
      </c>
      <c r="BW177" s="2" t="s">
        <v>846</v>
      </c>
      <c r="BX177" s="2" t="s">
        <v>1103</v>
      </c>
      <c r="BY177" s="2" t="s">
        <v>109</v>
      </c>
      <c r="BZ177" s="2" t="s">
        <v>109</v>
      </c>
      <c r="CA177" s="2" t="s">
        <v>99</v>
      </c>
    </row>
    <row r="178">
      <c r="A178" s="2" t="s">
        <v>1104</v>
      </c>
      <c r="B178" s="2" t="s">
        <v>765</v>
      </c>
      <c r="C178" s="2" t="s">
        <v>203</v>
      </c>
      <c r="D178" s="2" t="s">
        <v>982</v>
      </c>
      <c r="E178" s="2" t="s">
        <v>983</v>
      </c>
      <c r="F178" s="2" t="s">
        <v>1105</v>
      </c>
      <c r="G178" s="2" t="s">
        <v>1106</v>
      </c>
      <c r="H178" s="2" t="s">
        <v>1107</v>
      </c>
      <c r="I178" s="2" t="s">
        <v>1065</v>
      </c>
      <c r="J178" s="2" t="s">
        <v>227</v>
      </c>
      <c r="K178" s="2" t="s">
        <v>1108</v>
      </c>
      <c r="L178" s="3">
        <v>207.9</v>
      </c>
      <c r="M178" s="3">
        <v>218.3</v>
      </c>
      <c r="N178" s="3">
        <v>439</v>
      </c>
      <c r="O178" s="2" t="s">
        <v>96</v>
      </c>
      <c r="P178" s="2" t="s">
        <v>131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99</v>
      </c>
      <c r="V178" s="2" t="s">
        <v>157</v>
      </c>
      <c r="W178" s="2" t="s">
        <v>291</v>
      </c>
      <c r="X178" s="2" t="s">
        <v>99</v>
      </c>
      <c r="Y178" s="2" t="s">
        <v>1109</v>
      </c>
      <c r="Z178" s="4"/>
      <c r="AA178" s="4">
        <f>=ROUNDDOWN({0},0)</f>
      </c>
      <c r="AB178" s="5">
        <v>10</v>
      </c>
      <c r="AC178" s="2" t="s">
        <v>904</v>
      </c>
      <c r="AD178" s="4">
        <v>202</v>
      </c>
      <c r="AE178" s="4">
        <v>202</v>
      </c>
      <c r="AF178" s="6">
        <v>74</v>
      </c>
      <c r="AG178" s="6">
        <v>60</v>
      </c>
      <c r="AH178" s="7">
        <v>0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99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96</v>
      </c>
      <c r="BW178" s="2" t="s">
        <v>1110</v>
      </c>
      <c r="BX178" s="2" t="s">
        <v>99</v>
      </c>
      <c r="BY178" s="2" t="s">
        <v>109</v>
      </c>
      <c r="BZ178" s="2" t="s">
        <v>109</v>
      </c>
      <c r="CA178" s="2" t="s">
        <v>99</v>
      </c>
    </row>
    <row r="179">
      <c r="A179" s="2" t="s">
        <v>1111</v>
      </c>
      <c r="B179" s="2" t="s">
        <v>765</v>
      </c>
      <c r="C179" s="2" t="s">
        <v>203</v>
      </c>
      <c r="D179" s="2" t="s">
        <v>982</v>
      </c>
      <c r="E179" s="2" t="s">
        <v>983</v>
      </c>
      <c r="F179" s="2" t="s">
        <v>1112</v>
      </c>
      <c r="G179" s="2" t="s">
        <v>1113</v>
      </c>
      <c r="H179" s="2" t="s">
        <v>1114</v>
      </c>
      <c r="I179" s="2" t="s">
        <v>1115</v>
      </c>
      <c r="J179" s="2" t="s">
        <v>227</v>
      </c>
      <c r="K179" s="2" t="s">
        <v>234</v>
      </c>
      <c r="L179" s="3">
        <v>260</v>
      </c>
      <c r="M179" s="3">
        <v>273</v>
      </c>
      <c r="N179" s="3">
        <v>549</v>
      </c>
      <c r="O179" s="2" t="s">
        <v>304</v>
      </c>
      <c r="P179" s="2" t="s">
        <v>188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100</v>
      </c>
      <c r="V179" s="2" t="s">
        <v>310</v>
      </c>
      <c r="W179" s="2" t="s">
        <v>158</v>
      </c>
      <c r="X179" s="2" t="s">
        <v>212</v>
      </c>
      <c r="Y179" s="2" t="s">
        <v>1116</v>
      </c>
      <c r="Z179" s="4">
        <v>6</v>
      </c>
      <c r="AA179" s="4">
        <f>=ROUNDDOWN(0.779220779220779,0)</f>
      </c>
      <c r="AB179" s="5">
        <v>7.7</v>
      </c>
      <c r="AC179" s="2" t="s">
        <v>99</v>
      </c>
      <c r="AD179" s="4"/>
      <c r="AE179" s="4"/>
      <c r="AF179" s="6">
        <v>69</v>
      </c>
      <c r="AG179" s="6">
        <v>52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17</v>
      </c>
      <c r="BK179" s="8">
        <v>3891.44</v>
      </c>
      <c r="BL179" s="2" t="s">
        <v>1117</v>
      </c>
      <c r="BM179" s="7"/>
      <c r="BN179" s="7"/>
      <c r="BO179" s="4"/>
      <c r="BP179" s="8"/>
      <c r="BQ179" s="4"/>
      <c r="BR179" s="8"/>
      <c r="BS179" s="7"/>
      <c r="BT179" s="7"/>
      <c r="BU179" s="2" t="s">
        <v>306</v>
      </c>
      <c r="BV179" s="2" t="s">
        <v>96</v>
      </c>
      <c r="BW179" s="2" t="s">
        <v>99</v>
      </c>
      <c r="BX179" s="2" t="s">
        <v>99</v>
      </c>
      <c r="BY179" s="2" t="s">
        <v>109</v>
      </c>
      <c r="BZ179" s="2" t="s">
        <v>109</v>
      </c>
      <c r="CA179" s="2" t="s">
        <v>99</v>
      </c>
    </row>
    <row r="180">
      <c r="A180" s="2" t="s">
        <v>1118</v>
      </c>
      <c r="B180" s="2" t="s">
        <v>765</v>
      </c>
      <c r="C180" s="2" t="s">
        <v>203</v>
      </c>
      <c r="D180" s="2" t="s">
        <v>982</v>
      </c>
      <c r="E180" s="2" t="s">
        <v>983</v>
      </c>
      <c r="F180" s="2" t="s">
        <v>1119</v>
      </c>
      <c r="G180" s="2" t="s">
        <v>1120</v>
      </c>
      <c r="H180" s="2" t="s">
        <v>1121</v>
      </c>
      <c r="I180" s="2" t="s">
        <v>1122</v>
      </c>
      <c r="J180" s="2" t="s">
        <v>227</v>
      </c>
      <c r="K180" s="2" t="s">
        <v>1099</v>
      </c>
      <c r="L180" s="3">
        <v>172.8</v>
      </c>
      <c r="M180" s="3">
        <v>181.44</v>
      </c>
      <c r="N180" s="3">
        <v>359</v>
      </c>
      <c r="O180" s="2" t="s">
        <v>443</v>
      </c>
      <c r="P180" s="2" t="s">
        <v>188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100</v>
      </c>
      <c r="V180" s="2" t="s">
        <v>310</v>
      </c>
      <c r="W180" s="2" t="s">
        <v>158</v>
      </c>
      <c r="X180" s="2" t="s">
        <v>330</v>
      </c>
      <c r="Y180" s="2" t="s">
        <v>1123</v>
      </c>
      <c r="Z180" s="4">
        <v>73</v>
      </c>
      <c r="AA180" s="4">
        <f>=ROUNDDOWN(17.3809523809524,0)</f>
      </c>
      <c r="AB180" s="5">
        <v>4.2</v>
      </c>
      <c r="AC180" s="2" t="s">
        <v>99</v>
      </c>
      <c r="AD180" s="4"/>
      <c r="AE180" s="4"/>
      <c r="AF180" s="6">
        <v>69</v>
      </c>
      <c r="AG180" s="6">
        <v>52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6</v>
      </c>
      <c r="BK180" s="8">
        <v>1090.25</v>
      </c>
      <c r="BL180" s="2" t="s">
        <v>1066</v>
      </c>
      <c r="BM180" s="7"/>
      <c r="BN180" s="7"/>
      <c r="BO180" s="4"/>
      <c r="BP180" s="8"/>
      <c r="BQ180" s="4"/>
      <c r="BR180" s="8"/>
      <c r="BS180" s="7"/>
      <c r="BT180" s="7"/>
      <c r="BU180" s="2" t="s">
        <v>306</v>
      </c>
      <c r="BV180" s="2" t="s">
        <v>96</v>
      </c>
      <c r="BW180" s="2" t="s">
        <v>99</v>
      </c>
      <c r="BX180" s="2" t="s">
        <v>99</v>
      </c>
      <c r="BY180" s="2" t="s">
        <v>109</v>
      </c>
      <c r="BZ180" s="2" t="s">
        <v>109</v>
      </c>
      <c r="CA180" s="2" t="s">
        <v>99</v>
      </c>
    </row>
    <row r="181">
      <c r="A181" s="2" t="s">
        <v>1124</v>
      </c>
      <c r="B181" s="2" t="s">
        <v>765</v>
      </c>
      <c r="C181" s="2" t="s">
        <v>203</v>
      </c>
      <c r="D181" s="2" t="s">
        <v>982</v>
      </c>
      <c r="E181" s="2" t="s">
        <v>1125</v>
      </c>
      <c r="F181" s="2" t="s">
        <v>1126</v>
      </c>
      <c r="G181" s="2" t="s">
        <v>1127</v>
      </c>
      <c r="H181" s="2" t="s">
        <v>1128</v>
      </c>
      <c r="I181" s="2" t="s">
        <v>1065</v>
      </c>
      <c r="J181" s="2" t="s">
        <v>227</v>
      </c>
      <c r="K181" s="2" t="s">
        <v>220</v>
      </c>
      <c r="L181" s="3">
        <v>156.75</v>
      </c>
      <c r="M181" s="3">
        <v>164.59</v>
      </c>
      <c r="N181" s="3">
        <v>329</v>
      </c>
      <c r="O181" s="2" t="s">
        <v>96</v>
      </c>
      <c r="P181" s="2" t="s">
        <v>131</v>
      </c>
      <c r="Q181" s="2" t="s">
        <v>98</v>
      </c>
      <c r="R181" s="2" t="s">
        <v>99</v>
      </c>
      <c r="S181" s="2" t="s">
        <v>1129</v>
      </c>
      <c r="T181" s="2" t="s">
        <v>99</v>
      </c>
      <c r="U181" s="2" t="s">
        <v>99</v>
      </c>
      <c r="V181" s="2" t="s">
        <v>1058</v>
      </c>
      <c r="W181" s="2" t="s">
        <v>102</v>
      </c>
      <c r="X181" s="2" t="s">
        <v>99</v>
      </c>
      <c r="Y181" s="2" t="s">
        <v>164</v>
      </c>
      <c r="Z181" s="4">
        <v>102</v>
      </c>
      <c r="AA181" s="4">
        <f>=ROUNDDOWN(8.71794871794872,0)</f>
      </c>
      <c r="AB181" s="5">
        <v>11.7</v>
      </c>
      <c r="AC181" s="2" t="s">
        <v>332</v>
      </c>
      <c r="AD181" s="4">
        <v>35</v>
      </c>
      <c r="AE181" s="4">
        <v>250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51</v>
      </c>
      <c r="BK181" s="8">
        <v>7696.21</v>
      </c>
      <c r="BL181" s="2" t="s">
        <v>1130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122</v>
      </c>
      <c r="BW181" s="2" t="s">
        <v>99</v>
      </c>
      <c r="BX181" s="2" t="s">
        <v>281</v>
      </c>
      <c r="BY181" s="2" t="s">
        <v>109</v>
      </c>
      <c r="BZ181" s="2" t="s">
        <v>109</v>
      </c>
      <c r="CA181" s="2" t="s">
        <v>99</v>
      </c>
    </row>
    <row r="182">
      <c r="A182" s="2" t="s">
        <v>1131</v>
      </c>
      <c r="B182" s="2" t="s">
        <v>765</v>
      </c>
      <c r="C182" s="2" t="s">
        <v>203</v>
      </c>
      <c r="D182" s="2" t="s">
        <v>1132</v>
      </c>
      <c r="E182" s="2" t="s">
        <v>1133</v>
      </c>
      <c r="F182" s="2" t="s">
        <v>1134</v>
      </c>
      <c r="G182" s="2" t="s">
        <v>1135</v>
      </c>
      <c r="H182" s="2" t="s">
        <v>1136</v>
      </c>
      <c r="I182" s="2" t="s">
        <v>1137</v>
      </c>
      <c r="J182" s="2" t="s">
        <v>227</v>
      </c>
      <c r="K182" s="2" t="s">
        <v>1138</v>
      </c>
      <c r="L182" s="3">
        <v>207</v>
      </c>
      <c r="M182" s="3">
        <v>217.35</v>
      </c>
      <c r="N182" s="3">
        <v>439</v>
      </c>
      <c r="O182" s="2" t="s">
        <v>96</v>
      </c>
      <c r="P182" s="2" t="s">
        <v>131</v>
      </c>
      <c r="Q182" s="2" t="s">
        <v>98</v>
      </c>
      <c r="R182" s="2" t="s">
        <v>99</v>
      </c>
      <c r="S182" s="2" t="s">
        <v>1139</v>
      </c>
      <c r="T182" s="2" t="s">
        <v>99</v>
      </c>
      <c r="U182" s="2" t="s">
        <v>99</v>
      </c>
      <c r="V182" s="2" t="s">
        <v>157</v>
      </c>
      <c r="W182" s="2" t="s">
        <v>158</v>
      </c>
      <c r="X182" s="2" t="s">
        <v>99</v>
      </c>
      <c r="Y182" s="2" t="s">
        <v>1140</v>
      </c>
      <c r="Z182" s="4">
        <v>313</v>
      </c>
      <c r="AA182" s="4">
        <f>=ROUNDDOWN(11.5925925925926,0)</f>
      </c>
      <c r="AB182" s="5">
        <v>27</v>
      </c>
      <c r="AC182" s="2" t="s">
        <v>990</v>
      </c>
      <c r="AD182" s="4">
        <v>2</v>
      </c>
      <c r="AE182" s="4">
        <v>272</v>
      </c>
      <c r="AF182" s="6">
        <v>74</v>
      </c>
      <c r="AG182" s="6">
        <v>60</v>
      </c>
      <c r="AH182" s="7">
        <v>1</v>
      </c>
      <c r="AI182" s="4"/>
      <c r="AJ182" s="4">
        <f>=ROUNDDOWN({0},0)</f>
      </c>
      <c r="AK182" s="5"/>
      <c r="AL182" s="2" t="s">
        <v>780</v>
      </c>
      <c r="AM182" s="4">
        <v>80</v>
      </c>
      <c r="AN182" s="4">
        <v>170</v>
      </c>
      <c r="AO182" s="7">
        <v>0</v>
      </c>
      <c r="AP182" s="4">
        <v>16</v>
      </c>
      <c r="AQ182" s="8">
        <v>2880.32</v>
      </c>
      <c r="AR182" s="4"/>
      <c r="AS182" s="8"/>
      <c r="AT182" s="7"/>
      <c r="AU182" s="7"/>
      <c r="AV182" s="4">
        <v>16</v>
      </c>
      <c r="AW182" s="8">
        <v>2880.32</v>
      </c>
      <c r="AX182" s="4"/>
      <c r="AY182" s="8"/>
      <c r="AZ182" s="7"/>
      <c r="BA182" s="7"/>
      <c r="BB182" s="7">
        <v>1</v>
      </c>
      <c r="BC182" s="4">
        <v>38</v>
      </c>
      <c r="BD182" s="8">
        <v>6969.88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0.4133</v>
      </c>
      <c r="BJ182" s="4">
        <v>107</v>
      </c>
      <c r="BK182" s="8">
        <v>21494.36</v>
      </c>
      <c r="BL182" s="2" t="s">
        <v>1141</v>
      </c>
      <c r="BM182" s="7">
        <v>0.1495</v>
      </c>
      <c r="BN182" s="7">
        <v>0.134</v>
      </c>
      <c r="BO182" s="4">
        <v>16</v>
      </c>
      <c r="BP182" s="8">
        <v>2880.32</v>
      </c>
      <c r="BQ182" s="4"/>
      <c r="BR182" s="8"/>
      <c r="BS182" s="7"/>
      <c r="BT182" s="7"/>
      <c r="BU182" s="2" t="s">
        <v>107</v>
      </c>
      <c r="BV182" s="2" t="s">
        <v>96</v>
      </c>
      <c r="BW182" s="2" t="s">
        <v>779</v>
      </c>
      <c r="BX182" s="2" t="s">
        <v>847</v>
      </c>
      <c r="BY182" s="2" t="s">
        <v>109</v>
      </c>
      <c r="BZ182" s="2" t="s">
        <v>109</v>
      </c>
      <c r="CA182" s="2" t="s">
        <v>99</v>
      </c>
    </row>
    <row r="183">
      <c r="A183" s="2" t="s">
        <v>1142</v>
      </c>
      <c r="B183" s="2" t="s">
        <v>765</v>
      </c>
      <c r="C183" s="2" t="s">
        <v>203</v>
      </c>
      <c r="D183" s="2" t="s">
        <v>1132</v>
      </c>
      <c r="E183" s="2" t="s">
        <v>1133</v>
      </c>
      <c r="F183" s="2" t="s">
        <v>1134</v>
      </c>
      <c r="G183" s="2" t="s">
        <v>1135</v>
      </c>
      <c r="H183" s="2" t="s">
        <v>1136</v>
      </c>
      <c r="I183" s="2" t="s">
        <v>1137</v>
      </c>
      <c r="J183" s="2" t="s">
        <v>227</v>
      </c>
      <c r="K183" s="2" t="s">
        <v>1143</v>
      </c>
      <c r="L183" s="3">
        <v>207</v>
      </c>
      <c r="M183" s="3">
        <v>217.35</v>
      </c>
      <c r="N183" s="3">
        <v>439</v>
      </c>
      <c r="O183" s="2" t="s">
        <v>96</v>
      </c>
      <c r="P183" s="2" t="s">
        <v>131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100</v>
      </c>
      <c r="V183" s="2" t="s">
        <v>157</v>
      </c>
      <c r="W183" s="2" t="s">
        <v>158</v>
      </c>
      <c r="X183" s="2" t="s">
        <v>99</v>
      </c>
      <c r="Y183" s="2" t="s">
        <v>1144</v>
      </c>
      <c r="Z183" s="4">
        <v>119</v>
      </c>
      <c r="AA183" s="4">
        <f>=ROUNDDOWN(9.15384615384615,0)</f>
      </c>
      <c r="AB183" s="5">
        <v>13</v>
      </c>
      <c r="AC183" s="2" t="s">
        <v>332</v>
      </c>
      <c r="AD183" s="4">
        <v>25</v>
      </c>
      <c r="AE183" s="4">
        <v>100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12</v>
      </c>
      <c r="AQ183" s="8">
        <v>2200.56</v>
      </c>
      <c r="AR183" s="4"/>
      <c r="AS183" s="8"/>
      <c r="AT183" s="7"/>
      <c r="AU183" s="7"/>
      <c r="AV183" s="4">
        <v>12</v>
      </c>
      <c r="AW183" s="8">
        <v>2200.56</v>
      </c>
      <c r="AX183" s="4"/>
      <c r="AY183" s="8"/>
      <c r="AZ183" s="7"/>
      <c r="BA183" s="7"/>
      <c r="BB183" s="7">
        <v>1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0.3157</v>
      </c>
      <c r="BJ183" s="4">
        <v>57</v>
      </c>
      <c r="BK183" s="8">
        <v>11178.06</v>
      </c>
      <c r="BL183" s="2" t="s">
        <v>1145</v>
      </c>
      <c r="BM183" s="7">
        <v>0.2105</v>
      </c>
      <c r="BN183" s="7">
        <v>0.1969</v>
      </c>
      <c r="BO183" s="4">
        <v>12</v>
      </c>
      <c r="BP183" s="8">
        <v>2200.56</v>
      </c>
      <c r="BQ183" s="4"/>
      <c r="BR183" s="8"/>
      <c r="BS183" s="7"/>
      <c r="BT183" s="7"/>
      <c r="BU183" s="2" t="s">
        <v>107</v>
      </c>
      <c r="BV183" s="2" t="s">
        <v>96</v>
      </c>
      <c r="BW183" s="2" t="s">
        <v>1146</v>
      </c>
      <c r="BX183" s="2" t="s">
        <v>1147</v>
      </c>
      <c r="BY183" s="2" t="s">
        <v>109</v>
      </c>
      <c r="BZ183" s="2" t="s">
        <v>109</v>
      </c>
      <c r="CA183" s="2" t="s">
        <v>99</v>
      </c>
    </row>
    <row r="184">
      <c r="A184" s="2" t="s">
        <v>1148</v>
      </c>
      <c r="B184" s="2" t="s">
        <v>765</v>
      </c>
      <c r="C184" s="2" t="s">
        <v>203</v>
      </c>
      <c r="D184" s="2" t="s">
        <v>1132</v>
      </c>
      <c r="E184" s="2" t="s">
        <v>1133</v>
      </c>
      <c r="F184" s="2" t="s">
        <v>1134</v>
      </c>
      <c r="G184" s="2" t="s">
        <v>1135</v>
      </c>
      <c r="H184" s="2" t="s">
        <v>1136</v>
      </c>
      <c r="I184" s="2" t="s">
        <v>1137</v>
      </c>
      <c r="J184" s="2" t="s">
        <v>227</v>
      </c>
      <c r="K184" s="2" t="s">
        <v>228</v>
      </c>
      <c r="L184" s="3">
        <v>207</v>
      </c>
      <c r="M184" s="3">
        <v>217.35</v>
      </c>
      <c r="N184" s="3">
        <v>439</v>
      </c>
      <c r="O184" s="2" t="s">
        <v>96</v>
      </c>
      <c r="P184" s="2" t="s">
        <v>131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100</v>
      </c>
      <c r="V184" s="2" t="s">
        <v>157</v>
      </c>
      <c r="W184" s="2" t="s">
        <v>158</v>
      </c>
      <c r="X184" s="2" t="s">
        <v>330</v>
      </c>
      <c r="Y184" s="2" t="s">
        <v>1149</v>
      </c>
      <c r="Z184" s="4">
        <v>74</v>
      </c>
      <c r="AA184" s="4">
        <f>=ROUNDDOWN(9.25,0)</f>
      </c>
      <c r="AB184" s="5">
        <v>8</v>
      </c>
      <c r="AC184" s="2" t="s">
        <v>807</v>
      </c>
      <c r="AD184" s="4">
        <v>100</v>
      </c>
      <c r="AE184" s="4">
        <v>100</v>
      </c>
      <c r="AF184" s="6">
        <v>74</v>
      </c>
      <c r="AG184" s="6">
        <v>60</v>
      </c>
      <c r="AH184" s="7">
        <v>0.8966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>
        <v>5</v>
      </c>
      <c r="AQ184" s="8">
        <v>961.9</v>
      </c>
      <c r="AR184" s="4"/>
      <c r="AS184" s="8"/>
      <c r="AT184" s="7"/>
      <c r="AU184" s="7"/>
      <c r="AV184" s="4">
        <v>5</v>
      </c>
      <c r="AW184" s="8">
        <v>961.9</v>
      </c>
      <c r="AX184" s="4"/>
      <c r="AY184" s="8"/>
      <c r="AZ184" s="7"/>
      <c r="BA184" s="7"/>
      <c r="BB184" s="7">
        <v>1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0.138</v>
      </c>
      <c r="BJ184" s="4">
        <v>69</v>
      </c>
      <c r="BK184" s="8">
        <v>13797.18</v>
      </c>
      <c r="BL184" s="2" t="s">
        <v>1150</v>
      </c>
      <c r="BM184" s="7">
        <v>0.0725</v>
      </c>
      <c r="BN184" s="7">
        <v>0.0697</v>
      </c>
      <c r="BO184" s="4">
        <v>5</v>
      </c>
      <c r="BP184" s="8">
        <v>961.9</v>
      </c>
      <c r="BQ184" s="4"/>
      <c r="BR184" s="8"/>
      <c r="BS184" s="7"/>
      <c r="BT184" s="7"/>
      <c r="BU184" s="2" t="s">
        <v>107</v>
      </c>
      <c r="BV184" s="2" t="s">
        <v>96</v>
      </c>
      <c r="BW184" s="2" t="s">
        <v>1047</v>
      </c>
      <c r="BX184" s="2" t="s">
        <v>517</v>
      </c>
      <c r="BY184" s="2" t="s">
        <v>109</v>
      </c>
      <c r="BZ184" s="2" t="s">
        <v>109</v>
      </c>
      <c r="CA184" s="2" t="s">
        <v>99</v>
      </c>
    </row>
    <row r="185">
      <c r="A185" s="2" t="s">
        <v>1151</v>
      </c>
      <c r="B185" s="2" t="s">
        <v>765</v>
      </c>
      <c r="C185" s="2" t="s">
        <v>203</v>
      </c>
      <c r="D185" s="2" t="s">
        <v>1132</v>
      </c>
      <c r="E185" s="2" t="s">
        <v>1133</v>
      </c>
      <c r="F185" s="2" t="s">
        <v>1134</v>
      </c>
      <c r="G185" s="2" t="s">
        <v>1135</v>
      </c>
      <c r="H185" s="2" t="s">
        <v>1136</v>
      </c>
      <c r="I185" s="2" t="s">
        <v>1137</v>
      </c>
      <c r="J185" s="2" t="s">
        <v>227</v>
      </c>
      <c r="K185" s="2" t="s">
        <v>274</v>
      </c>
      <c r="L185" s="3">
        <v>207</v>
      </c>
      <c r="M185" s="3">
        <v>217.35</v>
      </c>
      <c r="N185" s="3">
        <v>439</v>
      </c>
      <c r="O185" s="2" t="s">
        <v>96</v>
      </c>
      <c r="P185" s="2" t="s">
        <v>131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100</v>
      </c>
      <c r="V185" s="2" t="s">
        <v>157</v>
      </c>
      <c r="W185" s="2" t="s">
        <v>158</v>
      </c>
      <c r="X185" s="2" t="s">
        <v>102</v>
      </c>
      <c r="Y185" s="2" t="s">
        <v>1152</v>
      </c>
      <c r="Z185" s="4">
        <v>18</v>
      </c>
      <c r="AA185" s="4">
        <f>=ROUNDDOWN(1.38461538461538,0)</f>
      </c>
      <c r="AB185" s="5">
        <v>13</v>
      </c>
      <c r="AC185" s="2" t="s">
        <v>5</v>
      </c>
      <c r="AD185" s="4">
        <v>36</v>
      </c>
      <c r="AE185" s="4">
        <v>308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3</v>
      </c>
      <c r="AQ185" s="8">
        <v>544.14</v>
      </c>
      <c r="AR185" s="4"/>
      <c r="AS185" s="8"/>
      <c r="AT185" s="7"/>
      <c r="AU185" s="7"/>
      <c r="AV185" s="4">
        <v>3</v>
      </c>
      <c r="AW185" s="8">
        <v>544.14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0.0781</v>
      </c>
      <c r="BJ185" s="4">
        <v>47</v>
      </c>
      <c r="BK185" s="8">
        <v>9724.08</v>
      </c>
      <c r="BL185" s="2" t="s">
        <v>1153</v>
      </c>
      <c r="BM185" s="7">
        <v>0.0638</v>
      </c>
      <c r="BN185" s="7">
        <v>0.056</v>
      </c>
      <c r="BO185" s="4">
        <v>3</v>
      </c>
      <c r="BP185" s="8">
        <v>544.14</v>
      </c>
      <c r="BQ185" s="4"/>
      <c r="BR185" s="8"/>
      <c r="BS185" s="7"/>
      <c r="BT185" s="7"/>
      <c r="BU185" s="2" t="s">
        <v>107</v>
      </c>
      <c r="BV185" s="2" t="s">
        <v>96</v>
      </c>
      <c r="BW185" s="2" t="s">
        <v>1154</v>
      </c>
      <c r="BX185" s="2" t="s">
        <v>1155</v>
      </c>
      <c r="BY185" s="2" t="s">
        <v>109</v>
      </c>
      <c r="BZ185" s="2" t="s">
        <v>109</v>
      </c>
      <c r="CA185" s="2" t="s">
        <v>99</v>
      </c>
    </row>
    <row r="186">
      <c r="A186" s="2" t="s">
        <v>1156</v>
      </c>
      <c r="B186" s="2" t="s">
        <v>765</v>
      </c>
      <c r="C186" s="2" t="s">
        <v>203</v>
      </c>
      <c r="D186" s="2" t="s">
        <v>1132</v>
      </c>
      <c r="E186" s="2" t="s">
        <v>1133</v>
      </c>
      <c r="F186" s="2" t="s">
        <v>1134</v>
      </c>
      <c r="G186" s="2" t="s">
        <v>1135</v>
      </c>
      <c r="H186" s="2" t="s">
        <v>1136</v>
      </c>
      <c r="I186" s="2" t="s">
        <v>1137</v>
      </c>
      <c r="J186" s="2" t="s">
        <v>227</v>
      </c>
      <c r="K186" s="2" t="s">
        <v>1157</v>
      </c>
      <c r="L186" s="3">
        <v>207</v>
      </c>
      <c r="M186" s="3">
        <v>217.35</v>
      </c>
      <c r="N186" s="3">
        <v>439</v>
      </c>
      <c r="O186" s="2" t="s">
        <v>96</v>
      </c>
      <c r="P186" s="2" t="s">
        <v>131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99</v>
      </c>
      <c r="V186" s="2" t="s">
        <v>157</v>
      </c>
      <c r="W186" s="2" t="s">
        <v>158</v>
      </c>
      <c r="X186" s="2" t="s">
        <v>99</v>
      </c>
      <c r="Y186" s="2" t="s">
        <v>686</v>
      </c>
      <c r="Z186" s="4">
        <v>130</v>
      </c>
      <c r="AA186" s="4">
        <f>=ROUNDDOWN(14.4444444444444,0)</f>
      </c>
      <c r="AB186" s="5">
        <v>9</v>
      </c>
      <c r="AC186" s="2" t="s">
        <v>183</v>
      </c>
      <c r="AD186" s="4">
        <v>100</v>
      </c>
      <c r="AE186" s="4">
        <v>100</v>
      </c>
      <c r="AF186" s="6">
        <v>74</v>
      </c>
      <c r="AG186" s="6">
        <v>60</v>
      </c>
      <c r="AH186" s="7">
        <v>0.5862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2</v>
      </c>
      <c r="AQ186" s="8">
        <v>382.96</v>
      </c>
      <c r="AR186" s="4"/>
      <c r="AS186" s="8"/>
      <c r="AT186" s="7"/>
      <c r="AU186" s="7"/>
      <c r="AV186" s="4">
        <v>2</v>
      </c>
      <c r="AW186" s="8">
        <v>382.96</v>
      </c>
      <c r="AX186" s="4"/>
      <c r="AY186" s="8"/>
      <c r="AZ186" s="7"/>
      <c r="BA186" s="7"/>
      <c r="BB186" s="7">
        <v>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0.0549</v>
      </c>
      <c r="BJ186" s="4">
        <v>16</v>
      </c>
      <c r="BK186" s="8">
        <v>3403.76</v>
      </c>
      <c r="BL186" s="2" t="s">
        <v>1158</v>
      </c>
      <c r="BM186" s="7">
        <v>0.125</v>
      </c>
      <c r="BN186" s="7">
        <v>0.1125</v>
      </c>
      <c r="BO186" s="4">
        <v>2</v>
      </c>
      <c r="BP186" s="8">
        <v>382.96</v>
      </c>
      <c r="BQ186" s="4"/>
      <c r="BR186" s="8"/>
      <c r="BS186" s="7"/>
      <c r="BT186" s="7"/>
      <c r="BU186" s="2" t="s">
        <v>107</v>
      </c>
      <c r="BV186" s="2" t="s">
        <v>96</v>
      </c>
      <c r="BW186" s="2" t="s">
        <v>934</v>
      </c>
      <c r="BX186" s="2" t="s">
        <v>1159</v>
      </c>
      <c r="BY186" s="2" t="s">
        <v>109</v>
      </c>
      <c r="BZ186" s="2" t="s">
        <v>109</v>
      </c>
      <c r="CA186" s="2" t="s">
        <v>99</v>
      </c>
    </row>
    <row r="187">
      <c r="A187" s="2" t="s">
        <v>1160</v>
      </c>
      <c r="B187" s="2" t="s">
        <v>765</v>
      </c>
      <c r="C187" s="2" t="s">
        <v>203</v>
      </c>
      <c r="D187" s="2" t="s">
        <v>1132</v>
      </c>
      <c r="E187" s="2" t="s">
        <v>1133</v>
      </c>
      <c r="F187" s="2" t="s">
        <v>1161</v>
      </c>
      <c r="G187" s="2" t="s">
        <v>1162</v>
      </c>
      <c r="H187" s="2" t="s">
        <v>1163</v>
      </c>
      <c r="I187" s="2" t="s">
        <v>1164</v>
      </c>
      <c r="J187" s="2" t="s">
        <v>227</v>
      </c>
      <c r="K187" s="2" t="s">
        <v>902</v>
      </c>
      <c r="L187" s="3">
        <v>237.5</v>
      </c>
      <c r="M187" s="3">
        <v>249.38</v>
      </c>
      <c r="N187" s="3">
        <v>499</v>
      </c>
      <c r="O187" s="2" t="s">
        <v>96</v>
      </c>
      <c r="P187" s="2" t="s">
        <v>135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100</v>
      </c>
      <c r="V187" s="2" t="s">
        <v>157</v>
      </c>
      <c r="W187" s="2" t="s">
        <v>158</v>
      </c>
      <c r="X187" s="2" t="s">
        <v>99</v>
      </c>
      <c r="Y187" s="2" t="s">
        <v>1044</v>
      </c>
      <c r="Z187" s="4">
        <v>56</v>
      </c>
      <c r="AA187" s="4">
        <f>=ROUNDDOWN(2.43478260869565,0)</f>
      </c>
      <c r="AB187" s="5">
        <v>23</v>
      </c>
      <c r="AC187" s="2" t="s">
        <v>1165</v>
      </c>
      <c r="AD187" s="4">
        <v>35</v>
      </c>
      <c r="AE187" s="4">
        <v>395</v>
      </c>
      <c r="AF187" s="6">
        <v>74</v>
      </c>
      <c r="AG187" s="6">
        <v>60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7</v>
      </c>
      <c r="AQ187" s="8">
        <v>1885.31</v>
      </c>
      <c r="AR187" s="4"/>
      <c r="AS187" s="8"/>
      <c r="AT187" s="7"/>
      <c r="AU187" s="7"/>
      <c r="AV187" s="4">
        <v>7</v>
      </c>
      <c r="AW187" s="8">
        <v>1885.31</v>
      </c>
      <c r="AX187" s="4"/>
      <c r="AY187" s="8"/>
      <c r="AZ187" s="7"/>
      <c r="BA187" s="7"/>
      <c r="BB187" s="7">
        <v>1</v>
      </c>
      <c r="BC187" s="4">
        <v>7</v>
      </c>
      <c r="BD187" s="8">
        <v>1885.31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1</v>
      </c>
      <c r="BJ187" s="4">
        <v>141</v>
      </c>
      <c r="BK187" s="8">
        <v>31394.91</v>
      </c>
      <c r="BL187" s="2" t="s">
        <v>1166</v>
      </c>
      <c r="BM187" s="7">
        <v>0.0496</v>
      </c>
      <c r="BN187" s="7">
        <v>0.0601</v>
      </c>
      <c r="BO187" s="4">
        <v>7</v>
      </c>
      <c r="BP187" s="8">
        <v>1885.31</v>
      </c>
      <c r="BQ187" s="4"/>
      <c r="BR187" s="8"/>
      <c r="BS187" s="7"/>
      <c r="BT187" s="7"/>
      <c r="BU187" s="2" t="s">
        <v>107</v>
      </c>
      <c r="BV187" s="2" t="s">
        <v>96</v>
      </c>
      <c r="BW187" s="2" t="s">
        <v>1167</v>
      </c>
      <c r="BX187" s="2" t="s">
        <v>992</v>
      </c>
      <c r="BY187" s="2" t="s">
        <v>109</v>
      </c>
      <c r="BZ187" s="2" t="s">
        <v>109</v>
      </c>
      <c r="CA187" s="2" t="s">
        <v>99</v>
      </c>
    </row>
    <row r="188">
      <c r="A188" s="2" t="s">
        <v>1168</v>
      </c>
      <c r="B188" s="2" t="s">
        <v>765</v>
      </c>
      <c r="C188" s="2" t="s">
        <v>203</v>
      </c>
      <c r="D188" s="2" t="s">
        <v>1132</v>
      </c>
      <c r="E188" s="2" t="s">
        <v>1133</v>
      </c>
      <c r="F188" s="2" t="s">
        <v>1161</v>
      </c>
      <c r="G188" s="2" t="s">
        <v>1162</v>
      </c>
      <c r="H188" s="2" t="s">
        <v>1163</v>
      </c>
      <c r="I188" s="2" t="s">
        <v>1164</v>
      </c>
      <c r="J188" s="2" t="s">
        <v>227</v>
      </c>
      <c r="K188" s="2" t="s">
        <v>220</v>
      </c>
      <c r="L188" s="3">
        <v>237.5</v>
      </c>
      <c r="M188" s="3">
        <v>249.38</v>
      </c>
      <c r="N188" s="3">
        <v>499</v>
      </c>
      <c r="O188" s="2" t="s">
        <v>96</v>
      </c>
      <c r="P188" s="2" t="s">
        <v>131</v>
      </c>
      <c r="Q188" s="2" t="s">
        <v>98</v>
      </c>
      <c r="R188" s="2" t="s">
        <v>99</v>
      </c>
      <c r="S188" s="2" t="s">
        <v>1169</v>
      </c>
      <c r="T188" s="2" t="s">
        <v>99</v>
      </c>
      <c r="U188" s="2" t="s">
        <v>100</v>
      </c>
      <c r="V188" s="2" t="s">
        <v>1058</v>
      </c>
      <c r="W188" s="2" t="s">
        <v>158</v>
      </c>
      <c r="X188" s="2" t="s">
        <v>99</v>
      </c>
      <c r="Y188" s="2" t="s">
        <v>1170</v>
      </c>
      <c r="Z188" s="4"/>
      <c r="AA188" s="4">
        <f>=ROUNDDOWN({0},0)</f>
      </c>
      <c r="AB188" s="5">
        <v>9.2</v>
      </c>
      <c r="AC188" s="2" t="s">
        <v>1165</v>
      </c>
      <c r="AD188" s="4">
        <v>30</v>
      </c>
      <c r="AE188" s="4">
        <v>224</v>
      </c>
      <c r="AF188" s="6">
        <v>74</v>
      </c>
      <c r="AG188" s="6">
        <v>60</v>
      </c>
      <c r="AH188" s="7">
        <v>0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/>
      <c r="BJ188" s="4">
        <v>2</v>
      </c>
      <c r="BK188" s="8">
        <v>498.76</v>
      </c>
      <c r="BL188" s="2" t="s">
        <v>654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122</v>
      </c>
      <c r="BW188" s="2" t="s">
        <v>99</v>
      </c>
      <c r="BX188" s="2" t="s">
        <v>1171</v>
      </c>
      <c r="BY188" s="2" t="s">
        <v>109</v>
      </c>
      <c r="BZ188" s="2" t="s">
        <v>109</v>
      </c>
      <c r="CA188" s="2" t="s">
        <v>99</v>
      </c>
    </row>
    <row r="189">
      <c r="A189" s="2" t="s">
        <v>1172</v>
      </c>
      <c r="B189" s="2" t="s">
        <v>765</v>
      </c>
      <c r="C189" s="2" t="s">
        <v>203</v>
      </c>
      <c r="D189" s="2" t="s">
        <v>1132</v>
      </c>
      <c r="E189" s="2" t="s">
        <v>1133</v>
      </c>
      <c r="F189" s="2" t="s">
        <v>1161</v>
      </c>
      <c r="G189" s="2" t="s">
        <v>1162</v>
      </c>
      <c r="H189" s="2" t="s">
        <v>1163</v>
      </c>
      <c r="I189" s="2" t="s">
        <v>1164</v>
      </c>
      <c r="J189" s="2" t="s">
        <v>227</v>
      </c>
      <c r="K189" s="2" t="s">
        <v>317</v>
      </c>
      <c r="L189" s="3">
        <v>237.5</v>
      </c>
      <c r="M189" s="3">
        <v>249.38</v>
      </c>
      <c r="N189" s="3">
        <v>499</v>
      </c>
      <c r="O189" s="2" t="s">
        <v>96</v>
      </c>
      <c r="P189" s="2" t="s">
        <v>1173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100</v>
      </c>
      <c r="V189" s="2" t="s">
        <v>157</v>
      </c>
      <c r="W189" s="2" t="s">
        <v>785</v>
      </c>
      <c r="X189" s="2" t="s">
        <v>99</v>
      </c>
      <c r="Y189" s="2" t="s">
        <v>99</v>
      </c>
      <c r="Z189" s="4"/>
      <c r="AA189" s="4">
        <f>=ROUNDDOWN({0},0)</f>
      </c>
      <c r="AB189" s="5"/>
      <c r="AC189" s="2" t="s">
        <v>1045</v>
      </c>
      <c r="AD189" s="4">
        <v>147</v>
      </c>
      <c r="AE189" s="4">
        <v>147</v>
      </c>
      <c r="AF189" s="6">
        <v>74</v>
      </c>
      <c r="AG189" s="6"/>
      <c r="AH189" s="7"/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 t="s">
        <v>99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/>
      <c r="BK189" s="8"/>
      <c r="BL189" s="2" t="s">
        <v>99</v>
      </c>
      <c r="BM189" s="7"/>
      <c r="BN189" s="7"/>
      <c r="BO189" s="4"/>
      <c r="BP189" s="8"/>
      <c r="BQ189" s="4"/>
      <c r="BR189" s="8"/>
      <c r="BS189" s="7"/>
      <c r="BT189" s="7"/>
      <c r="BU189" s="2" t="s">
        <v>819</v>
      </c>
      <c r="BV189" s="2" t="s">
        <v>96</v>
      </c>
      <c r="BW189" s="2" t="s">
        <v>99</v>
      </c>
      <c r="BX189" s="2" t="s">
        <v>99</v>
      </c>
      <c r="BY189" s="2" t="s">
        <v>109</v>
      </c>
      <c r="BZ189" s="2" t="s">
        <v>109</v>
      </c>
      <c r="CA189" s="2" t="s">
        <v>99</v>
      </c>
    </row>
    <row r="190">
      <c r="A190" s="2" t="s">
        <v>1174</v>
      </c>
      <c r="B190" s="2" t="s">
        <v>765</v>
      </c>
      <c r="C190" s="2" t="s">
        <v>203</v>
      </c>
      <c r="D190" s="2" t="s">
        <v>1132</v>
      </c>
      <c r="E190" s="2" t="s">
        <v>1133</v>
      </c>
      <c r="F190" s="2" t="s">
        <v>1161</v>
      </c>
      <c r="G190" s="2" t="s">
        <v>1162</v>
      </c>
      <c r="H190" s="2" t="s">
        <v>1163</v>
      </c>
      <c r="I190" s="2" t="s">
        <v>1164</v>
      </c>
      <c r="J190" s="2" t="s">
        <v>227</v>
      </c>
      <c r="K190" s="2" t="s">
        <v>317</v>
      </c>
      <c r="L190" s="3">
        <v>237.5</v>
      </c>
      <c r="M190" s="3">
        <v>249.38</v>
      </c>
      <c r="N190" s="3">
        <v>499</v>
      </c>
      <c r="O190" s="2" t="s">
        <v>96</v>
      </c>
      <c r="P190" s="2" t="s">
        <v>1173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100</v>
      </c>
      <c r="V190" s="2" t="s">
        <v>157</v>
      </c>
      <c r="W190" s="2" t="s">
        <v>785</v>
      </c>
      <c r="X190" s="2" t="s">
        <v>99</v>
      </c>
      <c r="Y190" s="2" t="s">
        <v>99</v>
      </c>
      <c r="Z190" s="4"/>
      <c r="AA190" s="4">
        <f>=ROUNDDOWN({0},0)</f>
      </c>
      <c r="AB190" s="5"/>
      <c r="AC190" s="2" t="s">
        <v>1045</v>
      </c>
      <c r="AD190" s="4">
        <v>123</v>
      </c>
      <c r="AE190" s="4">
        <v>123</v>
      </c>
      <c r="AF190" s="6">
        <v>74</v>
      </c>
      <c r="AG190" s="6"/>
      <c r="AH190" s="7"/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 t="s">
        <v>99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/>
      <c r="BK190" s="8"/>
      <c r="BL190" s="2" t="s">
        <v>99</v>
      </c>
      <c r="BM190" s="7"/>
      <c r="BN190" s="7"/>
      <c r="BO190" s="4"/>
      <c r="BP190" s="8"/>
      <c r="BQ190" s="4"/>
      <c r="BR190" s="8"/>
      <c r="BS190" s="7"/>
      <c r="BT190" s="7"/>
      <c r="BU190" s="2" t="s">
        <v>819</v>
      </c>
      <c r="BV190" s="2" t="s">
        <v>96</v>
      </c>
      <c r="BW190" s="2" t="s">
        <v>99</v>
      </c>
      <c r="BX190" s="2" t="s">
        <v>99</v>
      </c>
      <c r="BY190" s="2" t="s">
        <v>109</v>
      </c>
      <c r="BZ190" s="2" t="s">
        <v>109</v>
      </c>
      <c r="CA190" s="2" t="s">
        <v>99</v>
      </c>
    </row>
    <row r="191">
      <c r="A191" s="2" t="s">
        <v>1175</v>
      </c>
      <c r="B191" s="2" t="s">
        <v>765</v>
      </c>
      <c r="C191" s="2" t="s">
        <v>203</v>
      </c>
      <c r="D191" s="2" t="s">
        <v>1132</v>
      </c>
      <c r="E191" s="2" t="s">
        <v>1133</v>
      </c>
      <c r="F191" s="2" t="s">
        <v>1176</v>
      </c>
      <c r="G191" s="2" t="s">
        <v>1177</v>
      </c>
      <c r="H191" s="2" t="s">
        <v>1178</v>
      </c>
      <c r="I191" s="2" t="s">
        <v>1179</v>
      </c>
      <c r="J191" s="2" t="s">
        <v>227</v>
      </c>
      <c r="K191" s="2" t="s">
        <v>274</v>
      </c>
      <c r="L191" s="3">
        <v>238.5</v>
      </c>
      <c r="M191" s="3">
        <v>250.42</v>
      </c>
      <c r="N191" s="3">
        <v>499</v>
      </c>
      <c r="O191" s="2" t="s">
        <v>304</v>
      </c>
      <c r="P191" s="2" t="s">
        <v>188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100</v>
      </c>
      <c r="V191" s="2" t="s">
        <v>157</v>
      </c>
      <c r="W191" s="2" t="s">
        <v>158</v>
      </c>
      <c r="X191" s="2" t="s">
        <v>99</v>
      </c>
      <c r="Y191" s="2" t="s">
        <v>898</v>
      </c>
      <c r="Z191" s="4">
        <v>33</v>
      </c>
      <c r="AA191" s="4">
        <f>=ROUNDDOWN(7.17391304347826,0)</f>
      </c>
      <c r="AB191" s="5">
        <v>4.6</v>
      </c>
      <c r="AC191" s="2" t="s">
        <v>99</v>
      </c>
      <c r="AD191" s="4"/>
      <c r="AE191" s="4"/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4</v>
      </c>
      <c r="BK191" s="8">
        <v>731.94</v>
      </c>
      <c r="BL191" s="2" t="s">
        <v>1180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96</v>
      </c>
      <c r="BW191" s="2" t="s">
        <v>638</v>
      </c>
      <c r="BX191" s="2" t="s">
        <v>1181</v>
      </c>
      <c r="BY191" s="2" t="s">
        <v>109</v>
      </c>
      <c r="BZ191" s="2" t="s">
        <v>109</v>
      </c>
      <c r="CA191" s="2" t="s">
        <v>99</v>
      </c>
    </row>
    <row r="192">
      <c r="A192" s="2" t="s">
        <v>1182</v>
      </c>
      <c r="B192" s="2" t="s">
        <v>765</v>
      </c>
      <c r="C192" s="2" t="s">
        <v>203</v>
      </c>
      <c r="D192" s="2" t="s">
        <v>1132</v>
      </c>
      <c r="E192" s="2" t="s">
        <v>1133</v>
      </c>
      <c r="F192" s="2" t="s">
        <v>1183</v>
      </c>
      <c r="G192" s="2" t="s">
        <v>1183</v>
      </c>
      <c r="H192" s="2" t="s">
        <v>1183</v>
      </c>
      <c r="I192" s="2" t="s">
        <v>1184</v>
      </c>
      <c r="J192" s="2" t="s">
        <v>227</v>
      </c>
      <c r="K192" s="2" t="s">
        <v>784</v>
      </c>
      <c r="L192" s="3">
        <v>210</v>
      </c>
      <c r="M192" s="3">
        <v>220.5</v>
      </c>
      <c r="N192" s="3">
        <v>449</v>
      </c>
      <c r="O192" s="2" t="s">
        <v>96</v>
      </c>
      <c r="P192" s="2" t="s">
        <v>188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100</v>
      </c>
      <c r="V192" s="2" t="s">
        <v>310</v>
      </c>
      <c r="W192" s="2" t="s">
        <v>158</v>
      </c>
      <c r="X192" s="2" t="s">
        <v>291</v>
      </c>
      <c r="Y192" s="2" t="s">
        <v>1185</v>
      </c>
      <c r="Z192" s="4">
        <v>71</v>
      </c>
      <c r="AA192" s="4">
        <f>=ROUNDDOWN(23.6666666666667,0)</f>
      </c>
      <c r="AB192" s="5">
        <v>3</v>
      </c>
      <c r="AC192" s="2" t="s">
        <v>99</v>
      </c>
      <c r="AD192" s="4"/>
      <c r="AE192" s="4"/>
      <c r="AF192" s="6">
        <v>74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</v>
      </c>
      <c r="BK192" s="8">
        <v>220.5</v>
      </c>
      <c r="BL192" s="2" t="s">
        <v>654</v>
      </c>
      <c r="BM192" s="7"/>
      <c r="BN192" s="7"/>
      <c r="BO192" s="4"/>
      <c r="BP192" s="8"/>
      <c r="BQ192" s="4"/>
      <c r="BR192" s="8"/>
      <c r="BS192" s="7"/>
      <c r="BT192" s="7"/>
      <c r="BU192" s="2" t="s">
        <v>306</v>
      </c>
      <c r="BV192" s="2" t="s">
        <v>96</v>
      </c>
      <c r="BW192" s="2" t="s">
        <v>99</v>
      </c>
      <c r="BX192" s="2" t="s">
        <v>99</v>
      </c>
      <c r="BY192" s="2" t="s">
        <v>109</v>
      </c>
      <c r="BZ192" s="2" t="s">
        <v>109</v>
      </c>
      <c r="CA192" s="2" t="s">
        <v>99</v>
      </c>
    </row>
    <row r="193">
      <c r="A193" s="2" t="s">
        <v>1186</v>
      </c>
      <c r="B193" s="2" t="s">
        <v>765</v>
      </c>
      <c r="C193" s="2" t="s">
        <v>203</v>
      </c>
      <c r="D193" s="2" t="s">
        <v>1132</v>
      </c>
      <c r="E193" s="2" t="s">
        <v>1133</v>
      </c>
      <c r="F193" s="2" t="s">
        <v>1187</v>
      </c>
      <c r="G193" s="2" t="s">
        <v>1188</v>
      </c>
      <c r="H193" s="2" t="s">
        <v>1189</v>
      </c>
      <c r="I193" s="2" t="s">
        <v>1133</v>
      </c>
      <c r="J193" s="2" t="s">
        <v>227</v>
      </c>
      <c r="K193" s="2" t="s">
        <v>234</v>
      </c>
      <c r="L193" s="3">
        <v>237.5</v>
      </c>
      <c r="M193" s="3">
        <v>249.38</v>
      </c>
      <c r="N193" s="3">
        <v>499</v>
      </c>
      <c r="O193" s="2" t="s">
        <v>96</v>
      </c>
      <c r="P193" s="2" t="s">
        <v>131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100</v>
      </c>
      <c r="V193" s="2" t="s">
        <v>157</v>
      </c>
      <c r="W193" s="2" t="s">
        <v>158</v>
      </c>
      <c r="X193" s="2" t="s">
        <v>330</v>
      </c>
      <c r="Y193" s="2" t="s">
        <v>1149</v>
      </c>
      <c r="Z193" s="4"/>
      <c r="AA193" s="4">
        <f>=ROUNDDOWN({0},0)</f>
      </c>
      <c r="AB193" s="5">
        <v>8</v>
      </c>
      <c r="AC193" s="2" t="s">
        <v>926</v>
      </c>
      <c r="AD193" s="4">
        <v>90</v>
      </c>
      <c r="AE193" s="4">
        <v>200</v>
      </c>
      <c r="AF193" s="6">
        <v>76</v>
      </c>
      <c r="AG193" s="6">
        <v>62</v>
      </c>
      <c r="AH193" s="7">
        <v>0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99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96</v>
      </c>
      <c r="BW193" s="2" t="s">
        <v>1167</v>
      </c>
      <c r="BX193" s="2" t="s">
        <v>1190</v>
      </c>
      <c r="BY193" s="2" t="s">
        <v>109</v>
      </c>
      <c r="BZ193" s="2" t="s">
        <v>109</v>
      </c>
      <c r="CA193" s="2" t="s">
        <v>99</v>
      </c>
    </row>
    <row r="194">
      <c r="A194" s="2" t="s">
        <v>1191</v>
      </c>
      <c r="B194" s="2" t="s">
        <v>765</v>
      </c>
      <c r="C194" s="2" t="s">
        <v>203</v>
      </c>
      <c r="D194" s="2" t="s">
        <v>1132</v>
      </c>
      <c r="E194" s="2" t="s">
        <v>1133</v>
      </c>
      <c r="F194" s="2" t="s">
        <v>1192</v>
      </c>
      <c r="G194" s="2" t="s">
        <v>1193</v>
      </c>
      <c r="H194" s="2" t="s">
        <v>1194</v>
      </c>
      <c r="I194" s="2" t="s">
        <v>1195</v>
      </c>
      <c r="J194" s="2" t="s">
        <v>227</v>
      </c>
      <c r="K194" s="2" t="s">
        <v>643</v>
      </c>
      <c r="L194" s="3">
        <v>202.3</v>
      </c>
      <c r="M194" s="3">
        <v>212.42</v>
      </c>
      <c r="N194" s="3">
        <v>429</v>
      </c>
      <c r="O194" s="2" t="s">
        <v>96</v>
      </c>
      <c r="P194" s="2" t="s">
        <v>131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99</v>
      </c>
      <c r="V194" s="2" t="s">
        <v>157</v>
      </c>
      <c r="W194" s="2" t="s">
        <v>158</v>
      </c>
      <c r="X194" s="2" t="s">
        <v>330</v>
      </c>
      <c r="Y194" s="2" t="s">
        <v>1196</v>
      </c>
      <c r="Z194" s="4">
        <v>99</v>
      </c>
      <c r="AA194" s="4">
        <f>=ROUNDDOWN(11,0)</f>
      </c>
      <c r="AB194" s="5">
        <v>9</v>
      </c>
      <c r="AC194" s="2" t="s">
        <v>99</v>
      </c>
      <c r="AD194" s="4"/>
      <c r="AE194" s="4"/>
      <c r="AF194" s="6">
        <v>74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/>
      <c r="BJ194" s="4">
        <v>74</v>
      </c>
      <c r="BK194" s="8">
        <v>13316.53</v>
      </c>
      <c r="BL194" s="2" t="s">
        <v>1197</v>
      </c>
      <c r="BM194" s="7"/>
      <c r="BN194" s="7"/>
      <c r="BO194" s="4"/>
      <c r="BP194" s="8"/>
      <c r="BQ194" s="4"/>
      <c r="BR194" s="8"/>
      <c r="BS194" s="7"/>
      <c r="BT194" s="7"/>
      <c r="BU194" s="2" t="s">
        <v>306</v>
      </c>
      <c r="BV194" s="2" t="s">
        <v>96</v>
      </c>
      <c r="BW194" s="2" t="s">
        <v>99</v>
      </c>
      <c r="BX194" s="2" t="s">
        <v>99</v>
      </c>
      <c r="BY194" s="2" t="s">
        <v>109</v>
      </c>
      <c r="BZ194" s="2" t="s">
        <v>109</v>
      </c>
      <c r="CA194" s="2" t="s">
        <v>99</v>
      </c>
    </row>
    <row r="195">
      <c r="A195" s="2" t="s">
        <v>1198</v>
      </c>
      <c r="B195" s="2" t="s">
        <v>765</v>
      </c>
      <c r="C195" s="2" t="s">
        <v>203</v>
      </c>
      <c r="D195" s="2" t="s">
        <v>1132</v>
      </c>
      <c r="E195" s="2" t="s">
        <v>1133</v>
      </c>
      <c r="F195" s="2" t="s">
        <v>1192</v>
      </c>
      <c r="G195" s="2" t="s">
        <v>1193</v>
      </c>
      <c r="H195" s="2" t="s">
        <v>1194</v>
      </c>
      <c r="I195" s="2" t="s">
        <v>1195</v>
      </c>
      <c r="J195" s="2" t="s">
        <v>227</v>
      </c>
      <c r="K195" s="2" t="s">
        <v>228</v>
      </c>
      <c r="L195" s="3">
        <v>202.3</v>
      </c>
      <c r="M195" s="3">
        <v>212.42</v>
      </c>
      <c r="N195" s="3">
        <v>429</v>
      </c>
      <c r="O195" s="2" t="s">
        <v>96</v>
      </c>
      <c r="P195" s="2" t="s">
        <v>386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100</v>
      </c>
      <c r="V195" s="2" t="s">
        <v>157</v>
      </c>
      <c r="W195" s="2" t="s">
        <v>158</v>
      </c>
      <c r="X195" s="2" t="s">
        <v>330</v>
      </c>
      <c r="Y195" s="2" t="s">
        <v>1199</v>
      </c>
      <c r="Z195" s="4">
        <v>23</v>
      </c>
      <c r="AA195" s="4">
        <f>=ROUNDDOWN(10.952380952381,0)</f>
      </c>
      <c r="AB195" s="5">
        <v>2.1</v>
      </c>
      <c r="AC195" s="2" t="s">
        <v>99</v>
      </c>
      <c r="AD195" s="4"/>
      <c r="AE195" s="4"/>
      <c r="AF195" s="6">
        <v>76</v>
      </c>
      <c r="AG195" s="6">
        <v>62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/>
      <c r="BJ195" s="4">
        <v>24</v>
      </c>
      <c r="BK195" s="8">
        <v>3946.94</v>
      </c>
      <c r="BL195" s="2" t="s">
        <v>1200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96</v>
      </c>
      <c r="BW195" s="2" t="s">
        <v>1047</v>
      </c>
      <c r="BX195" s="2" t="s">
        <v>1201</v>
      </c>
      <c r="BY195" s="2" t="s">
        <v>109</v>
      </c>
      <c r="BZ195" s="2" t="s">
        <v>109</v>
      </c>
      <c r="CA195" s="2" t="s">
        <v>99</v>
      </c>
    </row>
    <row r="196">
      <c r="A196" s="2" t="s">
        <v>1202</v>
      </c>
      <c r="B196" s="2" t="s">
        <v>765</v>
      </c>
      <c r="C196" s="2" t="s">
        <v>203</v>
      </c>
      <c r="D196" s="2" t="s">
        <v>1132</v>
      </c>
      <c r="E196" s="2" t="s">
        <v>1133</v>
      </c>
      <c r="F196" s="2" t="s">
        <v>1192</v>
      </c>
      <c r="G196" s="2" t="s">
        <v>1193</v>
      </c>
      <c r="H196" s="2" t="s">
        <v>1194</v>
      </c>
      <c r="I196" s="2" t="s">
        <v>1195</v>
      </c>
      <c r="J196" s="2" t="s">
        <v>227</v>
      </c>
      <c r="K196" s="2" t="s">
        <v>789</v>
      </c>
      <c r="L196" s="3">
        <v>202.3</v>
      </c>
      <c r="M196" s="3">
        <v>212.42</v>
      </c>
      <c r="N196" s="3">
        <v>429</v>
      </c>
      <c r="O196" s="2" t="s">
        <v>96</v>
      </c>
      <c r="P196" s="2" t="s">
        <v>131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99</v>
      </c>
      <c r="V196" s="2" t="s">
        <v>157</v>
      </c>
      <c r="W196" s="2" t="s">
        <v>158</v>
      </c>
      <c r="X196" s="2" t="s">
        <v>99</v>
      </c>
      <c r="Y196" s="2" t="s">
        <v>686</v>
      </c>
      <c r="Z196" s="4"/>
      <c r="AA196" s="4">
        <f>=ROUNDDOWN({0},0)</f>
      </c>
      <c r="AB196" s="5">
        <v>12</v>
      </c>
      <c r="AC196" s="2" t="s">
        <v>1203</v>
      </c>
      <c r="AD196" s="4">
        <v>100</v>
      </c>
      <c r="AE196" s="4">
        <v>100</v>
      </c>
      <c r="AF196" s="6">
        <v>74</v>
      </c>
      <c r="AG196" s="6">
        <v>60</v>
      </c>
      <c r="AH196" s="7">
        <v>0.2069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/>
      <c r="BJ196" s="4">
        <v>10</v>
      </c>
      <c r="BK196" s="8">
        <v>2928.52</v>
      </c>
      <c r="BL196" s="2" t="s">
        <v>1204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96</v>
      </c>
      <c r="BW196" s="2" t="s">
        <v>934</v>
      </c>
      <c r="BX196" s="2" t="s">
        <v>1205</v>
      </c>
      <c r="BY196" s="2" t="s">
        <v>109</v>
      </c>
      <c r="BZ196" s="2" t="s">
        <v>109</v>
      </c>
      <c r="CA196" s="2" t="s">
        <v>99</v>
      </c>
    </row>
    <row r="197">
      <c r="A197" s="2" t="s">
        <v>1206</v>
      </c>
      <c r="B197" s="2" t="s">
        <v>765</v>
      </c>
      <c r="C197" s="2" t="s">
        <v>203</v>
      </c>
      <c r="D197" s="2" t="s">
        <v>1132</v>
      </c>
      <c r="E197" s="2" t="s">
        <v>1133</v>
      </c>
      <c r="F197" s="2" t="s">
        <v>1207</v>
      </c>
      <c r="G197" s="2" t="s">
        <v>1208</v>
      </c>
      <c r="H197" s="2" t="s">
        <v>1209</v>
      </c>
      <c r="I197" s="2" t="s">
        <v>1210</v>
      </c>
      <c r="J197" s="2" t="s">
        <v>227</v>
      </c>
      <c r="K197" s="2" t="s">
        <v>274</v>
      </c>
      <c r="L197" s="3">
        <v>190.4</v>
      </c>
      <c r="M197" s="3">
        <v>199.92</v>
      </c>
      <c r="N197" s="3">
        <v>399</v>
      </c>
      <c r="O197" s="2" t="s">
        <v>96</v>
      </c>
      <c r="P197" s="2" t="s">
        <v>131</v>
      </c>
      <c r="Q197" s="2" t="s">
        <v>98</v>
      </c>
      <c r="R197" s="2" t="s">
        <v>99</v>
      </c>
      <c r="S197" s="2" t="s">
        <v>1211</v>
      </c>
      <c r="T197" s="2" t="s">
        <v>99</v>
      </c>
      <c r="U197" s="2" t="s">
        <v>99</v>
      </c>
      <c r="V197" s="2" t="s">
        <v>157</v>
      </c>
      <c r="W197" s="2" t="s">
        <v>158</v>
      </c>
      <c r="X197" s="2" t="s">
        <v>99</v>
      </c>
      <c r="Y197" s="2" t="s">
        <v>925</v>
      </c>
      <c r="Z197" s="4"/>
      <c r="AA197" s="4">
        <f>=ROUNDDOWN({0},0)</f>
      </c>
      <c r="AB197" s="5">
        <v>8</v>
      </c>
      <c r="AC197" s="2" t="s">
        <v>1212</v>
      </c>
      <c r="AD197" s="4">
        <v>135</v>
      </c>
      <c r="AE197" s="4">
        <v>135</v>
      </c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2</v>
      </c>
      <c r="BK197" s="8">
        <v>593.04</v>
      </c>
      <c r="BL197" s="2" t="s">
        <v>654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96</v>
      </c>
      <c r="BW197" s="2" t="s">
        <v>1213</v>
      </c>
      <c r="BX197" s="2" t="s">
        <v>1214</v>
      </c>
      <c r="BY197" s="2" t="s">
        <v>109</v>
      </c>
      <c r="BZ197" s="2" t="s">
        <v>109</v>
      </c>
      <c r="CA197" s="2" t="s">
        <v>99</v>
      </c>
    </row>
    <row r="198">
      <c r="A198" s="2" t="s">
        <v>1215</v>
      </c>
      <c r="B198" s="2" t="s">
        <v>765</v>
      </c>
      <c r="C198" s="2" t="s">
        <v>203</v>
      </c>
      <c r="D198" s="2" t="s">
        <v>1132</v>
      </c>
      <c r="E198" s="2" t="s">
        <v>1133</v>
      </c>
      <c r="F198" s="2" t="s">
        <v>1216</v>
      </c>
      <c r="G198" s="2" t="s">
        <v>1217</v>
      </c>
      <c r="H198" s="2" t="s">
        <v>1218</v>
      </c>
      <c r="I198" s="2" t="s">
        <v>1219</v>
      </c>
      <c r="J198" s="2" t="s">
        <v>227</v>
      </c>
      <c r="K198" s="2" t="s">
        <v>1220</v>
      </c>
      <c r="L198" s="3">
        <v>226.1</v>
      </c>
      <c r="M198" s="3">
        <v>237.4</v>
      </c>
      <c r="N198" s="3">
        <v>479</v>
      </c>
      <c r="O198" s="2" t="s">
        <v>96</v>
      </c>
      <c r="P198" s="2" t="s">
        <v>131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100</v>
      </c>
      <c r="V198" s="2" t="s">
        <v>157</v>
      </c>
      <c r="W198" s="2" t="s">
        <v>158</v>
      </c>
      <c r="X198" s="2" t="s">
        <v>291</v>
      </c>
      <c r="Y198" s="2" t="s">
        <v>1144</v>
      </c>
      <c r="Z198" s="4">
        <v>76</v>
      </c>
      <c r="AA198" s="4">
        <f>=ROUNDDOWN(19,0)</f>
      </c>
      <c r="AB198" s="5">
        <v>4</v>
      </c>
      <c r="AC198" s="2" t="s">
        <v>1203</v>
      </c>
      <c r="AD198" s="4">
        <v>75</v>
      </c>
      <c r="AE198" s="4">
        <v>75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15</v>
      </c>
      <c r="BK198" s="8">
        <v>3448.88</v>
      </c>
      <c r="BL198" s="2" t="s">
        <v>1221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96</v>
      </c>
      <c r="BW198" s="2" t="s">
        <v>1222</v>
      </c>
      <c r="BX198" s="2" t="s">
        <v>1223</v>
      </c>
      <c r="BY198" s="2" t="s">
        <v>109</v>
      </c>
      <c r="BZ198" s="2" t="s">
        <v>109</v>
      </c>
      <c r="CA198" s="2" t="s">
        <v>99</v>
      </c>
    </row>
    <row r="199">
      <c r="A199" s="2" t="s">
        <v>1224</v>
      </c>
      <c r="B199" s="2" t="s">
        <v>765</v>
      </c>
      <c r="C199" s="2" t="s">
        <v>203</v>
      </c>
      <c r="D199" s="2" t="s">
        <v>1132</v>
      </c>
      <c r="E199" s="2" t="s">
        <v>1225</v>
      </c>
      <c r="F199" s="2" t="s">
        <v>1226</v>
      </c>
      <c r="G199" s="2" t="s">
        <v>1227</v>
      </c>
      <c r="H199" s="2" t="s">
        <v>1228</v>
      </c>
      <c r="I199" s="2" t="s">
        <v>1229</v>
      </c>
      <c r="J199" s="2" t="s">
        <v>227</v>
      </c>
      <c r="K199" s="2" t="s">
        <v>1230</v>
      </c>
      <c r="L199" s="3">
        <v>237.5</v>
      </c>
      <c r="M199" s="3">
        <v>249.38</v>
      </c>
      <c r="N199" s="3">
        <v>499</v>
      </c>
      <c r="O199" s="2" t="s">
        <v>96</v>
      </c>
      <c r="P199" s="2" t="s">
        <v>386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100</v>
      </c>
      <c r="V199" s="2" t="s">
        <v>157</v>
      </c>
      <c r="W199" s="2" t="s">
        <v>158</v>
      </c>
      <c r="X199" s="2" t="s">
        <v>99</v>
      </c>
      <c r="Y199" s="2" t="s">
        <v>196</v>
      </c>
      <c r="Z199" s="4">
        <v>94</v>
      </c>
      <c r="AA199" s="4">
        <f>=ROUNDDOWN(23.5,0)</f>
      </c>
      <c r="AB199" s="5">
        <v>4</v>
      </c>
      <c r="AC199" s="2" t="s">
        <v>99</v>
      </c>
      <c r="AD199" s="4"/>
      <c r="AE199" s="4"/>
      <c r="AF199" s="6">
        <v>74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>
        <v>2</v>
      </c>
      <c r="AQ199" s="8">
        <v>538.66</v>
      </c>
      <c r="AR199" s="4"/>
      <c r="AS199" s="8"/>
      <c r="AT199" s="7"/>
      <c r="AU199" s="7"/>
      <c r="AV199" s="4">
        <v>2</v>
      </c>
      <c r="AW199" s="8">
        <v>538.66</v>
      </c>
      <c r="AX199" s="4"/>
      <c r="AY199" s="8"/>
      <c r="AZ199" s="7"/>
      <c r="BA199" s="7"/>
      <c r="BB199" s="7">
        <v>1</v>
      </c>
      <c r="BC199" s="4">
        <v>2</v>
      </c>
      <c r="BD199" s="8">
        <v>538.66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1</v>
      </c>
      <c r="BJ199" s="4">
        <v>16</v>
      </c>
      <c r="BK199" s="8">
        <v>3927</v>
      </c>
      <c r="BL199" s="2" t="s">
        <v>1231</v>
      </c>
      <c r="BM199" s="7">
        <v>0.125</v>
      </c>
      <c r="BN199" s="7">
        <v>0.1372</v>
      </c>
      <c r="BO199" s="4">
        <v>2</v>
      </c>
      <c r="BP199" s="8">
        <v>538.66</v>
      </c>
      <c r="BQ199" s="4"/>
      <c r="BR199" s="8"/>
      <c r="BS199" s="7"/>
      <c r="BT199" s="7"/>
      <c r="BU199" s="2" t="s">
        <v>107</v>
      </c>
      <c r="BV199" s="2" t="s">
        <v>96</v>
      </c>
      <c r="BW199" s="2" t="s">
        <v>260</v>
      </c>
      <c r="BX199" s="2" t="s">
        <v>1232</v>
      </c>
      <c r="BY199" s="2" t="s">
        <v>109</v>
      </c>
      <c r="BZ199" s="2" t="s">
        <v>109</v>
      </c>
      <c r="CA199" s="2" t="s">
        <v>99</v>
      </c>
    </row>
    <row r="200">
      <c r="A200" s="2" t="s">
        <v>1233</v>
      </c>
      <c r="B200" s="2" t="s">
        <v>765</v>
      </c>
      <c r="C200" s="2" t="s">
        <v>203</v>
      </c>
      <c r="D200" s="2" t="s">
        <v>1132</v>
      </c>
      <c r="E200" s="2" t="s">
        <v>1225</v>
      </c>
      <c r="F200" s="2" t="s">
        <v>1226</v>
      </c>
      <c r="G200" s="2" t="s">
        <v>1227</v>
      </c>
      <c r="H200" s="2" t="s">
        <v>1228</v>
      </c>
      <c r="I200" s="2" t="s">
        <v>1229</v>
      </c>
      <c r="J200" s="2" t="s">
        <v>227</v>
      </c>
      <c r="K200" s="2" t="s">
        <v>784</v>
      </c>
      <c r="L200" s="3">
        <v>237.5</v>
      </c>
      <c r="M200" s="3">
        <v>249.38</v>
      </c>
      <c r="N200" s="3">
        <v>499</v>
      </c>
      <c r="O200" s="2" t="s">
        <v>96</v>
      </c>
      <c r="P200" s="2" t="s">
        <v>131</v>
      </c>
      <c r="Q200" s="2" t="s">
        <v>98</v>
      </c>
      <c r="R200" s="2" t="s">
        <v>99</v>
      </c>
      <c r="S200" s="2" t="s">
        <v>1234</v>
      </c>
      <c r="T200" s="2" t="s">
        <v>99</v>
      </c>
      <c r="U200" s="2" t="s">
        <v>100</v>
      </c>
      <c r="V200" s="2" t="s">
        <v>157</v>
      </c>
      <c r="W200" s="2" t="s">
        <v>158</v>
      </c>
      <c r="X200" s="2" t="s">
        <v>99</v>
      </c>
      <c r="Y200" s="2" t="s">
        <v>1060</v>
      </c>
      <c r="Z200" s="4">
        <v>73</v>
      </c>
      <c r="AA200" s="4">
        <f>=ROUNDDOWN(10.4285714285714,0)</f>
      </c>
      <c r="AB200" s="5">
        <v>7</v>
      </c>
      <c r="AC200" s="2" t="s">
        <v>99</v>
      </c>
      <c r="AD200" s="4"/>
      <c r="AE200" s="4"/>
      <c r="AF200" s="6">
        <v>74</v>
      </c>
      <c r="AG200" s="6">
        <v>60</v>
      </c>
      <c r="AH200" s="7">
        <v>0.1379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/>
      <c r="BJ200" s="4">
        <v>11</v>
      </c>
      <c r="BK200" s="8">
        <v>2743.18</v>
      </c>
      <c r="BL200" s="2" t="s">
        <v>654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96</v>
      </c>
      <c r="BW200" s="2" t="s">
        <v>934</v>
      </c>
      <c r="BX200" s="2" t="s">
        <v>196</v>
      </c>
      <c r="BY200" s="2" t="s">
        <v>109</v>
      </c>
      <c r="BZ200" s="2" t="s">
        <v>109</v>
      </c>
      <c r="CA200" s="2" t="s">
        <v>99</v>
      </c>
    </row>
    <row r="201">
      <c r="A201" s="2" t="s">
        <v>1235</v>
      </c>
      <c r="B201" s="2" t="s">
        <v>765</v>
      </c>
      <c r="C201" s="2" t="s">
        <v>203</v>
      </c>
      <c r="D201" s="2" t="s">
        <v>1132</v>
      </c>
      <c r="E201" s="2" t="s">
        <v>1225</v>
      </c>
      <c r="F201" s="2" t="s">
        <v>1236</v>
      </c>
      <c r="G201" s="2" t="s">
        <v>1237</v>
      </c>
      <c r="H201" s="2" t="s">
        <v>1238</v>
      </c>
      <c r="I201" s="2" t="s">
        <v>1229</v>
      </c>
      <c r="J201" s="2" t="s">
        <v>227</v>
      </c>
      <c r="K201" s="2" t="s">
        <v>777</v>
      </c>
      <c r="L201" s="3">
        <v>270.75</v>
      </c>
      <c r="M201" s="3">
        <v>284.29</v>
      </c>
      <c r="N201" s="3">
        <v>569</v>
      </c>
      <c r="O201" s="2" t="s">
        <v>96</v>
      </c>
      <c r="P201" s="2" t="s">
        <v>131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100</v>
      </c>
      <c r="V201" s="2" t="s">
        <v>157</v>
      </c>
      <c r="W201" s="2" t="s">
        <v>158</v>
      </c>
      <c r="X201" s="2" t="s">
        <v>99</v>
      </c>
      <c r="Y201" s="2" t="s">
        <v>1239</v>
      </c>
      <c r="Z201" s="4">
        <v>36</v>
      </c>
      <c r="AA201" s="4">
        <f>=ROUNDDOWN(7.2,0)</f>
      </c>
      <c r="AB201" s="5">
        <v>5</v>
      </c>
      <c r="AC201" s="2" t="s">
        <v>801</v>
      </c>
      <c r="AD201" s="4">
        <v>100</v>
      </c>
      <c r="AE201" s="4">
        <v>100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24</v>
      </c>
      <c r="BK201" s="8">
        <v>5975.54</v>
      </c>
      <c r="BL201" s="2" t="s">
        <v>1240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96</v>
      </c>
      <c r="BW201" s="2" t="s">
        <v>260</v>
      </c>
      <c r="BX201" s="2" t="s">
        <v>1241</v>
      </c>
      <c r="BY201" s="2" t="s">
        <v>109</v>
      </c>
      <c r="BZ201" s="2" t="s">
        <v>109</v>
      </c>
      <c r="CA201" s="2" t="s">
        <v>99</v>
      </c>
    </row>
    <row r="202">
      <c r="A202" s="2" t="s">
        <v>1242</v>
      </c>
      <c r="B202" s="2" t="s">
        <v>765</v>
      </c>
      <c r="C202" s="2" t="s">
        <v>203</v>
      </c>
      <c r="D202" s="2" t="s">
        <v>1132</v>
      </c>
      <c r="E202" s="2" t="s">
        <v>1243</v>
      </c>
      <c r="F202" s="2" t="s">
        <v>1244</v>
      </c>
      <c r="G202" s="2" t="s">
        <v>1245</v>
      </c>
      <c r="H202" s="2" t="s">
        <v>1246</v>
      </c>
      <c r="I202" s="2" t="s">
        <v>1247</v>
      </c>
      <c r="J202" s="2" t="s">
        <v>227</v>
      </c>
      <c r="K202" s="2" t="s">
        <v>784</v>
      </c>
      <c r="L202" s="3">
        <v>282.15</v>
      </c>
      <c r="M202" s="3">
        <v>296.26</v>
      </c>
      <c r="N202" s="3">
        <v>599</v>
      </c>
      <c r="O202" s="2" t="s">
        <v>96</v>
      </c>
      <c r="P202" s="2" t="s">
        <v>131</v>
      </c>
      <c r="Q202" s="2" t="s">
        <v>98</v>
      </c>
      <c r="R202" s="2" t="s">
        <v>99</v>
      </c>
      <c r="S202" s="2" t="s">
        <v>1248</v>
      </c>
      <c r="T202" s="2" t="s">
        <v>99</v>
      </c>
      <c r="U202" s="2" t="s">
        <v>99</v>
      </c>
      <c r="V202" s="2" t="s">
        <v>157</v>
      </c>
      <c r="W202" s="2" t="s">
        <v>158</v>
      </c>
      <c r="X202" s="2" t="s">
        <v>99</v>
      </c>
      <c r="Y202" s="2" t="s">
        <v>1060</v>
      </c>
      <c r="Z202" s="4">
        <v>10</v>
      </c>
      <c r="AA202" s="4">
        <f>=ROUNDDOWN(0.588235294117647,0)</f>
      </c>
      <c r="AB202" s="5">
        <v>17</v>
      </c>
      <c r="AC202" s="2" t="s">
        <v>7</v>
      </c>
      <c r="AD202" s="4">
        <v>45</v>
      </c>
      <c r="AE202" s="4">
        <v>264</v>
      </c>
      <c r="AF202" s="6">
        <v>74</v>
      </c>
      <c r="AG202" s="6">
        <v>60</v>
      </c>
      <c r="AH202" s="7">
        <v>0.8966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1</v>
      </c>
      <c r="AQ202" s="8">
        <v>319.96</v>
      </c>
      <c r="AR202" s="4"/>
      <c r="AS202" s="8"/>
      <c r="AT202" s="7"/>
      <c r="AU202" s="7"/>
      <c r="AV202" s="4">
        <v>1</v>
      </c>
      <c r="AW202" s="8">
        <v>319.96</v>
      </c>
      <c r="AX202" s="4"/>
      <c r="AY202" s="8"/>
      <c r="AZ202" s="7"/>
      <c r="BA202" s="7"/>
      <c r="BB202" s="7">
        <v>1</v>
      </c>
      <c r="BC202" s="4">
        <v>1</v>
      </c>
      <c r="BD202" s="8">
        <v>319.96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1</v>
      </c>
      <c r="BJ202" s="4">
        <v>112</v>
      </c>
      <c r="BK202" s="8">
        <v>30526.02</v>
      </c>
      <c r="BL202" s="2" t="s">
        <v>1249</v>
      </c>
      <c r="BM202" s="7">
        <v>0.0089</v>
      </c>
      <c r="BN202" s="7">
        <v>0.0105</v>
      </c>
      <c r="BO202" s="4">
        <v>1</v>
      </c>
      <c r="BP202" s="8">
        <v>319.96</v>
      </c>
      <c r="BQ202" s="4"/>
      <c r="BR202" s="8"/>
      <c r="BS202" s="7"/>
      <c r="BT202" s="7"/>
      <c r="BU202" s="2" t="s">
        <v>107</v>
      </c>
      <c r="BV202" s="2" t="s">
        <v>96</v>
      </c>
      <c r="BW202" s="2" t="s">
        <v>1250</v>
      </c>
      <c r="BX202" s="2" t="s">
        <v>554</v>
      </c>
      <c r="BY202" s="2" t="s">
        <v>109</v>
      </c>
      <c r="BZ202" s="2" t="s">
        <v>109</v>
      </c>
      <c r="CA202" s="2" t="s">
        <v>99</v>
      </c>
    </row>
    <row r="203">
      <c r="A203" s="2" t="s">
        <v>1251</v>
      </c>
      <c r="B203" s="2" t="s">
        <v>765</v>
      </c>
      <c r="C203" s="2" t="s">
        <v>203</v>
      </c>
      <c r="D203" s="2" t="s">
        <v>1132</v>
      </c>
      <c r="E203" s="2" t="s">
        <v>1243</v>
      </c>
      <c r="F203" s="2" t="s">
        <v>1244</v>
      </c>
      <c r="G203" s="2" t="s">
        <v>1245</v>
      </c>
      <c r="H203" s="2" t="s">
        <v>1246</v>
      </c>
      <c r="I203" s="2" t="s">
        <v>1247</v>
      </c>
      <c r="J203" s="2" t="s">
        <v>227</v>
      </c>
      <c r="K203" s="2" t="s">
        <v>805</v>
      </c>
      <c r="L203" s="3">
        <v>282.15</v>
      </c>
      <c r="M203" s="3">
        <v>296.26</v>
      </c>
      <c r="N203" s="3">
        <v>599</v>
      </c>
      <c r="O203" s="2" t="s">
        <v>96</v>
      </c>
      <c r="P203" s="2" t="s">
        <v>317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100</v>
      </c>
      <c r="V203" s="2" t="s">
        <v>157</v>
      </c>
      <c r="W203" s="2" t="s">
        <v>99</v>
      </c>
      <c r="X203" s="2" t="s">
        <v>99</v>
      </c>
      <c r="Y203" s="2" t="s">
        <v>1252</v>
      </c>
      <c r="Z203" s="4">
        <v>127</v>
      </c>
      <c r="AA203" s="4">
        <f>=ROUNDDOWN(63.5,0)</f>
      </c>
      <c r="AB203" s="5">
        <v>2</v>
      </c>
      <c r="AC203" s="2" t="s">
        <v>811</v>
      </c>
      <c r="AD203" s="4">
        <v>64</v>
      </c>
      <c r="AE203" s="4">
        <v>170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/>
      <c r="BJ203" s="4">
        <v>17</v>
      </c>
      <c r="BK203" s="8">
        <v>4723.84</v>
      </c>
      <c r="BL203" s="2" t="s">
        <v>1253</v>
      </c>
      <c r="BM203" s="7"/>
      <c r="BN203" s="7"/>
      <c r="BO203" s="4"/>
      <c r="BP203" s="8"/>
      <c r="BQ203" s="4"/>
      <c r="BR203" s="8"/>
      <c r="BS203" s="7"/>
      <c r="BT203" s="7"/>
      <c r="BU203" s="2" t="s">
        <v>645</v>
      </c>
      <c r="BV203" s="2" t="s">
        <v>96</v>
      </c>
      <c r="BW203" s="2" t="s">
        <v>99</v>
      </c>
      <c r="BX203" s="2" t="s">
        <v>99</v>
      </c>
      <c r="BY203" s="2" t="s">
        <v>109</v>
      </c>
      <c r="BZ203" s="2" t="s">
        <v>109</v>
      </c>
      <c r="CA203" s="2" t="s">
        <v>99</v>
      </c>
    </row>
    <row r="204">
      <c r="A204" s="2" t="s">
        <v>1254</v>
      </c>
      <c r="B204" s="2" t="s">
        <v>765</v>
      </c>
      <c r="C204" s="2" t="s">
        <v>203</v>
      </c>
      <c r="D204" s="2" t="s">
        <v>1132</v>
      </c>
      <c r="E204" s="2" t="s">
        <v>1243</v>
      </c>
      <c r="F204" s="2" t="s">
        <v>1255</v>
      </c>
      <c r="G204" s="2" t="s">
        <v>1256</v>
      </c>
      <c r="H204" s="2" t="s">
        <v>1257</v>
      </c>
      <c r="I204" s="2" t="s">
        <v>1258</v>
      </c>
      <c r="J204" s="2" t="s">
        <v>227</v>
      </c>
      <c r="K204" s="2" t="s">
        <v>863</v>
      </c>
      <c r="L204" s="3">
        <v>261.25</v>
      </c>
      <c r="M204" s="3">
        <v>274.31</v>
      </c>
      <c r="N204" s="3">
        <v>549</v>
      </c>
      <c r="O204" s="2" t="s">
        <v>96</v>
      </c>
      <c r="P204" s="2" t="s">
        <v>131</v>
      </c>
      <c r="Q204" s="2" t="s">
        <v>98</v>
      </c>
      <c r="R204" s="2" t="s">
        <v>99</v>
      </c>
      <c r="S204" s="2" t="s">
        <v>1259</v>
      </c>
      <c r="T204" s="2" t="s">
        <v>99</v>
      </c>
      <c r="U204" s="2" t="s">
        <v>99</v>
      </c>
      <c r="V204" s="2" t="s">
        <v>157</v>
      </c>
      <c r="W204" s="2" t="s">
        <v>158</v>
      </c>
      <c r="X204" s="2" t="s">
        <v>99</v>
      </c>
      <c r="Y204" s="2" t="s">
        <v>1260</v>
      </c>
      <c r="Z204" s="4">
        <v>2</v>
      </c>
      <c r="AA204" s="4">
        <f>=ROUNDDOWN(0.25,0)</f>
      </c>
      <c r="AB204" s="5">
        <v>8</v>
      </c>
      <c r="AC204" s="2" t="s">
        <v>904</v>
      </c>
      <c r="AD204" s="4">
        <v>100</v>
      </c>
      <c r="AE204" s="4">
        <v>100</v>
      </c>
      <c r="AF204" s="6">
        <v>74</v>
      </c>
      <c r="AG204" s="6">
        <v>60</v>
      </c>
      <c r="AH204" s="7">
        <v>0.0345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15</v>
      </c>
      <c r="BK204" s="8">
        <v>4124.71</v>
      </c>
      <c r="BL204" s="2" t="s">
        <v>1261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96</v>
      </c>
      <c r="BW204" s="2" t="s">
        <v>1213</v>
      </c>
      <c r="BX204" s="2" t="s">
        <v>867</v>
      </c>
      <c r="BY204" s="2" t="s">
        <v>109</v>
      </c>
      <c r="BZ204" s="2" t="s">
        <v>109</v>
      </c>
      <c r="CA204" s="2" t="s">
        <v>99</v>
      </c>
    </row>
    <row r="205">
      <c r="A205" s="2" t="s">
        <v>1262</v>
      </c>
      <c r="B205" s="2" t="s">
        <v>765</v>
      </c>
      <c r="C205" s="2" t="s">
        <v>203</v>
      </c>
      <c r="D205" s="2" t="s">
        <v>1132</v>
      </c>
      <c r="E205" s="2" t="s">
        <v>1243</v>
      </c>
      <c r="F205" s="2" t="s">
        <v>1263</v>
      </c>
      <c r="G205" s="2" t="s">
        <v>1264</v>
      </c>
      <c r="H205" s="2" t="s">
        <v>1265</v>
      </c>
      <c r="I205" s="2" t="s">
        <v>1258</v>
      </c>
      <c r="J205" s="2" t="s">
        <v>227</v>
      </c>
      <c r="K205" s="2" t="s">
        <v>228</v>
      </c>
      <c r="L205" s="3">
        <v>270.75</v>
      </c>
      <c r="M205" s="3">
        <v>284.29</v>
      </c>
      <c r="N205" s="3">
        <v>569</v>
      </c>
      <c r="O205" s="2" t="s">
        <v>96</v>
      </c>
      <c r="P205" s="2" t="s">
        <v>1266</v>
      </c>
      <c r="Q205" s="2" t="s">
        <v>98</v>
      </c>
      <c r="R205" s="2" t="s">
        <v>99</v>
      </c>
      <c r="S205" s="2" t="s">
        <v>1267</v>
      </c>
      <c r="T205" s="2" t="s">
        <v>99</v>
      </c>
      <c r="U205" s="2" t="s">
        <v>99</v>
      </c>
      <c r="V205" s="2" t="s">
        <v>1058</v>
      </c>
      <c r="W205" s="2" t="s">
        <v>158</v>
      </c>
      <c r="X205" s="2" t="s">
        <v>99</v>
      </c>
      <c r="Y205" s="2" t="s">
        <v>1060</v>
      </c>
      <c r="Z205" s="4">
        <v>70</v>
      </c>
      <c r="AA205" s="4">
        <f>=ROUNDDOWN(7.77777777777778,0)</f>
      </c>
      <c r="AB205" s="5">
        <v>9</v>
      </c>
      <c r="AC205" s="2" t="s">
        <v>904</v>
      </c>
      <c r="AD205" s="4">
        <v>170</v>
      </c>
      <c r="AE205" s="4">
        <v>170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>
        <v>28</v>
      </c>
      <c r="BK205" s="8">
        <v>6932.23</v>
      </c>
      <c r="BL205" s="2" t="s">
        <v>1268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96</v>
      </c>
      <c r="BW205" s="2" t="s">
        <v>934</v>
      </c>
      <c r="BX205" s="2" t="s">
        <v>1269</v>
      </c>
      <c r="BY205" s="2" t="s">
        <v>109</v>
      </c>
      <c r="BZ205" s="2" t="s">
        <v>109</v>
      </c>
      <c r="CA205" s="2" t="s">
        <v>99</v>
      </c>
    </row>
    <row r="206">
      <c r="A206" s="2" t="s">
        <v>1270</v>
      </c>
      <c r="B206" s="2" t="s">
        <v>765</v>
      </c>
      <c r="C206" s="2" t="s">
        <v>203</v>
      </c>
      <c r="D206" s="2" t="s">
        <v>1132</v>
      </c>
      <c r="E206" s="2" t="s">
        <v>1243</v>
      </c>
      <c r="F206" s="2" t="s">
        <v>1263</v>
      </c>
      <c r="G206" s="2" t="s">
        <v>1264</v>
      </c>
      <c r="H206" s="2" t="s">
        <v>1265</v>
      </c>
      <c r="I206" s="2" t="s">
        <v>1258</v>
      </c>
      <c r="J206" s="2" t="s">
        <v>227</v>
      </c>
      <c r="K206" s="2" t="s">
        <v>1271</v>
      </c>
      <c r="L206" s="3">
        <v>270.75</v>
      </c>
      <c r="M206" s="3">
        <v>284.29</v>
      </c>
      <c r="N206" s="3">
        <v>569</v>
      </c>
      <c r="O206" s="2" t="s">
        <v>96</v>
      </c>
      <c r="P206" s="2" t="s">
        <v>131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100</v>
      </c>
      <c r="V206" s="2" t="s">
        <v>101</v>
      </c>
      <c r="W206" s="2" t="s">
        <v>158</v>
      </c>
      <c r="X206" s="2" t="s">
        <v>330</v>
      </c>
      <c r="Y206" s="2" t="s">
        <v>1272</v>
      </c>
      <c r="Z206" s="4">
        <v>2</v>
      </c>
      <c r="AA206" s="4">
        <f>=ROUNDDOWN(0.153846153846154,0)</f>
      </c>
      <c r="AB206" s="5">
        <v>13</v>
      </c>
      <c r="AC206" s="2" t="s">
        <v>904</v>
      </c>
      <c r="AD206" s="4">
        <v>234</v>
      </c>
      <c r="AE206" s="4">
        <v>234</v>
      </c>
      <c r="AF206" s="6">
        <v>74</v>
      </c>
      <c r="AG206" s="6">
        <v>60</v>
      </c>
      <c r="AH206" s="7">
        <v>0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/>
      <c r="BK206" s="8"/>
      <c r="BL206" s="2" t="s">
        <v>99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96</v>
      </c>
      <c r="BW206" s="2" t="s">
        <v>1273</v>
      </c>
      <c r="BX206" s="2" t="s">
        <v>1274</v>
      </c>
      <c r="BY206" s="2" t="s">
        <v>109</v>
      </c>
      <c r="BZ206" s="2" t="s">
        <v>109</v>
      </c>
      <c r="CA206" s="2" t="s">
        <v>99</v>
      </c>
    </row>
    <row r="207">
      <c r="A207" s="2" t="s">
        <v>1275</v>
      </c>
      <c r="B207" s="2" t="s">
        <v>765</v>
      </c>
      <c r="C207" s="2" t="s">
        <v>203</v>
      </c>
      <c r="D207" s="2" t="s">
        <v>1132</v>
      </c>
      <c r="E207" s="2" t="s">
        <v>644</v>
      </c>
      <c r="F207" s="2" t="s">
        <v>1276</v>
      </c>
      <c r="G207" s="2" t="s">
        <v>1276</v>
      </c>
      <c r="H207" s="2" t="s">
        <v>1276</v>
      </c>
      <c r="I207" s="2" t="s">
        <v>1277</v>
      </c>
      <c r="J207" s="2" t="s">
        <v>227</v>
      </c>
      <c r="K207" s="2" t="s">
        <v>605</v>
      </c>
      <c r="L207" s="3">
        <v>265</v>
      </c>
      <c r="M207" s="3">
        <v>278.25</v>
      </c>
      <c r="N207" s="3">
        <v>549</v>
      </c>
      <c r="O207" s="2" t="s">
        <v>96</v>
      </c>
      <c r="P207" s="2" t="s">
        <v>317</v>
      </c>
      <c r="Q207" s="2" t="s">
        <v>98</v>
      </c>
      <c r="R207" s="2" t="s">
        <v>99</v>
      </c>
      <c r="S207" s="2" t="s">
        <v>99</v>
      </c>
      <c r="T207" s="2" t="s">
        <v>1278</v>
      </c>
      <c r="U207" s="2" t="s">
        <v>99</v>
      </c>
      <c r="V207" s="2" t="s">
        <v>644</v>
      </c>
      <c r="W207" s="2" t="s">
        <v>785</v>
      </c>
      <c r="X207" s="2" t="s">
        <v>99</v>
      </c>
      <c r="Y207" s="2" t="s">
        <v>99</v>
      </c>
      <c r="Z207" s="4"/>
      <c r="AA207" s="4">
        <f>=ROUNDDOWN({0},0)</f>
      </c>
      <c r="AB207" s="5"/>
      <c r="AC207" s="2" t="s">
        <v>926</v>
      </c>
      <c r="AD207" s="4">
        <v>180</v>
      </c>
      <c r="AE207" s="4">
        <v>180</v>
      </c>
      <c r="AF207" s="6">
        <v>74</v>
      </c>
      <c r="AG207" s="6"/>
      <c r="AH207" s="7"/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/>
      <c r="BJ207" s="4"/>
      <c r="BK207" s="8"/>
      <c r="BL207" s="2" t="s">
        <v>99</v>
      </c>
      <c r="BM207" s="7"/>
      <c r="BN207" s="7"/>
      <c r="BO207" s="4"/>
      <c r="BP207" s="8"/>
      <c r="BQ207" s="4"/>
      <c r="BR207" s="8"/>
      <c r="BS207" s="7"/>
      <c r="BT207" s="7"/>
      <c r="BU207" s="2" t="s">
        <v>819</v>
      </c>
      <c r="BV207" s="2" t="s">
        <v>96</v>
      </c>
      <c r="BW207" s="2" t="s">
        <v>99</v>
      </c>
      <c r="BX207" s="2" t="s">
        <v>99</v>
      </c>
      <c r="BY207" s="2" t="s">
        <v>109</v>
      </c>
      <c r="BZ207" s="2" t="s">
        <v>109</v>
      </c>
      <c r="CA207" s="2" t="s">
        <v>99</v>
      </c>
    </row>
    <row r="208">
      <c r="A208" s="2" t="s">
        <v>1279</v>
      </c>
      <c r="B208" s="2" t="s">
        <v>765</v>
      </c>
      <c r="C208" s="2" t="s">
        <v>203</v>
      </c>
      <c r="D208" s="2" t="s">
        <v>1132</v>
      </c>
      <c r="E208" s="2" t="s">
        <v>644</v>
      </c>
      <c r="F208" s="2" t="s">
        <v>1276</v>
      </c>
      <c r="G208" s="2" t="s">
        <v>1276</v>
      </c>
      <c r="H208" s="2" t="s">
        <v>1276</v>
      </c>
      <c r="I208" s="2" t="s">
        <v>1277</v>
      </c>
      <c r="J208" s="2" t="s">
        <v>227</v>
      </c>
      <c r="K208" s="2" t="s">
        <v>887</v>
      </c>
      <c r="L208" s="3">
        <v>265</v>
      </c>
      <c r="M208" s="3">
        <v>278.25</v>
      </c>
      <c r="N208" s="3">
        <v>549</v>
      </c>
      <c r="O208" s="2" t="s">
        <v>96</v>
      </c>
      <c r="P208" s="2" t="s">
        <v>317</v>
      </c>
      <c r="Q208" s="2" t="s">
        <v>98</v>
      </c>
      <c r="R208" s="2" t="s">
        <v>99</v>
      </c>
      <c r="S208" s="2" t="s">
        <v>99</v>
      </c>
      <c r="T208" s="2" t="s">
        <v>1278</v>
      </c>
      <c r="U208" s="2" t="s">
        <v>99</v>
      </c>
      <c r="V208" s="2" t="s">
        <v>644</v>
      </c>
      <c r="W208" s="2" t="s">
        <v>785</v>
      </c>
      <c r="X208" s="2" t="s">
        <v>99</v>
      </c>
      <c r="Y208" s="2" t="s">
        <v>99</v>
      </c>
      <c r="Z208" s="4"/>
      <c r="AA208" s="4">
        <f>=ROUNDDOWN({0},0)</f>
      </c>
      <c r="AB208" s="5"/>
      <c r="AC208" s="2" t="s">
        <v>926</v>
      </c>
      <c r="AD208" s="4">
        <v>180</v>
      </c>
      <c r="AE208" s="4">
        <v>180</v>
      </c>
      <c r="AF208" s="6">
        <v>74</v>
      </c>
      <c r="AG208" s="6"/>
      <c r="AH208" s="7"/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819</v>
      </c>
      <c r="BV208" s="2" t="s">
        <v>96</v>
      </c>
      <c r="BW208" s="2" t="s">
        <v>99</v>
      </c>
      <c r="BX208" s="2" t="s">
        <v>99</v>
      </c>
      <c r="BY208" s="2" t="s">
        <v>109</v>
      </c>
      <c r="BZ208" s="2" t="s">
        <v>109</v>
      </c>
      <c r="CA208" s="2" t="s">
        <v>99</v>
      </c>
    </row>
    <row r="209">
      <c r="A209" s="2" t="s">
        <v>1280</v>
      </c>
      <c r="B209" s="2" t="s">
        <v>765</v>
      </c>
      <c r="C209" s="2" t="s">
        <v>203</v>
      </c>
      <c r="D209" s="2" t="s">
        <v>1132</v>
      </c>
      <c r="E209" s="2" t="s">
        <v>1281</v>
      </c>
      <c r="F209" s="2" t="s">
        <v>1282</v>
      </c>
      <c r="G209" s="2" t="s">
        <v>1282</v>
      </c>
      <c r="H209" s="2" t="s">
        <v>1282</v>
      </c>
      <c r="I209" s="2" t="s">
        <v>1283</v>
      </c>
      <c r="J209" s="2" t="s">
        <v>227</v>
      </c>
      <c r="K209" s="2" t="s">
        <v>605</v>
      </c>
      <c r="L209" s="3">
        <v>268</v>
      </c>
      <c r="M209" s="3">
        <v>281.4</v>
      </c>
      <c r="N209" s="3">
        <v>549</v>
      </c>
      <c r="O209" s="2" t="s">
        <v>96</v>
      </c>
      <c r="P209" s="2" t="s">
        <v>317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99</v>
      </c>
      <c r="V209" s="2" t="s">
        <v>644</v>
      </c>
      <c r="W209" s="2" t="s">
        <v>102</v>
      </c>
      <c r="X209" s="2" t="s">
        <v>330</v>
      </c>
      <c r="Y209" s="2" t="s">
        <v>1284</v>
      </c>
      <c r="Z209" s="4">
        <v>370</v>
      </c>
      <c r="AA209" s="4">
        <f>=ROUNDDOWN(61.6666666666667,0)</f>
      </c>
      <c r="AB209" s="5">
        <v>6</v>
      </c>
      <c r="AC209" s="2" t="s">
        <v>904</v>
      </c>
      <c r="AD209" s="4">
        <v>34</v>
      </c>
      <c r="AE209" s="4">
        <v>34</v>
      </c>
      <c r="AF209" s="6">
        <v>74</v>
      </c>
      <c r="AG209" s="6">
        <v>60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/>
      <c r="BJ209" s="4">
        <v>50</v>
      </c>
      <c r="BK209" s="8">
        <v>15209.6</v>
      </c>
      <c r="BL209" s="2" t="s">
        <v>1285</v>
      </c>
      <c r="BM209" s="7"/>
      <c r="BN209" s="7"/>
      <c r="BO209" s="4"/>
      <c r="BP209" s="8"/>
      <c r="BQ209" s="4"/>
      <c r="BR209" s="8"/>
      <c r="BS209" s="7"/>
      <c r="BT209" s="7"/>
      <c r="BU209" s="2" t="s">
        <v>645</v>
      </c>
      <c r="BV209" s="2" t="s">
        <v>96</v>
      </c>
      <c r="BW209" s="2" t="s">
        <v>99</v>
      </c>
      <c r="BX209" s="2" t="s">
        <v>99</v>
      </c>
      <c r="BY209" s="2" t="s">
        <v>109</v>
      </c>
      <c r="BZ209" s="2" t="s">
        <v>109</v>
      </c>
      <c r="CA209" s="2" t="s">
        <v>99</v>
      </c>
    </row>
    <row r="210">
      <c r="A210" s="2" t="s">
        <v>1286</v>
      </c>
      <c r="B210" s="2" t="s">
        <v>765</v>
      </c>
      <c r="C210" s="2" t="s">
        <v>203</v>
      </c>
      <c r="D210" s="2" t="s">
        <v>1132</v>
      </c>
      <c r="E210" s="2" t="s">
        <v>1281</v>
      </c>
      <c r="F210" s="2" t="s">
        <v>1282</v>
      </c>
      <c r="G210" s="2" t="s">
        <v>1282</v>
      </c>
      <c r="H210" s="2" t="s">
        <v>1282</v>
      </c>
      <c r="I210" s="2" t="s">
        <v>1287</v>
      </c>
      <c r="J210" s="2" t="s">
        <v>227</v>
      </c>
      <c r="K210" s="2" t="s">
        <v>274</v>
      </c>
      <c r="L210" s="3">
        <v>268</v>
      </c>
      <c r="M210" s="3">
        <v>281.4</v>
      </c>
      <c r="N210" s="3">
        <v>549</v>
      </c>
      <c r="O210" s="2" t="s">
        <v>96</v>
      </c>
      <c r="P210" s="2" t="s">
        <v>317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99</v>
      </c>
      <c r="V210" s="2" t="s">
        <v>644</v>
      </c>
      <c r="W210" s="2" t="s">
        <v>102</v>
      </c>
      <c r="X210" s="2" t="s">
        <v>330</v>
      </c>
      <c r="Y210" s="2" t="s">
        <v>1288</v>
      </c>
      <c r="Z210" s="4">
        <v>108</v>
      </c>
      <c r="AA210" s="4">
        <f>=ROUNDDOWN(540,0)</f>
      </c>
      <c r="AB210" s="5">
        <v>0.2</v>
      </c>
      <c r="AC210" s="2" t="s">
        <v>904</v>
      </c>
      <c r="AD210" s="4">
        <v>17</v>
      </c>
      <c r="AE210" s="4">
        <v>17</v>
      </c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/>
      <c r="BJ210" s="4">
        <v>1</v>
      </c>
      <c r="BK210" s="8">
        <v>315.17</v>
      </c>
      <c r="BL210" s="2" t="s">
        <v>1289</v>
      </c>
      <c r="BM210" s="7"/>
      <c r="BN210" s="7"/>
      <c r="BO210" s="4"/>
      <c r="BP210" s="8"/>
      <c r="BQ210" s="4"/>
      <c r="BR210" s="8"/>
      <c r="BS210" s="7"/>
      <c r="BT210" s="7"/>
      <c r="BU210" s="2" t="s">
        <v>645</v>
      </c>
      <c r="BV210" s="2" t="s">
        <v>96</v>
      </c>
      <c r="BW210" s="2" t="s">
        <v>99</v>
      </c>
      <c r="BX210" s="2" t="s">
        <v>99</v>
      </c>
      <c r="BY210" s="2" t="s">
        <v>109</v>
      </c>
      <c r="BZ210" s="2" t="s">
        <v>109</v>
      </c>
      <c r="CA210" s="2" t="s">
        <v>99</v>
      </c>
    </row>
    <row r="211">
      <c r="A211" s="2" t="s">
        <v>1290</v>
      </c>
      <c r="B211" s="2" t="s">
        <v>765</v>
      </c>
      <c r="C211" s="2" t="s">
        <v>203</v>
      </c>
      <c r="D211" s="2" t="s">
        <v>1132</v>
      </c>
      <c r="E211" s="2" t="s">
        <v>1281</v>
      </c>
      <c r="F211" s="2" t="s">
        <v>1282</v>
      </c>
      <c r="G211" s="2" t="s">
        <v>1282</v>
      </c>
      <c r="H211" s="2" t="s">
        <v>1282</v>
      </c>
      <c r="I211" s="2" t="s">
        <v>1287</v>
      </c>
      <c r="J211" s="2" t="s">
        <v>227</v>
      </c>
      <c r="K211" s="2" t="s">
        <v>228</v>
      </c>
      <c r="L211" s="3">
        <v>268</v>
      </c>
      <c r="M211" s="3">
        <v>281.4</v>
      </c>
      <c r="N211" s="3">
        <v>549</v>
      </c>
      <c r="O211" s="2" t="s">
        <v>96</v>
      </c>
      <c r="P211" s="2" t="s">
        <v>317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99</v>
      </c>
      <c r="V211" s="2" t="s">
        <v>644</v>
      </c>
      <c r="W211" s="2" t="s">
        <v>102</v>
      </c>
      <c r="X211" s="2" t="s">
        <v>330</v>
      </c>
      <c r="Y211" s="2" t="s">
        <v>1288</v>
      </c>
      <c r="Z211" s="4">
        <v>96</v>
      </c>
      <c r="AA211" s="4">
        <f>=ROUNDDOWN(32,0)</f>
      </c>
      <c r="AB211" s="5">
        <v>3</v>
      </c>
      <c r="AC211" s="2" t="s">
        <v>904</v>
      </c>
      <c r="AD211" s="4">
        <v>49</v>
      </c>
      <c r="AE211" s="4">
        <v>49</v>
      </c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/>
      <c r="BJ211" s="4">
        <v>11</v>
      </c>
      <c r="BK211" s="8">
        <v>3182.37</v>
      </c>
      <c r="BL211" s="2" t="s">
        <v>1291</v>
      </c>
      <c r="BM211" s="7"/>
      <c r="BN211" s="7"/>
      <c r="BO211" s="4"/>
      <c r="BP211" s="8"/>
      <c r="BQ211" s="4"/>
      <c r="BR211" s="8"/>
      <c r="BS211" s="7"/>
      <c r="BT211" s="7"/>
      <c r="BU211" s="2" t="s">
        <v>645</v>
      </c>
      <c r="BV211" s="2" t="s">
        <v>96</v>
      </c>
      <c r="BW211" s="2" t="s">
        <v>99</v>
      </c>
      <c r="BX211" s="2" t="s">
        <v>99</v>
      </c>
      <c r="BY211" s="2" t="s">
        <v>109</v>
      </c>
      <c r="BZ211" s="2" t="s">
        <v>109</v>
      </c>
      <c r="CA211" s="2" t="s">
        <v>99</v>
      </c>
    </row>
    <row r="212">
      <c r="A212" s="2" t="s">
        <v>1292</v>
      </c>
      <c r="B212" s="2" t="s">
        <v>765</v>
      </c>
      <c r="C212" s="2" t="s">
        <v>203</v>
      </c>
      <c r="D212" s="2" t="s">
        <v>1132</v>
      </c>
      <c r="E212" s="2" t="s">
        <v>1281</v>
      </c>
      <c r="F212" s="2" t="s">
        <v>1282</v>
      </c>
      <c r="G212" s="2" t="s">
        <v>1282</v>
      </c>
      <c r="H212" s="2" t="s">
        <v>1282</v>
      </c>
      <c r="I212" s="2" t="s">
        <v>1287</v>
      </c>
      <c r="J212" s="2" t="s">
        <v>227</v>
      </c>
      <c r="K212" s="2" t="s">
        <v>805</v>
      </c>
      <c r="L212" s="3">
        <v>268</v>
      </c>
      <c r="M212" s="3">
        <v>281.4</v>
      </c>
      <c r="N212" s="3">
        <v>549</v>
      </c>
      <c r="O212" s="2" t="s">
        <v>96</v>
      </c>
      <c r="P212" s="2" t="s">
        <v>317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99</v>
      </c>
      <c r="V212" s="2" t="s">
        <v>644</v>
      </c>
      <c r="W212" s="2" t="s">
        <v>102</v>
      </c>
      <c r="X212" s="2" t="s">
        <v>330</v>
      </c>
      <c r="Y212" s="2" t="s">
        <v>1293</v>
      </c>
      <c r="Z212" s="4">
        <v>124</v>
      </c>
      <c r="AA212" s="4">
        <f>=ROUNDDOWN(41.3333333333333,0)</f>
      </c>
      <c r="AB212" s="5">
        <v>3</v>
      </c>
      <c r="AC212" s="2" t="s">
        <v>904</v>
      </c>
      <c r="AD212" s="4">
        <v>20</v>
      </c>
      <c r="AE212" s="4">
        <v>20</v>
      </c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/>
      <c r="BJ212" s="4">
        <v>9</v>
      </c>
      <c r="BK212" s="8">
        <v>2830.9</v>
      </c>
      <c r="BL212" s="2" t="s">
        <v>1294</v>
      </c>
      <c r="BM212" s="7"/>
      <c r="BN212" s="7"/>
      <c r="BO212" s="4"/>
      <c r="BP212" s="8"/>
      <c r="BQ212" s="4"/>
      <c r="BR212" s="8"/>
      <c r="BS212" s="7"/>
      <c r="BT212" s="7"/>
      <c r="BU212" s="2" t="s">
        <v>645</v>
      </c>
      <c r="BV212" s="2" t="s">
        <v>96</v>
      </c>
      <c r="BW212" s="2" t="s">
        <v>99</v>
      </c>
      <c r="BX212" s="2" t="s">
        <v>99</v>
      </c>
      <c r="BY212" s="2" t="s">
        <v>109</v>
      </c>
      <c r="BZ212" s="2" t="s">
        <v>109</v>
      </c>
      <c r="CA212" s="2" t="s">
        <v>99</v>
      </c>
    </row>
    <row r="213">
      <c r="A213" s="2" t="s">
        <v>1295</v>
      </c>
      <c r="B213" s="2" t="s">
        <v>765</v>
      </c>
      <c r="C213" s="2" t="s">
        <v>203</v>
      </c>
      <c r="D213" s="2" t="s">
        <v>1296</v>
      </c>
      <c r="E213" s="2" t="s">
        <v>1297</v>
      </c>
      <c r="F213" s="2" t="s">
        <v>1078</v>
      </c>
      <c r="G213" s="2" t="s">
        <v>1079</v>
      </c>
      <c r="H213" s="2" t="s">
        <v>1080</v>
      </c>
      <c r="I213" s="2" t="s">
        <v>1298</v>
      </c>
      <c r="J213" s="2" t="s">
        <v>227</v>
      </c>
      <c r="K213" s="2" t="s">
        <v>1085</v>
      </c>
      <c r="L213" s="3">
        <v>144</v>
      </c>
      <c r="M213" s="3">
        <v>151.2</v>
      </c>
      <c r="N213" s="3">
        <v>299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100</v>
      </c>
      <c r="V213" s="2" t="s">
        <v>310</v>
      </c>
      <c r="W213" s="2" t="s">
        <v>158</v>
      </c>
      <c r="X213" s="2" t="s">
        <v>102</v>
      </c>
      <c r="Y213" s="2" t="s">
        <v>1299</v>
      </c>
      <c r="Z213" s="4">
        <v>236</v>
      </c>
      <c r="AA213" s="4">
        <f>=ROUNDDOWN(3.8752052545156,0)</f>
      </c>
      <c r="AB213" s="5">
        <v>60.9</v>
      </c>
      <c r="AC213" s="2" t="s">
        <v>801</v>
      </c>
      <c r="AD213" s="4">
        <v>200</v>
      </c>
      <c r="AE213" s="4">
        <v>1778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>
        <v>24</v>
      </c>
      <c r="AQ213" s="8">
        <v>4354.56</v>
      </c>
      <c r="AR213" s="4"/>
      <c r="AS213" s="8"/>
      <c r="AT213" s="7"/>
      <c r="AU213" s="7"/>
      <c r="AV213" s="4">
        <v>24</v>
      </c>
      <c r="AW213" s="8">
        <v>4354.56</v>
      </c>
      <c r="AX213" s="4"/>
      <c r="AY213" s="8"/>
      <c r="AZ213" s="7"/>
      <c r="BA213" s="7"/>
      <c r="BB213" s="7">
        <v>1</v>
      </c>
      <c r="BC213" s="4">
        <v>24</v>
      </c>
      <c r="BD213" s="8">
        <v>4354.56</v>
      </c>
      <c r="BE213" s="4"/>
      <c r="BF213" s="8"/>
      <c r="BG213" s="7"/>
      <c r="BH213" s="7"/>
      <c r="BI213" s="7">
        <v>1</v>
      </c>
      <c r="BJ213" s="4">
        <v>372</v>
      </c>
      <c r="BK213" s="8">
        <v>58316.84</v>
      </c>
      <c r="BL213" s="2" t="s">
        <v>1300</v>
      </c>
      <c r="BM213" s="7">
        <v>0.0645</v>
      </c>
      <c r="BN213" s="7">
        <v>0.0747</v>
      </c>
      <c r="BO213" s="4">
        <v>24</v>
      </c>
      <c r="BP213" s="8">
        <v>4354.56</v>
      </c>
      <c r="BQ213" s="4"/>
      <c r="BR213" s="8"/>
      <c r="BS213" s="7"/>
      <c r="BT213" s="7"/>
      <c r="BU213" s="2" t="s">
        <v>107</v>
      </c>
      <c r="BV213" s="2" t="s">
        <v>96</v>
      </c>
      <c r="BW213" s="2" t="s">
        <v>1301</v>
      </c>
      <c r="BX213" s="2" t="s">
        <v>806</v>
      </c>
      <c r="BY213" s="2" t="s">
        <v>109</v>
      </c>
      <c r="BZ213" s="2" t="s">
        <v>109</v>
      </c>
      <c r="CA213" s="2" t="s">
        <v>99</v>
      </c>
    </row>
    <row r="214">
      <c r="A214" s="2" t="s">
        <v>1302</v>
      </c>
      <c r="B214" s="2" t="s">
        <v>765</v>
      </c>
      <c r="C214" s="2" t="s">
        <v>203</v>
      </c>
      <c r="D214" s="2" t="s">
        <v>1296</v>
      </c>
      <c r="E214" s="2" t="s">
        <v>1297</v>
      </c>
      <c r="F214" s="2" t="s">
        <v>1303</v>
      </c>
      <c r="G214" s="2" t="s">
        <v>1304</v>
      </c>
      <c r="H214" s="2" t="s">
        <v>1305</v>
      </c>
      <c r="I214" s="2" t="s">
        <v>1306</v>
      </c>
      <c r="J214" s="2" t="s">
        <v>227</v>
      </c>
      <c r="K214" s="2" t="s">
        <v>705</v>
      </c>
      <c r="L214" s="3">
        <v>57.86</v>
      </c>
      <c r="M214" s="3">
        <v>60.75</v>
      </c>
      <c r="N214" s="3">
        <v>129</v>
      </c>
      <c r="O214" s="2" t="s">
        <v>96</v>
      </c>
      <c r="P214" s="2" t="s">
        <v>188</v>
      </c>
      <c r="Q214" s="2" t="s">
        <v>98</v>
      </c>
      <c r="R214" s="2" t="s">
        <v>99</v>
      </c>
      <c r="S214" s="2" t="s">
        <v>1307</v>
      </c>
      <c r="T214" s="2" t="s">
        <v>99</v>
      </c>
      <c r="U214" s="2" t="s">
        <v>99</v>
      </c>
      <c r="V214" s="2" t="s">
        <v>157</v>
      </c>
      <c r="W214" s="2" t="s">
        <v>102</v>
      </c>
      <c r="X214" s="2" t="s">
        <v>99</v>
      </c>
      <c r="Y214" s="2" t="s">
        <v>164</v>
      </c>
      <c r="Z214" s="4">
        <v>87</v>
      </c>
      <c r="AA214" s="4">
        <f>=ROUNDDOWN(12.4285714285714,0)</f>
      </c>
      <c r="AB214" s="5">
        <v>7</v>
      </c>
      <c r="AC214" s="2" t="s">
        <v>99</v>
      </c>
      <c r="AD214" s="4"/>
      <c r="AE214" s="4"/>
      <c r="AF214" s="6">
        <v>83</v>
      </c>
      <c r="AG214" s="6">
        <v>69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>
        <v>6</v>
      </c>
      <c r="AQ214" s="8">
        <v>393.66</v>
      </c>
      <c r="AR214" s="4"/>
      <c r="AS214" s="8"/>
      <c r="AT214" s="7"/>
      <c r="AU214" s="7"/>
      <c r="AV214" s="4">
        <v>6</v>
      </c>
      <c r="AW214" s="8">
        <v>393.66</v>
      </c>
      <c r="AX214" s="4"/>
      <c r="AY214" s="8"/>
      <c r="AZ214" s="7"/>
      <c r="BA214" s="7"/>
      <c r="BB214" s="7">
        <v>1</v>
      </c>
      <c r="BC214" s="4">
        <v>7</v>
      </c>
      <c r="BD214" s="8">
        <v>459.27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0.8571</v>
      </c>
      <c r="BJ214" s="4">
        <v>31</v>
      </c>
      <c r="BK214" s="8">
        <v>1867.21</v>
      </c>
      <c r="BL214" s="2" t="s">
        <v>1308</v>
      </c>
      <c r="BM214" s="7">
        <v>0.1935</v>
      </c>
      <c r="BN214" s="7">
        <v>0.2108</v>
      </c>
      <c r="BO214" s="4">
        <v>6</v>
      </c>
      <c r="BP214" s="8">
        <v>393.66</v>
      </c>
      <c r="BQ214" s="4"/>
      <c r="BR214" s="8"/>
      <c r="BS214" s="7"/>
      <c r="BT214" s="7"/>
      <c r="BU214" s="2" t="s">
        <v>107</v>
      </c>
      <c r="BV214" s="2" t="s">
        <v>122</v>
      </c>
      <c r="BW214" s="2" t="s">
        <v>99</v>
      </c>
      <c r="BX214" s="2" t="s">
        <v>1309</v>
      </c>
      <c r="BY214" s="2" t="s">
        <v>109</v>
      </c>
      <c r="BZ214" s="2" t="s">
        <v>109</v>
      </c>
      <c r="CA214" s="2" t="s">
        <v>99</v>
      </c>
    </row>
    <row r="215">
      <c r="A215" s="2" t="s">
        <v>1310</v>
      </c>
      <c r="B215" s="2" t="s">
        <v>765</v>
      </c>
      <c r="C215" s="2" t="s">
        <v>203</v>
      </c>
      <c r="D215" s="2" t="s">
        <v>1296</v>
      </c>
      <c r="E215" s="2" t="s">
        <v>1297</v>
      </c>
      <c r="F215" s="2" t="s">
        <v>1303</v>
      </c>
      <c r="G215" s="2" t="s">
        <v>1304</v>
      </c>
      <c r="H215" s="2" t="s">
        <v>1305</v>
      </c>
      <c r="I215" s="2" t="s">
        <v>1306</v>
      </c>
      <c r="J215" s="2" t="s">
        <v>227</v>
      </c>
      <c r="K215" s="2" t="s">
        <v>228</v>
      </c>
      <c r="L215" s="3">
        <v>57.86</v>
      </c>
      <c r="M215" s="3">
        <v>60.75</v>
      </c>
      <c r="N215" s="3">
        <v>129</v>
      </c>
      <c r="O215" s="2" t="s">
        <v>96</v>
      </c>
      <c r="P215" s="2" t="s">
        <v>188</v>
      </c>
      <c r="Q215" s="2" t="s">
        <v>98</v>
      </c>
      <c r="R215" s="2" t="s">
        <v>99</v>
      </c>
      <c r="S215" s="2" t="s">
        <v>1311</v>
      </c>
      <c r="T215" s="2" t="s">
        <v>99</v>
      </c>
      <c r="U215" s="2" t="s">
        <v>99</v>
      </c>
      <c r="V215" s="2" t="s">
        <v>157</v>
      </c>
      <c r="W215" s="2" t="s">
        <v>102</v>
      </c>
      <c r="X215" s="2" t="s">
        <v>99</v>
      </c>
      <c r="Y215" s="2" t="s">
        <v>164</v>
      </c>
      <c r="Z215" s="4">
        <v>40</v>
      </c>
      <c r="AA215" s="4">
        <f>=ROUNDDOWN(4.44444444444444,0)</f>
      </c>
      <c r="AB215" s="5">
        <v>9</v>
      </c>
      <c r="AC215" s="2" t="s">
        <v>99</v>
      </c>
      <c r="AD215" s="4"/>
      <c r="AE215" s="4"/>
      <c r="AF215" s="6">
        <v>83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>
        <v>1</v>
      </c>
      <c r="AQ215" s="8">
        <v>65.61</v>
      </c>
      <c r="AR215" s="4"/>
      <c r="AS215" s="8"/>
      <c r="AT215" s="7"/>
      <c r="AU215" s="7"/>
      <c r="AV215" s="4">
        <v>1</v>
      </c>
      <c r="AW215" s="8">
        <v>65.61</v>
      </c>
      <c r="AX215" s="4"/>
      <c r="AY215" s="8"/>
      <c r="AZ215" s="7"/>
      <c r="BA215" s="7"/>
      <c r="BB215" s="7">
        <v>1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0.1429</v>
      </c>
      <c r="BJ215" s="4">
        <v>113</v>
      </c>
      <c r="BK215" s="8">
        <v>6739.04</v>
      </c>
      <c r="BL215" s="2" t="s">
        <v>1312</v>
      </c>
      <c r="BM215" s="7">
        <v>0.0088</v>
      </c>
      <c r="BN215" s="7">
        <v>0.0097</v>
      </c>
      <c r="BO215" s="4">
        <v>1</v>
      </c>
      <c r="BP215" s="8">
        <v>65.61</v>
      </c>
      <c r="BQ215" s="4"/>
      <c r="BR215" s="8"/>
      <c r="BS215" s="7"/>
      <c r="BT215" s="7"/>
      <c r="BU215" s="2" t="s">
        <v>107</v>
      </c>
      <c r="BV215" s="2" t="s">
        <v>122</v>
      </c>
      <c r="BW215" s="2" t="s">
        <v>99</v>
      </c>
      <c r="BX215" s="2" t="s">
        <v>1313</v>
      </c>
      <c r="BY215" s="2" t="s">
        <v>109</v>
      </c>
      <c r="BZ215" s="2" t="s">
        <v>109</v>
      </c>
      <c r="CA215" s="2" t="s">
        <v>99</v>
      </c>
    </row>
    <row r="216">
      <c r="A216" s="2" t="s">
        <v>1314</v>
      </c>
      <c r="B216" s="2" t="s">
        <v>765</v>
      </c>
      <c r="C216" s="2" t="s">
        <v>203</v>
      </c>
      <c r="D216" s="2" t="s">
        <v>1296</v>
      </c>
      <c r="E216" s="2" t="s">
        <v>1297</v>
      </c>
      <c r="F216" s="2" t="s">
        <v>1303</v>
      </c>
      <c r="G216" s="2" t="s">
        <v>1304</v>
      </c>
      <c r="H216" s="2" t="s">
        <v>1305</v>
      </c>
      <c r="I216" s="2" t="s">
        <v>1297</v>
      </c>
      <c r="J216" s="2" t="s">
        <v>227</v>
      </c>
      <c r="K216" s="2" t="s">
        <v>784</v>
      </c>
      <c r="L216" s="3">
        <v>57.86</v>
      </c>
      <c r="M216" s="3">
        <v>60.75</v>
      </c>
      <c r="N216" s="3">
        <v>129</v>
      </c>
      <c r="O216" s="2" t="s">
        <v>304</v>
      </c>
      <c r="P216" s="2" t="s">
        <v>188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99</v>
      </c>
      <c r="V216" s="2" t="s">
        <v>310</v>
      </c>
      <c r="W216" s="2" t="s">
        <v>102</v>
      </c>
      <c r="X216" s="2" t="s">
        <v>99</v>
      </c>
      <c r="Y216" s="2" t="s">
        <v>123</v>
      </c>
      <c r="Z216" s="4">
        <v>26</v>
      </c>
      <c r="AA216" s="4">
        <f>=ROUNDDOWN(4.12698412698413,0)</f>
      </c>
      <c r="AB216" s="5">
        <v>6.3</v>
      </c>
      <c r="AC216" s="2" t="s">
        <v>99</v>
      </c>
      <c r="AD216" s="4"/>
      <c r="AE216" s="4"/>
      <c r="AF216" s="6">
        <v>83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>
        <v>15</v>
      </c>
      <c r="BK216" s="8">
        <v>846.73</v>
      </c>
      <c r="BL216" s="2" t="s">
        <v>1315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96</v>
      </c>
      <c r="BW216" s="2" t="s">
        <v>1116</v>
      </c>
      <c r="BX216" s="2" t="s">
        <v>1316</v>
      </c>
      <c r="BY216" s="2" t="s">
        <v>109</v>
      </c>
      <c r="BZ216" s="2" t="s">
        <v>109</v>
      </c>
      <c r="CA216" s="2" t="s">
        <v>99</v>
      </c>
    </row>
    <row r="217">
      <c r="A217" s="2" t="s">
        <v>1317</v>
      </c>
      <c r="B217" s="2" t="s">
        <v>765</v>
      </c>
      <c r="C217" s="2" t="s">
        <v>203</v>
      </c>
      <c r="D217" s="2" t="s">
        <v>1296</v>
      </c>
      <c r="E217" s="2" t="s">
        <v>1297</v>
      </c>
      <c r="F217" s="2" t="s">
        <v>1303</v>
      </c>
      <c r="G217" s="2" t="s">
        <v>1304</v>
      </c>
      <c r="H217" s="2" t="s">
        <v>1305</v>
      </c>
      <c r="I217" s="2" t="s">
        <v>1306</v>
      </c>
      <c r="J217" s="2" t="s">
        <v>227</v>
      </c>
      <c r="K217" s="2" t="s">
        <v>1042</v>
      </c>
      <c r="L217" s="3">
        <v>57.86</v>
      </c>
      <c r="M217" s="3">
        <v>60.75</v>
      </c>
      <c r="N217" s="3">
        <v>129</v>
      </c>
      <c r="O217" s="2" t="s">
        <v>96</v>
      </c>
      <c r="P217" s="2" t="s">
        <v>131</v>
      </c>
      <c r="Q217" s="2" t="s">
        <v>98</v>
      </c>
      <c r="R217" s="2" t="s">
        <v>99</v>
      </c>
      <c r="S217" s="2" t="s">
        <v>1318</v>
      </c>
      <c r="T217" s="2" t="s">
        <v>99</v>
      </c>
      <c r="U217" s="2" t="s">
        <v>99</v>
      </c>
      <c r="V217" s="2" t="s">
        <v>157</v>
      </c>
      <c r="W217" s="2" t="s">
        <v>102</v>
      </c>
      <c r="X217" s="2" t="s">
        <v>99</v>
      </c>
      <c r="Y217" s="2" t="s">
        <v>164</v>
      </c>
      <c r="Z217" s="4">
        <v>66</v>
      </c>
      <c r="AA217" s="4">
        <f>=ROUNDDOWN(5.07692307692308,0)</f>
      </c>
      <c r="AB217" s="5">
        <v>13</v>
      </c>
      <c r="AC217" s="2" t="s">
        <v>890</v>
      </c>
      <c r="AD217" s="4">
        <v>300</v>
      </c>
      <c r="AE217" s="4">
        <v>300</v>
      </c>
      <c r="AF217" s="6">
        <v>83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/>
      <c r="BJ217" s="4">
        <v>75</v>
      </c>
      <c r="BK217" s="8">
        <v>4704.52</v>
      </c>
      <c r="BL217" s="2" t="s">
        <v>1319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122</v>
      </c>
      <c r="BW217" s="2" t="s">
        <v>99</v>
      </c>
      <c r="BX217" s="2" t="s">
        <v>1320</v>
      </c>
      <c r="BY217" s="2" t="s">
        <v>109</v>
      </c>
      <c r="BZ217" s="2" t="s">
        <v>109</v>
      </c>
      <c r="CA217" s="2" t="s">
        <v>99</v>
      </c>
    </row>
    <row r="218">
      <c r="A218" s="2" t="s">
        <v>1321</v>
      </c>
      <c r="B218" s="2" t="s">
        <v>765</v>
      </c>
      <c r="C218" s="2" t="s">
        <v>203</v>
      </c>
      <c r="D218" s="2" t="s">
        <v>1296</v>
      </c>
      <c r="E218" s="2" t="s">
        <v>1297</v>
      </c>
      <c r="F218" s="2" t="s">
        <v>1303</v>
      </c>
      <c r="G218" s="2" t="s">
        <v>1304</v>
      </c>
      <c r="H218" s="2" t="s">
        <v>1305</v>
      </c>
      <c r="I218" s="2" t="s">
        <v>1306</v>
      </c>
      <c r="J218" s="2" t="s">
        <v>227</v>
      </c>
      <c r="K218" s="2" t="s">
        <v>813</v>
      </c>
      <c r="L218" s="3">
        <v>0.01</v>
      </c>
      <c r="M218" s="3">
        <v>0.01</v>
      </c>
      <c r="N218" s="3"/>
      <c r="O218" s="2" t="s">
        <v>96</v>
      </c>
      <c r="P218" s="2" t="s">
        <v>814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99</v>
      </c>
      <c r="V218" s="2" t="s">
        <v>310</v>
      </c>
      <c r="W218" s="2" t="s">
        <v>99</v>
      </c>
      <c r="X218" s="2" t="s">
        <v>99</v>
      </c>
      <c r="Y218" s="2" t="s">
        <v>446</v>
      </c>
      <c r="Z218" s="4">
        <v>19</v>
      </c>
      <c r="AA218" s="4">
        <f>=ROUNDDOWN({0},0)</f>
      </c>
      <c r="AB218" s="5"/>
      <c r="AC218" s="2" t="s">
        <v>99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 t="s">
        <v>99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/>
      <c r="BK218" s="8"/>
      <c r="BL218" s="2" t="s">
        <v>99</v>
      </c>
      <c r="BM218" s="7"/>
      <c r="BN218" s="7"/>
      <c r="BO218" s="4"/>
      <c r="BP218" s="8"/>
      <c r="BQ218" s="4"/>
      <c r="BR218" s="8"/>
      <c r="BS218" s="7"/>
      <c r="BT218" s="7"/>
      <c r="BU218" s="2" t="s">
        <v>645</v>
      </c>
      <c r="BV218" s="2" t="s">
        <v>96</v>
      </c>
      <c r="BW218" s="2" t="s">
        <v>99</v>
      </c>
      <c r="BX218" s="2" t="s">
        <v>99</v>
      </c>
      <c r="BY218" s="2" t="s">
        <v>109</v>
      </c>
      <c r="BZ218" s="2" t="s">
        <v>109</v>
      </c>
      <c r="CA218" s="2" t="s">
        <v>99</v>
      </c>
    </row>
    <row r="219">
      <c r="A219" s="2" t="s">
        <v>1322</v>
      </c>
      <c r="B219" s="2" t="s">
        <v>765</v>
      </c>
      <c r="C219" s="2" t="s">
        <v>203</v>
      </c>
      <c r="D219" s="2" t="s">
        <v>1296</v>
      </c>
      <c r="E219" s="2" t="s">
        <v>1297</v>
      </c>
      <c r="F219" s="2" t="s">
        <v>1303</v>
      </c>
      <c r="G219" s="2" t="s">
        <v>1304</v>
      </c>
      <c r="H219" s="2" t="s">
        <v>1305</v>
      </c>
      <c r="I219" s="2" t="s">
        <v>1297</v>
      </c>
      <c r="J219" s="2" t="s">
        <v>227</v>
      </c>
      <c r="K219" s="2" t="s">
        <v>813</v>
      </c>
      <c r="L219" s="3">
        <v>0.01</v>
      </c>
      <c r="M219" s="3">
        <v>0.01</v>
      </c>
      <c r="N219" s="3"/>
      <c r="O219" s="2" t="s">
        <v>96</v>
      </c>
      <c r="P219" s="2" t="s">
        <v>814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99</v>
      </c>
      <c r="V219" s="2" t="s">
        <v>310</v>
      </c>
      <c r="W219" s="2" t="s">
        <v>99</v>
      </c>
      <c r="X219" s="2" t="s">
        <v>99</v>
      </c>
      <c r="Y219" s="2" t="s">
        <v>1323</v>
      </c>
      <c r="Z219" s="4">
        <v>3</v>
      </c>
      <c r="AA219" s="4">
        <f>=ROUNDDOWN({0},0)</f>
      </c>
      <c r="AB219" s="5"/>
      <c r="AC219" s="2" t="s">
        <v>99</v>
      </c>
      <c r="AD219" s="4"/>
      <c r="AE219" s="4"/>
      <c r="AF219" s="6"/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 t="s">
        <v>99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/>
      <c r="BK219" s="8"/>
      <c r="BL219" s="2" t="s">
        <v>99</v>
      </c>
      <c r="BM219" s="7"/>
      <c r="BN219" s="7"/>
      <c r="BO219" s="4"/>
      <c r="BP219" s="8"/>
      <c r="BQ219" s="4"/>
      <c r="BR219" s="8"/>
      <c r="BS219" s="7"/>
      <c r="BT219" s="7"/>
      <c r="BU219" s="2" t="s">
        <v>819</v>
      </c>
      <c r="BV219" s="2" t="s">
        <v>96</v>
      </c>
      <c r="BW219" s="2" t="s">
        <v>99</v>
      </c>
      <c r="BX219" s="2" t="s">
        <v>99</v>
      </c>
      <c r="BY219" s="2" t="s">
        <v>109</v>
      </c>
      <c r="BZ219" s="2" t="s">
        <v>109</v>
      </c>
      <c r="CA219" s="2" t="s">
        <v>99</v>
      </c>
    </row>
    <row r="220">
      <c r="A220" s="2" t="s">
        <v>1324</v>
      </c>
      <c r="B220" s="2" t="s">
        <v>765</v>
      </c>
      <c r="C220" s="2" t="s">
        <v>203</v>
      </c>
      <c r="D220" s="2" t="s">
        <v>1296</v>
      </c>
      <c r="E220" s="2" t="s">
        <v>1297</v>
      </c>
      <c r="F220" s="2" t="s">
        <v>1325</v>
      </c>
      <c r="G220" s="2" t="s">
        <v>1326</v>
      </c>
      <c r="H220" s="2" t="s">
        <v>1327</v>
      </c>
      <c r="I220" s="2" t="s">
        <v>1328</v>
      </c>
      <c r="J220" s="2" t="s">
        <v>227</v>
      </c>
      <c r="K220" s="2" t="s">
        <v>228</v>
      </c>
      <c r="L220" s="3">
        <v>80.87</v>
      </c>
      <c r="M220" s="3">
        <v>84.91</v>
      </c>
      <c r="N220" s="3">
        <v>169</v>
      </c>
      <c r="O220" s="2" t="s">
        <v>96</v>
      </c>
      <c r="P220" s="2" t="s">
        <v>188</v>
      </c>
      <c r="Q220" s="2" t="s">
        <v>98</v>
      </c>
      <c r="R220" s="2" t="s">
        <v>99</v>
      </c>
      <c r="S220" s="2" t="s">
        <v>1329</v>
      </c>
      <c r="T220" s="2" t="s">
        <v>99</v>
      </c>
      <c r="U220" s="2" t="s">
        <v>99</v>
      </c>
      <c r="V220" s="2" t="s">
        <v>157</v>
      </c>
      <c r="W220" s="2" t="s">
        <v>158</v>
      </c>
      <c r="X220" s="2" t="s">
        <v>99</v>
      </c>
      <c r="Y220" s="2" t="s">
        <v>164</v>
      </c>
      <c r="Z220" s="4"/>
      <c r="AA220" s="4">
        <f>=ROUNDDOWN({0},0)</f>
      </c>
      <c r="AB220" s="5">
        <v>31.8</v>
      </c>
      <c r="AC220" s="2" t="s">
        <v>99</v>
      </c>
      <c r="AD220" s="4"/>
      <c r="AE220" s="4"/>
      <c r="AF220" s="6">
        <v>83</v>
      </c>
      <c r="AG220" s="6">
        <v>69</v>
      </c>
      <c r="AH220" s="7">
        <v>0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99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122</v>
      </c>
      <c r="BW220" s="2" t="s">
        <v>99</v>
      </c>
      <c r="BX220" s="2" t="s">
        <v>446</v>
      </c>
      <c r="BY220" s="2" t="s">
        <v>109</v>
      </c>
      <c r="BZ220" s="2" t="s">
        <v>109</v>
      </c>
      <c r="CA220" s="2" t="s">
        <v>99</v>
      </c>
    </row>
    <row r="221">
      <c r="A221" s="2" t="s">
        <v>1330</v>
      </c>
      <c r="B221" s="2" t="s">
        <v>765</v>
      </c>
      <c r="C221" s="2" t="s">
        <v>203</v>
      </c>
      <c r="D221" s="2" t="s">
        <v>1296</v>
      </c>
      <c r="E221" s="2" t="s">
        <v>1297</v>
      </c>
      <c r="F221" s="2" t="s">
        <v>1331</v>
      </c>
      <c r="G221" s="2" t="s">
        <v>1332</v>
      </c>
      <c r="H221" s="2" t="s">
        <v>1333</v>
      </c>
      <c r="I221" s="2" t="s">
        <v>1334</v>
      </c>
      <c r="J221" s="2" t="s">
        <v>227</v>
      </c>
      <c r="K221" s="2" t="s">
        <v>784</v>
      </c>
      <c r="L221" s="3">
        <v>140</v>
      </c>
      <c r="M221" s="3">
        <v>147</v>
      </c>
      <c r="N221" s="3">
        <v>289</v>
      </c>
      <c r="O221" s="2" t="s">
        <v>96</v>
      </c>
      <c r="P221" s="2" t="s">
        <v>131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100</v>
      </c>
      <c r="V221" s="2" t="s">
        <v>310</v>
      </c>
      <c r="W221" s="2" t="s">
        <v>102</v>
      </c>
      <c r="X221" s="2" t="s">
        <v>103</v>
      </c>
      <c r="Y221" s="2" t="s">
        <v>1335</v>
      </c>
      <c r="Z221" s="4">
        <v>124</v>
      </c>
      <c r="AA221" s="4">
        <f>=ROUNDDOWN(6.2,0)</f>
      </c>
      <c r="AB221" s="5">
        <v>20</v>
      </c>
      <c r="AC221" s="2" t="s">
        <v>990</v>
      </c>
      <c r="AD221" s="4">
        <v>140</v>
      </c>
      <c r="AE221" s="4">
        <v>140</v>
      </c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112</v>
      </c>
      <c r="BK221" s="8">
        <v>16929.73</v>
      </c>
      <c r="BL221" s="2" t="s">
        <v>1336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96</v>
      </c>
      <c r="BW221" s="2" t="s">
        <v>1337</v>
      </c>
      <c r="BX221" s="2" t="s">
        <v>1338</v>
      </c>
      <c r="BY221" s="2" t="s">
        <v>109</v>
      </c>
      <c r="BZ221" s="2" t="s">
        <v>109</v>
      </c>
      <c r="CA221" s="2" t="s">
        <v>99</v>
      </c>
    </row>
    <row r="222">
      <c r="A222" s="2" t="s">
        <v>1339</v>
      </c>
      <c r="B222" s="2" t="s">
        <v>765</v>
      </c>
      <c r="C222" s="2" t="s">
        <v>203</v>
      </c>
      <c r="D222" s="2" t="s">
        <v>1296</v>
      </c>
      <c r="E222" s="2" t="s">
        <v>1297</v>
      </c>
      <c r="F222" s="2" t="s">
        <v>1340</v>
      </c>
      <c r="G222" s="2" t="s">
        <v>1341</v>
      </c>
      <c r="H222" s="2" t="s">
        <v>1342</v>
      </c>
      <c r="I222" s="2" t="s">
        <v>1343</v>
      </c>
      <c r="J222" s="2" t="s">
        <v>227</v>
      </c>
      <c r="K222" s="2" t="s">
        <v>887</v>
      </c>
      <c r="L222" s="3">
        <v>160</v>
      </c>
      <c r="M222" s="3">
        <v>168</v>
      </c>
      <c r="N222" s="3">
        <v>339</v>
      </c>
      <c r="O222" s="2" t="s">
        <v>96</v>
      </c>
      <c r="P222" s="2" t="s">
        <v>188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100</v>
      </c>
      <c r="V222" s="2" t="s">
        <v>310</v>
      </c>
      <c r="W222" s="2" t="s">
        <v>362</v>
      </c>
      <c r="X222" s="2" t="s">
        <v>158</v>
      </c>
      <c r="Y222" s="2" t="s">
        <v>1344</v>
      </c>
      <c r="Z222" s="4">
        <v>75</v>
      </c>
      <c r="AA222" s="4">
        <f>=ROUNDDOWN(12.9310344827586,0)</f>
      </c>
      <c r="AB222" s="5">
        <v>5.8</v>
      </c>
      <c r="AC222" s="2" t="s">
        <v>99</v>
      </c>
      <c r="AD222" s="4"/>
      <c r="AE222" s="4"/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33</v>
      </c>
      <c r="BK222" s="8">
        <v>5324.17</v>
      </c>
      <c r="BL222" s="2" t="s">
        <v>1345</v>
      </c>
      <c r="BM222" s="7"/>
      <c r="BN222" s="7"/>
      <c r="BO222" s="4"/>
      <c r="BP222" s="8"/>
      <c r="BQ222" s="4"/>
      <c r="BR222" s="8"/>
      <c r="BS222" s="7"/>
      <c r="BT222" s="7"/>
      <c r="BU222" s="2" t="s">
        <v>1019</v>
      </c>
      <c r="BV222" s="2" t="s">
        <v>96</v>
      </c>
      <c r="BW222" s="2" t="s">
        <v>99</v>
      </c>
      <c r="BX222" s="2" t="s">
        <v>99</v>
      </c>
      <c r="BY222" s="2" t="s">
        <v>109</v>
      </c>
      <c r="BZ222" s="2" t="s">
        <v>109</v>
      </c>
      <c r="CA222" s="2" t="s">
        <v>99</v>
      </c>
    </row>
    <row r="223">
      <c r="A223" s="2" t="s">
        <v>1346</v>
      </c>
      <c r="B223" s="2" t="s">
        <v>765</v>
      </c>
      <c r="C223" s="2" t="s">
        <v>203</v>
      </c>
      <c r="D223" s="2" t="s">
        <v>1296</v>
      </c>
      <c r="E223" s="2" t="s">
        <v>1297</v>
      </c>
      <c r="F223" s="2" t="s">
        <v>1347</v>
      </c>
      <c r="G223" s="2" t="s">
        <v>1348</v>
      </c>
      <c r="H223" s="2" t="s">
        <v>1349</v>
      </c>
      <c r="I223" s="2" t="s">
        <v>1350</v>
      </c>
      <c r="J223" s="2" t="s">
        <v>227</v>
      </c>
      <c r="K223" s="2" t="s">
        <v>234</v>
      </c>
      <c r="L223" s="3">
        <v>150</v>
      </c>
      <c r="M223" s="3">
        <v>157.5</v>
      </c>
      <c r="N223" s="3">
        <v>319</v>
      </c>
      <c r="O223" s="2" t="s">
        <v>304</v>
      </c>
      <c r="P223" s="2" t="s">
        <v>188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99</v>
      </c>
      <c r="V223" s="2" t="s">
        <v>310</v>
      </c>
      <c r="W223" s="2" t="s">
        <v>212</v>
      </c>
      <c r="X223" s="2" t="s">
        <v>99</v>
      </c>
      <c r="Y223" s="2" t="s">
        <v>1351</v>
      </c>
      <c r="Z223" s="4">
        <v>17</v>
      </c>
      <c r="AA223" s="4">
        <f>=ROUNDDOWN(1.84782608695652,0)</f>
      </c>
      <c r="AB223" s="5">
        <v>9.2</v>
      </c>
      <c r="AC223" s="2" t="s">
        <v>99</v>
      </c>
      <c r="AD223" s="4"/>
      <c r="AE223" s="4"/>
      <c r="AF223" s="6">
        <v>69</v>
      </c>
      <c r="AG223" s="6">
        <v>52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35</v>
      </c>
      <c r="BK223" s="8">
        <v>5124.65</v>
      </c>
      <c r="BL223" s="2" t="s">
        <v>1352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96</v>
      </c>
      <c r="BW223" s="2" t="s">
        <v>1353</v>
      </c>
      <c r="BX223" s="2" t="s">
        <v>1354</v>
      </c>
      <c r="BY223" s="2" t="s">
        <v>109</v>
      </c>
      <c r="BZ223" s="2" t="s">
        <v>109</v>
      </c>
      <c r="CA223" s="2" t="s">
        <v>99</v>
      </c>
    </row>
    <row r="224">
      <c r="A224" s="2" t="s">
        <v>1355</v>
      </c>
      <c r="B224" s="2" t="s">
        <v>765</v>
      </c>
      <c r="C224" s="2" t="s">
        <v>203</v>
      </c>
      <c r="D224" s="2" t="s">
        <v>1296</v>
      </c>
      <c r="E224" s="2" t="s">
        <v>1297</v>
      </c>
      <c r="F224" s="2" t="s">
        <v>1356</v>
      </c>
      <c r="G224" s="2" t="s">
        <v>1357</v>
      </c>
      <c r="H224" s="2" t="s">
        <v>1358</v>
      </c>
      <c r="I224" s="2" t="s">
        <v>1297</v>
      </c>
      <c r="J224" s="2" t="s">
        <v>227</v>
      </c>
      <c r="K224" s="2" t="s">
        <v>1359</v>
      </c>
      <c r="L224" s="3">
        <v>80</v>
      </c>
      <c r="M224" s="3">
        <v>84</v>
      </c>
      <c r="N224" s="3">
        <v>169</v>
      </c>
      <c r="O224" s="2" t="s">
        <v>96</v>
      </c>
      <c r="P224" s="2" t="s">
        <v>188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100</v>
      </c>
      <c r="V224" s="2" t="s">
        <v>157</v>
      </c>
      <c r="W224" s="2" t="s">
        <v>102</v>
      </c>
      <c r="X224" s="2" t="s">
        <v>761</v>
      </c>
      <c r="Y224" s="2" t="s">
        <v>424</v>
      </c>
      <c r="Z224" s="4">
        <v>142</v>
      </c>
      <c r="AA224" s="4">
        <f>=ROUNDDOWN(15.7777777777778,0)</f>
      </c>
      <c r="AB224" s="5">
        <v>9</v>
      </c>
      <c r="AC224" s="2" t="s">
        <v>99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47</v>
      </c>
      <c r="BK224" s="8">
        <v>3685.71</v>
      </c>
      <c r="BL224" s="2" t="s">
        <v>1360</v>
      </c>
      <c r="BM224" s="7"/>
      <c r="BN224" s="7"/>
      <c r="BO224" s="4"/>
      <c r="BP224" s="8"/>
      <c r="BQ224" s="4"/>
      <c r="BR224" s="8"/>
      <c r="BS224" s="7"/>
      <c r="BT224" s="7"/>
      <c r="BU224" s="2" t="s">
        <v>1019</v>
      </c>
      <c r="BV224" s="2" t="s">
        <v>96</v>
      </c>
      <c r="BW224" s="2" t="s">
        <v>99</v>
      </c>
      <c r="BX224" s="2" t="s">
        <v>99</v>
      </c>
      <c r="BY224" s="2" t="s">
        <v>109</v>
      </c>
      <c r="BZ224" s="2" t="s">
        <v>109</v>
      </c>
      <c r="CA224" s="2" t="s">
        <v>99</v>
      </c>
    </row>
    <row r="225">
      <c r="A225" s="2" t="s">
        <v>1361</v>
      </c>
      <c r="B225" s="2" t="s">
        <v>765</v>
      </c>
      <c r="C225" s="2" t="s">
        <v>203</v>
      </c>
      <c r="D225" s="2" t="s">
        <v>1296</v>
      </c>
      <c r="E225" s="2" t="s">
        <v>1362</v>
      </c>
      <c r="F225" s="2" t="s">
        <v>1363</v>
      </c>
      <c r="G225" s="2" t="s">
        <v>1364</v>
      </c>
      <c r="H225" s="2" t="s">
        <v>1365</v>
      </c>
      <c r="I225" s="2" t="s">
        <v>1366</v>
      </c>
      <c r="J225" s="2" t="s">
        <v>227</v>
      </c>
      <c r="K225" s="2" t="s">
        <v>887</v>
      </c>
      <c r="L225" s="3">
        <v>131.87</v>
      </c>
      <c r="M225" s="3">
        <v>138.46</v>
      </c>
      <c r="N225" s="3">
        <v>279</v>
      </c>
      <c r="O225" s="2" t="s">
        <v>96</v>
      </c>
      <c r="P225" s="2" t="s">
        <v>131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100</v>
      </c>
      <c r="V225" s="2" t="s">
        <v>157</v>
      </c>
      <c r="W225" s="2" t="s">
        <v>158</v>
      </c>
      <c r="X225" s="2" t="s">
        <v>99</v>
      </c>
      <c r="Y225" s="2" t="s">
        <v>1367</v>
      </c>
      <c r="Z225" s="4">
        <v>67</v>
      </c>
      <c r="AA225" s="4">
        <f>=ROUNDDOWN(5.58333333333333,0)</f>
      </c>
      <c r="AB225" s="5">
        <v>12</v>
      </c>
      <c r="AC225" s="2" t="s">
        <v>1368</v>
      </c>
      <c r="AD225" s="4">
        <v>20</v>
      </c>
      <c r="AE225" s="4">
        <v>220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>
        <v>13</v>
      </c>
      <c r="AQ225" s="8">
        <v>1944.02</v>
      </c>
      <c r="AR225" s="4"/>
      <c r="AS225" s="8"/>
      <c r="AT225" s="7"/>
      <c r="AU225" s="7"/>
      <c r="AV225" s="4">
        <v>13</v>
      </c>
      <c r="AW225" s="8">
        <v>1944.02</v>
      </c>
      <c r="AX225" s="4"/>
      <c r="AY225" s="8"/>
      <c r="AZ225" s="7"/>
      <c r="BA225" s="7"/>
      <c r="BB225" s="7">
        <v>1</v>
      </c>
      <c r="BC225" s="4">
        <v>15</v>
      </c>
      <c r="BD225" s="8">
        <v>2276.32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0.854</v>
      </c>
      <c r="BJ225" s="4">
        <v>80</v>
      </c>
      <c r="BK225" s="8">
        <v>11889.42</v>
      </c>
      <c r="BL225" s="2" t="s">
        <v>1369</v>
      </c>
      <c r="BM225" s="7">
        <v>0.1625</v>
      </c>
      <c r="BN225" s="7">
        <v>0.1635</v>
      </c>
      <c r="BO225" s="4">
        <v>13</v>
      </c>
      <c r="BP225" s="8">
        <v>1944.02</v>
      </c>
      <c r="BQ225" s="4"/>
      <c r="BR225" s="8"/>
      <c r="BS225" s="7"/>
      <c r="BT225" s="7"/>
      <c r="BU225" s="2" t="s">
        <v>107</v>
      </c>
      <c r="BV225" s="2" t="s">
        <v>96</v>
      </c>
      <c r="BW225" s="2" t="s">
        <v>1067</v>
      </c>
      <c r="BX225" s="2" t="s">
        <v>1370</v>
      </c>
      <c r="BY225" s="2" t="s">
        <v>109</v>
      </c>
      <c r="BZ225" s="2" t="s">
        <v>109</v>
      </c>
      <c r="CA225" s="2" t="s">
        <v>99</v>
      </c>
    </row>
    <row r="226">
      <c r="A226" s="2" t="s">
        <v>1371</v>
      </c>
      <c r="B226" s="2" t="s">
        <v>765</v>
      </c>
      <c r="C226" s="2" t="s">
        <v>203</v>
      </c>
      <c r="D226" s="2" t="s">
        <v>1296</v>
      </c>
      <c r="E226" s="2" t="s">
        <v>1362</v>
      </c>
      <c r="F226" s="2" t="s">
        <v>1363</v>
      </c>
      <c r="G226" s="2" t="s">
        <v>1364</v>
      </c>
      <c r="H226" s="2" t="s">
        <v>1365</v>
      </c>
      <c r="I226" s="2" t="s">
        <v>1366</v>
      </c>
      <c r="J226" s="2" t="s">
        <v>227</v>
      </c>
      <c r="K226" s="2" t="s">
        <v>853</v>
      </c>
      <c r="L226" s="3">
        <v>131.87</v>
      </c>
      <c r="M226" s="3">
        <v>138.46</v>
      </c>
      <c r="N226" s="3">
        <v>279</v>
      </c>
      <c r="O226" s="2" t="s">
        <v>96</v>
      </c>
      <c r="P226" s="2" t="s">
        <v>386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100</v>
      </c>
      <c r="V226" s="2" t="s">
        <v>310</v>
      </c>
      <c r="W226" s="2" t="s">
        <v>158</v>
      </c>
      <c r="X226" s="2" t="s">
        <v>99</v>
      </c>
      <c r="Y226" s="2" t="s">
        <v>1372</v>
      </c>
      <c r="Z226" s="4">
        <v>145</v>
      </c>
      <c r="AA226" s="4">
        <f>=ROUNDDOWN(29,0)</f>
      </c>
      <c r="AB226" s="5">
        <v>5</v>
      </c>
      <c r="AC226" s="2" t="s">
        <v>99</v>
      </c>
      <c r="AD226" s="4"/>
      <c r="AE226" s="4"/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>
        <v>2</v>
      </c>
      <c r="AQ226" s="8">
        <v>332.3</v>
      </c>
      <c r="AR226" s="4"/>
      <c r="AS226" s="8"/>
      <c r="AT226" s="7"/>
      <c r="AU226" s="7"/>
      <c r="AV226" s="4">
        <v>2</v>
      </c>
      <c r="AW226" s="8">
        <v>332.3</v>
      </c>
      <c r="AX226" s="4"/>
      <c r="AY226" s="8"/>
      <c r="AZ226" s="7"/>
      <c r="BA226" s="7"/>
      <c r="BB226" s="7">
        <v>1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0.146</v>
      </c>
      <c r="BJ226" s="4">
        <v>63</v>
      </c>
      <c r="BK226" s="8">
        <v>9006.94</v>
      </c>
      <c r="BL226" s="2" t="s">
        <v>1373</v>
      </c>
      <c r="BM226" s="7">
        <v>0.0317</v>
      </c>
      <c r="BN226" s="7">
        <v>0.0369</v>
      </c>
      <c r="BO226" s="4">
        <v>2</v>
      </c>
      <c r="BP226" s="8">
        <v>332.3</v>
      </c>
      <c r="BQ226" s="4"/>
      <c r="BR226" s="8"/>
      <c r="BS226" s="7"/>
      <c r="BT226" s="7"/>
      <c r="BU226" s="2" t="s">
        <v>107</v>
      </c>
      <c r="BV226" s="2" t="s">
        <v>96</v>
      </c>
      <c r="BW226" s="2" t="s">
        <v>828</v>
      </c>
      <c r="BX226" s="2" t="s">
        <v>1374</v>
      </c>
      <c r="BY226" s="2" t="s">
        <v>109</v>
      </c>
      <c r="BZ226" s="2" t="s">
        <v>109</v>
      </c>
      <c r="CA226" s="2" t="s">
        <v>99</v>
      </c>
    </row>
    <row r="227">
      <c r="A227" s="2" t="s">
        <v>1375</v>
      </c>
      <c r="B227" s="2" t="s">
        <v>765</v>
      </c>
      <c r="C227" s="2" t="s">
        <v>203</v>
      </c>
      <c r="D227" s="2" t="s">
        <v>1296</v>
      </c>
      <c r="E227" s="2" t="s">
        <v>1362</v>
      </c>
      <c r="F227" s="2" t="s">
        <v>1363</v>
      </c>
      <c r="G227" s="2" t="s">
        <v>1364</v>
      </c>
      <c r="H227" s="2" t="s">
        <v>1365</v>
      </c>
      <c r="I227" s="2" t="s">
        <v>1366</v>
      </c>
      <c r="J227" s="2" t="s">
        <v>227</v>
      </c>
      <c r="K227" s="2" t="s">
        <v>605</v>
      </c>
      <c r="L227" s="3">
        <v>131.87</v>
      </c>
      <c r="M227" s="3">
        <v>138.46</v>
      </c>
      <c r="N227" s="3">
        <v>279</v>
      </c>
      <c r="O227" s="2" t="s">
        <v>96</v>
      </c>
      <c r="P227" s="2" t="s">
        <v>131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100</v>
      </c>
      <c r="V227" s="2" t="s">
        <v>157</v>
      </c>
      <c r="W227" s="2" t="s">
        <v>158</v>
      </c>
      <c r="X227" s="2" t="s">
        <v>291</v>
      </c>
      <c r="Y227" s="2" t="s">
        <v>1376</v>
      </c>
      <c r="Z227" s="4"/>
      <c r="AA227" s="4">
        <f>=ROUNDDOWN({0},0)</f>
      </c>
      <c r="AB227" s="5">
        <v>25</v>
      </c>
      <c r="AC227" s="2" t="s">
        <v>1017</v>
      </c>
      <c r="AD227" s="4">
        <v>100</v>
      </c>
      <c r="AE227" s="4">
        <v>400</v>
      </c>
      <c r="AF227" s="6">
        <v>74</v>
      </c>
      <c r="AG227" s="6">
        <v>60</v>
      </c>
      <c r="AH227" s="7">
        <v>0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>
        <v>4</v>
      </c>
      <c r="BK227" s="8">
        <v>693.89</v>
      </c>
      <c r="BL227" s="2" t="s">
        <v>1377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96</v>
      </c>
      <c r="BW227" s="2" t="s">
        <v>1067</v>
      </c>
      <c r="BX227" s="2" t="s">
        <v>1378</v>
      </c>
      <c r="BY227" s="2" t="s">
        <v>109</v>
      </c>
      <c r="BZ227" s="2" t="s">
        <v>109</v>
      </c>
      <c r="CA227" s="2" t="s">
        <v>99</v>
      </c>
    </row>
    <row r="228">
      <c r="A228" s="2" t="s">
        <v>1379</v>
      </c>
      <c r="B228" s="2" t="s">
        <v>765</v>
      </c>
      <c r="C228" s="2" t="s">
        <v>203</v>
      </c>
      <c r="D228" s="2" t="s">
        <v>1296</v>
      </c>
      <c r="E228" s="2" t="s">
        <v>1362</v>
      </c>
      <c r="F228" s="2" t="s">
        <v>1380</v>
      </c>
      <c r="G228" s="2" t="s">
        <v>1381</v>
      </c>
      <c r="H228" s="2" t="s">
        <v>1382</v>
      </c>
      <c r="I228" s="2" t="s">
        <v>1383</v>
      </c>
      <c r="J228" s="2" t="s">
        <v>227</v>
      </c>
      <c r="K228" s="2" t="s">
        <v>784</v>
      </c>
      <c r="L228" s="3">
        <v>165</v>
      </c>
      <c r="M228" s="3">
        <v>173.25</v>
      </c>
      <c r="N228" s="3">
        <v>349</v>
      </c>
      <c r="O228" s="2" t="s">
        <v>96</v>
      </c>
      <c r="P228" s="2" t="s">
        <v>131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100</v>
      </c>
      <c r="V228" s="2" t="s">
        <v>157</v>
      </c>
      <c r="W228" s="2" t="s">
        <v>158</v>
      </c>
      <c r="X228" s="2" t="s">
        <v>102</v>
      </c>
      <c r="Y228" s="2" t="s">
        <v>1092</v>
      </c>
      <c r="Z228" s="4">
        <v>98</v>
      </c>
      <c r="AA228" s="4">
        <f>=ROUNDDOWN(14,0)</f>
      </c>
      <c r="AB228" s="5">
        <v>7</v>
      </c>
      <c r="AC228" s="2" t="s">
        <v>99</v>
      </c>
      <c r="AD228" s="4"/>
      <c r="AE228" s="4"/>
      <c r="AF228" s="6">
        <v>76</v>
      </c>
      <c r="AG228" s="6">
        <v>62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>
        <v>6</v>
      </c>
      <c r="AQ228" s="8">
        <v>1322.7</v>
      </c>
      <c r="AR228" s="4"/>
      <c r="AS228" s="8"/>
      <c r="AT228" s="7"/>
      <c r="AU228" s="7"/>
      <c r="AV228" s="4">
        <v>6</v>
      </c>
      <c r="AW228" s="8">
        <v>1322.7</v>
      </c>
      <c r="AX228" s="4"/>
      <c r="AY228" s="8"/>
      <c r="AZ228" s="7"/>
      <c r="BA228" s="7"/>
      <c r="BB228" s="7">
        <v>1</v>
      </c>
      <c r="BC228" s="4">
        <v>6</v>
      </c>
      <c r="BD228" s="8">
        <v>1322.7</v>
      </c>
      <c r="BE228" s="4"/>
      <c r="BF228" s="8"/>
      <c r="BG228" s="7"/>
      <c r="BH228" s="7"/>
      <c r="BI228" s="7">
        <v>1</v>
      </c>
      <c r="BJ228" s="4">
        <v>71</v>
      </c>
      <c r="BK228" s="8">
        <v>11408.24</v>
      </c>
      <c r="BL228" s="2" t="s">
        <v>1384</v>
      </c>
      <c r="BM228" s="7">
        <v>0.0845</v>
      </c>
      <c r="BN228" s="7">
        <v>0.1159</v>
      </c>
      <c r="BO228" s="4">
        <v>6</v>
      </c>
      <c r="BP228" s="8">
        <v>1322.7</v>
      </c>
      <c r="BQ228" s="4"/>
      <c r="BR228" s="8"/>
      <c r="BS228" s="7"/>
      <c r="BT228" s="7"/>
      <c r="BU228" s="2" t="s">
        <v>107</v>
      </c>
      <c r="BV228" s="2" t="s">
        <v>96</v>
      </c>
      <c r="BW228" s="2" t="s">
        <v>828</v>
      </c>
      <c r="BX228" s="2" t="s">
        <v>1385</v>
      </c>
      <c r="BY228" s="2" t="s">
        <v>109</v>
      </c>
      <c r="BZ228" s="2" t="s">
        <v>109</v>
      </c>
      <c r="CA228" s="2" t="s">
        <v>99</v>
      </c>
    </row>
    <row r="229">
      <c r="A229" s="2" t="s">
        <v>1386</v>
      </c>
      <c r="B229" s="2" t="s">
        <v>765</v>
      </c>
      <c r="C229" s="2" t="s">
        <v>203</v>
      </c>
      <c r="D229" s="2" t="s">
        <v>1296</v>
      </c>
      <c r="E229" s="2" t="s">
        <v>1362</v>
      </c>
      <c r="F229" s="2" t="s">
        <v>1387</v>
      </c>
      <c r="G229" s="2" t="s">
        <v>1388</v>
      </c>
      <c r="H229" s="2" t="s">
        <v>1389</v>
      </c>
      <c r="I229" s="2" t="s">
        <v>1390</v>
      </c>
      <c r="J229" s="2" t="s">
        <v>227</v>
      </c>
      <c r="K229" s="2" t="s">
        <v>784</v>
      </c>
      <c r="L229" s="3">
        <v>193.5</v>
      </c>
      <c r="M229" s="3">
        <v>203.18</v>
      </c>
      <c r="N229" s="3">
        <v>399</v>
      </c>
      <c r="O229" s="2" t="s">
        <v>96</v>
      </c>
      <c r="P229" s="2" t="s">
        <v>131</v>
      </c>
      <c r="Q229" s="2" t="s">
        <v>98</v>
      </c>
      <c r="R229" s="2" t="s">
        <v>99</v>
      </c>
      <c r="S229" s="2" t="s">
        <v>1391</v>
      </c>
      <c r="T229" s="2" t="s">
        <v>99</v>
      </c>
      <c r="U229" s="2" t="s">
        <v>100</v>
      </c>
      <c r="V229" s="2" t="s">
        <v>157</v>
      </c>
      <c r="W229" s="2" t="s">
        <v>158</v>
      </c>
      <c r="X229" s="2" t="s">
        <v>99</v>
      </c>
      <c r="Y229" s="2" t="s">
        <v>1109</v>
      </c>
      <c r="Z229" s="4">
        <v>276</v>
      </c>
      <c r="AA229" s="4">
        <f>=ROUNDDOWN(30.3296703296703,0)</f>
      </c>
      <c r="AB229" s="5">
        <v>9.1</v>
      </c>
      <c r="AC229" s="2" t="s">
        <v>99</v>
      </c>
      <c r="AD229" s="4"/>
      <c r="AE229" s="4"/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>
        <v>0.2</v>
      </c>
      <c r="AL229" s="2" t="s">
        <v>99</v>
      </c>
      <c r="AM229" s="4"/>
      <c r="AN229" s="4"/>
      <c r="AO229" s="7">
        <v>1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/>
      <c r="BJ229" s="4">
        <v>49</v>
      </c>
      <c r="BK229" s="8">
        <v>9503.22</v>
      </c>
      <c r="BL229" s="2" t="s">
        <v>1392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96</v>
      </c>
      <c r="BW229" s="2" t="s">
        <v>1110</v>
      </c>
      <c r="BX229" s="2" t="s">
        <v>99</v>
      </c>
      <c r="BY229" s="2" t="s">
        <v>109</v>
      </c>
      <c r="BZ229" s="2" t="s">
        <v>109</v>
      </c>
      <c r="CA229" s="2" t="s">
        <v>99</v>
      </c>
    </row>
    <row r="230">
      <c r="A230" s="2" t="s">
        <v>1393</v>
      </c>
      <c r="B230" s="2" t="s">
        <v>765</v>
      </c>
      <c r="C230" s="2" t="s">
        <v>203</v>
      </c>
      <c r="D230" s="2" t="s">
        <v>1296</v>
      </c>
      <c r="E230" s="2" t="s">
        <v>1362</v>
      </c>
      <c r="F230" s="2" t="s">
        <v>1387</v>
      </c>
      <c r="G230" s="2" t="s">
        <v>1388</v>
      </c>
      <c r="H230" s="2" t="s">
        <v>1389</v>
      </c>
      <c r="I230" s="2" t="s">
        <v>1383</v>
      </c>
      <c r="J230" s="2" t="s">
        <v>227</v>
      </c>
      <c r="K230" s="2" t="s">
        <v>887</v>
      </c>
      <c r="L230" s="3">
        <v>193.5</v>
      </c>
      <c r="M230" s="3">
        <v>203.18</v>
      </c>
      <c r="N230" s="3">
        <v>399</v>
      </c>
      <c r="O230" s="2" t="s">
        <v>96</v>
      </c>
      <c r="P230" s="2" t="s">
        <v>131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100</v>
      </c>
      <c r="V230" s="2" t="s">
        <v>157</v>
      </c>
      <c r="W230" s="2" t="s">
        <v>158</v>
      </c>
      <c r="X230" s="2" t="s">
        <v>99</v>
      </c>
      <c r="Y230" s="2" t="s">
        <v>1394</v>
      </c>
      <c r="Z230" s="4">
        <v>87</v>
      </c>
      <c r="AA230" s="4">
        <f>=ROUNDDOWN(18.125,0)</f>
      </c>
      <c r="AB230" s="5">
        <v>4.8</v>
      </c>
      <c r="AC230" s="2" t="s">
        <v>99</v>
      </c>
      <c r="AD230" s="4"/>
      <c r="AE230" s="4"/>
      <c r="AF230" s="6">
        <v>74</v>
      </c>
      <c r="AG230" s="6">
        <v>60</v>
      </c>
      <c r="AH230" s="7">
        <v>0.8966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42</v>
      </c>
      <c r="BK230" s="8">
        <v>7980.28</v>
      </c>
      <c r="BL230" s="2" t="s">
        <v>1395</v>
      </c>
      <c r="BM230" s="7"/>
      <c r="BN230" s="7"/>
      <c r="BO230" s="4"/>
      <c r="BP230" s="8"/>
      <c r="BQ230" s="4"/>
      <c r="BR230" s="8"/>
      <c r="BS230" s="7"/>
      <c r="BT230" s="7"/>
      <c r="BU230" s="2" t="s">
        <v>1019</v>
      </c>
      <c r="BV230" s="2" t="s">
        <v>96</v>
      </c>
      <c r="BW230" s="2" t="s">
        <v>99</v>
      </c>
      <c r="BX230" s="2" t="s">
        <v>99</v>
      </c>
      <c r="BY230" s="2" t="s">
        <v>109</v>
      </c>
      <c r="BZ230" s="2" t="s">
        <v>109</v>
      </c>
      <c r="CA230" s="2" t="s">
        <v>99</v>
      </c>
    </row>
    <row r="231">
      <c r="A231" s="2" t="s">
        <v>1396</v>
      </c>
      <c r="B231" s="2" t="s">
        <v>765</v>
      </c>
      <c r="C231" s="2" t="s">
        <v>203</v>
      </c>
      <c r="D231" s="2" t="s">
        <v>1296</v>
      </c>
      <c r="E231" s="2" t="s">
        <v>1362</v>
      </c>
      <c r="F231" s="2" t="s">
        <v>1387</v>
      </c>
      <c r="G231" s="2" t="s">
        <v>1388</v>
      </c>
      <c r="H231" s="2" t="s">
        <v>1389</v>
      </c>
      <c r="I231" s="2" t="s">
        <v>1383</v>
      </c>
      <c r="J231" s="2" t="s">
        <v>227</v>
      </c>
      <c r="K231" s="2" t="s">
        <v>705</v>
      </c>
      <c r="L231" s="3">
        <v>193.5</v>
      </c>
      <c r="M231" s="3">
        <v>203.18</v>
      </c>
      <c r="N231" s="3">
        <v>399</v>
      </c>
      <c r="O231" s="2" t="s">
        <v>96</v>
      </c>
      <c r="P231" s="2" t="s">
        <v>131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100</v>
      </c>
      <c r="V231" s="2" t="s">
        <v>310</v>
      </c>
      <c r="W231" s="2" t="s">
        <v>158</v>
      </c>
      <c r="X231" s="2" t="s">
        <v>99</v>
      </c>
      <c r="Y231" s="2" t="s">
        <v>223</v>
      </c>
      <c r="Z231" s="4">
        <v>109</v>
      </c>
      <c r="AA231" s="4">
        <f>=ROUNDDOWN(9.90909090909091,0)</f>
      </c>
      <c r="AB231" s="5">
        <v>11</v>
      </c>
      <c r="AC231" s="2" t="s">
        <v>1397</v>
      </c>
      <c r="AD231" s="4">
        <v>30</v>
      </c>
      <c r="AE231" s="4">
        <v>130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/>
      <c r="BJ231" s="4">
        <v>32</v>
      </c>
      <c r="BK231" s="8">
        <v>6519.66</v>
      </c>
      <c r="BL231" s="2" t="s">
        <v>1398</v>
      </c>
      <c r="BM231" s="7"/>
      <c r="BN231" s="7"/>
      <c r="BO231" s="4"/>
      <c r="BP231" s="8"/>
      <c r="BQ231" s="4"/>
      <c r="BR231" s="8"/>
      <c r="BS231" s="7"/>
      <c r="BT231" s="7"/>
      <c r="BU231" s="2" t="s">
        <v>1019</v>
      </c>
      <c r="BV231" s="2" t="s">
        <v>96</v>
      </c>
      <c r="BW231" s="2" t="s">
        <v>99</v>
      </c>
      <c r="BX231" s="2" t="s">
        <v>99</v>
      </c>
      <c r="BY231" s="2" t="s">
        <v>109</v>
      </c>
      <c r="BZ231" s="2" t="s">
        <v>109</v>
      </c>
      <c r="CA231" s="2" t="s">
        <v>99</v>
      </c>
    </row>
    <row r="232">
      <c r="A232" s="2" t="s">
        <v>1399</v>
      </c>
      <c r="B232" s="2" t="s">
        <v>765</v>
      </c>
      <c r="C232" s="2" t="s">
        <v>203</v>
      </c>
      <c r="D232" s="2" t="s">
        <v>1296</v>
      </c>
      <c r="E232" s="2" t="s">
        <v>1362</v>
      </c>
      <c r="F232" s="2" t="s">
        <v>1400</v>
      </c>
      <c r="G232" s="2" t="s">
        <v>1401</v>
      </c>
      <c r="H232" s="2" t="s">
        <v>1402</v>
      </c>
      <c r="I232" s="2" t="s">
        <v>1362</v>
      </c>
      <c r="J232" s="2" t="s">
        <v>227</v>
      </c>
      <c r="K232" s="2" t="s">
        <v>784</v>
      </c>
      <c r="L232" s="3">
        <v>190</v>
      </c>
      <c r="M232" s="3">
        <v>199.5</v>
      </c>
      <c r="N232" s="3">
        <v>399</v>
      </c>
      <c r="O232" s="2" t="s">
        <v>96</v>
      </c>
      <c r="P232" s="2" t="s">
        <v>131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100</v>
      </c>
      <c r="V232" s="2" t="s">
        <v>157</v>
      </c>
      <c r="W232" s="2" t="s">
        <v>102</v>
      </c>
      <c r="X232" s="2" t="s">
        <v>158</v>
      </c>
      <c r="Y232" s="2" t="s">
        <v>1403</v>
      </c>
      <c r="Z232" s="4">
        <v>62</v>
      </c>
      <c r="AA232" s="4">
        <f>=ROUNDDOWN(8.85714285714286,0)</f>
      </c>
      <c r="AB232" s="5">
        <v>7</v>
      </c>
      <c r="AC232" s="2" t="s">
        <v>99</v>
      </c>
      <c r="AD232" s="4"/>
      <c r="AE232" s="4"/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28</v>
      </c>
      <c r="BK232" s="8">
        <v>5355.19</v>
      </c>
      <c r="BL232" s="2" t="s">
        <v>1404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122</v>
      </c>
      <c r="BW232" s="2" t="s">
        <v>99</v>
      </c>
      <c r="BX232" s="2" t="s">
        <v>99</v>
      </c>
      <c r="BY232" s="2" t="s">
        <v>109</v>
      </c>
      <c r="BZ232" s="2" t="s">
        <v>109</v>
      </c>
      <c r="CA232" s="2" t="s">
        <v>99</v>
      </c>
    </row>
    <row r="233">
      <c r="A233" s="2" t="s">
        <v>1405</v>
      </c>
      <c r="B233" s="2" t="s">
        <v>765</v>
      </c>
      <c r="C233" s="2" t="s">
        <v>203</v>
      </c>
      <c r="D233" s="2" t="s">
        <v>1296</v>
      </c>
      <c r="E233" s="2" t="s">
        <v>1362</v>
      </c>
      <c r="F233" s="2" t="s">
        <v>1406</v>
      </c>
      <c r="G233" s="2" t="s">
        <v>1407</v>
      </c>
      <c r="H233" s="2" t="s">
        <v>1408</v>
      </c>
      <c r="I233" s="2" t="s">
        <v>1362</v>
      </c>
      <c r="J233" s="2" t="s">
        <v>227</v>
      </c>
      <c r="K233" s="2" t="s">
        <v>1409</v>
      </c>
      <c r="L233" s="3">
        <v>142.86</v>
      </c>
      <c r="M233" s="3">
        <v>150</v>
      </c>
      <c r="N233" s="3">
        <v>299</v>
      </c>
      <c r="O233" s="2" t="s">
        <v>304</v>
      </c>
      <c r="P233" s="2" t="s">
        <v>188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100</v>
      </c>
      <c r="V233" s="2" t="s">
        <v>157</v>
      </c>
      <c r="W233" s="2" t="s">
        <v>158</v>
      </c>
      <c r="X233" s="2" t="s">
        <v>99</v>
      </c>
      <c r="Y233" s="2" t="s">
        <v>1410</v>
      </c>
      <c r="Z233" s="4">
        <v>1</v>
      </c>
      <c r="AA233" s="4">
        <f>=ROUNDDOWN(0.120481927710843,0)</f>
      </c>
      <c r="AB233" s="5">
        <v>8.3</v>
      </c>
      <c r="AC233" s="2" t="s">
        <v>99</v>
      </c>
      <c r="AD233" s="4"/>
      <c r="AE233" s="4"/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553</v>
      </c>
      <c r="BK233" s="8">
        <v>82264.44</v>
      </c>
      <c r="BL233" s="2" t="s">
        <v>1411</v>
      </c>
      <c r="BM233" s="7"/>
      <c r="BN233" s="7"/>
      <c r="BO233" s="4"/>
      <c r="BP233" s="8"/>
      <c r="BQ233" s="4"/>
      <c r="BR233" s="8"/>
      <c r="BS233" s="7"/>
      <c r="BT233" s="7"/>
      <c r="BU233" s="2" t="s">
        <v>1019</v>
      </c>
      <c r="BV233" s="2" t="s">
        <v>96</v>
      </c>
      <c r="BW233" s="2" t="s">
        <v>99</v>
      </c>
      <c r="BX233" s="2" t="s">
        <v>99</v>
      </c>
      <c r="BY233" s="2" t="s">
        <v>109</v>
      </c>
      <c r="BZ233" s="2" t="s">
        <v>109</v>
      </c>
      <c r="CA233" s="2" t="s">
        <v>99</v>
      </c>
    </row>
    <row r="234">
      <c r="A234" s="2" t="s">
        <v>1412</v>
      </c>
      <c r="B234" s="2" t="s">
        <v>765</v>
      </c>
      <c r="C234" s="2" t="s">
        <v>203</v>
      </c>
      <c r="D234" s="2" t="s">
        <v>1296</v>
      </c>
      <c r="E234" s="2" t="s">
        <v>1362</v>
      </c>
      <c r="F234" s="2" t="s">
        <v>1413</v>
      </c>
      <c r="G234" s="2" t="s">
        <v>1414</v>
      </c>
      <c r="H234" s="2" t="s">
        <v>1415</v>
      </c>
      <c r="I234" s="2" t="s">
        <v>1416</v>
      </c>
      <c r="J234" s="2" t="s">
        <v>227</v>
      </c>
      <c r="K234" s="2" t="s">
        <v>274</v>
      </c>
      <c r="L234" s="3">
        <v>162</v>
      </c>
      <c r="M234" s="3">
        <v>170.1</v>
      </c>
      <c r="N234" s="3">
        <v>349</v>
      </c>
      <c r="O234" s="2" t="s">
        <v>96</v>
      </c>
      <c r="P234" s="2" t="s">
        <v>131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100</v>
      </c>
      <c r="V234" s="2" t="s">
        <v>310</v>
      </c>
      <c r="W234" s="2" t="s">
        <v>158</v>
      </c>
      <c r="X234" s="2" t="s">
        <v>99</v>
      </c>
      <c r="Y234" s="2" t="s">
        <v>1417</v>
      </c>
      <c r="Z234" s="4">
        <v>150</v>
      </c>
      <c r="AA234" s="4">
        <f>=ROUNDDOWN(15,0)</f>
      </c>
      <c r="AB234" s="5">
        <v>10</v>
      </c>
      <c r="AC234" s="2" t="s">
        <v>1418</v>
      </c>
      <c r="AD234" s="4">
        <v>100</v>
      </c>
      <c r="AE234" s="4">
        <v>130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/>
      <c r="BJ234" s="4">
        <v>51</v>
      </c>
      <c r="BK234" s="8">
        <v>7457.96</v>
      </c>
      <c r="BL234" s="2" t="s">
        <v>1419</v>
      </c>
      <c r="BM234" s="7"/>
      <c r="BN234" s="7"/>
      <c r="BO234" s="4"/>
      <c r="BP234" s="8"/>
      <c r="BQ234" s="4"/>
      <c r="BR234" s="8"/>
      <c r="BS234" s="7"/>
      <c r="BT234" s="7"/>
      <c r="BU234" s="2" t="s">
        <v>306</v>
      </c>
      <c r="BV234" s="2" t="s">
        <v>96</v>
      </c>
      <c r="BW234" s="2" t="s">
        <v>99</v>
      </c>
      <c r="BX234" s="2" t="s">
        <v>99</v>
      </c>
      <c r="BY234" s="2" t="s">
        <v>109</v>
      </c>
      <c r="BZ234" s="2" t="s">
        <v>109</v>
      </c>
      <c r="CA234" s="2" t="s">
        <v>99</v>
      </c>
    </row>
    <row r="235">
      <c r="A235" s="2" t="s">
        <v>1420</v>
      </c>
      <c r="B235" s="2" t="s">
        <v>765</v>
      </c>
      <c r="C235" s="2" t="s">
        <v>203</v>
      </c>
      <c r="D235" s="2" t="s">
        <v>1296</v>
      </c>
      <c r="E235" s="2" t="s">
        <v>1362</v>
      </c>
      <c r="F235" s="2" t="s">
        <v>1413</v>
      </c>
      <c r="G235" s="2" t="s">
        <v>1414</v>
      </c>
      <c r="H235" s="2" t="s">
        <v>1415</v>
      </c>
      <c r="I235" s="2" t="s">
        <v>1416</v>
      </c>
      <c r="J235" s="2" t="s">
        <v>227</v>
      </c>
      <c r="K235" s="2" t="s">
        <v>228</v>
      </c>
      <c r="L235" s="3">
        <v>162</v>
      </c>
      <c r="M235" s="3">
        <v>170.1</v>
      </c>
      <c r="N235" s="3">
        <v>349</v>
      </c>
      <c r="O235" s="2" t="s">
        <v>96</v>
      </c>
      <c r="P235" s="2" t="s">
        <v>131</v>
      </c>
      <c r="Q235" s="2" t="s">
        <v>98</v>
      </c>
      <c r="R235" s="2" t="s">
        <v>99</v>
      </c>
      <c r="S235" s="2" t="s">
        <v>1421</v>
      </c>
      <c r="T235" s="2" t="s">
        <v>99</v>
      </c>
      <c r="U235" s="2" t="s">
        <v>100</v>
      </c>
      <c r="V235" s="2" t="s">
        <v>157</v>
      </c>
      <c r="W235" s="2" t="s">
        <v>158</v>
      </c>
      <c r="X235" s="2" t="s">
        <v>99</v>
      </c>
      <c r="Y235" s="2" t="s">
        <v>1422</v>
      </c>
      <c r="Z235" s="4">
        <v>102</v>
      </c>
      <c r="AA235" s="4">
        <f>=ROUNDDOWN(9.80769230769231,0)</f>
      </c>
      <c r="AB235" s="5">
        <v>10.4</v>
      </c>
      <c r="AC235" s="2" t="s">
        <v>801</v>
      </c>
      <c r="AD235" s="4">
        <v>55</v>
      </c>
      <c r="AE235" s="4">
        <v>345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114</v>
      </c>
      <c r="BK235" s="8">
        <v>17815.94</v>
      </c>
      <c r="BL235" s="2" t="s">
        <v>1423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96</v>
      </c>
      <c r="BW235" s="2" t="s">
        <v>1110</v>
      </c>
      <c r="BX235" s="2" t="s">
        <v>1424</v>
      </c>
      <c r="BY235" s="2" t="s">
        <v>109</v>
      </c>
      <c r="BZ235" s="2" t="s">
        <v>109</v>
      </c>
      <c r="CA235" s="2" t="s">
        <v>99</v>
      </c>
    </row>
    <row r="236">
      <c r="A236" s="2" t="s">
        <v>1425</v>
      </c>
      <c r="B236" s="2" t="s">
        <v>765</v>
      </c>
      <c r="C236" s="2" t="s">
        <v>203</v>
      </c>
      <c r="D236" s="2" t="s">
        <v>1296</v>
      </c>
      <c r="E236" s="2" t="s">
        <v>1362</v>
      </c>
      <c r="F236" s="2" t="s">
        <v>1413</v>
      </c>
      <c r="G236" s="2" t="s">
        <v>1414</v>
      </c>
      <c r="H236" s="2" t="s">
        <v>1415</v>
      </c>
      <c r="I236" s="2" t="s">
        <v>1416</v>
      </c>
      <c r="J236" s="2" t="s">
        <v>227</v>
      </c>
      <c r="K236" s="2" t="s">
        <v>1426</v>
      </c>
      <c r="L236" s="3">
        <v>162</v>
      </c>
      <c r="M236" s="3">
        <v>170.1</v>
      </c>
      <c r="N236" s="3">
        <v>349</v>
      </c>
      <c r="O236" s="2" t="s">
        <v>96</v>
      </c>
      <c r="P236" s="2" t="s">
        <v>386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100</v>
      </c>
      <c r="V236" s="2" t="s">
        <v>310</v>
      </c>
      <c r="W236" s="2" t="s">
        <v>158</v>
      </c>
      <c r="X236" s="2" t="s">
        <v>99</v>
      </c>
      <c r="Y236" s="2" t="s">
        <v>989</v>
      </c>
      <c r="Z236" s="4"/>
      <c r="AA236" s="4">
        <f>=ROUNDDOWN({0},0)</f>
      </c>
      <c r="AB236" s="5">
        <v>3</v>
      </c>
      <c r="AC236" s="2" t="s">
        <v>7</v>
      </c>
      <c r="AD236" s="4">
        <v>100</v>
      </c>
      <c r="AE236" s="4">
        <v>100</v>
      </c>
      <c r="AF236" s="6">
        <v>74</v>
      </c>
      <c r="AG236" s="6"/>
      <c r="AH236" s="7">
        <v>0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/>
      <c r="BJ236" s="4"/>
      <c r="BK236" s="8"/>
      <c r="BL236" s="2" t="s">
        <v>99</v>
      </c>
      <c r="BM236" s="7"/>
      <c r="BN236" s="7"/>
      <c r="BO236" s="4"/>
      <c r="BP236" s="8"/>
      <c r="BQ236" s="4"/>
      <c r="BR236" s="8"/>
      <c r="BS236" s="7"/>
      <c r="BT236" s="7"/>
      <c r="BU236" s="2" t="s">
        <v>306</v>
      </c>
      <c r="BV236" s="2" t="s">
        <v>96</v>
      </c>
      <c r="BW236" s="2" t="s">
        <v>99</v>
      </c>
      <c r="BX236" s="2" t="s">
        <v>99</v>
      </c>
      <c r="BY236" s="2" t="s">
        <v>109</v>
      </c>
      <c r="BZ236" s="2" t="s">
        <v>109</v>
      </c>
      <c r="CA236" s="2" t="s">
        <v>99</v>
      </c>
    </row>
    <row r="237">
      <c r="A237" s="2" t="s">
        <v>1427</v>
      </c>
      <c r="B237" s="2" t="s">
        <v>765</v>
      </c>
      <c r="C237" s="2" t="s">
        <v>203</v>
      </c>
      <c r="D237" s="2" t="s">
        <v>1296</v>
      </c>
      <c r="E237" s="2" t="s">
        <v>1362</v>
      </c>
      <c r="F237" s="2" t="s">
        <v>1413</v>
      </c>
      <c r="G237" s="2" t="s">
        <v>1414</v>
      </c>
      <c r="H237" s="2" t="s">
        <v>1415</v>
      </c>
      <c r="I237" s="2" t="s">
        <v>1428</v>
      </c>
      <c r="J237" s="2" t="s">
        <v>227</v>
      </c>
      <c r="K237" s="2" t="s">
        <v>863</v>
      </c>
      <c r="L237" s="3">
        <v>162</v>
      </c>
      <c r="M237" s="3">
        <v>170.1</v>
      </c>
      <c r="N237" s="3">
        <v>349</v>
      </c>
      <c r="O237" s="2" t="s">
        <v>96</v>
      </c>
      <c r="P237" s="2" t="s">
        <v>1266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100</v>
      </c>
      <c r="V237" s="2" t="s">
        <v>157</v>
      </c>
      <c r="W237" s="2" t="s">
        <v>158</v>
      </c>
      <c r="X237" s="2" t="s">
        <v>99</v>
      </c>
      <c r="Y237" s="2" t="s">
        <v>1394</v>
      </c>
      <c r="Z237" s="4">
        <v>153</v>
      </c>
      <c r="AA237" s="4">
        <f>=ROUNDDOWN(22.1739130434783,0)</f>
      </c>
      <c r="AB237" s="5">
        <v>6.9</v>
      </c>
      <c r="AC237" s="2" t="s">
        <v>99</v>
      </c>
      <c r="AD237" s="4"/>
      <c r="AE237" s="4"/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>
        <v>0.2</v>
      </c>
      <c r="AL237" s="2" t="s">
        <v>99</v>
      </c>
      <c r="AM237" s="4"/>
      <c r="AN237" s="4"/>
      <c r="AO237" s="7">
        <v>1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70</v>
      </c>
      <c r="BK237" s="8">
        <v>11129.42</v>
      </c>
      <c r="BL237" s="2" t="s">
        <v>1429</v>
      </c>
      <c r="BM237" s="7"/>
      <c r="BN237" s="7"/>
      <c r="BO237" s="4"/>
      <c r="BP237" s="8"/>
      <c r="BQ237" s="4"/>
      <c r="BR237" s="8"/>
      <c r="BS237" s="7"/>
      <c r="BT237" s="7"/>
      <c r="BU237" s="2" t="s">
        <v>1019</v>
      </c>
      <c r="BV237" s="2" t="s">
        <v>96</v>
      </c>
      <c r="BW237" s="2" t="s">
        <v>99</v>
      </c>
      <c r="BX237" s="2" t="s">
        <v>99</v>
      </c>
      <c r="BY237" s="2" t="s">
        <v>109</v>
      </c>
      <c r="BZ237" s="2" t="s">
        <v>109</v>
      </c>
      <c r="CA237" s="2" t="s">
        <v>99</v>
      </c>
    </row>
    <row r="238">
      <c r="A238" s="2" t="s">
        <v>1430</v>
      </c>
      <c r="B238" s="2" t="s">
        <v>765</v>
      </c>
      <c r="C238" s="2" t="s">
        <v>203</v>
      </c>
      <c r="D238" s="2" t="s">
        <v>1296</v>
      </c>
      <c r="E238" s="2" t="s">
        <v>1431</v>
      </c>
      <c r="F238" s="2" t="s">
        <v>1413</v>
      </c>
      <c r="G238" s="2" t="s">
        <v>1414</v>
      </c>
      <c r="H238" s="2" t="s">
        <v>1415</v>
      </c>
      <c r="I238" s="2" t="s">
        <v>1432</v>
      </c>
      <c r="J238" s="2" t="s">
        <v>227</v>
      </c>
      <c r="K238" s="2" t="s">
        <v>228</v>
      </c>
      <c r="L238" s="3">
        <v>171</v>
      </c>
      <c r="M238" s="3">
        <v>179.55</v>
      </c>
      <c r="N238" s="3">
        <v>369</v>
      </c>
      <c r="O238" s="2" t="s">
        <v>96</v>
      </c>
      <c r="P238" s="2" t="s">
        <v>188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100</v>
      </c>
      <c r="V238" s="2" t="s">
        <v>157</v>
      </c>
      <c r="W238" s="2" t="s">
        <v>158</v>
      </c>
      <c r="X238" s="2" t="s">
        <v>102</v>
      </c>
      <c r="Y238" s="2" t="s">
        <v>1433</v>
      </c>
      <c r="Z238" s="4">
        <v>94</v>
      </c>
      <c r="AA238" s="4">
        <f>=ROUNDDOWN(11.75,0)</f>
      </c>
      <c r="AB238" s="5">
        <v>8</v>
      </c>
      <c r="AC238" s="2" t="s">
        <v>99</v>
      </c>
      <c r="AD238" s="4"/>
      <c r="AE238" s="4"/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/>
      <c r="BJ238" s="4">
        <v>32</v>
      </c>
      <c r="BK238" s="8">
        <v>5415.9</v>
      </c>
      <c r="BL238" s="2" t="s">
        <v>1434</v>
      </c>
      <c r="BM238" s="7"/>
      <c r="BN238" s="7"/>
      <c r="BO238" s="4"/>
      <c r="BP238" s="8"/>
      <c r="BQ238" s="4"/>
      <c r="BR238" s="8"/>
      <c r="BS238" s="7"/>
      <c r="BT238" s="7"/>
      <c r="BU238" s="2" t="s">
        <v>1019</v>
      </c>
      <c r="BV238" s="2" t="s">
        <v>96</v>
      </c>
      <c r="BW238" s="2" t="s">
        <v>99</v>
      </c>
      <c r="BX238" s="2" t="s">
        <v>99</v>
      </c>
      <c r="BY238" s="2" t="s">
        <v>109</v>
      </c>
      <c r="BZ238" s="2" t="s">
        <v>109</v>
      </c>
      <c r="CA238" s="2" t="s">
        <v>99</v>
      </c>
    </row>
    <row r="239">
      <c r="A239" s="2" t="s">
        <v>1435</v>
      </c>
      <c r="B239" s="2" t="s">
        <v>765</v>
      </c>
      <c r="C239" s="2" t="s">
        <v>203</v>
      </c>
      <c r="D239" s="2" t="s">
        <v>1296</v>
      </c>
      <c r="E239" s="2" t="s">
        <v>1431</v>
      </c>
      <c r="F239" s="2" t="s">
        <v>1413</v>
      </c>
      <c r="G239" s="2" t="s">
        <v>1414</v>
      </c>
      <c r="H239" s="2" t="s">
        <v>1415</v>
      </c>
      <c r="I239" s="2" t="s">
        <v>1432</v>
      </c>
      <c r="J239" s="2" t="s">
        <v>227</v>
      </c>
      <c r="K239" s="2" t="s">
        <v>863</v>
      </c>
      <c r="L239" s="3">
        <v>171</v>
      </c>
      <c r="M239" s="3">
        <v>179.55</v>
      </c>
      <c r="N239" s="3">
        <v>369</v>
      </c>
      <c r="O239" s="2" t="s">
        <v>96</v>
      </c>
      <c r="P239" s="2" t="s">
        <v>131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100</v>
      </c>
      <c r="V239" s="2" t="s">
        <v>157</v>
      </c>
      <c r="W239" s="2" t="s">
        <v>158</v>
      </c>
      <c r="X239" s="2" t="s">
        <v>102</v>
      </c>
      <c r="Y239" s="2" t="s">
        <v>1433</v>
      </c>
      <c r="Z239" s="4">
        <v>3</v>
      </c>
      <c r="AA239" s="4">
        <f>=ROUNDDOWN(0.37037037037037,0)</f>
      </c>
      <c r="AB239" s="5">
        <v>8.1</v>
      </c>
      <c r="AC239" s="2" t="s">
        <v>801</v>
      </c>
      <c r="AD239" s="4">
        <v>100</v>
      </c>
      <c r="AE239" s="4">
        <v>200</v>
      </c>
      <c r="AF239" s="6">
        <v>74</v>
      </c>
      <c r="AG239" s="6">
        <v>60</v>
      </c>
      <c r="AH239" s="7">
        <v>0.8966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57</v>
      </c>
      <c r="BK239" s="8">
        <v>10060.38</v>
      </c>
      <c r="BL239" s="2" t="s">
        <v>1082</v>
      </c>
      <c r="BM239" s="7"/>
      <c r="BN239" s="7"/>
      <c r="BO239" s="4"/>
      <c r="BP239" s="8"/>
      <c r="BQ239" s="4"/>
      <c r="BR239" s="8"/>
      <c r="BS239" s="7"/>
      <c r="BT239" s="7"/>
      <c r="BU239" s="2" t="s">
        <v>1019</v>
      </c>
      <c r="BV239" s="2" t="s">
        <v>96</v>
      </c>
      <c r="BW239" s="2" t="s">
        <v>99</v>
      </c>
      <c r="BX239" s="2" t="s">
        <v>99</v>
      </c>
      <c r="BY239" s="2" t="s">
        <v>109</v>
      </c>
      <c r="BZ239" s="2" t="s">
        <v>109</v>
      </c>
      <c r="CA239" s="2" t="s">
        <v>99</v>
      </c>
    </row>
    <row r="240">
      <c r="A240" s="2" t="s">
        <v>1436</v>
      </c>
      <c r="B240" s="2" t="s">
        <v>765</v>
      </c>
      <c r="C240" s="2" t="s">
        <v>203</v>
      </c>
      <c r="D240" s="2" t="s">
        <v>1437</v>
      </c>
      <c r="E240" s="2" t="s">
        <v>1438</v>
      </c>
      <c r="F240" s="2" t="s">
        <v>1331</v>
      </c>
      <c r="G240" s="2" t="s">
        <v>1332</v>
      </c>
      <c r="H240" s="2" t="s">
        <v>1333</v>
      </c>
      <c r="I240" s="2" t="s">
        <v>1439</v>
      </c>
      <c r="J240" s="2" t="s">
        <v>219</v>
      </c>
      <c r="K240" s="2" t="s">
        <v>784</v>
      </c>
      <c r="L240" s="3">
        <v>284.75</v>
      </c>
      <c r="M240" s="3">
        <v>298.99</v>
      </c>
      <c r="N240" s="3">
        <v>599</v>
      </c>
      <c r="O240" s="2" t="s">
        <v>96</v>
      </c>
      <c r="P240" s="2" t="s">
        <v>131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210</v>
      </c>
      <c r="V240" s="2" t="s">
        <v>157</v>
      </c>
      <c r="W240" s="2" t="s">
        <v>102</v>
      </c>
      <c r="X240" s="2" t="s">
        <v>99</v>
      </c>
      <c r="Y240" s="2" t="s">
        <v>1440</v>
      </c>
      <c r="Z240" s="4">
        <v>274</v>
      </c>
      <c r="AA240" s="4">
        <f>=ROUNDDOWN(17.125,0)</f>
      </c>
      <c r="AB240" s="5">
        <v>16</v>
      </c>
      <c r="AC240" s="2" t="s">
        <v>99</v>
      </c>
      <c r="AD240" s="4"/>
      <c r="AE240" s="4"/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>
        <v>18</v>
      </c>
      <c r="AQ240" s="8">
        <v>5812.38</v>
      </c>
      <c r="AR240" s="4"/>
      <c r="AS240" s="8"/>
      <c r="AT240" s="7"/>
      <c r="AU240" s="7"/>
      <c r="AV240" s="4">
        <v>18</v>
      </c>
      <c r="AW240" s="8">
        <v>5812.38</v>
      </c>
      <c r="AX240" s="4"/>
      <c r="AY240" s="8"/>
      <c r="AZ240" s="7"/>
      <c r="BA240" s="7"/>
      <c r="BB240" s="7">
        <v>1</v>
      </c>
      <c r="BC240" s="4">
        <v>18</v>
      </c>
      <c r="BD240" s="8">
        <v>5812.38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1</v>
      </c>
      <c r="BJ240" s="4">
        <v>163</v>
      </c>
      <c r="BK240" s="8">
        <v>45321.41</v>
      </c>
      <c r="BL240" s="2" t="s">
        <v>1441</v>
      </c>
      <c r="BM240" s="7">
        <v>0.1104</v>
      </c>
      <c r="BN240" s="7">
        <v>0.1282</v>
      </c>
      <c r="BO240" s="4">
        <v>18</v>
      </c>
      <c r="BP240" s="8">
        <v>5812.38</v>
      </c>
      <c r="BQ240" s="4"/>
      <c r="BR240" s="8"/>
      <c r="BS240" s="7"/>
      <c r="BT240" s="7"/>
      <c r="BU240" s="2" t="s">
        <v>107</v>
      </c>
      <c r="BV240" s="2" t="s">
        <v>96</v>
      </c>
      <c r="BW240" s="2" t="s">
        <v>1442</v>
      </c>
      <c r="BX240" s="2" t="s">
        <v>1201</v>
      </c>
      <c r="BY240" s="2" t="s">
        <v>109</v>
      </c>
      <c r="BZ240" s="2" t="s">
        <v>109</v>
      </c>
      <c r="CA240" s="2" t="s">
        <v>99</v>
      </c>
    </row>
    <row r="241">
      <c r="A241" s="2" t="s">
        <v>1443</v>
      </c>
      <c r="B241" s="2" t="s">
        <v>765</v>
      </c>
      <c r="C241" s="2" t="s">
        <v>203</v>
      </c>
      <c r="D241" s="2" t="s">
        <v>1437</v>
      </c>
      <c r="E241" s="2" t="s">
        <v>1438</v>
      </c>
      <c r="F241" s="2" t="s">
        <v>1331</v>
      </c>
      <c r="G241" s="2" t="s">
        <v>1332</v>
      </c>
      <c r="H241" s="2" t="s">
        <v>1333</v>
      </c>
      <c r="I241" s="2" t="s">
        <v>1439</v>
      </c>
      <c r="J241" s="2" t="s">
        <v>219</v>
      </c>
      <c r="K241" s="2" t="s">
        <v>228</v>
      </c>
      <c r="L241" s="3">
        <v>284.75</v>
      </c>
      <c r="M241" s="3">
        <v>298.99</v>
      </c>
      <c r="N241" s="3">
        <v>599</v>
      </c>
      <c r="O241" s="2" t="s">
        <v>96</v>
      </c>
      <c r="P241" s="2" t="s">
        <v>188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210</v>
      </c>
      <c r="V241" s="2" t="s">
        <v>310</v>
      </c>
      <c r="W241" s="2" t="s">
        <v>102</v>
      </c>
      <c r="X241" s="2" t="s">
        <v>99</v>
      </c>
      <c r="Y241" s="2" t="s">
        <v>1444</v>
      </c>
      <c r="Z241" s="4">
        <v>130</v>
      </c>
      <c r="AA241" s="4">
        <f>=ROUNDDOWN(32.5,0)</f>
      </c>
      <c r="AB241" s="5">
        <v>4</v>
      </c>
      <c r="AC241" s="2" t="s">
        <v>99</v>
      </c>
      <c r="AD241" s="4"/>
      <c r="AE241" s="4"/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18</v>
      </c>
      <c r="BK241" s="8">
        <v>4505.34</v>
      </c>
      <c r="BL241" s="2" t="s">
        <v>1445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96</v>
      </c>
      <c r="BW241" s="2" t="s">
        <v>1047</v>
      </c>
      <c r="BX241" s="2" t="s">
        <v>1446</v>
      </c>
      <c r="BY241" s="2" t="s">
        <v>109</v>
      </c>
      <c r="BZ241" s="2" t="s">
        <v>109</v>
      </c>
      <c r="CA241" s="2" t="s">
        <v>99</v>
      </c>
    </row>
    <row r="242">
      <c r="A242" s="2" t="s">
        <v>1447</v>
      </c>
      <c r="B242" s="2" t="s">
        <v>765</v>
      </c>
      <c r="C242" s="2" t="s">
        <v>203</v>
      </c>
      <c r="D242" s="2" t="s">
        <v>1437</v>
      </c>
      <c r="E242" s="2" t="s">
        <v>1438</v>
      </c>
      <c r="F242" s="2" t="s">
        <v>1448</v>
      </c>
      <c r="G242" s="2" t="s">
        <v>1449</v>
      </c>
      <c r="H242" s="2" t="s">
        <v>1450</v>
      </c>
      <c r="I242" s="2" t="s">
        <v>1451</v>
      </c>
      <c r="J242" s="2" t="s">
        <v>219</v>
      </c>
      <c r="K242" s="2" t="s">
        <v>605</v>
      </c>
      <c r="L242" s="3">
        <v>263.5</v>
      </c>
      <c r="M242" s="3">
        <v>276.68</v>
      </c>
      <c r="N242" s="3">
        <v>549</v>
      </c>
      <c r="O242" s="2" t="s">
        <v>96</v>
      </c>
      <c r="P242" s="2" t="s">
        <v>131</v>
      </c>
      <c r="Q242" s="2" t="s">
        <v>98</v>
      </c>
      <c r="R242" s="2" t="s">
        <v>99</v>
      </c>
      <c r="S242" s="2" t="s">
        <v>1452</v>
      </c>
      <c r="T242" s="2" t="s">
        <v>99</v>
      </c>
      <c r="U242" s="2" t="s">
        <v>210</v>
      </c>
      <c r="V242" s="2" t="s">
        <v>310</v>
      </c>
      <c r="W242" s="2" t="s">
        <v>362</v>
      </c>
      <c r="X242" s="2" t="s">
        <v>158</v>
      </c>
      <c r="Y242" s="2" t="s">
        <v>796</v>
      </c>
      <c r="Z242" s="4">
        <v>72</v>
      </c>
      <c r="AA242" s="4">
        <f>=ROUNDDOWN(6,0)</f>
      </c>
      <c r="AB242" s="5">
        <v>12</v>
      </c>
      <c r="AC242" s="2" t="s">
        <v>913</v>
      </c>
      <c r="AD242" s="4">
        <v>120</v>
      </c>
      <c r="AE242" s="4">
        <v>120</v>
      </c>
      <c r="AF242" s="6">
        <v>74</v>
      </c>
      <c r="AG242" s="6"/>
      <c r="AH242" s="7">
        <v>0.5517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>
        <v>5</v>
      </c>
      <c r="AQ242" s="8">
        <v>1494.05</v>
      </c>
      <c r="AR242" s="4"/>
      <c r="AS242" s="8"/>
      <c r="AT242" s="7"/>
      <c r="AU242" s="7"/>
      <c r="AV242" s="4">
        <v>5</v>
      </c>
      <c r="AW242" s="8">
        <v>1494.05</v>
      </c>
      <c r="AX242" s="4"/>
      <c r="AY242" s="8"/>
      <c r="AZ242" s="7"/>
      <c r="BA242" s="7"/>
      <c r="BB242" s="7">
        <v>1</v>
      </c>
      <c r="BC242" s="4">
        <v>5</v>
      </c>
      <c r="BD242" s="8">
        <v>1494.05</v>
      </c>
      <c r="BE242" s="4"/>
      <c r="BF242" s="8"/>
      <c r="BG242" s="7"/>
      <c r="BH242" s="7"/>
      <c r="BI242" s="7">
        <v>1</v>
      </c>
      <c r="BJ242" s="4">
        <v>22</v>
      </c>
      <c r="BK242" s="8">
        <v>6443.54</v>
      </c>
      <c r="BL242" s="2" t="s">
        <v>1453</v>
      </c>
      <c r="BM242" s="7">
        <v>0.2273</v>
      </c>
      <c r="BN242" s="7">
        <v>0.2319</v>
      </c>
      <c r="BO242" s="4">
        <v>5</v>
      </c>
      <c r="BP242" s="8">
        <v>1494.05</v>
      </c>
      <c r="BQ242" s="4"/>
      <c r="BR242" s="8"/>
      <c r="BS242" s="7"/>
      <c r="BT242" s="7"/>
      <c r="BU242" s="2" t="s">
        <v>107</v>
      </c>
      <c r="BV242" s="2" t="s">
        <v>96</v>
      </c>
      <c r="BW242" s="2" t="s">
        <v>1167</v>
      </c>
      <c r="BX242" s="2" t="s">
        <v>1454</v>
      </c>
      <c r="BY242" s="2" t="s">
        <v>109</v>
      </c>
      <c r="BZ242" s="2" t="s">
        <v>109</v>
      </c>
      <c r="CA242" s="2" t="s">
        <v>99</v>
      </c>
    </row>
    <row r="243">
      <c r="A243" s="2" t="s">
        <v>1455</v>
      </c>
      <c r="B243" s="2" t="s">
        <v>765</v>
      </c>
      <c r="C243" s="2" t="s">
        <v>203</v>
      </c>
      <c r="D243" s="2" t="s">
        <v>1437</v>
      </c>
      <c r="E243" s="2" t="s">
        <v>1438</v>
      </c>
      <c r="F243" s="2" t="s">
        <v>1456</v>
      </c>
      <c r="G243" s="2" t="s">
        <v>1457</v>
      </c>
      <c r="H243" s="2" t="s">
        <v>1458</v>
      </c>
      <c r="I243" s="2" t="s">
        <v>1459</v>
      </c>
      <c r="J243" s="2" t="s">
        <v>219</v>
      </c>
      <c r="K243" s="2" t="s">
        <v>777</v>
      </c>
      <c r="L243" s="3">
        <v>285.2</v>
      </c>
      <c r="M243" s="3">
        <v>299.46</v>
      </c>
      <c r="N243" s="3">
        <v>599</v>
      </c>
      <c r="O243" s="2" t="s">
        <v>96</v>
      </c>
      <c r="P243" s="2" t="s">
        <v>131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210</v>
      </c>
      <c r="V243" s="2" t="s">
        <v>310</v>
      </c>
      <c r="W243" s="2" t="s">
        <v>158</v>
      </c>
      <c r="X243" s="2" t="s">
        <v>99</v>
      </c>
      <c r="Y243" s="2" t="s">
        <v>1460</v>
      </c>
      <c r="Z243" s="4">
        <v>2</v>
      </c>
      <c r="AA243" s="4">
        <f>=ROUNDDOWN(0.2,0)</f>
      </c>
      <c r="AB243" s="5">
        <v>10</v>
      </c>
      <c r="AC243" s="2" t="s">
        <v>99</v>
      </c>
      <c r="AD243" s="4"/>
      <c r="AE243" s="4"/>
      <c r="AF243" s="6">
        <v>74</v>
      </c>
      <c r="AG243" s="6">
        <v>60</v>
      </c>
      <c r="AH243" s="7">
        <v>0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1</v>
      </c>
      <c r="BK243" s="8">
        <v>338.39</v>
      </c>
      <c r="BL243" s="2" t="s">
        <v>654</v>
      </c>
      <c r="BM243" s="7"/>
      <c r="BN243" s="7"/>
      <c r="BO243" s="4"/>
      <c r="BP243" s="8"/>
      <c r="BQ243" s="4"/>
      <c r="BR243" s="8"/>
      <c r="BS243" s="7"/>
      <c r="BT243" s="7"/>
      <c r="BU243" s="2" t="s">
        <v>1019</v>
      </c>
      <c r="BV243" s="2" t="s">
        <v>96</v>
      </c>
      <c r="BW243" s="2" t="s">
        <v>99</v>
      </c>
      <c r="BX243" s="2" t="s">
        <v>99</v>
      </c>
      <c r="BY243" s="2" t="s">
        <v>109</v>
      </c>
      <c r="BZ243" s="2" t="s">
        <v>109</v>
      </c>
      <c r="CA243" s="2" t="s">
        <v>99</v>
      </c>
    </row>
    <row r="244">
      <c r="A244" s="2" t="s">
        <v>1461</v>
      </c>
      <c r="B244" s="2" t="s">
        <v>765</v>
      </c>
      <c r="C244" s="2" t="s">
        <v>203</v>
      </c>
      <c r="D244" s="2" t="s">
        <v>1437</v>
      </c>
      <c r="E244" s="2" t="s">
        <v>1438</v>
      </c>
      <c r="F244" s="2" t="s">
        <v>1462</v>
      </c>
      <c r="G244" s="2" t="s">
        <v>1463</v>
      </c>
      <c r="H244" s="2" t="s">
        <v>1464</v>
      </c>
      <c r="I244" s="2" t="s">
        <v>1439</v>
      </c>
      <c r="J244" s="2" t="s">
        <v>219</v>
      </c>
      <c r="K244" s="2" t="s">
        <v>234</v>
      </c>
      <c r="L244" s="3">
        <v>242.25</v>
      </c>
      <c r="M244" s="3">
        <v>254.36</v>
      </c>
      <c r="N244" s="3">
        <v>509</v>
      </c>
      <c r="O244" s="2" t="s">
        <v>96</v>
      </c>
      <c r="P244" s="2" t="s">
        <v>188</v>
      </c>
      <c r="Q244" s="2" t="s">
        <v>98</v>
      </c>
      <c r="R244" s="2" t="s">
        <v>99</v>
      </c>
      <c r="S244" s="2" t="s">
        <v>1465</v>
      </c>
      <c r="T244" s="2" t="s">
        <v>99</v>
      </c>
      <c r="U244" s="2" t="s">
        <v>99</v>
      </c>
      <c r="V244" s="2" t="s">
        <v>157</v>
      </c>
      <c r="W244" s="2" t="s">
        <v>158</v>
      </c>
      <c r="X244" s="2" t="s">
        <v>99</v>
      </c>
      <c r="Y244" s="2" t="s">
        <v>1466</v>
      </c>
      <c r="Z244" s="4">
        <v>7</v>
      </c>
      <c r="AA244" s="4">
        <f>=ROUNDDOWN(2.33333333333333,0)</f>
      </c>
      <c r="AB244" s="5">
        <v>3</v>
      </c>
      <c r="AC244" s="2" t="s">
        <v>99</v>
      </c>
      <c r="AD244" s="4"/>
      <c r="AE244" s="4"/>
      <c r="AF244" s="6">
        <v>74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21</v>
      </c>
      <c r="BK244" s="8">
        <v>4497.91</v>
      </c>
      <c r="BL244" s="2" t="s">
        <v>1066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96</v>
      </c>
      <c r="BW244" s="2" t="s">
        <v>934</v>
      </c>
      <c r="BX244" s="2" t="s">
        <v>1354</v>
      </c>
      <c r="BY244" s="2" t="s">
        <v>109</v>
      </c>
      <c r="BZ244" s="2" t="s">
        <v>109</v>
      </c>
      <c r="CA244" s="2" t="s">
        <v>99</v>
      </c>
    </row>
    <row r="245">
      <c r="A245" s="2" t="s">
        <v>1467</v>
      </c>
      <c r="B245" s="2" t="s">
        <v>765</v>
      </c>
      <c r="C245" s="2" t="s">
        <v>203</v>
      </c>
      <c r="D245" s="2" t="s">
        <v>1437</v>
      </c>
      <c r="E245" s="2" t="s">
        <v>1438</v>
      </c>
      <c r="F245" s="2" t="s">
        <v>1468</v>
      </c>
      <c r="G245" s="2" t="s">
        <v>1469</v>
      </c>
      <c r="H245" s="2" t="s">
        <v>1470</v>
      </c>
      <c r="I245" s="2" t="s">
        <v>1439</v>
      </c>
      <c r="J245" s="2" t="s">
        <v>219</v>
      </c>
      <c r="K245" s="2" t="s">
        <v>234</v>
      </c>
      <c r="L245" s="3">
        <v>252.45</v>
      </c>
      <c r="M245" s="3">
        <v>265.07</v>
      </c>
      <c r="N245" s="3">
        <v>529</v>
      </c>
      <c r="O245" s="2" t="s">
        <v>96</v>
      </c>
      <c r="P245" s="2" t="s">
        <v>131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210</v>
      </c>
      <c r="V245" s="2" t="s">
        <v>157</v>
      </c>
      <c r="W245" s="2" t="s">
        <v>362</v>
      </c>
      <c r="X245" s="2" t="s">
        <v>158</v>
      </c>
      <c r="Y245" s="2" t="s">
        <v>1471</v>
      </c>
      <c r="Z245" s="4">
        <v>151</v>
      </c>
      <c r="AA245" s="4">
        <f>=ROUNDDOWN(25.1666666666667,0)</f>
      </c>
      <c r="AB245" s="5">
        <v>6</v>
      </c>
      <c r="AC245" s="2" t="s">
        <v>99</v>
      </c>
      <c r="AD245" s="4"/>
      <c r="AE245" s="4"/>
      <c r="AF245" s="6">
        <v>74</v>
      </c>
      <c r="AG245" s="6">
        <v>60</v>
      </c>
      <c r="AH245" s="7">
        <v>0.6897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18</v>
      </c>
      <c r="BK245" s="8">
        <v>4495.26</v>
      </c>
      <c r="BL245" s="2" t="s">
        <v>1472</v>
      </c>
      <c r="BM245" s="7"/>
      <c r="BN245" s="7"/>
      <c r="BO245" s="4"/>
      <c r="BP245" s="8"/>
      <c r="BQ245" s="4"/>
      <c r="BR245" s="8"/>
      <c r="BS245" s="7"/>
      <c r="BT245" s="7"/>
      <c r="BU245" s="2" t="s">
        <v>1019</v>
      </c>
      <c r="BV245" s="2" t="s">
        <v>96</v>
      </c>
      <c r="BW245" s="2" t="s">
        <v>99</v>
      </c>
      <c r="BX245" s="2" t="s">
        <v>99</v>
      </c>
      <c r="BY245" s="2" t="s">
        <v>109</v>
      </c>
      <c r="BZ245" s="2" t="s">
        <v>109</v>
      </c>
      <c r="CA245" s="2" t="s">
        <v>99</v>
      </c>
    </row>
    <row r="246">
      <c r="A246" s="2" t="s">
        <v>1473</v>
      </c>
      <c r="B246" s="2" t="s">
        <v>765</v>
      </c>
      <c r="C246" s="2" t="s">
        <v>203</v>
      </c>
      <c r="D246" s="2" t="s">
        <v>1437</v>
      </c>
      <c r="E246" s="2" t="s">
        <v>1438</v>
      </c>
      <c r="F246" s="2" t="s">
        <v>1387</v>
      </c>
      <c r="G246" s="2" t="s">
        <v>1388</v>
      </c>
      <c r="H246" s="2" t="s">
        <v>1389</v>
      </c>
      <c r="I246" s="2" t="s">
        <v>1474</v>
      </c>
      <c r="J246" s="2" t="s">
        <v>227</v>
      </c>
      <c r="K246" s="2" t="s">
        <v>784</v>
      </c>
      <c r="L246" s="3">
        <v>171</v>
      </c>
      <c r="M246" s="3">
        <v>179.55</v>
      </c>
      <c r="N246" s="3">
        <v>359</v>
      </c>
      <c r="O246" s="2" t="s">
        <v>96</v>
      </c>
      <c r="P246" s="2" t="s">
        <v>131</v>
      </c>
      <c r="Q246" s="2" t="s">
        <v>98</v>
      </c>
      <c r="R246" s="2" t="s">
        <v>99</v>
      </c>
      <c r="S246" s="2" t="s">
        <v>1391</v>
      </c>
      <c r="T246" s="2" t="s">
        <v>99</v>
      </c>
      <c r="U246" s="2" t="s">
        <v>100</v>
      </c>
      <c r="V246" s="2" t="s">
        <v>157</v>
      </c>
      <c r="W246" s="2" t="s">
        <v>158</v>
      </c>
      <c r="X246" s="2" t="s">
        <v>99</v>
      </c>
      <c r="Y246" s="2" t="s">
        <v>1109</v>
      </c>
      <c r="Z246" s="4">
        <v>256</v>
      </c>
      <c r="AA246" s="4">
        <f>=ROUNDDOWN(18.962962962963,0)</f>
      </c>
      <c r="AB246" s="5">
        <v>13.5</v>
      </c>
      <c r="AC246" s="2" t="s">
        <v>913</v>
      </c>
      <c r="AD246" s="4">
        <v>100</v>
      </c>
      <c r="AE246" s="4">
        <v>100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>
        <v>3.2</v>
      </c>
      <c r="AL246" s="2" t="s">
        <v>99</v>
      </c>
      <c r="AM246" s="4"/>
      <c r="AN246" s="4"/>
      <c r="AO246" s="7">
        <v>0.3793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/>
      <c r="BJ246" s="4">
        <v>109</v>
      </c>
      <c r="BK246" s="8">
        <v>17694.28</v>
      </c>
      <c r="BL246" s="2" t="s">
        <v>1475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96</v>
      </c>
      <c r="BW246" s="2" t="s">
        <v>1110</v>
      </c>
      <c r="BX246" s="2" t="s">
        <v>1476</v>
      </c>
      <c r="BY246" s="2" t="s">
        <v>109</v>
      </c>
      <c r="BZ246" s="2" t="s">
        <v>109</v>
      </c>
      <c r="CA246" s="2" t="s">
        <v>99</v>
      </c>
    </row>
    <row r="247">
      <c r="A247" s="2" t="s">
        <v>1477</v>
      </c>
      <c r="B247" s="2" t="s">
        <v>765</v>
      </c>
      <c r="C247" s="2" t="s">
        <v>203</v>
      </c>
      <c r="D247" s="2" t="s">
        <v>1437</v>
      </c>
      <c r="E247" s="2" t="s">
        <v>1438</v>
      </c>
      <c r="F247" s="2" t="s">
        <v>1387</v>
      </c>
      <c r="G247" s="2" t="s">
        <v>1388</v>
      </c>
      <c r="H247" s="2" t="s">
        <v>1389</v>
      </c>
      <c r="I247" s="2" t="s">
        <v>1474</v>
      </c>
      <c r="J247" s="2" t="s">
        <v>227</v>
      </c>
      <c r="K247" s="2" t="s">
        <v>887</v>
      </c>
      <c r="L247" s="3">
        <v>171</v>
      </c>
      <c r="M247" s="3">
        <v>179.55</v>
      </c>
      <c r="N247" s="3">
        <v>359</v>
      </c>
      <c r="O247" s="2" t="s">
        <v>96</v>
      </c>
      <c r="P247" s="2" t="s">
        <v>188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100</v>
      </c>
      <c r="V247" s="2" t="s">
        <v>157</v>
      </c>
      <c r="W247" s="2" t="s">
        <v>158</v>
      </c>
      <c r="X247" s="2" t="s">
        <v>99</v>
      </c>
      <c r="Y247" s="2" t="s">
        <v>1394</v>
      </c>
      <c r="Z247" s="4">
        <v>2</v>
      </c>
      <c r="AA247" s="4">
        <f>=ROUNDDOWN(1,0)</f>
      </c>
      <c r="AB247" s="5">
        <v>2</v>
      </c>
      <c r="AC247" s="2" t="s">
        <v>99</v>
      </c>
      <c r="AD247" s="4"/>
      <c r="AE247" s="4"/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/>
      <c r="BJ247" s="4">
        <v>28</v>
      </c>
      <c r="BK247" s="8">
        <v>3273.4</v>
      </c>
      <c r="BL247" s="2" t="s">
        <v>200</v>
      </c>
      <c r="BM247" s="7"/>
      <c r="BN247" s="7"/>
      <c r="BO247" s="4"/>
      <c r="BP247" s="8"/>
      <c r="BQ247" s="4"/>
      <c r="BR247" s="8"/>
      <c r="BS247" s="7"/>
      <c r="BT247" s="7"/>
      <c r="BU247" s="2" t="s">
        <v>1019</v>
      </c>
      <c r="BV247" s="2" t="s">
        <v>96</v>
      </c>
      <c r="BW247" s="2" t="s">
        <v>99</v>
      </c>
      <c r="BX247" s="2" t="s">
        <v>99</v>
      </c>
      <c r="BY247" s="2" t="s">
        <v>109</v>
      </c>
      <c r="BZ247" s="2" t="s">
        <v>109</v>
      </c>
      <c r="CA247" s="2" t="s">
        <v>99</v>
      </c>
    </row>
    <row r="248">
      <c r="A248" s="2" t="s">
        <v>1478</v>
      </c>
      <c r="B248" s="2" t="s">
        <v>765</v>
      </c>
      <c r="C248" s="2" t="s">
        <v>203</v>
      </c>
      <c r="D248" s="2" t="s">
        <v>1437</v>
      </c>
      <c r="E248" s="2" t="s">
        <v>1438</v>
      </c>
      <c r="F248" s="2" t="s">
        <v>1479</v>
      </c>
      <c r="G248" s="2" t="s">
        <v>1480</v>
      </c>
      <c r="H248" s="2" t="s">
        <v>1481</v>
      </c>
      <c r="I248" s="2" t="s">
        <v>1482</v>
      </c>
      <c r="J248" s="2" t="s">
        <v>219</v>
      </c>
      <c r="K248" s="2" t="s">
        <v>234</v>
      </c>
      <c r="L248" s="3">
        <v>263.5</v>
      </c>
      <c r="M248" s="3">
        <v>276.68</v>
      </c>
      <c r="N248" s="3">
        <v>549</v>
      </c>
      <c r="O248" s="2" t="s">
        <v>96</v>
      </c>
      <c r="P248" s="2" t="s">
        <v>131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210</v>
      </c>
      <c r="V248" s="2" t="s">
        <v>310</v>
      </c>
      <c r="W248" s="2" t="s">
        <v>362</v>
      </c>
      <c r="X248" s="2" t="s">
        <v>99</v>
      </c>
      <c r="Y248" s="2" t="s">
        <v>1460</v>
      </c>
      <c r="Z248" s="4">
        <v>59</v>
      </c>
      <c r="AA248" s="4">
        <f>=ROUNDDOWN(6.55555555555556,0)</f>
      </c>
      <c r="AB248" s="5">
        <v>9</v>
      </c>
      <c r="AC248" s="2" t="s">
        <v>99</v>
      </c>
      <c r="AD248" s="4"/>
      <c r="AE248" s="4"/>
      <c r="AF248" s="6">
        <v>74</v>
      </c>
      <c r="AG248" s="6">
        <v>60</v>
      </c>
      <c r="AH248" s="7">
        <v>0.2759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29</v>
      </c>
      <c r="BK248" s="8">
        <v>8297.55</v>
      </c>
      <c r="BL248" s="2" t="s">
        <v>1483</v>
      </c>
      <c r="BM248" s="7"/>
      <c r="BN248" s="7"/>
      <c r="BO248" s="4"/>
      <c r="BP248" s="8"/>
      <c r="BQ248" s="4"/>
      <c r="BR248" s="8"/>
      <c r="BS248" s="7"/>
      <c r="BT248" s="7"/>
      <c r="BU248" s="2" t="s">
        <v>1484</v>
      </c>
      <c r="BV248" s="2" t="s">
        <v>96</v>
      </c>
      <c r="BW248" s="2" t="s">
        <v>99</v>
      </c>
      <c r="BX248" s="2" t="s">
        <v>99</v>
      </c>
      <c r="BY248" s="2" t="s">
        <v>109</v>
      </c>
      <c r="BZ248" s="2" t="s">
        <v>109</v>
      </c>
      <c r="CA248" s="2" t="s">
        <v>99</v>
      </c>
    </row>
    <row r="249">
      <c r="A249" s="2" t="s">
        <v>1485</v>
      </c>
      <c r="B249" s="2" t="s">
        <v>765</v>
      </c>
      <c r="C249" s="2" t="s">
        <v>203</v>
      </c>
      <c r="D249" s="2" t="s">
        <v>1437</v>
      </c>
      <c r="E249" s="2" t="s">
        <v>1438</v>
      </c>
      <c r="F249" s="2" t="s">
        <v>1486</v>
      </c>
      <c r="G249" s="2" t="s">
        <v>1486</v>
      </c>
      <c r="H249" s="2" t="s">
        <v>1486</v>
      </c>
      <c r="I249" s="2" t="s">
        <v>1487</v>
      </c>
      <c r="J249" s="2" t="s">
        <v>227</v>
      </c>
      <c r="K249" s="2" t="s">
        <v>784</v>
      </c>
      <c r="L249" s="3">
        <v>140</v>
      </c>
      <c r="M249" s="3">
        <v>147</v>
      </c>
      <c r="N249" s="3">
        <v>289</v>
      </c>
      <c r="O249" s="2" t="s">
        <v>96</v>
      </c>
      <c r="P249" s="2" t="s">
        <v>317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99</v>
      </c>
      <c r="V249" s="2" t="s">
        <v>644</v>
      </c>
      <c r="W249" s="2" t="s">
        <v>785</v>
      </c>
      <c r="X249" s="2" t="s">
        <v>99</v>
      </c>
      <c r="Y249" s="2" t="s">
        <v>1488</v>
      </c>
      <c r="Z249" s="4"/>
      <c r="AA249" s="4">
        <f>=ROUNDDOWN({0},0)</f>
      </c>
      <c r="AB249" s="5"/>
      <c r="AC249" s="2" t="s">
        <v>811</v>
      </c>
      <c r="AD249" s="4">
        <v>179</v>
      </c>
      <c r="AE249" s="4">
        <v>179</v>
      </c>
      <c r="AF249" s="6">
        <v>74</v>
      </c>
      <c r="AG249" s="6"/>
      <c r="AH249" s="7">
        <v>0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99</v>
      </c>
      <c r="BM249" s="7"/>
      <c r="BN249" s="7"/>
      <c r="BO249" s="4"/>
      <c r="BP249" s="8"/>
      <c r="BQ249" s="4"/>
      <c r="BR249" s="8"/>
      <c r="BS249" s="7"/>
      <c r="BT249" s="7"/>
      <c r="BU249" s="2" t="s">
        <v>819</v>
      </c>
      <c r="BV249" s="2" t="s">
        <v>96</v>
      </c>
      <c r="BW249" s="2" t="s">
        <v>99</v>
      </c>
      <c r="BX249" s="2" t="s">
        <v>99</v>
      </c>
      <c r="BY249" s="2" t="s">
        <v>109</v>
      </c>
      <c r="BZ249" s="2" t="s">
        <v>109</v>
      </c>
      <c r="CA249" s="2" t="s">
        <v>99</v>
      </c>
    </row>
    <row r="250">
      <c r="A250" s="2" t="s">
        <v>1489</v>
      </c>
      <c r="B250" s="2" t="s">
        <v>765</v>
      </c>
      <c r="C250" s="2" t="s">
        <v>203</v>
      </c>
      <c r="D250" s="2" t="s">
        <v>1437</v>
      </c>
      <c r="E250" s="2" t="s">
        <v>1490</v>
      </c>
      <c r="F250" s="2" t="s">
        <v>1491</v>
      </c>
      <c r="G250" s="2" t="s">
        <v>1492</v>
      </c>
      <c r="H250" s="2" t="s">
        <v>1493</v>
      </c>
      <c r="I250" s="2" t="s">
        <v>1494</v>
      </c>
      <c r="J250" s="2" t="s">
        <v>227</v>
      </c>
      <c r="K250" s="2" t="s">
        <v>274</v>
      </c>
      <c r="L250" s="3">
        <v>190</v>
      </c>
      <c r="M250" s="3">
        <v>199.5</v>
      </c>
      <c r="N250" s="3">
        <v>399</v>
      </c>
      <c r="O250" s="2" t="s">
        <v>96</v>
      </c>
      <c r="P250" s="2" t="s">
        <v>131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100</v>
      </c>
      <c r="V250" s="2" t="s">
        <v>157</v>
      </c>
      <c r="W250" s="2" t="s">
        <v>158</v>
      </c>
      <c r="X250" s="2" t="s">
        <v>362</v>
      </c>
      <c r="Y250" s="2" t="s">
        <v>1495</v>
      </c>
      <c r="Z250" s="4"/>
      <c r="AA250" s="4">
        <f>=ROUNDDOWN({0},0)</f>
      </c>
      <c r="AB250" s="5">
        <v>13</v>
      </c>
      <c r="AC250" s="2" t="s">
        <v>1035</v>
      </c>
      <c r="AD250" s="4">
        <v>84</v>
      </c>
      <c r="AE250" s="4">
        <v>220</v>
      </c>
      <c r="AF250" s="6">
        <v>74</v>
      </c>
      <c r="AG250" s="6">
        <v>60</v>
      </c>
      <c r="AH250" s="7">
        <v>0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>
        <v>17</v>
      </c>
      <c r="BK250" s="8">
        <v>4515.37</v>
      </c>
      <c r="BL250" s="2" t="s">
        <v>1496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96</v>
      </c>
      <c r="BW250" s="2" t="s">
        <v>99</v>
      </c>
      <c r="BX250" s="2" t="s">
        <v>1497</v>
      </c>
      <c r="BY250" s="2" t="s">
        <v>109</v>
      </c>
      <c r="BZ250" s="2" t="s">
        <v>109</v>
      </c>
      <c r="CA250" s="2" t="s">
        <v>99</v>
      </c>
    </row>
    <row r="251">
      <c r="A251" s="2" t="s">
        <v>1498</v>
      </c>
      <c r="B251" s="2" t="s">
        <v>765</v>
      </c>
      <c r="C251" s="2" t="s">
        <v>203</v>
      </c>
      <c r="D251" s="2" t="s">
        <v>1437</v>
      </c>
      <c r="E251" s="2" t="s">
        <v>1490</v>
      </c>
      <c r="F251" s="2" t="s">
        <v>1491</v>
      </c>
      <c r="G251" s="2" t="s">
        <v>1492</v>
      </c>
      <c r="H251" s="2" t="s">
        <v>1493</v>
      </c>
      <c r="I251" s="2" t="s">
        <v>1494</v>
      </c>
      <c r="J251" s="2" t="s">
        <v>227</v>
      </c>
      <c r="K251" s="2" t="s">
        <v>784</v>
      </c>
      <c r="L251" s="3">
        <v>190</v>
      </c>
      <c r="M251" s="3">
        <v>199.5</v>
      </c>
      <c r="N251" s="3">
        <v>399</v>
      </c>
      <c r="O251" s="2" t="s">
        <v>96</v>
      </c>
      <c r="P251" s="2" t="s">
        <v>135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100</v>
      </c>
      <c r="V251" s="2" t="s">
        <v>157</v>
      </c>
      <c r="W251" s="2" t="s">
        <v>158</v>
      </c>
      <c r="X251" s="2" t="s">
        <v>362</v>
      </c>
      <c r="Y251" s="2" t="s">
        <v>1495</v>
      </c>
      <c r="Z251" s="4"/>
      <c r="AA251" s="4">
        <f>=ROUNDDOWN({0},0)</f>
      </c>
      <c r="AB251" s="5">
        <v>18</v>
      </c>
      <c r="AC251" s="2" t="s">
        <v>1035</v>
      </c>
      <c r="AD251" s="4">
        <v>120</v>
      </c>
      <c r="AE251" s="4">
        <v>456</v>
      </c>
      <c r="AF251" s="6">
        <v>74</v>
      </c>
      <c r="AG251" s="6">
        <v>60</v>
      </c>
      <c r="AH251" s="7">
        <v>0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/>
      <c r="BJ251" s="4">
        <v>1</v>
      </c>
      <c r="BK251" s="8">
        <v>538.99</v>
      </c>
      <c r="BL251" s="2" t="s">
        <v>1059</v>
      </c>
      <c r="BM251" s="7"/>
      <c r="BN251" s="7"/>
      <c r="BO251" s="4"/>
      <c r="BP251" s="8"/>
      <c r="BQ251" s="4"/>
      <c r="BR251" s="8"/>
      <c r="BS251" s="7"/>
      <c r="BT251" s="7"/>
      <c r="BU251" s="2" t="s">
        <v>107</v>
      </c>
      <c r="BV251" s="2" t="s">
        <v>96</v>
      </c>
      <c r="BW251" s="2" t="s">
        <v>99</v>
      </c>
      <c r="BX251" s="2" t="s">
        <v>1499</v>
      </c>
      <c r="BY251" s="2" t="s">
        <v>109</v>
      </c>
      <c r="BZ251" s="2" t="s">
        <v>109</v>
      </c>
      <c r="CA251" s="2" t="s">
        <v>99</v>
      </c>
    </row>
    <row r="252">
      <c r="A252" s="2" t="s">
        <v>1500</v>
      </c>
      <c r="B252" s="2" t="s">
        <v>765</v>
      </c>
      <c r="C252" s="2" t="s">
        <v>203</v>
      </c>
      <c r="D252" s="2" t="s">
        <v>1437</v>
      </c>
      <c r="E252" s="2" t="s">
        <v>1490</v>
      </c>
      <c r="F252" s="2" t="s">
        <v>1491</v>
      </c>
      <c r="G252" s="2" t="s">
        <v>1492</v>
      </c>
      <c r="H252" s="2" t="s">
        <v>1493</v>
      </c>
      <c r="I252" s="2" t="s">
        <v>1494</v>
      </c>
      <c r="J252" s="2" t="s">
        <v>227</v>
      </c>
      <c r="K252" s="2" t="s">
        <v>228</v>
      </c>
      <c r="L252" s="3">
        <v>190</v>
      </c>
      <c r="M252" s="3">
        <v>199.5</v>
      </c>
      <c r="N252" s="3">
        <v>399</v>
      </c>
      <c r="O252" s="2" t="s">
        <v>96</v>
      </c>
      <c r="P252" s="2" t="s">
        <v>386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100</v>
      </c>
      <c r="V252" s="2" t="s">
        <v>157</v>
      </c>
      <c r="W252" s="2" t="s">
        <v>158</v>
      </c>
      <c r="X252" s="2" t="s">
        <v>362</v>
      </c>
      <c r="Y252" s="2" t="s">
        <v>1116</v>
      </c>
      <c r="Z252" s="4">
        <v>582</v>
      </c>
      <c r="AA252" s="4">
        <f>=ROUNDDOWN(145.5,0)</f>
      </c>
      <c r="AB252" s="5">
        <v>4</v>
      </c>
      <c r="AC252" s="2" t="s">
        <v>99</v>
      </c>
      <c r="AD252" s="4"/>
      <c r="AE252" s="4"/>
      <c r="AF252" s="6">
        <v>74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/>
      <c r="BJ252" s="4">
        <v>19</v>
      </c>
      <c r="BK252" s="8">
        <v>3607.76</v>
      </c>
      <c r="BL252" s="2" t="s">
        <v>1501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96</v>
      </c>
      <c r="BW252" s="2" t="s">
        <v>1353</v>
      </c>
      <c r="BX252" s="2" t="s">
        <v>1502</v>
      </c>
      <c r="BY252" s="2" t="s">
        <v>109</v>
      </c>
      <c r="BZ252" s="2" t="s">
        <v>109</v>
      </c>
      <c r="CA252" s="2" t="s">
        <v>99</v>
      </c>
    </row>
    <row r="253">
      <c r="A253" s="2" t="s">
        <v>1503</v>
      </c>
      <c r="B253" s="2" t="s">
        <v>765</v>
      </c>
      <c r="C253" s="2" t="s">
        <v>203</v>
      </c>
      <c r="D253" s="2" t="s">
        <v>1504</v>
      </c>
      <c r="E253" s="2" t="s">
        <v>1505</v>
      </c>
      <c r="F253" s="2" t="s">
        <v>1506</v>
      </c>
      <c r="G253" s="2" t="s">
        <v>1507</v>
      </c>
      <c r="H253" s="2" t="s">
        <v>1508</v>
      </c>
      <c r="I253" s="2" t="s">
        <v>1505</v>
      </c>
      <c r="J253" s="2" t="s">
        <v>227</v>
      </c>
      <c r="K253" s="2" t="s">
        <v>1509</v>
      </c>
      <c r="L253" s="3">
        <v>133</v>
      </c>
      <c r="M253" s="3">
        <v>139.65</v>
      </c>
      <c r="N253" s="3">
        <v>279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1510</v>
      </c>
      <c r="T253" s="2" t="s">
        <v>99</v>
      </c>
      <c r="U253" s="2" t="s">
        <v>99</v>
      </c>
      <c r="V253" s="2" t="s">
        <v>157</v>
      </c>
      <c r="W253" s="2" t="s">
        <v>761</v>
      </c>
      <c r="X253" s="2" t="s">
        <v>99</v>
      </c>
      <c r="Y253" s="2" t="s">
        <v>164</v>
      </c>
      <c r="Z253" s="4">
        <v>185</v>
      </c>
      <c r="AA253" s="4">
        <f>=ROUNDDOWN(2.65804597701149,0)</f>
      </c>
      <c r="AB253" s="5">
        <v>69.6</v>
      </c>
      <c r="AC253" s="2" t="s">
        <v>801</v>
      </c>
      <c r="AD253" s="4">
        <v>220</v>
      </c>
      <c r="AE253" s="4">
        <v>703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>
        <v>8.9</v>
      </c>
      <c r="AL253" s="2" t="s">
        <v>1511</v>
      </c>
      <c r="AM253" s="4">
        <v>184</v>
      </c>
      <c r="AN253" s="4">
        <v>940</v>
      </c>
      <c r="AO253" s="7">
        <v>1</v>
      </c>
      <c r="AP253" s="4">
        <v>24</v>
      </c>
      <c r="AQ253" s="8">
        <v>3613.44</v>
      </c>
      <c r="AR253" s="4"/>
      <c r="AS253" s="8"/>
      <c r="AT253" s="7"/>
      <c r="AU253" s="7"/>
      <c r="AV253" s="4">
        <v>24</v>
      </c>
      <c r="AW253" s="8">
        <v>3613.44</v>
      </c>
      <c r="AX253" s="4"/>
      <c r="AY253" s="8"/>
      <c r="AZ253" s="7"/>
      <c r="BA253" s="7"/>
      <c r="BB253" s="7">
        <v>1</v>
      </c>
      <c r="BC253" s="4">
        <v>30</v>
      </c>
      <c r="BD253" s="8">
        <v>4518.36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0.7997</v>
      </c>
      <c r="BJ253" s="4">
        <v>281</v>
      </c>
      <c r="BK253" s="8">
        <v>39502.29</v>
      </c>
      <c r="BL253" s="2" t="s">
        <v>1512</v>
      </c>
      <c r="BM253" s="7">
        <v>0.0854</v>
      </c>
      <c r="BN253" s="7">
        <v>0.0915</v>
      </c>
      <c r="BO253" s="4">
        <v>24</v>
      </c>
      <c r="BP253" s="8">
        <v>3613.44</v>
      </c>
      <c r="BQ253" s="4"/>
      <c r="BR253" s="8"/>
      <c r="BS253" s="7"/>
      <c r="BT253" s="7"/>
      <c r="BU253" s="2" t="s">
        <v>107</v>
      </c>
      <c r="BV253" s="2" t="s">
        <v>96</v>
      </c>
      <c r="BW253" s="2" t="s">
        <v>506</v>
      </c>
      <c r="BX253" s="2" t="s">
        <v>1513</v>
      </c>
      <c r="BY253" s="2" t="s">
        <v>109</v>
      </c>
      <c r="BZ253" s="2" t="s">
        <v>109</v>
      </c>
      <c r="CA253" s="2" t="s">
        <v>99</v>
      </c>
    </row>
    <row r="254">
      <c r="A254" s="2" t="s">
        <v>1514</v>
      </c>
      <c r="B254" s="2" t="s">
        <v>765</v>
      </c>
      <c r="C254" s="2" t="s">
        <v>203</v>
      </c>
      <c r="D254" s="2" t="s">
        <v>1504</v>
      </c>
      <c r="E254" s="2" t="s">
        <v>1505</v>
      </c>
      <c r="F254" s="2" t="s">
        <v>1506</v>
      </c>
      <c r="G254" s="2" t="s">
        <v>1507</v>
      </c>
      <c r="H254" s="2" t="s">
        <v>1508</v>
      </c>
      <c r="I254" s="2" t="s">
        <v>1505</v>
      </c>
      <c r="J254" s="2" t="s">
        <v>227</v>
      </c>
      <c r="K254" s="2" t="s">
        <v>1515</v>
      </c>
      <c r="L254" s="3">
        <v>133</v>
      </c>
      <c r="M254" s="3">
        <v>139.65</v>
      </c>
      <c r="N254" s="3">
        <v>279</v>
      </c>
      <c r="O254" s="2" t="s">
        <v>96</v>
      </c>
      <c r="P254" s="2" t="s">
        <v>131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100</v>
      </c>
      <c r="V254" s="2" t="s">
        <v>157</v>
      </c>
      <c r="W254" s="2" t="s">
        <v>102</v>
      </c>
      <c r="X254" s="2" t="s">
        <v>761</v>
      </c>
      <c r="Y254" s="2" t="s">
        <v>1516</v>
      </c>
      <c r="Z254" s="4">
        <v>157</v>
      </c>
      <c r="AA254" s="4">
        <f>=ROUNDDOWN(14.2727272727273,0)</f>
      </c>
      <c r="AB254" s="5">
        <v>11</v>
      </c>
      <c r="AC254" s="2" t="s">
        <v>1035</v>
      </c>
      <c r="AD254" s="4">
        <v>46</v>
      </c>
      <c r="AE254" s="4">
        <v>179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6</v>
      </c>
      <c r="AQ254" s="8">
        <v>904.92</v>
      </c>
      <c r="AR254" s="4"/>
      <c r="AS254" s="8"/>
      <c r="AT254" s="7"/>
      <c r="AU254" s="7"/>
      <c r="AV254" s="4">
        <v>6</v>
      </c>
      <c r="AW254" s="8">
        <v>904.92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0.2003</v>
      </c>
      <c r="BJ254" s="4">
        <v>40</v>
      </c>
      <c r="BK254" s="8">
        <v>5212.81</v>
      </c>
      <c r="BL254" s="2" t="s">
        <v>1517</v>
      </c>
      <c r="BM254" s="7">
        <v>0.15</v>
      </c>
      <c r="BN254" s="7">
        <v>0.1736</v>
      </c>
      <c r="BO254" s="4">
        <v>6</v>
      </c>
      <c r="BP254" s="8">
        <v>904.92</v>
      </c>
      <c r="BQ254" s="4"/>
      <c r="BR254" s="8"/>
      <c r="BS254" s="7"/>
      <c r="BT254" s="7"/>
      <c r="BU254" s="2" t="s">
        <v>107</v>
      </c>
      <c r="BV254" s="2" t="s">
        <v>96</v>
      </c>
      <c r="BW254" s="2" t="s">
        <v>792</v>
      </c>
      <c r="BX254" s="2" t="s">
        <v>1518</v>
      </c>
      <c r="BY254" s="2" t="s">
        <v>109</v>
      </c>
      <c r="BZ254" s="2" t="s">
        <v>109</v>
      </c>
      <c r="CA254" s="2" t="s">
        <v>99</v>
      </c>
    </row>
    <row r="255">
      <c r="A255" s="2" t="s">
        <v>1519</v>
      </c>
      <c r="B255" s="2" t="s">
        <v>765</v>
      </c>
      <c r="C255" s="2" t="s">
        <v>203</v>
      </c>
      <c r="D255" s="2" t="s">
        <v>1504</v>
      </c>
      <c r="E255" s="2" t="s">
        <v>1505</v>
      </c>
      <c r="F255" s="2" t="s">
        <v>1506</v>
      </c>
      <c r="G255" s="2" t="s">
        <v>1507</v>
      </c>
      <c r="H255" s="2" t="s">
        <v>1508</v>
      </c>
      <c r="I255" s="2" t="s">
        <v>1505</v>
      </c>
      <c r="J255" s="2" t="s">
        <v>227</v>
      </c>
      <c r="K255" s="2" t="s">
        <v>813</v>
      </c>
      <c r="L255" s="3">
        <v>0.01</v>
      </c>
      <c r="M255" s="3">
        <v>0.01</v>
      </c>
      <c r="N255" s="3"/>
      <c r="O255" s="2" t="s">
        <v>96</v>
      </c>
      <c r="P255" s="2" t="s">
        <v>814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99</v>
      </c>
      <c r="V255" s="2" t="s">
        <v>310</v>
      </c>
      <c r="W255" s="2" t="s">
        <v>99</v>
      </c>
      <c r="X255" s="2" t="s">
        <v>99</v>
      </c>
      <c r="Y255" s="2" t="s">
        <v>1520</v>
      </c>
      <c r="Z255" s="4">
        <v>5</v>
      </c>
      <c r="AA255" s="4">
        <f>=ROUNDDOWN({0},0)</f>
      </c>
      <c r="AB255" s="5"/>
      <c r="AC255" s="2" t="s">
        <v>99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/>
      <c r="BJ255" s="4"/>
      <c r="BK255" s="8"/>
      <c r="BL255" s="2" t="s">
        <v>99</v>
      </c>
      <c r="BM255" s="7"/>
      <c r="BN255" s="7"/>
      <c r="BO255" s="4"/>
      <c r="BP255" s="8"/>
      <c r="BQ255" s="4"/>
      <c r="BR255" s="8"/>
      <c r="BS255" s="7"/>
      <c r="BT255" s="7"/>
      <c r="BU255" s="2" t="s">
        <v>819</v>
      </c>
      <c r="BV255" s="2" t="s">
        <v>96</v>
      </c>
      <c r="BW255" s="2" t="s">
        <v>99</v>
      </c>
      <c r="BX255" s="2" t="s">
        <v>99</v>
      </c>
      <c r="BY255" s="2" t="s">
        <v>109</v>
      </c>
      <c r="BZ255" s="2" t="s">
        <v>109</v>
      </c>
      <c r="CA255" s="2" t="s">
        <v>99</v>
      </c>
    </row>
    <row r="256">
      <c r="A256" s="2" t="s">
        <v>1521</v>
      </c>
      <c r="B256" s="2" t="s">
        <v>765</v>
      </c>
      <c r="C256" s="2" t="s">
        <v>203</v>
      </c>
      <c r="D256" s="2" t="s">
        <v>1504</v>
      </c>
      <c r="E256" s="2" t="s">
        <v>1505</v>
      </c>
      <c r="F256" s="2" t="s">
        <v>1506</v>
      </c>
      <c r="G256" s="2" t="s">
        <v>1507</v>
      </c>
      <c r="H256" s="2" t="s">
        <v>1508</v>
      </c>
      <c r="I256" s="2" t="s">
        <v>1505</v>
      </c>
      <c r="J256" s="2" t="s">
        <v>227</v>
      </c>
      <c r="K256" s="2" t="s">
        <v>1522</v>
      </c>
      <c r="L256" s="3">
        <v>133</v>
      </c>
      <c r="M256" s="3">
        <v>139.65</v>
      </c>
      <c r="N256" s="3">
        <v>279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100</v>
      </c>
      <c r="V256" s="2" t="s">
        <v>157</v>
      </c>
      <c r="W256" s="2" t="s">
        <v>761</v>
      </c>
      <c r="X256" s="2" t="s">
        <v>102</v>
      </c>
      <c r="Y256" s="2" t="s">
        <v>1523</v>
      </c>
      <c r="Z256" s="4">
        <v>33</v>
      </c>
      <c r="AA256" s="4">
        <f>=ROUNDDOWN(1.27906976744186,0)</f>
      </c>
      <c r="AB256" s="5">
        <v>25.8</v>
      </c>
      <c r="AC256" s="2" t="s">
        <v>1035</v>
      </c>
      <c r="AD256" s="4">
        <v>143</v>
      </c>
      <c r="AE256" s="4">
        <v>393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1511</v>
      </c>
      <c r="AM256" s="4">
        <v>110</v>
      </c>
      <c r="AN256" s="4">
        <v>380</v>
      </c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/>
      <c r="BJ256" s="4">
        <v>80</v>
      </c>
      <c r="BK256" s="8">
        <v>11337.02</v>
      </c>
      <c r="BL256" s="2" t="s">
        <v>1524</v>
      </c>
      <c r="BM256" s="7"/>
      <c r="BN256" s="7"/>
      <c r="BO256" s="4"/>
      <c r="BP256" s="8"/>
      <c r="BQ256" s="4"/>
      <c r="BR256" s="8"/>
      <c r="BS256" s="7"/>
      <c r="BT256" s="7"/>
      <c r="BU256" s="2" t="s">
        <v>1019</v>
      </c>
      <c r="BV256" s="2" t="s">
        <v>96</v>
      </c>
      <c r="BW256" s="2" t="s">
        <v>99</v>
      </c>
      <c r="BX256" s="2" t="s">
        <v>99</v>
      </c>
      <c r="BY256" s="2" t="s">
        <v>109</v>
      </c>
      <c r="BZ256" s="2" t="s">
        <v>109</v>
      </c>
      <c r="CA256" s="2" t="s">
        <v>99</v>
      </c>
    </row>
    <row r="257">
      <c r="A257" s="2" t="s">
        <v>1525</v>
      </c>
      <c r="B257" s="2" t="s">
        <v>765</v>
      </c>
      <c r="C257" s="2" t="s">
        <v>203</v>
      </c>
      <c r="D257" s="2" t="s">
        <v>1504</v>
      </c>
      <c r="E257" s="2" t="s">
        <v>1505</v>
      </c>
      <c r="F257" s="2" t="s">
        <v>1526</v>
      </c>
      <c r="G257" s="2" t="s">
        <v>1527</v>
      </c>
      <c r="H257" s="2" t="s">
        <v>1528</v>
      </c>
      <c r="I257" s="2" t="s">
        <v>1529</v>
      </c>
      <c r="J257" s="2" t="s">
        <v>227</v>
      </c>
      <c r="K257" s="2" t="s">
        <v>1530</v>
      </c>
      <c r="L257" s="3">
        <v>161.5</v>
      </c>
      <c r="M257" s="3">
        <v>169.58</v>
      </c>
      <c r="N257" s="3">
        <v>339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100</v>
      </c>
      <c r="V257" s="2" t="s">
        <v>157</v>
      </c>
      <c r="W257" s="2" t="s">
        <v>102</v>
      </c>
      <c r="X257" s="2" t="s">
        <v>158</v>
      </c>
      <c r="Y257" s="2" t="s">
        <v>1531</v>
      </c>
      <c r="Z257" s="4">
        <v>93</v>
      </c>
      <c r="AA257" s="4">
        <f>=ROUNDDOWN(2.21428571428571,0)</f>
      </c>
      <c r="AB257" s="5">
        <v>42</v>
      </c>
      <c r="AC257" s="2" t="s">
        <v>801</v>
      </c>
      <c r="AD257" s="4">
        <v>150</v>
      </c>
      <c r="AE257" s="4">
        <v>625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1532</v>
      </c>
      <c r="AM257" s="4">
        <v>320</v>
      </c>
      <c r="AN257" s="4">
        <v>575</v>
      </c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140</v>
      </c>
      <c r="BK257" s="8">
        <v>22614.51</v>
      </c>
      <c r="BL257" s="2" t="s">
        <v>1533</v>
      </c>
      <c r="BM257" s="7"/>
      <c r="BN257" s="7"/>
      <c r="BO257" s="4"/>
      <c r="BP257" s="8"/>
      <c r="BQ257" s="4"/>
      <c r="BR257" s="8"/>
      <c r="BS257" s="7"/>
      <c r="BT257" s="7"/>
      <c r="BU257" s="2" t="s">
        <v>1019</v>
      </c>
      <c r="BV257" s="2" t="s">
        <v>96</v>
      </c>
      <c r="BW257" s="2" t="s">
        <v>99</v>
      </c>
      <c r="BX257" s="2" t="s">
        <v>99</v>
      </c>
      <c r="BY257" s="2" t="s">
        <v>109</v>
      </c>
      <c r="BZ257" s="2" t="s">
        <v>109</v>
      </c>
      <c r="CA257" s="2" t="s">
        <v>99</v>
      </c>
    </row>
    <row r="258">
      <c r="A258" s="2" t="s">
        <v>1534</v>
      </c>
      <c r="B258" s="2" t="s">
        <v>765</v>
      </c>
      <c r="C258" s="2" t="s">
        <v>203</v>
      </c>
      <c r="D258" s="2" t="s">
        <v>1504</v>
      </c>
      <c r="E258" s="2" t="s">
        <v>1535</v>
      </c>
      <c r="F258" s="2" t="s">
        <v>1506</v>
      </c>
      <c r="G258" s="2" t="s">
        <v>1507</v>
      </c>
      <c r="H258" s="2" t="s">
        <v>1508</v>
      </c>
      <c r="I258" s="2" t="s">
        <v>1536</v>
      </c>
      <c r="J258" s="2" t="s">
        <v>227</v>
      </c>
      <c r="K258" s="2" t="s">
        <v>1509</v>
      </c>
      <c r="L258" s="3">
        <v>90</v>
      </c>
      <c r="M258" s="3">
        <v>94.5</v>
      </c>
      <c r="N258" s="3">
        <v>189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1537</v>
      </c>
      <c r="T258" s="2" t="s">
        <v>99</v>
      </c>
      <c r="U258" s="2" t="s">
        <v>99</v>
      </c>
      <c r="V258" s="2" t="s">
        <v>157</v>
      </c>
      <c r="W258" s="2" t="s">
        <v>761</v>
      </c>
      <c r="X258" s="2" t="s">
        <v>99</v>
      </c>
      <c r="Y258" s="2" t="s">
        <v>164</v>
      </c>
      <c r="Z258" s="4">
        <v>157</v>
      </c>
      <c r="AA258" s="4">
        <f>=ROUNDDOWN(2.41167434715822,0)</f>
      </c>
      <c r="AB258" s="5">
        <v>65.1</v>
      </c>
      <c r="AC258" s="2" t="s">
        <v>1035</v>
      </c>
      <c r="AD258" s="4">
        <v>239</v>
      </c>
      <c r="AE258" s="4">
        <v>492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1511</v>
      </c>
      <c r="AM258" s="4">
        <v>150</v>
      </c>
      <c r="AN258" s="4">
        <v>630</v>
      </c>
      <c r="AO258" s="7">
        <v>0</v>
      </c>
      <c r="AP258" s="4">
        <v>17</v>
      </c>
      <c r="AQ258" s="8">
        <v>1683</v>
      </c>
      <c r="AR258" s="4"/>
      <c r="AS258" s="8"/>
      <c r="AT258" s="7"/>
      <c r="AU258" s="7"/>
      <c r="AV258" s="4">
        <v>17</v>
      </c>
      <c r="AW258" s="8">
        <v>1683</v>
      </c>
      <c r="AX258" s="4"/>
      <c r="AY258" s="8"/>
      <c r="AZ258" s="7"/>
      <c r="BA258" s="7"/>
      <c r="BB258" s="7">
        <v>1</v>
      </c>
      <c r="BC258" s="4">
        <v>22</v>
      </c>
      <c r="BD258" s="8">
        <v>2193.3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0.7673</v>
      </c>
      <c r="BJ258" s="4">
        <v>153</v>
      </c>
      <c r="BK258" s="8">
        <v>14213.42</v>
      </c>
      <c r="BL258" s="2" t="s">
        <v>1538</v>
      </c>
      <c r="BM258" s="7">
        <v>0.1111</v>
      </c>
      <c r="BN258" s="7">
        <v>0.1184</v>
      </c>
      <c r="BO258" s="4">
        <v>17</v>
      </c>
      <c r="BP258" s="8">
        <v>1683</v>
      </c>
      <c r="BQ258" s="4"/>
      <c r="BR258" s="8"/>
      <c r="BS258" s="7"/>
      <c r="BT258" s="7"/>
      <c r="BU258" s="2" t="s">
        <v>107</v>
      </c>
      <c r="BV258" s="2" t="s">
        <v>96</v>
      </c>
      <c r="BW258" s="2" t="s">
        <v>99</v>
      </c>
      <c r="BX258" s="2" t="s">
        <v>237</v>
      </c>
      <c r="BY258" s="2" t="s">
        <v>109</v>
      </c>
      <c r="BZ258" s="2" t="s">
        <v>109</v>
      </c>
      <c r="CA258" s="2" t="s">
        <v>99</v>
      </c>
    </row>
    <row r="259">
      <c r="A259" s="2" t="s">
        <v>1539</v>
      </c>
      <c r="B259" s="2" t="s">
        <v>765</v>
      </c>
      <c r="C259" s="2" t="s">
        <v>203</v>
      </c>
      <c r="D259" s="2" t="s">
        <v>1504</v>
      </c>
      <c r="E259" s="2" t="s">
        <v>1535</v>
      </c>
      <c r="F259" s="2" t="s">
        <v>1506</v>
      </c>
      <c r="G259" s="2" t="s">
        <v>1507</v>
      </c>
      <c r="H259" s="2" t="s">
        <v>1508</v>
      </c>
      <c r="I259" s="2" t="s">
        <v>1536</v>
      </c>
      <c r="J259" s="2" t="s">
        <v>227</v>
      </c>
      <c r="K259" s="2" t="s">
        <v>1522</v>
      </c>
      <c r="L259" s="3">
        <v>90</v>
      </c>
      <c r="M259" s="3">
        <v>94.5</v>
      </c>
      <c r="N259" s="3">
        <v>189</v>
      </c>
      <c r="O259" s="2" t="s">
        <v>96</v>
      </c>
      <c r="P259" s="2" t="s">
        <v>131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100</v>
      </c>
      <c r="V259" s="2" t="s">
        <v>157</v>
      </c>
      <c r="W259" s="2" t="s">
        <v>761</v>
      </c>
      <c r="X259" s="2" t="s">
        <v>102</v>
      </c>
      <c r="Y259" s="2" t="s">
        <v>1523</v>
      </c>
      <c r="Z259" s="4">
        <v>174</v>
      </c>
      <c r="AA259" s="4">
        <f>=ROUNDDOWN(9.66666666666667,0)</f>
      </c>
      <c r="AB259" s="5">
        <v>18</v>
      </c>
      <c r="AC259" s="2" t="s">
        <v>1418</v>
      </c>
      <c r="AD259" s="4">
        <v>95</v>
      </c>
      <c r="AE259" s="4">
        <v>145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1540</v>
      </c>
      <c r="AM259" s="4">
        <v>50</v>
      </c>
      <c r="AN259" s="4">
        <v>200</v>
      </c>
      <c r="AO259" s="7">
        <v>0</v>
      </c>
      <c r="AP259" s="4">
        <v>5</v>
      </c>
      <c r="AQ259" s="8">
        <v>510.3</v>
      </c>
      <c r="AR259" s="4"/>
      <c r="AS259" s="8"/>
      <c r="AT259" s="7"/>
      <c r="AU259" s="7"/>
      <c r="AV259" s="4">
        <v>5</v>
      </c>
      <c r="AW259" s="8">
        <v>510.3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0.2327</v>
      </c>
      <c r="BJ259" s="4">
        <v>87</v>
      </c>
      <c r="BK259" s="8">
        <v>7382.14</v>
      </c>
      <c r="BL259" s="2" t="s">
        <v>1541</v>
      </c>
      <c r="BM259" s="7">
        <v>0.0575</v>
      </c>
      <c r="BN259" s="7">
        <v>0.0691</v>
      </c>
      <c r="BO259" s="4">
        <v>5</v>
      </c>
      <c r="BP259" s="8">
        <v>510.3</v>
      </c>
      <c r="BQ259" s="4"/>
      <c r="BR259" s="8"/>
      <c r="BS259" s="7"/>
      <c r="BT259" s="7"/>
      <c r="BU259" s="2" t="s">
        <v>107</v>
      </c>
      <c r="BV259" s="2" t="s">
        <v>96</v>
      </c>
      <c r="BW259" s="2" t="s">
        <v>1542</v>
      </c>
      <c r="BX259" s="2" t="s">
        <v>1543</v>
      </c>
      <c r="BY259" s="2" t="s">
        <v>109</v>
      </c>
      <c r="BZ259" s="2" t="s">
        <v>109</v>
      </c>
      <c r="CA259" s="2" t="s">
        <v>99</v>
      </c>
    </row>
    <row r="260">
      <c r="A260" s="2" t="s">
        <v>1544</v>
      </c>
      <c r="B260" s="2" t="s">
        <v>765</v>
      </c>
      <c r="C260" s="2" t="s">
        <v>203</v>
      </c>
      <c r="D260" s="2" t="s">
        <v>1504</v>
      </c>
      <c r="E260" s="2" t="s">
        <v>1535</v>
      </c>
      <c r="F260" s="2" t="s">
        <v>1526</v>
      </c>
      <c r="G260" s="2" t="s">
        <v>1527</v>
      </c>
      <c r="H260" s="2" t="s">
        <v>1528</v>
      </c>
      <c r="I260" s="2" t="s">
        <v>1536</v>
      </c>
      <c r="J260" s="2" t="s">
        <v>227</v>
      </c>
      <c r="K260" s="2" t="s">
        <v>1530</v>
      </c>
      <c r="L260" s="3">
        <v>95</v>
      </c>
      <c r="M260" s="3">
        <v>99.75</v>
      </c>
      <c r="N260" s="3">
        <v>199</v>
      </c>
      <c r="O260" s="2" t="s">
        <v>96</v>
      </c>
      <c r="P260" s="2" t="s">
        <v>131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100</v>
      </c>
      <c r="V260" s="2" t="s">
        <v>157</v>
      </c>
      <c r="W260" s="2" t="s">
        <v>102</v>
      </c>
      <c r="X260" s="2" t="s">
        <v>158</v>
      </c>
      <c r="Y260" s="2" t="s">
        <v>1531</v>
      </c>
      <c r="Z260" s="4">
        <v>64</v>
      </c>
      <c r="AA260" s="4">
        <f>=ROUNDDOWN(6.4,0)</f>
      </c>
      <c r="AB260" s="5">
        <v>10</v>
      </c>
      <c r="AC260" s="2" t="s">
        <v>1035</v>
      </c>
      <c r="AD260" s="4">
        <v>100</v>
      </c>
      <c r="AE260" s="4">
        <v>230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1</v>
      </c>
      <c r="AQ260" s="8">
        <v>113.4</v>
      </c>
      <c r="AR260" s="4"/>
      <c r="AS260" s="8"/>
      <c r="AT260" s="7"/>
      <c r="AU260" s="7"/>
      <c r="AV260" s="4">
        <v>1</v>
      </c>
      <c r="AW260" s="8">
        <v>113.4</v>
      </c>
      <c r="AX260" s="4"/>
      <c r="AY260" s="8"/>
      <c r="AZ260" s="7"/>
      <c r="BA260" s="7"/>
      <c r="BB260" s="7">
        <v>1</v>
      </c>
      <c r="BC260" s="4">
        <v>1</v>
      </c>
      <c r="BD260" s="8">
        <v>113.4</v>
      </c>
      <c r="BE260" s="4"/>
      <c r="BF260" s="8"/>
      <c r="BG260" s="7"/>
      <c r="BH260" s="7"/>
      <c r="BI260" s="7">
        <v>1</v>
      </c>
      <c r="BJ260" s="4">
        <v>18</v>
      </c>
      <c r="BK260" s="8">
        <v>1969.85</v>
      </c>
      <c r="BL260" s="2" t="s">
        <v>1545</v>
      </c>
      <c r="BM260" s="7">
        <v>0.0556</v>
      </c>
      <c r="BN260" s="7">
        <v>0.0576</v>
      </c>
      <c r="BO260" s="4">
        <v>1</v>
      </c>
      <c r="BP260" s="8">
        <v>113.4</v>
      </c>
      <c r="BQ260" s="4"/>
      <c r="BR260" s="8"/>
      <c r="BS260" s="7"/>
      <c r="BT260" s="7"/>
      <c r="BU260" s="2" t="s">
        <v>107</v>
      </c>
      <c r="BV260" s="2" t="s">
        <v>96</v>
      </c>
      <c r="BW260" s="2" t="s">
        <v>1353</v>
      </c>
      <c r="BX260" s="2" t="s">
        <v>1546</v>
      </c>
      <c r="BY260" s="2" t="s">
        <v>109</v>
      </c>
      <c r="BZ260" s="2" t="s">
        <v>109</v>
      </c>
      <c r="CA260" s="2" t="s">
        <v>99</v>
      </c>
    </row>
    <row r="261">
      <c r="A261" s="2" t="s">
        <v>1547</v>
      </c>
      <c r="B261" s="2" t="s">
        <v>765</v>
      </c>
      <c r="C261" s="2" t="s">
        <v>203</v>
      </c>
      <c r="D261" s="2" t="s">
        <v>1504</v>
      </c>
      <c r="E261" s="2" t="s">
        <v>1535</v>
      </c>
      <c r="F261" s="2" t="s">
        <v>1548</v>
      </c>
      <c r="G261" s="2" t="s">
        <v>1549</v>
      </c>
      <c r="H261" s="2" t="s">
        <v>1550</v>
      </c>
      <c r="I261" s="2" t="s">
        <v>1536</v>
      </c>
      <c r="J261" s="2" t="s">
        <v>227</v>
      </c>
      <c r="K261" s="2" t="s">
        <v>492</v>
      </c>
      <c r="L261" s="3">
        <v>171</v>
      </c>
      <c r="M261" s="3">
        <v>179.55</v>
      </c>
      <c r="N261" s="3">
        <v>359</v>
      </c>
      <c r="O261" s="2" t="s">
        <v>96</v>
      </c>
      <c r="P261" s="2" t="s">
        <v>188</v>
      </c>
      <c r="Q261" s="2" t="s">
        <v>98</v>
      </c>
      <c r="R261" s="2" t="s">
        <v>99</v>
      </c>
      <c r="S261" s="2" t="s">
        <v>1551</v>
      </c>
      <c r="T261" s="2" t="s">
        <v>99</v>
      </c>
      <c r="U261" s="2" t="s">
        <v>99</v>
      </c>
      <c r="V261" s="2" t="s">
        <v>157</v>
      </c>
      <c r="W261" s="2" t="s">
        <v>102</v>
      </c>
      <c r="X261" s="2" t="s">
        <v>99</v>
      </c>
      <c r="Y261" s="2" t="s">
        <v>932</v>
      </c>
      <c r="Z261" s="4"/>
      <c r="AA261" s="4">
        <f>=ROUNDDOWN({0},0)</f>
      </c>
      <c r="AB261" s="5">
        <v>5.2</v>
      </c>
      <c r="AC261" s="2" t="s">
        <v>99</v>
      </c>
      <c r="AD261" s="4"/>
      <c r="AE261" s="4"/>
      <c r="AF261" s="6">
        <v>66</v>
      </c>
      <c r="AG261" s="6"/>
      <c r="AH261" s="7"/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99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96</v>
      </c>
      <c r="BW261" s="2" t="s">
        <v>1076</v>
      </c>
      <c r="BX261" s="2" t="s">
        <v>1476</v>
      </c>
      <c r="BY261" s="2" t="s">
        <v>109</v>
      </c>
      <c r="BZ261" s="2" t="s">
        <v>109</v>
      </c>
      <c r="CA261" s="2" t="s">
        <v>99</v>
      </c>
    </row>
    <row r="262">
      <c r="A262" s="2" t="s">
        <v>1552</v>
      </c>
      <c r="B262" s="2" t="s">
        <v>765</v>
      </c>
      <c r="C262" s="2" t="s">
        <v>203</v>
      </c>
      <c r="D262" s="2" t="s">
        <v>1504</v>
      </c>
      <c r="E262" s="2" t="s">
        <v>1553</v>
      </c>
      <c r="F262" s="2" t="s">
        <v>1506</v>
      </c>
      <c r="G262" s="2" t="s">
        <v>1507</v>
      </c>
      <c r="H262" s="2" t="s">
        <v>1508</v>
      </c>
      <c r="I262" s="2" t="s">
        <v>1554</v>
      </c>
      <c r="J262" s="2" t="s">
        <v>227</v>
      </c>
      <c r="K262" s="2" t="s">
        <v>1509</v>
      </c>
      <c r="L262" s="3">
        <v>126.35</v>
      </c>
      <c r="M262" s="3">
        <v>132.67</v>
      </c>
      <c r="N262" s="3">
        <v>269</v>
      </c>
      <c r="O262" s="2" t="s">
        <v>96</v>
      </c>
      <c r="P262" s="2" t="s">
        <v>131</v>
      </c>
      <c r="Q262" s="2" t="s">
        <v>98</v>
      </c>
      <c r="R262" s="2" t="s">
        <v>99</v>
      </c>
      <c r="S262" s="2" t="s">
        <v>1555</v>
      </c>
      <c r="T262" s="2" t="s">
        <v>99</v>
      </c>
      <c r="U262" s="2" t="s">
        <v>99</v>
      </c>
      <c r="V262" s="2" t="s">
        <v>157</v>
      </c>
      <c r="W262" s="2" t="s">
        <v>761</v>
      </c>
      <c r="X262" s="2" t="s">
        <v>99</v>
      </c>
      <c r="Y262" s="2" t="s">
        <v>164</v>
      </c>
      <c r="Z262" s="4">
        <v>148</v>
      </c>
      <c r="AA262" s="4">
        <f>=ROUNDDOWN(13.4545454545455,0)</f>
      </c>
      <c r="AB262" s="5">
        <v>11</v>
      </c>
      <c r="AC262" s="2" t="s">
        <v>1556</v>
      </c>
      <c r="AD262" s="4">
        <v>25</v>
      </c>
      <c r="AE262" s="4">
        <v>130</v>
      </c>
      <c r="AF262" s="6">
        <v>74</v>
      </c>
      <c r="AG262" s="6">
        <v>60</v>
      </c>
      <c r="AH262" s="7">
        <v>0.5172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2</v>
      </c>
      <c r="AQ262" s="8">
        <v>275</v>
      </c>
      <c r="AR262" s="4"/>
      <c r="AS262" s="8"/>
      <c r="AT262" s="7"/>
      <c r="AU262" s="7"/>
      <c r="AV262" s="4">
        <v>2</v>
      </c>
      <c r="AW262" s="8">
        <v>275</v>
      </c>
      <c r="AX262" s="4"/>
      <c r="AY262" s="8"/>
      <c r="AZ262" s="7"/>
      <c r="BA262" s="7"/>
      <c r="BB262" s="7">
        <v>1</v>
      </c>
      <c r="BC262" s="4">
        <v>2</v>
      </c>
      <c r="BD262" s="8">
        <v>275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1</v>
      </c>
      <c r="BJ262" s="4">
        <v>11</v>
      </c>
      <c r="BK262" s="8">
        <v>1404.27</v>
      </c>
      <c r="BL262" s="2" t="s">
        <v>927</v>
      </c>
      <c r="BM262" s="7">
        <v>0.1818</v>
      </c>
      <c r="BN262" s="7">
        <v>0.1958</v>
      </c>
      <c r="BO262" s="4">
        <v>2</v>
      </c>
      <c r="BP262" s="8">
        <v>275</v>
      </c>
      <c r="BQ262" s="4"/>
      <c r="BR262" s="8"/>
      <c r="BS262" s="7"/>
      <c r="BT262" s="7"/>
      <c r="BU262" s="2" t="s">
        <v>107</v>
      </c>
      <c r="BV262" s="2" t="s">
        <v>96</v>
      </c>
      <c r="BW262" s="2" t="s">
        <v>99</v>
      </c>
      <c r="BX262" s="2" t="s">
        <v>446</v>
      </c>
      <c r="BY262" s="2" t="s">
        <v>109</v>
      </c>
      <c r="BZ262" s="2" t="s">
        <v>109</v>
      </c>
      <c r="CA262" s="2" t="s">
        <v>99</v>
      </c>
    </row>
    <row r="263">
      <c r="A263" s="2" t="s">
        <v>1557</v>
      </c>
      <c r="B263" s="2" t="s">
        <v>765</v>
      </c>
      <c r="C263" s="2" t="s">
        <v>203</v>
      </c>
      <c r="D263" s="2" t="s">
        <v>1504</v>
      </c>
      <c r="E263" s="2" t="s">
        <v>1553</v>
      </c>
      <c r="F263" s="2" t="s">
        <v>1506</v>
      </c>
      <c r="G263" s="2" t="s">
        <v>1507</v>
      </c>
      <c r="H263" s="2" t="s">
        <v>1508</v>
      </c>
      <c r="I263" s="2" t="s">
        <v>1554</v>
      </c>
      <c r="J263" s="2" t="s">
        <v>227</v>
      </c>
      <c r="K263" s="2" t="s">
        <v>1522</v>
      </c>
      <c r="L263" s="3">
        <v>126.35</v>
      </c>
      <c r="M263" s="3">
        <v>132.67</v>
      </c>
      <c r="N263" s="3">
        <v>269</v>
      </c>
      <c r="O263" s="2" t="s">
        <v>96</v>
      </c>
      <c r="P263" s="2" t="s">
        <v>188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100</v>
      </c>
      <c r="V263" s="2" t="s">
        <v>157</v>
      </c>
      <c r="W263" s="2" t="s">
        <v>761</v>
      </c>
      <c r="X263" s="2" t="s">
        <v>102</v>
      </c>
      <c r="Y263" s="2" t="s">
        <v>1523</v>
      </c>
      <c r="Z263" s="4">
        <v>3</v>
      </c>
      <c r="AA263" s="4">
        <f>=ROUNDDOWN(0.588235294117647,0)</f>
      </c>
      <c r="AB263" s="5">
        <v>5.1</v>
      </c>
      <c r="AC263" s="2" t="s">
        <v>99</v>
      </c>
      <c r="AD263" s="4"/>
      <c r="AE263" s="4"/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/>
      <c r="BJ263" s="4"/>
      <c r="BK263" s="8"/>
      <c r="BL263" s="2" t="s">
        <v>99</v>
      </c>
      <c r="BM263" s="7"/>
      <c r="BN263" s="7"/>
      <c r="BO263" s="4"/>
      <c r="BP263" s="8"/>
      <c r="BQ263" s="4"/>
      <c r="BR263" s="8"/>
      <c r="BS263" s="7"/>
      <c r="BT263" s="7"/>
      <c r="BU263" s="2" t="s">
        <v>107</v>
      </c>
      <c r="BV263" s="2" t="s">
        <v>96</v>
      </c>
      <c r="BW263" s="2" t="s">
        <v>99</v>
      </c>
      <c r="BX263" s="2" t="s">
        <v>99</v>
      </c>
      <c r="BY263" s="2" t="s">
        <v>109</v>
      </c>
      <c r="BZ263" s="2" t="s">
        <v>109</v>
      </c>
      <c r="CA263" s="2" t="s">
        <v>99</v>
      </c>
    </row>
    <row r="264">
      <c r="A264" s="2" t="s">
        <v>1558</v>
      </c>
      <c r="B264" s="2" t="s">
        <v>765</v>
      </c>
      <c r="C264" s="2" t="s">
        <v>203</v>
      </c>
      <c r="D264" s="2" t="s">
        <v>1504</v>
      </c>
      <c r="E264" s="2" t="s">
        <v>1553</v>
      </c>
      <c r="F264" s="2" t="s">
        <v>1303</v>
      </c>
      <c r="G264" s="2" t="s">
        <v>1304</v>
      </c>
      <c r="H264" s="2" t="s">
        <v>1305</v>
      </c>
      <c r="I264" s="2" t="s">
        <v>1559</v>
      </c>
      <c r="J264" s="2" t="s">
        <v>227</v>
      </c>
      <c r="K264" s="2" t="s">
        <v>1560</v>
      </c>
      <c r="L264" s="3">
        <v>205.2</v>
      </c>
      <c r="M264" s="3">
        <v>215.46</v>
      </c>
      <c r="N264" s="3">
        <v>429</v>
      </c>
      <c r="O264" s="2" t="s">
        <v>443</v>
      </c>
      <c r="P264" s="2" t="s">
        <v>188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100</v>
      </c>
      <c r="V264" s="2" t="s">
        <v>157</v>
      </c>
      <c r="W264" s="2" t="s">
        <v>158</v>
      </c>
      <c r="X264" s="2" t="s">
        <v>291</v>
      </c>
      <c r="Y264" s="2" t="s">
        <v>1561</v>
      </c>
      <c r="Z264" s="4">
        <v>32</v>
      </c>
      <c r="AA264" s="4">
        <f>=ROUNDDOWN(106.666666666667,0)</f>
      </c>
      <c r="AB264" s="5">
        <v>0.3</v>
      </c>
      <c r="AC264" s="2" t="s">
        <v>99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6</v>
      </c>
      <c r="BK264" s="8">
        <v>1383.22</v>
      </c>
      <c r="BL264" s="2" t="s">
        <v>1562</v>
      </c>
      <c r="BM264" s="7"/>
      <c r="BN264" s="7"/>
      <c r="BO264" s="4"/>
      <c r="BP264" s="8"/>
      <c r="BQ264" s="4"/>
      <c r="BR264" s="8"/>
      <c r="BS264" s="7"/>
      <c r="BT264" s="7"/>
      <c r="BU264" s="2" t="s">
        <v>306</v>
      </c>
      <c r="BV264" s="2" t="s">
        <v>96</v>
      </c>
      <c r="BW264" s="2" t="s">
        <v>99</v>
      </c>
      <c r="BX264" s="2" t="s">
        <v>99</v>
      </c>
      <c r="BY264" s="2" t="s">
        <v>109</v>
      </c>
      <c r="BZ264" s="2" t="s">
        <v>109</v>
      </c>
      <c r="CA264" s="2" t="s">
        <v>99</v>
      </c>
    </row>
    <row r="265">
      <c r="A265" s="2" t="s">
        <v>1563</v>
      </c>
      <c r="B265" s="2" t="s">
        <v>765</v>
      </c>
      <c r="C265" s="2" t="s">
        <v>203</v>
      </c>
      <c r="D265" s="2" t="s">
        <v>1504</v>
      </c>
      <c r="E265" s="2" t="s">
        <v>1564</v>
      </c>
      <c r="F265" s="2" t="s">
        <v>1506</v>
      </c>
      <c r="G265" s="2" t="s">
        <v>1507</v>
      </c>
      <c r="H265" s="2" t="s">
        <v>1508</v>
      </c>
      <c r="I265" s="2" t="s">
        <v>1536</v>
      </c>
      <c r="J265" s="2" t="s">
        <v>227</v>
      </c>
      <c r="K265" s="2" t="s">
        <v>813</v>
      </c>
      <c r="L265" s="3">
        <v>0.01</v>
      </c>
      <c r="M265" s="3">
        <v>0.01</v>
      </c>
      <c r="N265" s="3"/>
      <c r="O265" s="2" t="s">
        <v>96</v>
      </c>
      <c r="P265" s="2" t="s">
        <v>814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99</v>
      </c>
      <c r="V265" s="2" t="s">
        <v>310</v>
      </c>
      <c r="W265" s="2" t="s">
        <v>99</v>
      </c>
      <c r="X265" s="2" t="s">
        <v>99</v>
      </c>
      <c r="Y265" s="2" t="s">
        <v>1565</v>
      </c>
      <c r="Z265" s="4">
        <v>4</v>
      </c>
      <c r="AA265" s="4">
        <f>=ROUNDDOWN({0},0)</f>
      </c>
      <c r="AB265" s="5"/>
      <c r="AC265" s="2" t="s">
        <v>99</v>
      </c>
      <c r="AD265" s="4"/>
      <c r="AE265" s="4"/>
      <c r="AF265" s="6"/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 t="s">
        <v>99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/>
      <c r="BK265" s="8"/>
      <c r="BL265" s="2" t="s">
        <v>99</v>
      </c>
      <c r="BM265" s="7"/>
      <c r="BN265" s="7"/>
      <c r="BO265" s="4"/>
      <c r="BP265" s="8"/>
      <c r="BQ265" s="4"/>
      <c r="BR265" s="8"/>
      <c r="BS265" s="7"/>
      <c r="BT265" s="7"/>
      <c r="BU265" s="2" t="s">
        <v>645</v>
      </c>
      <c r="BV265" s="2" t="s">
        <v>96</v>
      </c>
      <c r="BW265" s="2" t="s">
        <v>99</v>
      </c>
      <c r="BX265" s="2" t="s">
        <v>99</v>
      </c>
      <c r="BY265" s="2" t="s">
        <v>109</v>
      </c>
      <c r="BZ265" s="2" t="s">
        <v>109</v>
      </c>
      <c r="CA265" s="2" t="s">
        <v>99</v>
      </c>
    </row>
    <row r="266">
      <c r="A266" s="2" t="s">
        <v>1566</v>
      </c>
      <c r="B266" s="2" t="s">
        <v>765</v>
      </c>
      <c r="C266" s="2" t="s">
        <v>203</v>
      </c>
      <c r="D266" s="2" t="s">
        <v>1504</v>
      </c>
      <c r="E266" s="2" t="s">
        <v>1564</v>
      </c>
      <c r="F266" s="2" t="s">
        <v>1506</v>
      </c>
      <c r="G266" s="2" t="s">
        <v>1507</v>
      </c>
      <c r="H266" s="2" t="s">
        <v>1508</v>
      </c>
      <c r="I266" s="2" t="s">
        <v>1505</v>
      </c>
      <c r="J266" s="2" t="s">
        <v>227</v>
      </c>
      <c r="K266" s="2" t="s">
        <v>813</v>
      </c>
      <c r="L266" s="3">
        <v>0.01</v>
      </c>
      <c r="M266" s="3">
        <v>0.01</v>
      </c>
      <c r="N266" s="3"/>
      <c r="O266" s="2" t="s">
        <v>96</v>
      </c>
      <c r="P266" s="2" t="s">
        <v>814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99</v>
      </c>
      <c r="V266" s="2" t="s">
        <v>310</v>
      </c>
      <c r="W266" s="2" t="s">
        <v>99</v>
      </c>
      <c r="X266" s="2" t="s">
        <v>99</v>
      </c>
      <c r="Y266" s="2" t="s">
        <v>1567</v>
      </c>
      <c r="Z266" s="4">
        <v>20</v>
      </c>
      <c r="AA266" s="4">
        <f>=ROUNDDOWN({0},0)</f>
      </c>
      <c r="AB266" s="5"/>
      <c r="AC266" s="2" t="s">
        <v>99</v>
      </c>
      <c r="AD266" s="4"/>
      <c r="AE266" s="4"/>
      <c r="AF266" s="6"/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 t="s">
        <v>99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/>
      <c r="BK266" s="8"/>
      <c r="BL266" s="2" t="s">
        <v>99</v>
      </c>
      <c r="BM266" s="7"/>
      <c r="BN266" s="7"/>
      <c r="BO266" s="4"/>
      <c r="BP266" s="8"/>
      <c r="BQ266" s="4"/>
      <c r="BR266" s="8"/>
      <c r="BS266" s="7"/>
      <c r="BT266" s="7"/>
      <c r="BU266" s="2" t="s">
        <v>645</v>
      </c>
      <c r="BV266" s="2" t="s">
        <v>96</v>
      </c>
      <c r="BW266" s="2" t="s">
        <v>99</v>
      </c>
      <c r="BX266" s="2" t="s">
        <v>99</v>
      </c>
      <c r="BY266" s="2" t="s">
        <v>109</v>
      </c>
      <c r="BZ266" s="2" t="s">
        <v>109</v>
      </c>
      <c r="CA266" s="2" t="s">
        <v>99</v>
      </c>
    </row>
    <row r="267">
      <c r="A267" s="2" t="s">
        <v>1568</v>
      </c>
      <c r="B267" s="2" t="s">
        <v>765</v>
      </c>
      <c r="C267" s="2" t="s">
        <v>203</v>
      </c>
      <c r="D267" s="2" t="s">
        <v>1504</v>
      </c>
      <c r="E267" s="2" t="s">
        <v>1564</v>
      </c>
      <c r="F267" s="2" t="s">
        <v>1506</v>
      </c>
      <c r="G267" s="2" t="s">
        <v>1507</v>
      </c>
      <c r="H267" s="2" t="s">
        <v>1508</v>
      </c>
      <c r="I267" s="2" t="s">
        <v>1536</v>
      </c>
      <c r="J267" s="2" t="s">
        <v>227</v>
      </c>
      <c r="K267" s="2" t="s">
        <v>813</v>
      </c>
      <c r="L267" s="3">
        <v>0.01</v>
      </c>
      <c r="M267" s="3">
        <v>0.01</v>
      </c>
      <c r="N267" s="3"/>
      <c r="O267" s="2" t="s">
        <v>96</v>
      </c>
      <c r="P267" s="2" t="s">
        <v>814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99</v>
      </c>
      <c r="V267" s="2" t="s">
        <v>310</v>
      </c>
      <c r="W267" s="2" t="s">
        <v>99</v>
      </c>
      <c r="X267" s="2" t="s">
        <v>99</v>
      </c>
      <c r="Y267" s="2" t="s">
        <v>1567</v>
      </c>
      <c r="Z267" s="4">
        <v>16</v>
      </c>
      <c r="AA267" s="4">
        <f>=ROUNDDOWN({0},0)</f>
      </c>
      <c r="AB267" s="5"/>
      <c r="AC267" s="2" t="s">
        <v>99</v>
      </c>
      <c r="AD267" s="4"/>
      <c r="AE267" s="4"/>
      <c r="AF267" s="6"/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 t="s">
        <v>99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/>
      <c r="BJ267" s="4"/>
      <c r="BK267" s="8"/>
      <c r="BL267" s="2" t="s">
        <v>99</v>
      </c>
      <c r="BM267" s="7"/>
      <c r="BN267" s="7"/>
      <c r="BO267" s="4"/>
      <c r="BP267" s="8"/>
      <c r="BQ267" s="4"/>
      <c r="BR267" s="8"/>
      <c r="BS267" s="7"/>
      <c r="BT267" s="7"/>
      <c r="BU267" s="2" t="s">
        <v>645</v>
      </c>
      <c r="BV267" s="2" t="s">
        <v>96</v>
      </c>
      <c r="BW267" s="2" t="s">
        <v>99</v>
      </c>
      <c r="BX267" s="2" t="s">
        <v>99</v>
      </c>
      <c r="BY267" s="2" t="s">
        <v>109</v>
      </c>
      <c r="BZ267" s="2" t="s">
        <v>109</v>
      </c>
      <c r="CA267" s="2" t="s">
        <v>99</v>
      </c>
    </row>
    <row r="268">
      <c r="A268" s="2" t="s">
        <v>1569</v>
      </c>
      <c r="B268" s="2" t="s">
        <v>765</v>
      </c>
      <c r="C268" s="2" t="s">
        <v>203</v>
      </c>
      <c r="D268" s="2" t="s">
        <v>1504</v>
      </c>
      <c r="E268" s="2" t="s">
        <v>1564</v>
      </c>
      <c r="F268" s="2" t="s">
        <v>1506</v>
      </c>
      <c r="G268" s="2" t="s">
        <v>1507</v>
      </c>
      <c r="H268" s="2" t="s">
        <v>1508</v>
      </c>
      <c r="I268" s="2" t="s">
        <v>1554</v>
      </c>
      <c r="J268" s="2" t="s">
        <v>227</v>
      </c>
      <c r="K268" s="2" t="s">
        <v>813</v>
      </c>
      <c r="L268" s="3">
        <v>0.01</v>
      </c>
      <c r="M268" s="3">
        <v>0.01</v>
      </c>
      <c r="N268" s="3"/>
      <c r="O268" s="2" t="s">
        <v>96</v>
      </c>
      <c r="P268" s="2" t="s">
        <v>814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99</v>
      </c>
      <c r="V268" s="2" t="s">
        <v>310</v>
      </c>
      <c r="W268" s="2" t="s">
        <v>99</v>
      </c>
      <c r="X268" s="2" t="s">
        <v>99</v>
      </c>
      <c r="Y268" s="2" t="s">
        <v>1567</v>
      </c>
      <c r="Z268" s="4">
        <v>12</v>
      </c>
      <c r="AA268" s="4">
        <f>=ROUNDDOWN({0},0)</f>
      </c>
      <c r="AB268" s="5"/>
      <c r="AC268" s="2" t="s">
        <v>99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 t="s">
        <v>99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/>
      <c r="BJ268" s="4"/>
      <c r="BK268" s="8"/>
      <c r="BL268" s="2" t="s">
        <v>99</v>
      </c>
      <c r="BM268" s="7"/>
      <c r="BN268" s="7"/>
      <c r="BO268" s="4"/>
      <c r="BP268" s="8"/>
      <c r="BQ268" s="4"/>
      <c r="BR268" s="8"/>
      <c r="BS268" s="7"/>
      <c r="BT268" s="7"/>
      <c r="BU268" s="2" t="s">
        <v>645</v>
      </c>
      <c r="BV268" s="2" t="s">
        <v>96</v>
      </c>
      <c r="BW268" s="2" t="s">
        <v>99</v>
      </c>
      <c r="BX268" s="2" t="s">
        <v>99</v>
      </c>
      <c r="BY268" s="2" t="s">
        <v>109</v>
      </c>
      <c r="BZ268" s="2" t="s">
        <v>109</v>
      </c>
      <c r="CA268" s="2" t="s">
        <v>99</v>
      </c>
    </row>
    <row r="269">
      <c r="A269" s="2" t="s">
        <v>1570</v>
      </c>
      <c r="B269" s="2" t="s">
        <v>765</v>
      </c>
      <c r="C269" s="2" t="s">
        <v>203</v>
      </c>
      <c r="D269" s="2" t="s">
        <v>1504</v>
      </c>
      <c r="E269" s="2" t="s">
        <v>1564</v>
      </c>
      <c r="F269" s="2" t="s">
        <v>1506</v>
      </c>
      <c r="G269" s="2" t="s">
        <v>1507</v>
      </c>
      <c r="H269" s="2" t="s">
        <v>1508</v>
      </c>
      <c r="I269" s="2" t="s">
        <v>1554</v>
      </c>
      <c r="J269" s="2" t="s">
        <v>227</v>
      </c>
      <c r="K269" s="2" t="s">
        <v>813</v>
      </c>
      <c r="L269" s="3">
        <v>0.01</v>
      </c>
      <c r="M269" s="3">
        <v>0.01</v>
      </c>
      <c r="N269" s="3"/>
      <c r="O269" s="2" t="s">
        <v>96</v>
      </c>
      <c r="P269" s="2" t="s">
        <v>814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99</v>
      </c>
      <c r="V269" s="2" t="s">
        <v>310</v>
      </c>
      <c r="W269" s="2" t="s">
        <v>99</v>
      </c>
      <c r="X269" s="2" t="s">
        <v>99</v>
      </c>
      <c r="Y269" s="2" t="s">
        <v>1520</v>
      </c>
      <c r="Z269" s="4">
        <v>5</v>
      </c>
      <c r="AA269" s="4">
        <f>=ROUNDDOWN({0},0)</f>
      </c>
      <c r="AB269" s="5"/>
      <c r="AC269" s="2" t="s">
        <v>99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 t="s">
        <v>99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/>
      <c r="BK269" s="8"/>
      <c r="BL269" s="2" t="s">
        <v>99</v>
      </c>
      <c r="BM269" s="7"/>
      <c r="BN269" s="7"/>
      <c r="BO269" s="4"/>
      <c r="BP269" s="8"/>
      <c r="BQ269" s="4"/>
      <c r="BR269" s="8"/>
      <c r="BS269" s="7"/>
      <c r="BT269" s="7"/>
      <c r="BU269" s="2" t="s">
        <v>819</v>
      </c>
      <c r="BV269" s="2" t="s">
        <v>96</v>
      </c>
      <c r="BW269" s="2" t="s">
        <v>99</v>
      </c>
      <c r="BX269" s="2" t="s">
        <v>99</v>
      </c>
      <c r="BY269" s="2" t="s">
        <v>109</v>
      </c>
      <c r="BZ269" s="2" t="s">
        <v>109</v>
      </c>
      <c r="CA269" s="2" t="s">
        <v>99</v>
      </c>
    </row>
    <row r="270">
      <c r="A270" s="2" t="s">
        <v>1571</v>
      </c>
      <c r="B270" s="2" t="s">
        <v>765</v>
      </c>
      <c r="C270" s="2" t="s">
        <v>203</v>
      </c>
      <c r="D270" s="2" t="s">
        <v>1572</v>
      </c>
      <c r="E270" s="2" t="s">
        <v>1573</v>
      </c>
      <c r="F270" s="2" t="s">
        <v>1574</v>
      </c>
      <c r="G270" s="2" t="s">
        <v>1575</v>
      </c>
      <c r="H270" s="2" t="s">
        <v>1576</v>
      </c>
      <c r="I270" s="2" t="s">
        <v>1577</v>
      </c>
      <c r="J270" s="2" t="s">
        <v>227</v>
      </c>
      <c r="K270" s="2" t="s">
        <v>1042</v>
      </c>
      <c r="L270" s="3">
        <v>121.41</v>
      </c>
      <c r="M270" s="3">
        <v>127.48</v>
      </c>
      <c r="N270" s="3">
        <v>259</v>
      </c>
      <c r="O270" s="2" t="s">
        <v>96</v>
      </c>
      <c r="P270" s="2" t="s">
        <v>131</v>
      </c>
      <c r="Q270" s="2" t="s">
        <v>98</v>
      </c>
      <c r="R270" s="2" t="s">
        <v>99</v>
      </c>
      <c r="S270" s="2" t="s">
        <v>1578</v>
      </c>
      <c r="T270" s="2" t="s">
        <v>99</v>
      </c>
      <c r="U270" s="2" t="s">
        <v>99</v>
      </c>
      <c r="V270" s="2" t="s">
        <v>157</v>
      </c>
      <c r="W270" s="2" t="s">
        <v>102</v>
      </c>
      <c r="X270" s="2" t="s">
        <v>99</v>
      </c>
      <c r="Y270" s="2" t="s">
        <v>164</v>
      </c>
      <c r="Z270" s="4">
        <v>73</v>
      </c>
      <c r="AA270" s="4">
        <f>=ROUNDDOWN(6.08333333333333,0)</f>
      </c>
      <c r="AB270" s="5">
        <v>12</v>
      </c>
      <c r="AC270" s="2" t="s">
        <v>147</v>
      </c>
      <c r="AD270" s="4">
        <v>15</v>
      </c>
      <c r="AE270" s="4">
        <v>115</v>
      </c>
      <c r="AF270" s="6">
        <v>74</v>
      </c>
      <c r="AG270" s="6">
        <v>60</v>
      </c>
      <c r="AH270" s="7">
        <v>0.8621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>
        <v>9</v>
      </c>
      <c r="AQ270" s="8">
        <v>1254.6</v>
      </c>
      <c r="AR270" s="4"/>
      <c r="AS270" s="8"/>
      <c r="AT270" s="7"/>
      <c r="AU270" s="7"/>
      <c r="AV270" s="4">
        <v>9</v>
      </c>
      <c r="AW270" s="8">
        <v>1254.6</v>
      </c>
      <c r="AX270" s="4"/>
      <c r="AY270" s="8"/>
      <c r="AZ270" s="7"/>
      <c r="BA270" s="7"/>
      <c r="BB270" s="7">
        <v>1</v>
      </c>
      <c r="BC270" s="4">
        <v>14</v>
      </c>
      <c r="BD270" s="8">
        <v>1951.6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0.6429</v>
      </c>
      <c r="BJ270" s="4">
        <v>87</v>
      </c>
      <c r="BK270" s="8">
        <v>10625.76</v>
      </c>
      <c r="BL270" s="2" t="s">
        <v>1579</v>
      </c>
      <c r="BM270" s="7">
        <v>0.1034</v>
      </c>
      <c r="BN270" s="7">
        <v>0.1181</v>
      </c>
      <c r="BO270" s="4">
        <v>9</v>
      </c>
      <c r="BP270" s="8">
        <v>1254.6</v>
      </c>
      <c r="BQ270" s="4"/>
      <c r="BR270" s="8"/>
      <c r="BS270" s="7"/>
      <c r="BT270" s="7"/>
      <c r="BU270" s="2" t="s">
        <v>107</v>
      </c>
      <c r="BV270" s="2" t="s">
        <v>122</v>
      </c>
      <c r="BW270" s="2" t="s">
        <v>99</v>
      </c>
      <c r="BX270" s="2" t="s">
        <v>99</v>
      </c>
      <c r="BY270" s="2" t="s">
        <v>109</v>
      </c>
      <c r="BZ270" s="2" t="s">
        <v>109</v>
      </c>
      <c r="CA270" s="2" t="s">
        <v>99</v>
      </c>
    </row>
    <row r="271">
      <c r="A271" s="2" t="s">
        <v>1580</v>
      </c>
      <c r="B271" s="2" t="s">
        <v>765</v>
      </c>
      <c r="C271" s="2" t="s">
        <v>203</v>
      </c>
      <c r="D271" s="2" t="s">
        <v>1572</v>
      </c>
      <c r="E271" s="2" t="s">
        <v>1573</v>
      </c>
      <c r="F271" s="2" t="s">
        <v>1574</v>
      </c>
      <c r="G271" s="2" t="s">
        <v>1575</v>
      </c>
      <c r="H271" s="2" t="s">
        <v>1576</v>
      </c>
      <c r="I271" s="2" t="s">
        <v>1577</v>
      </c>
      <c r="J271" s="2" t="s">
        <v>227</v>
      </c>
      <c r="K271" s="2" t="s">
        <v>274</v>
      </c>
      <c r="L271" s="3">
        <v>121.41</v>
      </c>
      <c r="M271" s="3">
        <v>127.48</v>
      </c>
      <c r="N271" s="3">
        <v>259</v>
      </c>
      <c r="O271" s="2" t="s">
        <v>96</v>
      </c>
      <c r="P271" s="2" t="s">
        <v>188</v>
      </c>
      <c r="Q271" s="2" t="s">
        <v>98</v>
      </c>
      <c r="R271" s="2" t="s">
        <v>99</v>
      </c>
      <c r="S271" s="2" t="s">
        <v>1581</v>
      </c>
      <c r="T271" s="2" t="s">
        <v>99</v>
      </c>
      <c r="U271" s="2" t="s">
        <v>99</v>
      </c>
      <c r="V271" s="2" t="s">
        <v>157</v>
      </c>
      <c r="W271" s="2" t="s">
        <v>158</v>
      </c>
      <c r="X271" s="2" t="s">
        <v>99</v>
      </c>
      <c r="Y271" s="2" t="s">
        <v>164</v>
      </c>
      <c r="Z271" s="4">
        <v>30</v>
      </c>
      <c r="AA271" s="4">
        <f>=ROUNDDOWN(10.3448275862069,0)</f>
      </c>
      <c r="AB271" s="5">
        <v>2.9</v>
      </c>
      <c r="AC271" s="2" t="s">
        <v>99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>
        <v>5</v>
      </c>
      <c r="AQ271" s="8">
        <v>697</v>
      </c>
      <c r="AR271" s="4"/>
      <c r="AS271" s="8"/>
      <c r="AT271" s="7"/>
      <c r="AU271" s="7"/>
      <c r="AV271" s="4">
        <v>5</v>
      </c>
      <c r="AW271" s="8">
        <v>697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0.3571</v>
      </c>
      <c r="BJ271" s="4">
        <v>49</v>
      </c>
      <c r="BK271" s="8">
        <v>5744.58</v>
      </c>
      <c r="BL271" s="2" t="s">
        <v>1582</v>
      </c>
      <c r="BM271" s="7">
        <v>0.102</v>
      </c>
      <c r="BN271" s="7">
        <v>0.1213</v>
      </c>
      <c r="BO271" s="4">
        <v>5</v>
      </c>
      <c r="BP271" s="8">
        <v>697</v>
      </c>
      <c r="BQ271" s="4"/>
      <c r="BR271" s="8"/>
      <c r="BS271" s="7"/>
      <c r="BT271" s="7"/>
      <c r="BU271" s="2" t="s">
        <v>107</v>
      </c>
      <c r="BV271" s="2" t="s">
        <v>96</v>
      </c>
      <c r="BW271" s="2" t="s">
        <v>390</v>
      </c>
      <c r="BX271" s="2" t="s">
        <v>1583</v>
      </c>
      <c r="BY271" s="2" t="s">
        <v>109</v>
      </c>
      <c r="BZ271" s="2" t="s">
        <v>109</v>
      </c>
      <c r="CA271" s="2" t="s">
        <v>99</v>
      </c>
    </row>
    <row r="272">
      <c r="A272" s="2" t="s">
        <v>1584</v>
      </c>
      <c r="B272" s="2" t="s">
        <v>765</v>
      </c>
      <c r="C272" s="2" t="s">
        <v>203</v>
      </c>
      <c r="D272" s="2" t="s">
        <v>1572</v>
      </c>
      <c r="E272" s="2" t="s">
        <v>1573</v>
      </c>
      <c r="F272" s="2" t="s">
        <v>1303</v>
      </c>
      <c r="G272" s="2" t="s">
        <v>1304</v>
      </c>
      <c r="H272" s="2" t="s">
        <v>1305</v>
      </c>
      <c r="I272" s="2" t="s">
        <v>1306</v>
      </c>
      <c r="J272" s="2" t="s">
        <v>227</v>
      </c>
      <c r="K272" s="2" t="s">
        <v>813</v>
      </c>
      <c r="L272" s="3">
        <v>0.01</v>
      </c>
      <c r="M272" s="3">
        <v>0.01</v>
      </c>
      <c r="N272" s="3"/>
      <c r="O272" s="2" t="s">
        <v>96</v>
      </c>
      <c r="P272" s="2" t="s">
        <v>814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99</v>
      </c>
      <c r="V272" s="2" t="s">
        <v>310</v>
      </c>
      <c r="W272" s="2" t="s">
        <v>99</v>
      </c>
      <c r="X272" s="2" t="s">
        <v>99</v>
      </c>
      <c r="Y272" s="2" t="s">
        <v>1323</v>
      </c>
      <c r="Z272" s="4">
        <v>5</v>
      </c>
      <c r="AA272" s="4">
        <f>=ROUNDDOWN({0},0)</f>
      </c>
      <c r="AB272" s="5"/>
      <c r="AC272" s="2" t="s">
        <v>99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99</v>
      </c>
      <c r="BM272" s="7"/>
      <c r="BN272" s="7"/>
      <c r="BO272" s="4"/>
      <c r="BP272" s="8"/>
      <c r="BQ272" s="4"/>
      <c r="BR272" s="8"/>
      <c r="BS272" s="7"/>
      <c r="BT272" s="7"/>
      <c r="BU272" s="2" t="s">
        <v>819</v>
      </c>
      <c r="BV272" s="2" t="s">
        <v>96</v>
      </c>
      <c r="BW272" s="2" t="s">
        <v>99</v>
      </c>
      <c r="BX272" s="2" t="s">
        <v>99</v>
      </c>
      <c r="BY272" s="2" t="s">
        <v>109</v>
      </c>
      <c r="BZ272" s="2" t="s">
        <v>109</v>
      </c>
      <c r="CA272" s="2" t="s">
        <v>99</v>
      </c>
    </row>
    <row r="273">
      <c r="A273" s="2" t="s">
        <v>1585</v>
      </c>
      <c r="B273" s="2" t="s">
        <v>765</v>
      </c>
      <c r="C273" s="2" t="s">
        <v>203</v>
      </c>
      <c r="D273" s="2" t="s">
        <v>1572</v>
      </c>
      <c r="E273" s="2" t="s">
        <v>1573</v>
      </c>
      <c r="F273" s="2" t="s">
        <v>1586</v>
      </c>
      <c r="G273" s="2" t="s">
        <v>1587</v>
      </c>
      <c r="H273" s="2" t="s">
        <v>1588</v>
      </c>
      <c r="I273" s="2" t="s">
        <v>1589</v>
      </c>
      <c r="J273" s="2" t="s">
        <v>227</v>
      </c>
      <c r="K273" s="2" t="s">
        <v>274</v>
      </c>
      <c r="L273" s="3">
        <v>125.4</v>
      </c>
      <c r="M273" s="3">
        <v>131.67</v>
      </c>
      <c r="N273" s="3">
        <v>269</v>
      </c>
      <c r="O273" s="2" t="s">
        <v>96</v>
      </c>
      <c r="P273" s="2" t="s">
        <v>131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100</v>
      </c>
      <c r="V273" s="2" t="s">
        <v>157</v>
      </c>
      <c r="W273" s="2" t="s">
        <v>158</v>
      </c>
      <c r="X273" s="2" t="s">
        <v>99</v>
      </c>
      <c r="Y273" s="2" t="s">
        <v>1020</v>
      </c>
      <c r="Z273" s="4">
        <v>79</v>
      </c>
      <c r="AA273" s="4">
        <f>=ROUNDDOWN(6.58333333333333,0)</f>
      </c>
      <c r="AB273" s="5">
        <v>12</v>
      </c>
      <c r="AC273" s="2" t="s">
        <v>7</v>
      </c>
      <c r="AD273" s="4">
        <v>58</v>
      </c>
      <c r="AE273" s="4">
        <v>338</v>
      </c>
      <c r="AF273" s="6">
        <v>83</v>
      </c>
      <c r="AG273" s="6">
        <v>69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57</v>
      </c>
      <c r="BK273" s="8">
        <v>6848.1</v>
      </c>
      <c r="BL273" s="2" t="s">
        <v>1590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96</v>
      </c>
      <c r="BW273" s="2" t="s">
        <v>1167</v>
      </c>
      <c r="BX273" s="2" t="s">
        <v>1591</v>
      </c>
      <c r="BY273" s="2" t="s">
        <v>109</v>
      </c>
      <c r="BZ273" s="2" t="s">
        <v>109</v>
      </c>
      <c r="CA273" s="2" t="s">
        <v>99</v>
      </c>
    </row>
    <row r="274">
      <c r="A274" s="2" t="s">
        <v>1592</v>
      </c>
      <c r="B274" s="2" t="s">
        <v>765</v>
      </c>
      <c r="C274" s="2" t="s">
        <v>203</v>
      </c>
      <c r="D274" s="2" t="s">
        <v>1593</v>
      </c>
      <c r="E274" s="2" t="s">
        <v>1594</v>
      </c>
      <c r="F274" s="2" t="s">
        <v>1595</v>
      </c>
      <c r="G274" s="2" t="s">
        <v>1596</v>
      </c>
      <c r="H274" s="2" t="s">
        <v>1597</v>
      </c>
      <c r="I274" s="2" t="s">
        <v>1598</v>
      </c>
      <c r="J274" s="2" t="s">
        <v>227</v>
      </c>
      <c r="K274" s="2" t="s">
        <v>1599</v>
      </c>
      <c r="L274" s="3">
        <v>360</v>
      </c>
      <c r="M274" s="3">
        <v>378</v>
      </c>
      <c r="N274" s="3">
        <v>749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1600</v>
      </c>
      <c r="T274" s="2" t="s">
        <v>99</v>
      </c>
      <c r="U274" s="2" t="s">
        <v>100</v>
      </c>
      <c r="V274" s="2" t="s">
        <v>157</v>
      </c>
      <c r="W274" s="2" t="s">
        <v>362</v>
      </c>
      <c r="X274" s="2" t="s">
        <v>158</v>
      </c>
      <c r="Y274" s="2" t="s">
        <v>1601</v>
      </c>
      <c r="Z274" s="4">
        <v>56</v>
      </c>
      <c r="AA274" s="4">
        <f>=ROUNDDOWN(2.94736842105263,0)</f>
      </c>
      <c r="AB274" s="5">
        <v>19</v>
      </c>
      <c r="AC274" s="2" t="s">
        <v>965</v>
      </c>
      <c r="AD274" s="4">
        <v>189</v>
      </c>
      <c r="AE274" s="4">
        <v>464</v>
      </c>
      <c r="AF274" s="6">
        <v>74</v>
      </c>
      <c r="AG274" s="6">
        <v>60</v>
      </c>
      <c r="AH274" s="7">
        <v>0.3448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>
        <v>1</v>
      </c>
      <c r="AQ274" s="8">
        <v>395.99</v>
      </c>
      <c r="AR274" s="4"/>
      <c r="AS274" s="8"/>
      <c r="AT274" s="7"/>
      <c r="AU274" s="7"/>
      <c r="AV274" s="4">
        <v>1</v>
      </c>
      <c r="AW274" s="8">
        <v>395.99</v>
      </c>
      <c r="AX274" s="4"/>
      <c r="AY274" s="8"/>
      <c r="AZ274" s="7"/>
      <c r="BA274" s="7"/>
      <c r="BB274" s="7">
        <v>1</v>
      </c>
      <c r="BC274" s="4">
        <v>1</v>
      </c>
      <c r="BD274" s="8">
        <v>395.99</v>
      </c>
      <c r="BE274" s="4"/>
      <c r="BF274" s="8"/>
      <c r="BG274" s="7"/>
      <c r="BH274" s="7"/>
      <c r="BI274" s="7">
        <v>1</v>
      </c>
      <c r="BJ274" s="4">
        <v>23</v>
      </c>
      <c r="BK274" s="8">
        <v>8434.01</v>
      </c>
      <c r="BL274" s="2" t="s">
        <v>1602</v>
      </c>
      <c r="BM274" s="7">
        <v>0.0435</v>
      </c>
      <c r="BN274" s="7">
        <v>0.047</v>
      </c>
      <c r="BO274" s="4">
        <v>1</v>
      </c>
      <c r="BP274" s="8">
        <v>395.99</v>
      </c>
      <c r="BQ274" s="4"/>
      <c r="BR274" s="8"/>
      <c r="BS274" s="7"/>
      <c r="BT274" s="7"/>
      <c r="BU274" s="2" t="s">
        <v>107</v>
      </c>
      <c r="BV274" s="2" t="s">
        <v>96</v>
      </c>
      <c r="BW274" s="2" t="s">
        <v>1067</v>
      </c>
      <c r="BX274" s="2" t="s">
        <v>1603</v>
      </c>
      <c r="BY274" s="2" t="s">
        <v>109</v>
      </c>
      <c r="BZ274" s="2" t="s">
        <v>109</v>
      </c>
      <c r="CA274" s="2" t="s">
        <v>99</v>
      </c>
    </row>
    <row r="275">
      <c r="A275" s="2" t="s">
        <v>1604</v>
      </c>
      <c r="B275" s="2" t="s">
        <v>765</v>
      </c>
      <c r="C275" s="2" t="s">
        <v>203</v>
      </c>
      <c r="D275" s="2" t="s">
        <v>1605</v>
      </c>
      <c r="E275" s="2" t="s">
        <v>1606</v>
      </c>
      <c r="F275" s="2" t="s">
        <v>1607</v>
      </c>
      <c r="G275" s="2" t="s">
        <v>1608</v>
      </c>
      <c r="H275" s="2" t="s">
        <v>1609</v>
      </c>
      <c r="I275" s="2" t="s">
        <v>1610</v>
      </c>
      <c r="J275" s="2" t="s">
        <v>227</v>
      </c>
      <c r="K275" s="2" t="s">
        <v>234</v>
      </c>
      <c r="L275" s="3">
        <v>285</v>
      </c>
      <c r="M275" s="3">
        <v>299.25</v>
      </c>
      <c r="N275" s="3">
        <v>599</v>
      </c>
      <c r="O275" s="2" t="s">
        <v>96</v>
      </c>
      <c r="P275" s="2" t="s">
        <v>135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100</v>
      </c>
      <c r="V275" s="2" t="s">
        <v>310</v>
      </c>
      <c r="W275" s="2" t="s">
        <v>102</v>
      </c>
      <c r="X275" s="2" t="s">
        <v>158</v>
      </c>
      <c r="Y275" s="2" t="s">
        <v>1611</v>
      </c>
      <c r="Z275" s="4">
        <v>164</v>
      </c>
      <c r="AA275" s="4">
        <f>=ROUNDDOWN(12.6153846153846,0)</f>
      </c>
      <c r="AB275" s="5">
        <v>13</v>
      </c>
      <c r="AC275" s="2" t="s">
        <v>1612</v>
      </c>
      <c r="AD275" s="4">
        <v>146</v>
      </c>
      <c r="AE275" s="4">
        <v>146</v>
      </c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>
        <v>1</v>
      </c>
      <c r="AQ275" s="8">
        <v>368.55</v>
      </c>
      <c r="AR275" s="4"/>
      <c r="AS275" s="8"/>
      <c r="AT275" s="7"/>
      <c r="AU275" s="7"/>
      <c r="AV275" s="4">
        <v>1</v>
      </c>
      <c r="AW275" s="8">
        <v>368.55</v>
      </c>
      <c r="AX275" s="4"/>
      <c r="AY275" s="8"/>
      <c r="AZ275" s="7"/>
      <c r="BA275" s="7"/>
      <c r="BB275" s="7">
        <v>1</v>
      </c>
      <c r="BC275" s="4">
        <v>1</v>
      </c>
      <c r="BD275" s="8">
        <v>368.55</v>
      </c>
      <c r="BE275" s="4"/>
      <c r="BF275" s="8"/>
      <c r="BG275" s="7"/>
      <c r="BH275" s="7"/>
      <c r="BI275" s="7">
        <v>1</v>
      </c>
      <c r="BJ275" s="4">
        <v>64</v>
      </c>
      <c r="BK275" s="8">
        <v>17760.29</v>
      </c>
      <c r="BL275" s="2" t="s">
        <v>1613</v>
      </c>
      <c r="BM275" s="7">
        <v>0.0156</v>
      </c>
      <c r="BN275" s="7">
        <v>0.0208</v>
      </c>
      <c r="BO275" s="4">
        <v>1</v>
      </c>
      <c r="BP275" s="8">
        <v>368.55</v>
      </c>
      <c r="BQ275" s="4"/>
      <c r="BR275" s="8"/>
      <c r="BS275" s="7"/>
      <c r="BT275" s="7"/>
      <c r="BU275" s="2" t="s">
        <v>107</v>
      </c>
      <c r="BV275" s="2" t="s">
        <v>96</v>
      </c>
      <c r="BW275" s="2" t="s">
        <v>828</v>
      </c>
      <c r="BX275" s="2" t="s">
        <v>1614</v>
      </c>
      <c r="BY275" s="2" t="s">
        <v>109</v>
      </c>
      <c r="BZ275" s="2" t="s">
        <v>109</v>
      </c>
      <c r="CA275" s="2" t="s">
        <v>99</v>
      </c>
    </row>
    <row r="276">
      <c r="A276" s="2" t="s">
        <v>1615</v>
      </c>
      <c r="B276" s="2" t="s">
        <v>765</v>
      </c>
      <c r="C276" s="2" t="s">
        <v>203</v>
      </c>
      <c r="D276" s="2" t="s">
        <v>1605</v>
      </c>
      <c r="E276" s="2" t="s">
        <v>1606</v>
      </c>
      <c r="F276" s="2" t="s">
        <v>1616</v>
      </c>
      <c r="G276" s="2" t="s">
        <v>1617</v>
      </c>
      <c r="H276" s="2" t="s">
        <v>1618</v>
      </c>
      <c r="I276" s="2" t="s">
        <v>1619</v>
      </c>
      <c r="J276" s="2" t="s">
        <v>227</v>
      </c>
      <c r="K276" s="2" t="s">
        <v>118</v>
      </c>
      <c r="L276" s="3">
        <v>256.5</v>
      </c>
      <c r="M276" s="3">
        <v>269.32</v>
      </c>
      <c r="N276" s="3">
        <v>549</v>
      </c>
      <c r="O276" s="2" t="s">
        <v>96</v>
      </c>
      <c r="P276" s="2" t="s">
        <v>135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100</v>
      </c>
      <c r="V276" s="2" t="s">
        <v>157</v>
      </c>
      <c r="W276" s="2" t="s">
        <v>330</v>
      </c>
      <c r="X276" s="2" t="s">
        <v>99</v>
      </c>
      <c r="Y276" s="2" t="s">
        <v>1620</v>
      </c>
      <c r="Z276" s="4">
        <v>153</v>
      </c>
      <c r="AA276" s="4">
        <f>=ROUNDDOWN(5.1,0)</f>
      </c>
      <c r="AB276" s="5">
        <v>30</v>
      </c>
      <c r="AC276" s="2" t="s">
        <v>1035</v>
      </c>
      <c r="AD276" s="4">
        <v>173</v>
      </c>
      <c r="AE276" s="4">
        <v>230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1621</v>
      </c>
      <c r="AM276" s="4">
        <v>124</v>
      </c>
      <c r="AN276" s="4">
        <v>124</v>
      </c>
      <c r="AO276" s="7">
        <v>1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80</v>
      </c>
      <c r="BK276" s="8">
        <v>20251.56</v>
      </c>
      <c r="BL276" s="2" t="s">
        <v>1622</v>
      </c>
      <c r="BM276" s="7"/>
      <c r="BN276" s="7"/>
      <c r="BO276" s="4"/>
      <c r="BP276" s="8"/>
      <c r="BQ276" s="4"/>
      <c r="BR276" s="8"/>
      <c r="BS276" s="7"/>
      <c r="BT276" s="7"/>
      <c r="BU276" s="2" t="s">
        <v>1019</v>
      </c>
      <c r="BV276" s="2" t="s">
        <v>96</v>
      </c>
      <c r="BW276" s="2" t="s">
        <v>99</v>
      </c>
      <c r="BX276" s="2" t="s">
        <v>99</v>
      </c>
      <c r="BY276" s="2" t="s">
        <v>109</v>
      </c>
      <c r="BZ276" s="2" t="s">
        <v>109</v>
      </c>
      <c r="CA276" s="2" t="s">
        <v>99</v>
      </c>
    </row>
    <row r="277">
      <c r="A277" s="2" t="s">
        <v>1623</v>
      </c>
      <c r="B277" s="2" t="s">
        <v>765</v>
      </c>
      <c r="C277" s="2" t="s">
        <v>203</v>
      </c>
      <c r="D277" s="2" t="s">
        <v>1605</v>
      </c>
      <c r="E277" s="2" t="s">
        <v>1606</v>
      </c>
      <c r="F277" s="2" t="s">
        <v>1624</v>
      </c>
      <c r="G277" s="2" t="s">
        <v>1625</v>
      </c>
      <c r="H277" s="2" t="s">
        <v>1626</v>
      </c>
      <c r="I277" s="2" t="s">
        <v>1627</v>
      </c>
      <c r="J277" s="2" t="s">
        <v>227</v>
      </c>
      <c r="K277" s="2" t="s">
        <v>234</v>
      </c>
      <c r="L277" s="3">
        <v>227.7</v>
      </c>
      <c r="M277" s="3">
        <v>239.08</v>
      </c>
      <c r="N277" s="3">
        <v>479</v>
      </c>
      <c r="O277" s="2" t="s">
        <v>96</v>
      </c>
      <c r="P277" s="2" t="s">
        <v>386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100</v>
      </c>
      <c r="V277" s="2" t="s">
        <v>212</v>
      </c>
      <c r="W277" s="2" t="s">
        <v>212</v>
      </c>
      <c r="X277" s="2" t="s">
        <v>291</v>
      </c>
      <c r="Y277" s="2" t="s">
        <v>1628</v>
      </c>
      <c r="Z277" s="4">
        <v>137</v>
      </c>
      <c r="AA277" s="4">
        <f>=ROUNDDOWN(27.4,0)</f>
      </c>
      <c r="AB277" s="5">
        <v>5</v>
      </c>
      <c r="AC277" s="2" t="s">
        <v>99</v>
      </c>
      <c r="AD277" s="4"/>
      <c r="AE277" s="4"/>
      <c r="AF277" s="6">
        <v>83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31</v>
      </c>
      <c r="BK277" s="8">
        <v>6649.55</v>
      </c>
      <c r="BL277" s="2" t="s">
        <v>1360</v>
      </c>
      <c r="BM277" s="7"/>
      <c r="BN277" s="7"/>
      <c r="BO277" s="4"/>
      <c r="BP277" s="8"/>
      <c r="BQ277" s="4"/>
      <c r="BR277" s="8"/>
      <c r="BS277" s="7"/>
      <c r="BT277" s="7"/>
      <c r="BU277" s="2" t="s">
        <v>306</v>
      </c>
      <c r="BV277" s="2" t="s">
        <v>96</v>
      </c>
      <c r="BW277" s="2" t="s">
        <v>99</v>
      </c>
      <c r="BX277" s="2" t="s">
        <v>99</v>
      </c>
      <c r="BY277" s="2" t="s">
        <v>109</v>
      </c>
      <c r="BZ277" s="2" t="s">
        <v>109</v>
      </c>
      <c r="CA277" s="2" t="s">
        <v>99</v>
      </c>
    </row>
    <row r="278">
      <c r="A278" s="2" t="s">
        <v>1629</v>
      </c>
      <c r="B278" s="2" t="s">
        <v>765</v>
      </c>
      <c r="C278" s="2" t="s">
        <v>203</v>
      </c>
      <c r="D278" s="2" t="s">
        <v>1630</v>
      </c>
      <c r="E278" s="2" t="s">
        <v>1535</v>
      </c>
      <c r="F278" s="2" t="s">
        <v>1631</v>
      </c>
      <c r="G278" s="2" t="s">
        <v>1632</v>
      </c>
      <c r="H278" s="2" t="s">
        <v>1633</v>
      </c>
      <c r="I278" s="2" t="s">
        <v>1634</v>
      </c>
      <c r="J278" s="2" t="s">
        <v>227</v>
      </c>
      <c r="K278" s="2" t="s">
        <v>118</v>
      </c>
      <c r="L278" s="3">
        <v>56.16</v>
      </c>
      <c r="M278" s="3">
        <v>58.97</v>
      </c>
      <c r="N278" s="3">
        <v>119</v>
      </c>
      <c r="O278" s="2" t="s">
        <v>96</v>
      </c>
      <c r="P278" s="2" t="s">
        <v>135</v>
      </c>
      <c r="Q278" s="2" t="s">
        <v>98</v>
      </c>
      <c r="R278" s="2" t="s">
        <v>99</v>
      </c>
      <c r="S278" s="2" t="s">
        <v>1635</v>
      </c>
      <c r="T278" s="2" t="s">
        <v>99</v>
      </c>
      <c r="U278" s="2" t="s">
        <v>99</v>
      </c>
      <c r="V278" s="2" t="s">
        <v>310</v>
      </c>
      <c r="W278" s="2" t="s">
        <v>158</v>
      </c>
      <c r="X278" s="2" t="s">
        <v>718</v>
      </c>
      <c r="Y278" s="2" t="s">
        <v>1636</v>
      </c>
      <c r="Z278" s="4">
        <v>323</v>
      </c>
      <c r="AA278" s="4">
        <f>=ROUNDDOWN(17,0)</f>
      </c>
      <c r="AB278" s="5">
        <v>19</v>
      </c>
      <c r="AC278" s="2" t="s">
        <v>990</v>
      </c>
      <c r="AD278" s="4">
        <v>100</v>
      </c>
      <c r="AE278" s="4">
        <v>100</v>
      </c>
      <c r="AF278" s="6">
        <v>74</v>
      </c>
      <c r="AG278" s="6">
        <v>60</v>
      </c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78</v>
      </c>
      <c r="BK278" s="8">
        <v>3848.78</v>
      </c>
      <c r="BL278" s="2" t="s">
        <v>1637</v>
      </c>
      <c r="BM278" s="7"/>
      <c r="BN278" s="7"/>
      <c r="BO278" s="4"/>
      <c r="BP278" s="8"/>
      <c r="BQ278" s="4"/>
      <c r="BR278" s="8"/>
      <c r="BS278" s="7"/>
      <c r="BT278" s="7"/>
      <c r="BU278" s="2" t="s">
        <v>306</v>
      </c>
      <c r="BV278" s="2" t="s">
        <v>96</v>
      </c>
      <c r="BW278" s="2" t="s">
        <v>99</v>
      </c>
      <c r="BX278" s="2" t="s">
        <v>99</v>
      </c>
      <c r="BY278" s="2" t="s">
        <v>109</v>
      </c>
      <c r="BZ278" s="2" t="s">
        <v>109</v>
      </c>
      <c r="CA278" s="2" t="s">
        <v>99</v>
      </c>
    </row>
    <row r="279">
      <c r="A279" s="2" t="s">
        <v>1638</v>
      </c>
      <c r="B279" s="2" t="s">
        <v>765</v>
      </c>
      <c r="C279" s="2" t="s">
        <v>203</v>
      </c>
      <c r="D279" s="2" t="s">
        <v>1639</v>
      </c>
      <c r="E279" s="2" t="s">
        <v>1640</v>
      </c>
      <c r="F279" s="2" t="s">
        <v>1641</v>
      </c>
      <c r="G279" s="2" t="s">
        <v>1642</v>
      </c>
      <c r="H279" s="2" t="s">
        <v>1643</v>
      </c>
      <c r="I279" s="2" t="s">
        <v>1644</v>
      </c>
      <c r="J279" s="2" t="s">
        <v>227</v>
      </c>
      <c r="K279" s="2" t="s">
        <v>643</v>
      </c>
      <c r="L279" s="3">
        <v>430</v>
      </c>
      <c r="M279" s="3">
        <v>451.5</v>
      </c>
      <c r="N279" s="3">
        <v>899</v>
      </c>
      <c r="O279" s="2" t="s">
        <v>96</v>
      </c>
      <c r="P279" s="2" t="s">
        <v>131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100</v>
      </c>
      <c r="V279" s="2" t="s">
        <v>310</v>
      </c>
      <c r="W279" s="2" t="s">
        <v>158</v>
      </c>
      <c r="X279" s="2" t="s">
        <v>103</v>
      </c>
      <c r="Y279" s="2" t="s">
        <v>1645</v>
      </c>
      <c r="Z279" s="4"/>
      <c r="AA279" s="4">
        <f>=ROUNDDOWN({0},0)</f>
      </c>
      <c r="AB279" s="5">
        <v>10</v>
      </c>
      <c r="AC279" s="2" t="s">
        <v>990</v>
      </c>
      <c r="AD279" s="4">
        <v>150</v>
      </c>
      <c r="AE279" s="4">
        <v>300</v>
      </c>
      <c r="AF279" s="6">
        <v>74</v>
      </c>
      <c r="AG279" s="6"/>
      <c r="AH279" s="7">
        <v>0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1</v>
      </c>
      <c r="BK279" s="8">
        <v>451.5</v>
      </c>
      <c r="BL279" s="2" t="s">
        <v>654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96</v>
      </c>
      <c r="BW279" s="2" t="s">
        <v>1646</v>
      </c>
      <c r="BX279" s="2" t="s">
        <v>1647</v>
      </c>
      <c r="BY279" s="2" t="s">
        <v>109</v>
      </c>
      <c r="BZ279" s="2" t="s">
        <v>109</v>
      </c>
      <c r="CA279" s="2" t="s">
        <v>99</v>
      </c>
    </row>
    <row r="280">
      <c r="A280" s="2" t="s">
        <v>1648</v>
      </c>
      <c r="B280" s="2" t="s">
        <v>765</v>
      </c>
      <c r="C280" s="2" t="s">
        <v>203</v>
      </c>
      <c r="D280" s="2" t="s">
        <v>1649</v>
      </c>
      <c r="E280" s="2" t="s">
        <v>1650</v>
      </c>
      <c r="F280" s="2" t="s">
        <v>1651</v>
      </c>
      <c r="G280" s="2" t="s">
        <v>1652</v>
      </c>
      <c r="H280" s="2" t="s">
        <v>1653</v>
      </c>
      <c r="I280" s="2" t="s">
        <v>1654</v>
      </c>
      <c r="J280" s="2" t="s">
        <v>227</v>
      </c>
      <c r="K280" s="2" t="s">
        <v>228</v>
      </c>
      <c r="L280" s="3">
        <v>239</v>
      </c>
      <c r="M280" s="3">
        <v>250.95</v>
      </c>
      <c r="N280" s="3">
        <v>499</v>
      </c>
      <c r="O280" s="2" t="s">
        <v>443</v>
      </c>
      <c r="P280" s="2" t="s">
        <v>188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99</v>
      </c>
      <c r="V280" s="2" t="s">
        <v>310</v>
      </c>
      <c r="W280" s="2" t="s">
        <v>158</v>
      </c>
      <c r="X280" s="2" t="s">
        <v>685</v>
      </c>
      <c r="Y280" s="2" t="s">
        <v>1320</v>
      </c>
      <c r="Z280" s="4">
        <v>15</v>
      </c>
      <c r="AA280" s="4">
        <f>=ROUNDDOWN(15,0)</f>
      </c>
      <c r="AB280" s="5">
        <v>1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2</v>
      </c>
      <c r="BK280" s="8">
        <v>501.9</v>
      </c>
      <c r="BL280" s="2" t="s">
        <v>654</v>
      </c>
      <c r="BM280" s="7"/>
      <c r="BN280" s="7"/>
      <c r="BO280" s="4"/>
      <c r="BP280" s="8"/>
      <c r="BQ280" s="4"/>
      <c r="BR280" s="8"/>
      <c r="BS280" s="7"/>
      <c r="BT280" s="7"/>
      <c r="BU280" s="2" t="s">
        <v>306</v>
      </c>
      <c r="BV280" s="2" t="s">
        <v>96</v>
      </c>
      <c r="BW280" s="2" t="s">
        <v>99</v>
      </c>
      <c r="BX280" s="2" t="s">
        <v>99</v>
      </c>
      <c r="BY280" s="2" t="s">
        <v>109</v>
      </c>
      <c r="BZ280" s="2" t="s">
        <v>109</v>
      </c>
      <c r="CA280" s="2" t="s">
        <v>99</v>
      </c>
    </row>
    <row r="281">
      <c r="A281" s="2" t="s">
        <v>1655</v>
      </c>
      <c r="B281" s="2" t="s">
        <v>765</v>
      </c>
      <c r="C281" s="2" t="s">
        <v>203</v>
      </c>
      <c r="D281" s="2" t="s">
        <v>1649</v>
      </c>
      <c r="E281" s="2" t="s">
        <v>1650</v>
      </c>
      <c r="F281" s="2" t="s">
        <v>1506</v>
      </c>
      <c r="G281" s="2" t="s">
        <v>1507</v>
      </c>
      <c r="H281" s="2" t="s">
        <v>1508</v>
      </c>
      <c r="I281" s="2" t="s">
        <v>1656</v>
      </c>
      <c r="J281" s="2" t="s">
        <v>227</v>
      </c>
      <c r="K281" s="2" t="s">
        <v>1522</v>
      </c>
      <c r="L281" s="3">
        <v>180</v>
      </c>
      <c r="M281" s="3">
        <v>189</v>
      </c>
      <c r="N281" s="3">
        <v>379</v>
      </c>
      <c r="O281" s="2" t="s">
        <v>96</v>
      </c>
      <c r="P281" s="2" t="s">
        <v>131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100</v>
      </c>
      <c r="V281" s="2" t="s">
        <v>157</v>
      </c>
      <c r="W281" s="2" t="s">
        <v>761</v>
      </c>
      <c r="X281" s="2" t="s">
        <v>102</v>
      </c>
      <c r="Y281" s="2" t="s">
        <v>1523</v>
      </c>
      <c r="Z281" s="4">
        <v>171</v>
      </c>
      <c r="AA281" s="4">
        <f>=ROUNDDOWN(19,0)</f>
      </c>
      <c r="AB281" s="5">
        <v>9</v>
      </c>
      <c r="AC281" s="2" t="s">
        <v>1657</v>
      </c>
      <c r="AD281" s="4">
        <v>150</v>
      </c>
      <c r="AE281" s="4">
        <v>150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31</v>
      </c>
      <c r="BK281" s="8">
        <v>5704.73</v>
      </c>
      <c r="BL281" s="2" t="s">
        <v>1345</v>
      </c>
      <c r="BM281" s="7"/>
      <c r="BN281" s="7"/>
      <c r="BO281" s="4"/>
      <c r="BP281" s="8"/>
      <c r="BQ281" s="4"/>
      <c r="BR281" s="8"/>
      <c r="BS281" s="7"/>
      <c r="BT281" s="7"/>
      <c r="BU281" s="2" t="s">
        <v>1019</v>
      </c>
      <c r="BV281" s="2" t="s">
        <v>96</v>
      </c>
      <c r="BW281" s="2" t="s">
        <v>99</v>
      </c>
      <c r="BX281" s="2" t="s">
        <v>99</v>
      </c>
      <c r="BY281" s="2" t="s">
        <v>109</v>
      </c>
      <c r="BZ281" s="2" t="s">
        <v>109</v>
      </c>
      <c r="CA281" s="2" t="s">
        <v>99</v>
      </c>
    </row>
    <row r="282">
      <c r="A282" s="2" t="s">
        <v>1658</v>
      </c>
      <c r="B282" s="2" t="s">
        <v>765</v>
      </c>
      <c r="C282" s="2" t="s">
        <v>203</v>
      </c>
      <c r="D282" s="2" t="s">
        <v>1659</v>
      </c>
      <c r="E282" s="2" t="s">
        <v>1660</v>
      </c>
      <c r="F282" s="2" t="s">
        <v>1661</v>
      </c>
      <c r="G282" s="2" t="s">
        <v>1662</v>
      </c>
      <c r="H282" s="2" t="s">
        <v>1663</v>
      </c>
      <c r="I282" s="2" t="s">
        <v>1664</v>
      </c>
      <c r="J282" s="2" t="s">
        <v>227</v>
      </c>
      <c r="K282" s="2" t="s">
        <v>1665</v>
      </c>
      <c r="L282" s="3">
        <v>255.3</v>
      </c>
      <c r="M282" s="3">
        <v>268.06</v>
      </c>
      <c r="N282" s="3">
        <v>529</v>
      </c>
      <c r="O282" s="2" t="s">
        <v>443</v>
      </c>
      <c r="P282" s="2" t="s">
        <v>188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100</v>
      </c>
      <c r="V282" s="2" t="s">
        <v>157</v>
      </c>
      <c r="W282" s="2" t="s">
        <v>102</v>
      </c>
      <c r="X282" s="2" t="s">
        <v>99</v>
      </c>
      <c r="Y282" s="2" t="s">
        <v>1666</v>
      </c>
      <c r="Z282" s="4">
        <v>160</v>
      </c>
      <c r="AA282" s="4">
        <f>=ROUNDDOWN(1600,0)</f>
      </c>
      <c r="AB282" s="5">
        <v>0.1</v>
      </c>
      <c r="AC282" s="2" t="s">
        <v>99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99</v>
      </c>
      <c r="BM282" s="7"/>
      <c r="BN282" s="7"/>
      <c r="BO282" s="4"/>
      <c r="BP282" s="8"/>
      <c r="BQ282" s="4"/>
      <c r="BR282" s="8"/>
      <c r="BS282" s="7"/>
      <c r="BT282" s="7"/>
      <c r="BU282" s="2" t="s">
        <v>1019</v>
      </c>
      <c r="BV282" s="2" t="s">
        <v>96</v>
      </c>
      <c r="BW282" s="2" t="s">
        <v>99</v>
      </c>
      <c r="BX282" s="2" t="s">
        <v>99</v>
      </c>
      <c r="BY282" s="2" t="s">
        <v>109</v>
      </c>
      <c r="BZ282" s="2" t="s">
        <v>109</v>
      </c>
      <c r="CA282" s="2" t="s">
        <v>99</v>
      </c>
    </row>
    <row r="283">
      <c r="A283" s="2" t="s">
        <v>1667</v>
      </c>
      <c r="B283" s="2" t="s">
        <v>765</v>
      </c>
      <c r="C283" s="2" t="s">
        <v>203</v>
      </c>
      <c r="D283" s="2" t="s">
        <v>1668</v>
      </c>
      <c r="E283" s="2" t="s">
        <v>1669</v>
      </c>
      <c r="F283" s="2" t="s">
        <v>1670</v>
      </c>
      <c r="G283" s="2" t="s">
        <v>1671</v>
      </c>
      <c r="H283" s="2" t="s">
        <v>1672</v>
      </c>
      <c r="I283" s="2" t="s">
        <v>1673</v>
      </c>
      <c r="J283" s="2" t="s">
        <v>1674</v>
      </c>
      <c r="K283" s="2" t="s">
        <v>1675</v>
      </c>
      <c r="L283" s="3">
        <v>303.03</v>
      </c>
      <c r="M283" s="3">
        <v>318.18</v>
      </c>
      <c r="N283" s="3">
        <v>649</v>
      </c>
      <c r="O283" s="2" t="s">
        <v>96</v>
      </c>
      <c r="P283" s="2" t="s">
        <v>135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100</v>
      </c>
      <c r="V283" s="2" t="s">
        <v>310</v>
      </c>
      <c r="W283" s="2" t="s">
        <v>362</v>
      </c>
      <c r="X283" s="2" t="s">
        <v>291</v>
      </c>
      <c r="Y283" s="2" t="s">
        <v>1676</v>
      </c>
      <c r="Z283" s="4">
        <v>105</v>
      </c>
      <c r="AA283" s="4">
        <f>=ROUNDDOWN(8.07692307692308,0)</f>
      </c>
      <c r="AB283" s="5">
        <v>13</v>
      </c>
      <c r="AC283" s="2" t="s">
        <v>183</v>
      </c>
      <c r="AD283" s="4">
        <v>70</v>
      </c>
      <c r="AE283" s="4">
        <v>70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149</v>
      </c>
      <c r="BK283" s="8">
        <v>40960.5</v>
      </c>
      <c r="BL283" s="2" t="s">
        <v>1677</v>
      </c>
      <c r="BM283" s="7"/>
      <c r="BN283" s="7"/>
      <c r="BO283" s="4"/>
      <c r="BP283" s="8"/>
      <c r="BQ283" s="4"/>
      <c r="BR283" s="8"/>
      <c r="BS283" s="7"/>
      <c r="BT283" s="7"/>
      <c r="BU283" s="2" t="s">
        <v>1484</v>
      </c>
      <c r="BV283" s="2" t="s">
        <v>96</v>
      </c>
      <c r="BW283" s="2" t="s">
        <v>99</v>
      </c>
      <c r="BX283" s="2" t="s">
        <v>99</v>
      </c>
      <c r="BY283" s="2" t="s">
        <v>109</v>
      </c>
      <c r="BZ283" s="2" t="s">
        <v>109</v>
      </c>
      <c r="CA283" s="2" t="s">
        <v>99</v>
      </c>
    </row>
    <row r="284">
      <c r="A284" s="2" t="s">
        <v>1678</v>
      </c>
      <c r="B284" s="2" t="s">
        <v>765</v>
      </c>
      <c r="C284" s="2" t="s">
        <v>740</v>
      </c>
      <c r="D284" s="2" t="s">
        <v>1132</v>
      </c>
      <c r="E284" s="2" t="s">
        <v>1133</v>
      </c>
      <c r="F284" s="2" t="s">
        <v>1679</v>
      </c>
      <c r="G284" s="2" t="s">
        <v>1679</v>
      </c>
      <c r="H284" s="2" t="s">
        <v>1679</v>
      </c>
      <c r="I284" s="2" t="s">
        <v>1680</v>
      </c>
      <c r="J284" s="2" t="s">
        <v>227</v>
      </c>
      <c r="K284" s="2" t="s">
        <v>805</v>
      </c>
      <c r="L284" s="3">
        <v>285</v>
      </c>
      <c r="M284" s="3">
        <v>299.25</v>
      </c>
      <c r="N284" s="3">
        <v>599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100</v>
      </c>
      <c r="V284" s="2" t="s">
        <v>157</v>
      </c>
      <c r="W284" s="2" t="s">
        <v>362</v>
      </c>
      <c r="X284" s="2" t="s">
        <v>522</v>
      </c>
      <c r="Y284" s="2" t="s">
        <v>1681</v>
      </c>
      <c r="Z284" s="4">
        <v>1132</v>
      </c>
      <c r="AA284" s="4">
        <f>=ROUNDDOWN(12.7191011235955,0)</f>
      </c>
      <c r="AB284" s="5">
        <v>89</v>
      </c>
      <c r="AC284" s="2" t="s">
        <v>7</v>
      </c>
      <c r="AD284" s="4">
        <v>422</v>
      </c>
      <c r="AE284" s="4">
        <v>1510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1035</v>
      </c>
      <c r="AM284" s="4">
        <v>144</v>
      </c>
      <c r="AN284" s="4">
        <v>576</v>
      </c>
      <c r="AO284" s="7">
        <v>0</v>
      </c>
      <c r="AP284" s="4">
        <v>38</v>
      </c>
      <c r="AQ284" s="8">
        <v>9156.86</v>
      </c>
      <c r="AR284" s="4"/>
      <c r="AS284" s="8"/>
      <c r="AT284" s="7"/>
      <c r="AU284" s="7"/>
      <c r="AV284" s="4">
        <v>38</v>
      </c>
      <c r="AW284" s="8">
        <v>9156.86</v>
      </c>
      <c r="AX284" s="4"/>
      <c r="AY284" s="8"/>
      <c r="AZ284" s="7"/>
      <c r="BA284" s="7"/>
      <c r="BB284" s="7">
        <v>1</v>
      </c>
      <c r="BC284" s="4">
        <v>72</v>
      </c>
      <c r="BD284" s="8">
        <v>17349.84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0.5278</v>
      </c>
      <c r="BJ284" s="4">
        <v>381</v>
      </c>
      <c r="BK284" s="8">
        <v>101787.65</v>
      </c>
      <c r="BL284" s="2" t="s">
        <v>1682</v>
      </c>
      <c r="BM284" s="7">
        <v>0.0997</v>
      </c>
      <c r="BN284" s="7">
        <v>0.09</v>
      </c>
      <c r="BO284" s="4">
        <v>38</v>
      </c>
      <c r="BP284" s="8">
        <v>9156.86</v>
      </c>
      <c r="BQ284" s="4"/>
      <c r="BR284" s="8"/>
      <c r="BS284" s="7"/>
      <c r="BT284" s="7"/>
      <c r="BU284" s="2" t="s">
        <v>107</v>
      </c>
      <c r="BV284" s="2" t="s">
        <v>96</v>
      </c>
      <c r="BW284" s="2" t="s">
        <v>792</v>
      </c>
      <c r="BX284" s="2" t="s">
        <v>1354</v>
      </c>
      <c r="BY284" s="2" t="s">
        <v>109</v>
      </c>
      <c r="BZ284" s="2" t="s">
        <v>109</v>
      </c>
      <c r="CA284" s="2" t="s">
        <v>99</v>
      </c>
    </row>
    <row r="285">
      <c r="A285" s="2" t="s">
        <v>1683</v>
      </c>
      <c r="B285" s="2" t="s">
        <v>765</v>
      </c>
      <c r="C285" s="2" t="s">
        <v>740</v>
      </c>
      <c r="D285" s="2" t="s">
        <v>1132</v>
      </c>
      <c r="E285" s="2" t="s">
        <v>1133</v>
      </c>
      <c r="F285" s="2" t="s">
        <v>1679</v>
      </c>
      <c r="G285" s="2" t="s">
        <v>1679</v>
      </c>
      <c r="H285" s="2" t="s">
        <v>1679</v>
      </c>
      <c r="I285" s="2" t="s">
        <v>1680</v>
      </c>
      <c r="J285" s="2" t="s">
        <v>227</v>
      </c>
      <c r="K285" s="2" t="s">
        <v>1409</v>
      </c>
      <c r="L285" s="3">
        <v>285</v>
      </c>
      <c r="M285" s="3">
        <v>299.25</v>
      </c>
      <c r="N285" s="3">
        <v>599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100</v>
      </c>
      <c r="V285" s="2" t="s">
        <v>157</v>
      </c>
      <c r="W285" s="2" t="s">
        <v>362</v>
      </c>
      <c r="X285" s="2" t="s">
        <v>522</v>
      </c>
      <c r="Y285" s="2" t="s">
        <v>1684</v>
      </c>
      <c r="Z285" s="4">
        <v>195</v>
      </c>
      <c r="AA285" s="4">
        <f>=ROUNDDOWN(6.72413793103448,0)</f>
      </c>
      <c r="AB285" s="5">
        <v>29</v>
      </c>
      <c r="AC285" s="2" t="s">
        <v>5</v>
      </c>
      <c r="AD285" s="4">
        <v>25</v>
      </c>
      <c r="AE285" s="4">
        <v>740</v>
      </c>
      <c r="AF285" s="6">
        <v>74</v>
      </c>
      <c r="AG285" s="6">
        <v>60</v>
      </c>
      <c r="AH285" s="7">
        <v>0.931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27</v>
      </c>
      <c r="AQ285" s="8">
        <v>6506.19</v>
      </c>
      <c r="AR285" s="4"/>
      <c r="AS285" s="8"/>
      <c r="AT285" s="7"/>
      <c r="AU285" s="7"/>
      <c r="AV285" s="4">
        <v>27</v>
      </c>
      <c r="AW285" s="8">
        <v>6506.19</v>
      </c>
      <c r="AX285" s="4"/>
      <c r="AY285" s="8"/>
      <c r="AZ285" s="7"/>
      <c r="BA285" s="7"/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0.375</v>
      </c>
      <c r="BJ285" s="4">
        <v>113</v>
      </c>
      <c r="BK285" s="8">
        <v>29529.2</v>
      </c>
      <c r="BL285" s="2" t="s">
        <v>1685</v>
      </c>
      <c r="BM285" s="7">
        <v>0.2389</v>
      </c>
      <c r="BN285" s="7">
        <v>0.2203</v>
      </c>
      <c r="BO285" s="4">
        <v>27</v>
      </c>
      <c r="BP285" s="8">
        <v>6506.19</v>
      </c>
      <c r="BQ285" s="4"/>
      <c r="BR285" s="8"/>
      <c r="BS285" s="7"/>
      <c r="BT285" s="7"/>
      <c r="BU285" s="2" t="s">
        <v>107</v>
      </c>
      <c r="BV285" s="2" t="s">
        <v>96</v>
      </c>
      <c r="BW285" s="2" t="s">
        <v>792</v>
      </c>
      <c r="BX285" s="2" t="s">
        <v>1686</v>
      </c>
      <c r="BY285" s="2" t="s">
        <v>109</v>
      </c>
      <c r="BZ285" s="2" t="s">
        <v>109</v>
      </c>
      <c r="CA285" s="2" t="s">
        <v>99</v>
      </c>
    </row>
    <row r="286">
      <c r="A286" s="2" t="s">
        <v>1687</v>
      </c>
      <c r="B286" s="2" t="s">
        <v>765</v>
      </c>
      <c r="C286" s="2" t="s">
        <v>740</v>
      </c>
      <c r="D286" s="2" t="s">
        <v>1132</v>
      </c>
      <c r="E286" s="2" t="s">
        <v>1133</v>
      </c>
      <c r="F286" s="2" t="s">
        <v>1679</v>
      </c>
      <c r="G286" s="2" t="s">
        <v>1679</v>
      </c>
      <c r="H286" s="2" t="s">
        <v>1679</v>
      </c>
      <c r="I286" s="2" t="s">
        <v>1680</v>
      </c>
      <c r="J286" s="2" t="s">
        <v>227</v>
      </c>
      <c r="K286" s="2" t="s">
        <v>228</v>
      </c>
      <c r="L286" s="3">
        <v>285</v>
      </c>
      <c r="M286" s="3">
        <v>299.25</v>
      </c>
      <c r="N286" s="3">
        <v>599</v>
      </c>
      <c r="O286" s="2" t="s">
        <v>96</v>
      </c>
      <c r="P286" s="2" t="s">
        <v>131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100</v>
      </c>
      <c r="V286" s="2" t="s">
        <v>157</v>
      </c>
      <c r="W286" s="2" t="s">
        <v>362</v>
      </c>
      <c r="X286" s="2" t="s">
        <v>522</v>
      </c>
      <c r="Y286" s="2" t="s">
        <v>1688</v>
      </c>
      <c r="Z286" s="4">
        <v>83</v>
      </c>
      <c r="AA286" s="4">
        <f>=ROUNDDOWN(16.6,0)</f>
      </c>
      <c r="AB286" s="5">
        <v>5</v>
      </c>
      <c r="AC286" s="2" t="s">
        <v>99</v>
      </c>
      <c r="AD286" s="4"/>
      <c r="AE286" s="4"/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>
        <v>7</v>
      </c>
      <c r="AQ286" s="8">
        <v>1686.79</v>
      </c>
      <c r="AR286" s="4"/>
      <c r="AS286" s="8"/>
      <c r="AT286" s="7"/>
      <c r="AU286" s="7"/>
      <c r="AV286" s="4">
        <v>7</v>
      </c>
      <c r="AW286" s="8">
        <v>1686.79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0.0972</v>
      </c>
      <c r="BJ286" s="4">
        <v>33</v>
      </c>
      <c r="BK286" s="8">
        <v>7165.92</v>
      </c>
      <c r="BL286" s="2" t="s">
        <v>1689</v>
      </c>
      <c r="BM286" s="7">
        <v>0.2121</v>
      </c>
      <c r="BN286" s="7">
        <v>0.2354</v>
      </c>
      <c r="BO286" s="4">
        <v>7</v>
      </c>
      <c r="BP286" s="8">
        <v>1686.79</v>
      </c>
      <c r="BQ286" s="4"/>
      <c r="BR286" s="8"/>
      <c r="BS286" s="7"/>
      <c r="BT286" s="7"/>
      <c r="BU286" s="2" t="s">
        <v>107</v>
      </c>
      <c r="BV286" s="2" t="s">
        <v>96</v>
      </c>
      <c r="BW286" s="2" t="s">
        <v>792</v>
      </c>
      <c r="BX286" s="2" t="s">
        <v>1068</v>
      </c>
      <c r="BY286" s="2" t="s">
        <v>109</v>
      </c>
      <c r="BZ286" s="2" t="s">
        <v>109</v>
      </c>
      <c r="CA286" s="2" t="s">
        <v>99</v>
      </c>
    </row>
    <row r="287">
      <c r="A287" s="2" t="s">
        <v>1690</v>
      </c>
      <c r="B287" s="2" t="s">
        <v>765</v>
      </c>
      <c r="C287" s="2" t="s">
        <v>740</v>
      </c>
      <c r="D287" s="2" t="s">
        <v>1132</v>
      </c>
      <c r="E287" s="2" t="s">
        <v>1133</v>
      </c>
      <c r="F287" s="2" t="s">
        <v>1679</v>
      </c>
      <c r="G287" s="2" t="s">
        <v>1679</v>
      </c>
      <c r="H287" s="2" t="s">
        <v>1679</v>
      </c>
      <c r="I287" s="2" t="s">
        <v>1691</v>
      </c>
      <c r="J287" s="2" t="s">
        <v>227</v>
      </c>
      <c r="K287" s="2" t="s">
        <v>1692</v>
      </c>
      <c r="L287" s="3">
        <v>285</v>
      </c>
      <c r="M287" s="3">
        <v>299.25</v>
      </c>
      <c r="N287" s="3">
        <v>599</v>
      </c>
      <c r="O287" s="2" t="s">
        <v>96</v>
      </c>
      <c r="P287" s="2" t="s">
        <v>317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100</v>
      </c>
      <c r="V287" s="2" t="s">
        <v>157</v>
      </c>
      <c r="W287" s="2" t="s">
        <v>1693</v>
      </c>
      <c r="X287" s="2" t="s">
        <v>522</v>
      </c>
      <c r="Y287" s="2" t="s">
        <v>99</v>
      </c>
      <c r="Z287" s="4"/>
      <c r="AA287" s="4">
        <f>=ROUNDDOWN({0},0)</f>
      </c>
      <c r="AB287" s="5"/>
      <c r="AC287" s="2" t="s">
        <v>990</v>
      </c>
      <c r="AD287" s="4">
        <v>220</v>
      </c>
      <c r="AE287" s="4">
        <v>353</v>
      </c>
      <c r="AF287" s="6">
        <v>74</v>
      </c>
      <c r="AG287" s="6"/>
      <c r="AH287" s="7"/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/>
      <c r="BK287" s="8"/>
      <c r="BL287" s="2" t="s">
        <v>99</v>
      </c>
      <c r="BM287" s="7"/>
      <c r="BN287" s="7"/>
      <c r="BO287" s="4"/>
      <c r="BP287" s="8"/>
      <c r="BQ287" s="4"/>
      <c r="BR287" s="8"/>
      <c r="BS287" s="7"/>
      <c r="BT287" s="7"/>
      <c r="BU287" s="2" t="s">
        <v>819</v>
      </c>
      <c r="BV287" s="2" t="s">
        <v>96</v>
      </c>
      <c r="BW287" s="2" t="s">
        <v>99</v>
      </c>
      <c r="BX287" s="2" t="s">
        <v>99</v>
      </c>
      <c r="BY287" s="2" t="s">
        <v>109</v>
      </c>
      <c r="BZ287" s="2" t="s">
        <v>109</v>
      </c>
      <c r="CA287" s="2" t="s">
        <v>99</v>
      </c>
    </row>
    <row r="288">
      <c r="A288" s="2" t="s">
        <v>1694</v>
      </c>
      <c r="B288" s="2" t="s">
        <v>765</v>
      </c>
      <c r="C288" s="2" t="s">
        <v>740</v>
      </c>
      <c r="D288" s="2" t="s">
        <v>1132</v>
      </c>
      <c r="E288" s="2" t="s">
        <v>1133</v>
      </c>
      <c r="F288" s="2" t="s">
        <v>1679</v>
      </c>
      <c r="G288" s="2" t="s">
        <v>1679</v>
      </c>
      <c r="H288" s="2" t="s">
        <v>1679</v>
      </c>
      <c r="I288" s="2" t="s">
        <v>1680</v>
      </c>
      <c r="J288" s="2" t="s">
        <v>227</v>
      </c>
      <c r="K288" s="2" t="s">
        <v>1695</v>
      </c>
      <c r="L288" s="3">
        <v>285</v>
      </c>
      <c r="M288" s="3">
        <v>299.25</v>
      </c>
      <c r="N288" s="3">
        <v>599</v>
      </c>
      <c r="O288" s="2" t="s">
        <v>96</v>
      </c>
      <c r="P288" s="2" t="s">
        <v>131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100</v>
      </c>
      <c r="V288" s="2" t="s">
        <v>157</v>
      </c>
      <c r="W288" s="2" t="s">
        <v>362</v>
      </c>
      <c r="X288" s="2" t="s">
        <v>522</v>
      </c>
      <c r="Y288" s="2" t="s">
        <v>1696</v>
      </c>
      <c r="Z288" s="4">
        <v>11</v>
      </c>
      <c r="AA288" s="4">
        <f>=ROUNDDOWN(1.22222222222222,0)</f>
      </c>
      <c r="AB288" s="5">
        <v>9</v>
      </c>
      <c r="AC288" s="2" t="s">
        <v>7</v>
      </c>
      <c r="AD288" s="4">
        <v>10</v>
      </c>
      <c r="AE288" s="4">
        <v>210</v>
      </c>
      <c r="AF288" s="6">
        <v>74</v>
      </c>
      <c r="AG288" s="6">
        <v>60</v>
      </c>
      <c r="AH288" s="7">
        <v>0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/>
      <c r="BJ288" s="4">
        <v>9</v>
      </c>
      <c r="BK288" s="8">
        <v>2844.28</v>
      </c>
      <c r="BL288" s="2" t="s">
        <v>1087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96</v>
      </c>
      <c r="BW288" s="2" t="s">
        <v>792</v>
      </c>
      <c r="BX288" s="2" t="s">
        <v>1502</v>
      </c>
      <c r="BY288" s="2" t="s">
        <v>109</v>
      </c>
      <c r="BZ288" s="2" t="s">
        <v>109</v>
      </c>
      <c r="CA288" s="2" t="s">
        <v>99</v>
      </c>
    </row>
    <row r="289">
      <c r="A289" s="2" t="s">
        <v>1697</v>
      </c>
      <c r="B289" s="2" t="s">
        <v>765</v>
      </c>
      <c r="C289" s="2" t="s">
        <v>740</v>
      </c>
      <c r="D289" s="2" t="s">
        <v>1132</v>
      </c>
      <c r="E289" s="2" t="s">
        <v>1133</v>
      </c>
      <c r="F289" s="2" t="s">
        <v>1698</v>
      </c>
      <c r="G289" s="2" t="s">
        <v>1698</v>
      </c>
      <c r="H289" s="2" t="s">
        <v>1698</v>
      </c>
      <c r="I289" s="2" t="s">
        <v>1699</v>
      </c>
      <c r="J289" s="2" t="s">
        <v>227</v>
      </c>
      <c r="K289" s="2" t="s">
        <v>234</v>
      </c>
      <c r="L289" s="3">
        <v>255</v>
      </c>
      <c r="M289" s="3">
        <v>267.75</v>
      </c>
      <c r="N289" s="3">
        <v>549</v>
      </c>
      <c r="O289" s="2" t="s">
        <v>96</v>
      </c>
      <c r="P289" s="2" t="s">
        <v>131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100</v>
      </c>
      <c r="V289" s="2" t="s">
        <v>310</v>
      </c>
      <c r="W289" s="2" t="s">
        <v>362</v>
      </c>
      <c r="X289" s="2" t="s">
        <v>522</v>
      </c>
      <c r="Y289" s="2" t="s">
        <v>1700</v>
      </c>
      <c r="Z289" s="4">
        <v>87</v>
      </c>
      <c r="AA289" s="4">
        <f>=ROUNDDOWN(12.4285714285714,0)</f>
      </c>
      <c r="AB289" s="5">
        <v>7</v>
      </c>
      <c r="AC289" s="2" t="s">
        <v>99</v>
      </c>
      <c r="AD289" s="4"/>
      <c r="AE289" s="4"/>
      <c r="AF289" s="6">
        <v>74</v>
      </c>
      <c r="AG289" s="6"/>
      <c r="AH289" s="7">
        <v>0.5517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>
        <v>2</v>
      </c>
      <c r="AQ289" s="8">
        <v>578.34</v>
      </c>
      <c r="AR289" s="4"/>
      <c r="AS289" s="8"/>
      <c r="AT289" s="7"/>
      <c r="AU289" s="7"/>
      <c r="AV289" s="4">
        <v>2</v>
      </c>
      <c r="AW289" s="8">
        <v>578.34</v>
      </c>
      <c r="AX289" s="4"/>
      <c r="AY289" s="8"/>
      <c r="AZ289" s="7"/>
      <c r="BA289" s="7"/>
      <c r="BB289" s="7">
        <v>1</v>
      </c>
      <c r="BC289" s="4">
        <v>2</v>
      </c>
      <c r="BD289" s="8">
        <v>578.34</v>
      </c>
      <c r="BE289" s="4"/>
      <c r="BF289" s="8"/>
      <c r="BG289" s="7"/>
      <c r="BH289" s="7"/>
      <c r="BI289" s="7">
        <v>1</v>
      </c>
      <c r="BJ289" s="4">
        <v>15</v>
      </c>
      <c r="BK289" s="8">
        <v>4194.01</v>
      </c>
      <c r="BL289" s="2" t="s">
        <v>1701</v>
      </c>
      <c r="BM289" s="7">
        <v>0.1333</v>
      </c>
      <c r="BN289" s="7">
        <v>0.1379</v>
      </c>
      <c r="BO289" s="4">
        <v>2</v>
      </c>
      <c r="BP289" s="8">
        <v>578.34</v>
      </c>
      <c r="BQ289" s="4"/>
      <c r="BR289" s="8"/>
      <c r="BS289" s="7"/>
      <c r="BT289" s="7"/>
      <c r="BU289" s="2" t="s">
        <v>107</v>
      </c>
      <c r="BV289" s="2" t="s">
        <v>96</v>
      </c>
      <c r="BW289" s="2" t="s">
        <v>1353</v>
      </c>
      <c r="BX289" s="2" t="s">
        <v>1702</v>
      </c>
      <c r="BY289" s="2" t="s">
        <v>109</v>
      </c>
      <c r="BZ289" s="2" t="s">
        <v>109</v>
      </c>
      <c r="CA289" s="2" t="s">
        <v>99</v>
      </c>
    </row>
    <row r="290">
      <c r="A290" s="2" t="s">
        <v>1703</v>
      </c>
      <c r="B290" s="2" t="s">
        <v>765</v>
      </c>
      <c r="C290" s="2" t="s">
        <v>740</v>
      </c>
      <c r="D290" s="2" t="s">
        <v>1132</v>
      </c>
      <c r="E290" s="2" t="s">
        <v>1133</v>
      </c>
      <c r="F290" s="2" t="s">
        <v>1704</v>
      </c>
      <c r="G290" s="2" t="s">
        <v>1704</v>
      </c>
      <c r="H290" s="2" t="s">
        <v>1704</v>
      </c>
      <c r="I290" s="2" t="s">
        <v>1179</v>
      </c>
      <c r="J290" s="2" t="s">
        <v>227</v>
      </c>
      <c r="K290" s="2" t="s">
        <v>1099</v>
      </c>
      <c r="L290" s="3">
        <v>292.05</v>
      </c>
      <c r="M290" s="3">
        <v>306.65</v>
      </c>
      <c r="N290" s="3">
        <v>489.99</v>
      </c>
      <c r="O290" s="2" t="s">
        <v>96</v>
      </c>
      <c r="P290" s="2" t="s">
        <v>131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100</v>
      </c>
      <c r="V290" s="2" t="s">
        <v>157</v>
      </c>
      <c r="W290" s="2" t="s">
        <v>158</v>
      </c>
      <c r="X290" s="2" t="s">
        <v>257</v>
      </c>
      <c r="Y290" s="2" t="s">
        <v>1705</v>
      </c>
      <c r="Z290" s="4">
        <v>103</v>
      </c>
      <c r="AA290" s="4">
        <f>=ROUNDDOWN(20.6,0)</f>
      </c>
      <c r="AB290" s="5">
        <v>5</v>
      </c>
      <c r="AC290" s="2" t="s">
        <v>99</v>
      </c>
      <c r="AD290" s="4"/>
      <c r="AE290" s="4"/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/>
      <c r="BJ290" s="4">
        <v>26</v>
      </c>
      <c r="BK290" s="8">
        <v>7415.58</v>
      </c>
      <c r="BL290" s="2" t="s">
        <v>1706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96</v>
      </c>
      <c r="BW290" s="2" t="s">
        <v>260</v>
      </c>
      <c r="BX290" s="2" t="s">
        <v>1707</v>
      </c>
      <c r="BY290" s="2" t="s">
        <v>109</v>
      </c>
      <c r="BZ290" s="2" t="s">
        <v>109</v>
      </c>
      <c r="CA290" s="2" t="s">
        <v>99</v>
      </c>
    </row>
    <row r="291">
      <c r="A291" s="2" t="s">
        <v>1708</v>
      </c>
      <c r="B291" s="2" t="s">
        <v>765</v>
      </c>
      <c r="C291" s="2" t="s">
        <v>740</v>
      </c>
      <c r="D291" s="2" t="s">
        <v>1132</v>
      </c>
      <c r="E291" s="2" t="s">
        <v>1133</v>
      </c>
      <c r="F291" s="2" t="s">
        <v>1704</v>
      </c>
      <c r="G291" s="2" t="s">
        <v>1704</v>
      </c>
      <c r="H291" s="2" t="s">
        <v>1704</v>
      </c>
      <c r="I291" s="2" t="s">
        <v>1179</v>
      </c>
      <c r="J291" s="2" t="s">
        <v>1709</v>
      </c>
      <c r="K291" s="2" t="s">
        <v>805</v>
      </c>
      <c r="L291" s="3">
        <v>292.05</v>
      </c>
      <c r="M291" s="3">
        <v>306.65</v>
      </c>
      <c r="N291" s="3">
        <v>619</v>
      </c>
      <c r="O291" s="2" t="s">
        <v>96</v>
      </c>
      <c r="P291" s="2" t="s">
        <v>131</v>
      </c>
      <c r="Q291" s="2" t="s">
        <v>98</v>
      </c>
      <c r="R291" s="2" t="s">
        <v>99</v>
      </c>
      <c r="S291" s="2" t="s">
        <v>1710</v>
      </c>
      <c r="T291" s="2" t="s">
        <v>99</v>
      </c>
      <c r="U291" s="2" t="s">
        <v>100</v>
      </c>
      <c r="V291" s="2" t="s">
        <v>157</v>
      </c>
      <c r="W291" s="2" t="s">
        <v>103</v>
      </c>
      <c r="X291" s="2" t="s">
        <v>257</v>
      </c>
      <c r="Y291" s="2" t="s">
        <v>1711</v>
      </c>
      <c r="Z291" s="4">
        <v>1</v>
      </c>
      <c r="AA291" s="4">
        <f>=ROUNDDOWN(0.142857142857143,0)</f>
      </c>
      <c r="AB291" s="5">
        <v>7</v>
      </c>
      <c r="AC291" s="2" t="s">
        <v>1712</v>
      </c>
      <c r="AD291" s="4">
        <v>40</v>
      </c>
      <c r="AE291" s="4">
        <v>200</v>
      </c>
      <c r="AF291" s="6">
        <v>74</v>
      </c>
      <c r="AG291" s="6">
        <v>60</v>
      </c>
      <c r="AH291" s="7">
        <v>0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/>
      <c r="BJ291" s="4"/>
      <c r="BK291" s="8"/>
      <c r="BL291" s="2" t="s">
        <v>99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96</v>
      </c>
      <c r="BW291" s="2" t="s">
        <v>560</v>
      </c>
      <c r="BX291" s="2" t="s">
        <v>1713</v>
      </c>
      <c r="BY291" s="2" t="s">
        <v>109</v>
      </c>
      <c r="BZ291" s="2" t="s">
        <v>109</v>
      </c>
      <c r="CA291" s="2" t="s">
        <v>99</v>
      </c>
    </row>
    <row r="292">
      <c r="A292" s="2" t="s">
        <v>1714</v>
      </c>
      <c r="B292" s="2" t="s">
        <v>765</v>
      </c>
      <c r="C292" s="2" t="s">
        <v>740</v>
      </c>
      <c r="D292" s="2" t="s">
        <v>1132</v>
      </c>
      <c r="E292" s="2" t="s">
        <v>1133</v>
      </c>
      <c r="F292" s="2" t="s">
        <v>1715</v>
      </c>
      <c r="G292" s="2" t="s">
        <v>1715</v>
      </c>
      <c r="H292" s="2" t="s">
        <v>1715</v>
      </c>
      <c r="I292" s="2" t="s">
        <v>1716</v>
      </c>
      <c r="J292" s="2" t="s">
        <v>1709</v>
      </c>
      <c r="K292" s="2" t="s">
        <v>1717</v>
      </c>
      <c r="L292" s="3">
        <v>228</v>
      </c>
      <c r="M292" s="3">
        <v>239.4</v>
      </c>
      <c r="N292" s="3">
        <v>479</v>
      </c>
      <c r="O292" s="2" t="s">
        <v>443</v>
      </c>
      <c r="P292" s="2" t="s">
        <v>188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100</v>
      </c>
      <c r="V292" s="2" t="s">
        <v>310</v>
      </c>
      <c r="W292" s="2" t="s">
        <v>102</v>
      </c>
      <c r="X292" s="2" t="s">
        <v>257</v>
      </c>
      <c r="Y292" s="2" t="s">
        <v>1718</v>
      </c>
      <c r="Z292" s="4">
        <v>50</v>
      </c>
      <c r="AA292" s="4">
        <f>=ROUNDDOWN(20,0)</f>
      </c>
      <c r="AB292" s="5">
        <v>2.5</v>
      </c>
      <c r="AC292" s="2" t="s">
        <v>99</v>
      </c>
      <c r="AD292" s="4"/>
      <c r="AE292" s="4"/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2</v>
      </c>
      <c r="BK292" s="8">
        <v>96.52</v>
      </c>
      <c r="BL292" s="2" t="s">
        <v>1289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96</v>
      </c>
      <c r="BW292" s="2" t="s">
        <v>1719</v>
      </c>
      <c r="BX292" s="2" t="s">
        <v>1720</v>
      </c>
      <c r="BY292" s="2" t="s">
        <v>109</v>
      </c>
      <c r="BZ292" s="2" t="s">
        <v>109</v>
      </c>
      <c r="CA292" s="2" t="s">
        <v>99</v>
      </c>
    </row>
    <row r="293">
      <c r="A293" s="2" t="s">
        <v>1721</v>
      </c>
      <c r="B293" s="2" t="s">
        <v>765</v>
      </c>
      <c r="C293" s="2" t="s">
        <v>740</v>
      </c>
      <c r="D293" s="2" t="s">
        <v>1132</v>
      </c>
      <c r="E293" s="2" t="s">
        <v>644</v>
      </c>
      <c r="F293" s="2" t="s">
        <v>1722</v>
      </c>
      <c r="G293" s="2" t="s">
        <v>1722</v>
      </c>
      <c r="H293" s="2" t="s">
        <v>1722</v>
      </c>
      <c r="I293" s="2" t="s">
        <v>1723</v>
      </c>
      <c r="J293" s="2" t="s">
        <v>227</v>
      </c>
      <c r="K293" s="2" t="s">
        <v>784</v>
      </c>
      <c r="L293" s="3">
        <v>260</v>
      </c>
      <c r="M293" s="3">
        <v>273</v>
      </c>
      <c r="N293" s="3">
        <v>549</v>
      </c>
      <c r="O293" s="2" t="s">
        <v>96</v>
      </c>
      <c r="P293" s="2" t="s">
        <v>317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99</v>
      </c>
      <c r="V293" s="2" t="s">
        <v>644</v>
      </c>
      <c r="W293" s="2" t="s">
        <v>330</v>
      </c>
      <c r="X293" s="2" t="s">
        <v>522</v>
      </c>
      <c r="Y293" s="2" t="s">
        <v>954</v>
      </c>
      <c r="Z293" s="4">
        <v>152</v>
      </c>
      <c r="AA293" s="4">
        <f>=ROUNDDOWN(80,0)</f>
      </c>
      <c r="AB293" s="5">
        <v>1.9</v>
      </c>
      <c r="AC293" s="2" t="s">
        <v>904</v>
      </c>
      <c r="AD293" s="4">
        <v>4</v>
      </c>
      <c r="AE293" s="4">
        <v>4</v>
      </c>
      <c r="AF293" s="6">
        <v>74</v>
      </c>
      <c r="AG293" s="6"/>
      <c r="AH293" s="7">
        <v>0.6207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/>
      <c r="BK293" s="8"/>
      <c r="BL293" s="2" t="s">
        <v>99</v>
      </c>
      <c r="BM293" s="7"/>
      <c r="BN293" s="7"/>
      <c r="BO293" s="4"/>
      <c r="BP293" s="8"/>
      <c r="BQ293" s="4"/>
      <c r="BR293" s="8"/>
      <c r="BS293" s="7"/>
      <c r="BT293" s="7"/>
      <c r="BU293" s="2" t="s">
        <v>819</v>
      </c>
      <c r="BV293" s="2" t="s">
        <v>96</v>
      </c>
      <c r="BW293" s="2" t="s">
        <v>99</v>
      </c>
      <c r="BX293" s="2" t="s">
        <v>99</v>
      </c>
      <c r="BY293" s="2" t="s">
        <v>109</v>
      </c>
      <c r="BZ293" s="2" t="s">
        <v>109</v>
      </c>
      <c r="CA293" s="2" t="s">
        <v>99</v>
      </c>
    </row>
    <row r="294">
      <c r="A294" s="2" t="s">
        <v>1724</v>
      </c>
      <c r="B294" s="2" t="s">
        <v>765</v>
      </c>
      <c r="C294" s="2" t="s">
        <v>740</v>
      </c>
      <c r="D294" s="2" t="s">
        <v>1504</v>
      </c>
      <c r="E294" s="2" t="s">
        <v>1553</v>
      </c>
      <c r="F294" s="2" t="s">
        <v>1725</v>
      </c>
      <c r="G294" s="2" t="s">
        <v>1725</v>
      </c>
      <c r="H294" s="2" t="s">
        <v>1725</v>
      </c>
      <c r="I294" s="2" t="s">
        <v>1726</v>
      </c>
      <c r="J294" s="2" t="s">
        <v>1727</v>
      </c>
      <c r="K294" s="2" t="s">
        <v>1728</v>
      </c>
      <c r="L294" s="3">
        <v>215</v>
      </c>
      <c r="M294" s="3">
        <v>225.75</v>
      </c>
      <c r="N294" s="3">
        <v>449</v>
      </c>
      <c r="O294" s="2" t="s">
        <v>96</v>
      </c>
      <c r="P294" s="2" t="s">
        <v>131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100</v>
      </c>
      <c r="V294" s="2" t="s">
        <v>310</v>
      </c>
      <c r="W294" s="2" t="s">
        <v>330</v>
      </c>
      <c r="X294" s="2" t="s">
        <v>522</v>
      </c>
      <c r="Y294" s="2" t="s">
        <v>1729</v>
      </c>
      <c r="Z294" s="4">
        <v>105</v>
      </c>
      <c r="AA294" s="4">
        <f>=ROUNDDOWN(26.25,0)</f>
      </c>
      <c r="AB294" s="5">
        <v>4</v>
      </c>
      <c r="AC294" s="2" t="s">
        <v>926</v>
      </c>
      <c r="AD294" s="4">
        <v>20</v>
      </c>
      <c r="AE294" s="4">
        <v>50</v>
      </c>
      <c r="AF294" s="6">
        <v>74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>
        <v>3</v>
      </c>
      <c r="AQ294" s="8">
        <v>731.43</v>
      </c>
      <c r="AR294" s="4"/>
      <c r="AS294" s="8"/>
      <c r="AT294" s="7"/>
      <c r="AU294" s="7"/>
      <c r="AV294" s="4">
        <v>13</v>
      </c>
      <c r="AW294" s="8">
        <v>2886.03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0.2534</v>
      </c>
      <c r="BC294" s="4">
        <v>13</v>
      </c>
      <c r="BD294" s="8">
        <v>2886.03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>
        <v>1</v>
      </c>
      <c r="BJ294" s="4">
        <v>17</v>
      </c>
      <c r="BK294" s="8">
        <v>3699.57</v>
      </c>
      <c r="BL294" s="2" t="s">
        <v>1441</v>
      </c>
      <c r="BM294" s="7">
        <v>0.1765</v>
      </c>
      <c r="BN294" s="7">
        <v>0.1977</v>
      </c>
      <c r="BO294" s="4">
        <v>3</v>
      </c>
      <c r="BP294" s="8">
        <v>731.43</v>
      </c>
      <c r="BQ294" s="4"/>
      <c r="BR294" s="8"/>
      <c r="BS294" s="7"/>
      <c r="BT294" s="7"/>
      <c r="BU294" s="2" t="s">
        <v>107</v>
      </c>
      <c r="BV294" s="2" t="s">
        <v>96</v>
      </c>
      <c r="BW294" s="2" t="s">
        <v>792</v>
      </c>
      <c r="BX294" s="2" t="s">
        <v>1730</v>
      </c>
      <c r="BY294" s="2" t="s">
        <v>109</v>
      </c>
      <c r="BZ294" s="2" t="s">
        <v>109</v>
      </c>
      <c r="CA294" s="2" t="s">
        <v>99</v>
      </c>
    </row>
    <row r="295">
      <c r="A295" s="2" t="s">
        <v>1731</v>
      </c>
      <c r="B295" s="2" t="s">
        <v>765</v>
      </c>
      <c r="C295" s="2" t="s">
        <v>740</v>
      </c>
      <c r="D295" s="2" t="s">
        <v>1504</v>
      </c>
      <c r="E295" s="2" t="s">
        <v>1553</v>
      </c>
      <c r="F295" s="2" t="s">
        <v>1725</v>
      </c>
      <c r="G295" s="2" t="s">
        <v>1725</v>
      </c>
      <c r="H295" s="2" t="s">
        <v>1725</v>
      </c>
      <c r="I295" s="2" t="s">
        <v>1732</v>
      </c>
      <c r="J295" s="2" t="s">
        <v>1733</v>
      </c>
      <c r="K295" s="2" t="s">
        <v>1728</v>
      </c>
      <c r="L295" s="3">
        <v>190</v>
      </c>
      <c r="M295" s="3">
        <v>199.5</v>
      </c>
      <c r="N295" s="3">
        <v>399</v>
      </c>
      <c r="O295" s="2" t="s">
        <v>96</v>
      </c>
      <c r="P295" s="2" t="s">
        <v>135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100</v>
      </c>
      <c r="V295" s="2" t="s">
        <v>310</v>
      </c>
      <c r="W295" s="2" t="s">
        <v>330</v>
      </c>
      <c r="X295" s="2" t="s">
        <v>522</v>
      </c>
      <c r="Y295" s="2" t="s">
        <v>1734</v>
      </c>
      <c r="Z295" s="4">
        <v>188</v>
      </c>
      <c r="AA295" s="4">
        <f>=ROUNDDOWN(23.7974683544304,0)</f>
      </c>
      <c r="AB295" s="5">
        <v>7.9</v>
      </c>
      <c r="AC295" s="2" t="s">
        <v>1418</v>
      </c>
      <c r="AD295" s="4">
        <v>100</v>
      </c>
      <c r="AE295" s="4">
        <v>100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>
        <v>10</v>
      </c>
      <c r="AQ295" s="8">
        <v>2154.6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0.7466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35</v>
      </c>
      <c r="BK295" s="8">
        <v>6342.46</v>
      </c>
      <c r="BL295" s="2" t="s">
        <v>1735</v>
      </c>
      <c r="BM295" s="7">
        <v>0.2857</v>
      </c>
      <c r="BN295" s="7">
        <v>0.3397</v>
      </c>
      <c r="BO295" s="4">
        <v>10</v>
      </c>
      <c r="BP295" s="8">
        <v>2154.6</v>
      </c>
      <c r="BQ295" s="4"/>
      <c r="BR295" s="8"/>
      <c r="BS295" s="7"/>
      <c r="BT295" s="7"/>
      <c r="BU295" s="2" t="s">
        <v>107</v>
      </c>
      <c r="BV295" s="2" t="s">
        <v>96</v>
      </c>
      <c r="BW295" s="2" t="s">
        <v>1736</v>
      </c>
      <c r="BX295" s="2" t="s">
        <v>1737</v>
      </c>
      <c r="BY295" s="2" t="s">
        <v>109</v>
      </c>
      <c r="BZ295" s="2" t="s">
        <v>109</v>
      </c>
      <c r="CA295" s="2" t="s">
        <v>99</v>
      </c>
    </row>
    <row r="296">
      <c r="A296" s="2" t="s">
        <v>1738</v>
      </c>
      <c r="B296" s="2" t="s">
        <v>765</v>
      </c>
      <c r="C296" s="2" t="s">
        <v>740</v>
      </c>
      <c r="D296" s="2" t="s">
        <v>1504</v>
      </c>
      <c r="E296" s="2" t="s">
        <v>1553</v>
      </c>
      <c r="F296" s="2" t="s">
        <v>1739</v>
      </c>
      <c r="G296" s="2" t="s">
        <v>1739</v>
      </c>
      <c r="H296" s="2" t="s">
        <v>1739</v>
      </c>
      <c r="I296" s="2" t="s">
        <v>1740</v>
      </c>
      <c r="J296" s="2" t="s">
        <v>227</v>
      </c>
      <c r="K296" s="2" t="s">
        <v>643</v>
      </c>
      <c r="L296" s="3">
        <v>168</v>
      </c>
      <c r="M296" s="3">
        <v>176.4</v>
      </c>
      <c r="N296" s="3">
        <v>359</v>
      </c>
      <c r="O296" s="2" t="s">
        <v>96</v>
      </c>
      <c r="P296" s="2" t="s">
        <v>131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100</v>
      </c>
      <c r="V296" s="2" t="s">
        <v>310</v>
      </c>
      <c r="W296" s="2" t="s">
        <v>330</v>
      </c>
      <c r="X296" s="2" t="s">
        <v>754</v>
      </c>
      <c r="Y296" s="2" t="s">
        <v>1741</v>
      </c>
      <c r="Z296" s="4"/>
      <c r="AA296" s="4">
        <f>=ROUNDDOWN({0},0)</f>
      </c>
      <c r="AB296" s="5">
        <v>13</v>
      </c>
      <c r="AC296" s="2" t="s">
        <v>890</v>
      </c>
      <c r="AD296" s="4">
        <v>80</v>
      </c>
      <c r="AE296" s="4">
        <v>180</v>
      </c>
      <c r="AF296" s="6">
        <v>83</v>
      </c>
      <c r="AG296" s="6"/>
      <c r="AH296" s="7">
        <v>0.2759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24</v>
      </c>
      <c r="BK296" s="8">
        <v>4355.99</v>
      </c>
      <c r="BL296" s="2" t="s">
        <v>1742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96</v>
      </c>
      <c r="BW296" s="2" t="s">
        <v>792</v>
      </c>
      <c r="BX296" s="2" t="s">
        <v>1743</v>
      </c>
      <c r="BY296" s="2" t="s">
        <v>109</v>
      </c>
      <c r="BZ296" s="2" t="s">
        <v>109</v>
      </c>
      <c r="CA296" s="2" t="s">
        <v>99</v>
      </c>
    </row>
    <row r="297">
      <c r="A297" s="2" t="s">
        <v>1744</v>
      </c>
      <c r="B297" s="2" t="s">
        <v>765</v>
      </c>
      <c r="C297" s="2" t="s">
        <v>740</v>
      </c>
      <c r="D297" s="2" t="s">
        <v>1504</v>
      </c>
      <c r="E297" s="2" t="s">
        <v>1553</v>
      </c>
      <c r="F297" s="2" t="s">
        <v>1745</v>
      </c>
      <c r="G297" s="2" t="s">
        <v>1745</v>
      </c>
      <c r="H297" s="2" t="s">
        <v>1745</v>
      </c>
      <c r="I297" s="2" t="s">
        <v>1746</v>
      </c>
      <c r="J297" s="2" t="s">
        <v>227</v>
      </c>
      <c r="K297" s="2" t="s">
        <v>1747</v>
      </c>
      <c r="L297" s="3">
        <v>250</v>
      </c>
      <c r="M297" s="3">
        <v>262.5</v>
      </c>
      <c r="N297" s="3">
        <v>529</v>
      </c>
      <c r="O297" s="2" t="s">
        <v>96</v>
      </c>
      <c r="P297" s="2" t="s">
        <v>131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100</v>
      </c>
      <c r="V297" s="2" t="s">
        <v>310</v>
      </c>
      <c r="W297" s="2" t="s">
        <v>158</v>
      </c>
      <c r="X297" s="2" t="s">
        <v>754</v>
      </c>
      <c r="Y297" s="2" t="s">
        <v>1748</v>
      </c>
      <c r="Z297" s="4">
        <v>71</v>
      </c>
      <c r="AA297" s="4">
        <f>=ROUNDDOWN(14.2,0)</f>
      </c>
      <c r="AB297" s="5">
        <v>5</v>
      </c>
      <c r="AC297" s="2" t="s">
        <v>990</v>
      </c>
      <c r="AD297" s="4">
        <v>84</v>
      </c>
      <c r="AE297" s="4">
        <v>84</v>
      </c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33</v>
      </c>
      <c r="BK297" s="8">
        <v>8209.75</v>
      </c>
      <c r="BL297" s="2" t="s">
        <v>1749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96</v>
      </c>
      <c r="BW297" s="2" t="s">
        <v>1353</v>
      </c>
      <c r="BX297" s="2" t="s">
        <v>1750</v>
      </c>
      <c r="BY297" s="2" t="s">
        <v>109</v>
      </c>
      <c r="BZ297" s="2" t="s">
        <v>109</v>
      </c>
      <c r="CA297" s="2" t="s">
        <v>99</v>
      </c>
    </row>
    <row r="298">
      <c r="A298" s="2" t="s">
        <v>1751</v>
      </c>
      <c r="B298" s="2" t="s">
        <v>765</v>
      </c>
      <c r="C298" s="2" t="s">
        <v>740</v>
      </c>
      <c r="D298" s="2" t="s">
        <v>1504</v>
      </c>
      <c r="E298" s="2" t="s">
        <v>1505</v>
      </c>
      <c r="F298" s="2" t="s">
        <v>1752</v>
      </c>
      <c r="G298" s="2" t="s">
        <v>1752</v>
      </c>
      <c r="H298" s="2" t="s">
        <v>1752</v>
      </c>
      <c r="I298" s="2" t="s">
        <v>1753</v>
      </c>
      <c r="J298" s="2" t="s">
        <v>227</v>
      </c>
      <c r="K298" s="2" t="s">
        <v>1754</v>
      </c>
      <c r="L298" s="3">
        <v>185</v>
      </c>
      <c r="M298" s="3">
        <v>194.25</v>
      </c>
      <c r="N298" s="3">
        <v>399</v>
      </c>
      <c r="O298" s="2" t="s">
        <v>96</v>
      </c>
      <c r="P298" s="2" t="s">
        <v>131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100</v>
      </c>
      <c r="V298" s="2" t="s">
        <v>310</v>
      </c>
      <c r="W298" s="2" t="s">
        <v>363</v>
      </c>
      <c r="X298" s="2" t="s">
        <v>522</v>
      </c>
      <c r="Y298" s="2" t="s">
        <v>1755</v>
      </c>
      <c r="Z298" s="4">
        <v>72</v>
      </c>
      <c r="AA298" s="4">
        <f>=ROUNDDOWN(14.1176470588235,0)</f>
      </c>
      <c r="AB298" s="5">
        <v>5.1</v>
      </c>
      <c r="AC298" s="2" t="s">
        <v>99</v>
      </c>
      <c r="AD298" s="4"/>
      <c r="AE298" s="4"/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>
        <v>3</v>
      </c>
      <c r="AQ298" s="8">
        <v>629.37</v>
      </c>
      <c r="AR298" s="4"/>
      <c r="AS298" s="8"/>
      <c r="AT298" s="7"/>
      <c r="AU298" s="7"/>
      <c r="AV298" s="4">
        <v>3</v>
      </c>
      <c r="AW298" s="8">
        <v>629.37</v>
      </c>
      <c r="AX298" s="4"/>
      <c r="AY298" s="8"/>
      <c r="AZ298" s="7"/>
      <c r="BA298" s="7"/>
      <c r="BB298" s="7">
        <v>1</v>
      </c>
      <c r="BC298" s="4">
        <v>3</v>
      </c>
      <c r="BD298" s="8">
        <v>629.37</v>
      </c>
      <c r="BE298" s="4"/>
      <c r="BF298" s="8"/>
      <c r="BG298" s="7"/>
      <c r="BH298" s="7"/>
      <c r="BI298" s="7">
        <v>1</v>
      </c>
      <c r="BJ298" s="4">
        <v>21</v>
      </c>
      <c r="BK298" s="8">
        <v>4245.34</v>
      </c>
      <c r="BL298" s="2" t="s">
        <v>1756</v>
      </c>
      <c r="BM298" s="7">
        <v>0.1429</v>
      </c>
      <c r="BN298" s="7">
        <v>0.1482</v>
      </c>
      <c r="BO298" s="4">
        <v>3</v>
      </c>
      <c r="BP298" s="8">
        <v>629.37</v>
      </c>
      <c r="BQ298" s="4"/>
      <c r="BR298" s="8"/>
      <c r="BS298" s="7"/>
      <c r="BT298" s="7"/>
      <c r="BU298" s="2" t="s">
        <v>107</v>
      </c>
      <c r="BV298" s="2" t="s">
        <v>96</v>
      </c>
      <c r="BW298" s="2" t="s">
        <v>792</v>
      </c>
      <c r="BX298" s="2" t="s">
        <v>1757</v>
      </c>
      <c r="BY298" s="2" t="s">
        <v>109</v>
      </c>
      <c r="BZ298" s="2" t="s">
        <v>109</v>
      </c>
      <c r="CA298" s="2" t="s">
        <v>99</v>
      </c>
    </row>
    <row r="299">
      <c r="A299" s="2" t="s">
        <v>1758</v>
      </c>
      <c r="B299" s="2" t="s">
        <v>765</v>
      </c>
      <c r="C299" s="2" t="s">
        <v>740</v>
      </c>
      <c r="D299" s="2" t="s">
        <v>1504</v>
      </c>
      <c r="E299" s="2" t="s">
        <v>1505</v>
      </c>
      <c r="F299" s="2" t="s">
        <v>1739</v>
      </c>
      <c r="G299" s="2" t="s">
        <v>1739</v>
      </c>
      <c r="H299" s="2" t="s">
        <v>1739</v>
      </c>
      <c r="I299" s="2" t="s">
        <v>1759</v>
      </c>
      <c r="J299" s="2" t="s">
        <v>227</v>
      </c>
      <c r="K299" s="2" t="s">
        <v>643</v>
      </c>
      <c r="L299" s="3">
        <v>168</v>
      </c>
      <c r="M299" s="3">
        <v>176.4</v>
      </c>
      <c r="N299" s="3">
        <v>359</v>
      </c>
      <c r="O299" s="2" t="s">
        <v>96</v>
      </c>
      <c r="P299" s="2" t="s">
        <v>131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100</v>
      </c>
      <c r="V299" s="2" t="s">
        <v>310</v>
      </c>
      <c r="W299" s="2" t="s">
        <v>330</v>
      </c>
      <c r="X299" s="2" t="s">
        <v>754</v>
      </c>
      <c r="Y299" s="2" t="s">
        <v>1741</v>
      </c>
      <c r="Z299" s="4">
        <v>76</v>
      </c>
      <c r="AA299" s="4">
        <f>=ROUNDDOWN(9.5,0)</f>
      </c>
      <c r="AB299" s="5">
        <v>8</v>
      </c>
      <c r="AC299" s="2" t="s">
        <v>890</v>
      </c>
      <c r="AD299" s="4">
        <v>80</v>
      </c>
      <c r="AE299" s="4">
        <v>180</v>
      </c>
      <c r="AF299" s="6">
        <v>83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>
        <v>3</v>
      </c>
      <c r="AQ299" s="8">
        <v>571.53</v>
      </c>
      <c r="AR299" s="4"/>
      <c r="AS299" s="8"/>
      <c r="AT299" s="7"/>
      <c r="AU299" s="7"/>
      <c r="AV299" s="4">
        <v>3</v>
      </c>
      <c r="AW299" s="8">
        <v>571.53</v>
      </c>
      <c r="AX299" s="4"/>
      <c r="AY299" s="8"/>
      <c r="AZ299" s="7"/>
      <c r="BA299" s="7"/>
      <c r="BB299" s="7">
        <v>1</v>
      </c>
      <c r="BC299" s="4">
        <v>3</v>
      </c>
      <c r="BD299" s="8">
        <v>571.53</v>
      </c>
      <c r="BE299" s="4"/>
      <c r="BF299" s="8"/>
      <c r="BG299" s="7"/>
      <c r="BH299" s="7"/>
      <c r="BI299" s="7">
        <v>1</v>
      </c>
      <c r="BJ299" s="4">
        <v>27</v>
      </c>
      <c r="BK299" s="8">
        <v>4663.29</v>
      </c>
      <c r="BL299" s="2" t="s">
        <v>1760</v>
      </c>
      <c r="BM299" s="7">
        <v>0.1111</v>
      </c>
      <c r="BN299" s="7">
        <v>0.1226</v>
      </c>
      <c r="BO299" s="4">
        <v>3</v>
      </c>
      <c r="BP299" s="8">
        <v>571.53</v>
      </c>
      <c r="BQ299" s="4"/>
      <c r="BR299" s="8"/>
      <c r="BS299" s="7"/>
      <c r="BT299" s="7"/>
      <c r="BU299" s="2" t="s">
        <v>107</v>
      </c>
      <c r="BV299" s="2" t="s">
        <v>96</v>
      </c>
      <c r="BW299" s="2" t="s">
        <v>792</v>
      </c>
      <c r="BX299" s="2" t="s">
        <v>1761</v>
      </c>
      <c r="BY299" s="2" t="s">
        <v>109</v>
      </c>
      <c r="BZ299" s="2" t="s">
        <v>109</v>
      </c>
      <c r="CA299" s="2" t="s">
        <v>99</v>
      </c>
    </row>
    <row r="300">
      <c r="A300" s="2" t="s">
        <v>1762</v>
      </c>
      <c r="B300" s="2" t="s">
        <v>765</v>
      </c>
      <c r="C300" s="2" t="s">
        <v>740</v>
      </c>
      <c r="D300" s="2" t="s">
        <v>1504</v>
      </c>
      <c r="E300" s="2" t="s">
        <v>1505</v>
      </c>
      <c r="F300" s="2" t="s">
        <v>1763</v>
      </c>
      <c r="G300" s="2" t="s">
        <v>1763</v>
      </c>
      <c r="H300" s="2" t="s">
        <v>1763</v>
      </c>
      <c r="I300" s="2" t="s">
        <v>1764</v>
      </c>
      <c r="J300" s="2" t="s">
        <v>227</v>
      </c>
      <c r="K300" s="2" t="s">
        <v>643</v>
      </c>
      <c r="L300" s="3">
        <v>165</v>
      </c>
      <c r="M300" s="3">
        <v>173.25</v>
      </c>
      <c r="N300" s="3">
        <v>349</v>
      </c>
      <c r="O300" s="2" t="s">
        <v>96</v>
      </c>
      <c r="P300" s="2" t="s">
        <v>131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100</v>
      </c>
      <c r="V300" s="2" t="s">
        <v>310</v>
      </c>
      <c r="W300" s="2" t="s">
        <v>102</v>
      </c>
      <c r="X300" s="2" t="s">
        <v>257</v>
      </c>
      <c r="Y300" s="2" t="s">
        <v>1765</v>
      </c>
      <c r="Z300" s="4">
        <v>189</v>
      </c>
      <c r="AA300" s="4">
        <f>=ROUNDDOWN(23.625,0)</f>
      </c>
      <c r="AB300" s="5">
        <v>8</v>
      </c>
      <c r="AC300" s="2" t="s">
        <v>1101</v>
      </c>
      <c r="AD300" s="4">
        <v>100</v>
      </c>
      <c r="AE300" s="4">
        <v>100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>
        <v>2</v>
      </c>
      <c r="AQ300" s="8">
        <v>374.22</v>
      </c>
      <c r="AR300" s="4"/>
      <c r="AS300" s="8"/>
      <c r="AT300" s="7"/>
      <c r="AU300" s="7"/>
      <c r="AV300" s="4">
        <v>2</v>
      </c>
      <c r="AW300" s="8">
        <v>374.22</v>
      </c>
      <c r="AX300" s="4"/>
      <c r="AY300" s="8"/>
      <c r="AZ300" s="7"/>
      <c r="BA300" s="7"/>
      <c r="BB300" s="7">
        <v>1</v>
      </c>
      <c r="BC300" s="4">
        <v>2</v>
      </c>
      <c r="BD300" s="8">
        <v>374.22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1</v>
      </c>
      <c r="BJ300" s="4">
        <v>46</v>
      </c>
      <c r="BK300" s="8">
        <v>6444.83</v>
      </c>
      <c r="BL300" s="2" t="s">
        <v>1766</v>
      </c>
      <c r="BM300" s="7">
        <v>0.0435</v>
      </c>
      <c r="BN300" s="7">
        <v>0.0581</v>
      </c>
      <c r="BO300" s="4">
        <v>2</v>
      </c>
      <c r="BP300" s="8">
        <v>374.22</v>
      </c>
      <c r="BQ300" s="4"/>
      <c r="BR300" s="8"/>
      <c r="BS300" s="7"/>
      <c r="BT300" s="7"/>
      <c r="BU300" s="2" t="s">
        <v>645</v>
      </c>
      <c r="BV300" s="2" t="s">
        <v>96</v>
      </c>
      <c r="BW300" s="2" t="s">
        <v>99</v>
      </c>
      <c r="BX300" s="2" t="s">
        <v>99</v>
      </c>
      <c r="BY300" s="2" t="s">
        <v>109</v>
      </c>
      <c r="BZ300" s="2" t="s">
        <v>109</v>
      </c>
      <c r="CA300" s="2" t="s">
        <v>99</v>
      </c>
    </row>
    <row r="301">
      <c r="A301" s="2" t="s">
        <v>1767</v>
      </c>
      <c r="B301" s="2" t="s">
        <v>765</v>
      </c>
      <c r="C301" s="2" t="s">
        <v>740</v>
      </c>
      <c r="D301" s="2" t="s">
        <v>1504</v>
      </c>
      <c r="E301" s="2" t="s">
        <v>1505</v>
      </c>
      <c r="F301" s="2" t="s">
        <v>1763</v>
      </c>
      <c r="G301" s="2" t="s">
        <v>1763</v>
      </c>
      <c r="H301" s="2" t="s">
        <v>1763</v>
      </c>
      <c r="I301" s="2" t="s">
        <v>1764</v>
      </c>
      <c r="J301" s="2" t="s">
        <v>227</v>
      </c>
      <c r="K301" s="2" t="s">
        <v>1754</v>
      </c>
      <c r="L301" s="3">
        <v>165</v>
      </c>
      <c r="M301" s="3">
        <v>173.25</v>
      </c>
      <c r="N301" s="3">
        <v>349</v>
      </c>
      <c r="O301" s="2" t="s">
        <v>96</v>
      </c>
      <c r="P301" s="2" t="s">
        <v>317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100</v>
      </c>
      <c r="V301" s="2" t="s">
        <v>310</v>
      </c>
      <c r="W301" s="2" t="s">
        <v>102</v>
      </c>
      <c r="X301" s="2" t="s">
        <v>257</v>
      </c>
      <c r="Y301" s="2" t="s">
        <v>978</v>
      </c>
      <c r="Z301" s="4">
        <v>442</v>
      </c>
      <c r="AA301" s="4">
        <f>=ROUNDDOWN(221,0)</f>
      </c>
      <c r="AB301" s="5">
        <v>2</v>
      </c>
      <c r="AC301" s="2" t="s">
        <v>99</v>
      </c>
      <c r="AD301" s="4"/>
      <c r="AE301" s="4"/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/>
      <c r="BJ301" s="4">
        <v>18</v>
      </c>
      <c r="BK301" s="8">
        <v>2796.97</v>
      </c>
      <c r="BL301" s="2" t="s">
        <v>1768</v>
      </c>
      <c r="BM301" s="7"/>
      <c r="BN301" s="7"/>
      <c r="BO301" s="4"/>
      <c r="BP301" s="8"/>
      <c r="BQ301" s="4"/>
      <c r="BR301" s="8"/>
      <c r="BS301" s="7"/>
      <c r="BT301" s="7"/>
      <c r="BU301" s="2" t="s">
        <v>645</v>
      </c>
      <c r="BV301" s="2" t="s">
        <v>96</v>
      </c>
      <c r="BW301" s="2" t="s">
        <v>99</v>
      </c>
      <c r="BX301" s="2" t="s">
        <v>99</v>
      </c>
      <c r="BY301" s="2" t="s">
        <v>109</v>
      </c>
      <c r="BZ301" s="2" t="s">
        <v>109</v>
      </c>
      <c r="CA301" s="2" t="s">
        <v>99</v>
      </c>
    </row>
    <row r="302">
      <c r="A302" s="2" t="s">
        <v>1769</v>
      </c>
      <c r="B302" s="2" t="s">
        <v>765</v>
      </c>
      <c r="C302" s="2" t="s">
        <v>740</v>
      </c>
      <c r="D302" s="2" t="s">
        <v>1504</v>
      </c>
      <c r="E302" s="2" t="s">
        <v>1505</v>
      </c>
      <c r="F302" s="2" t="s">
        <v>1770</v>
      </c>
      <c r="G302" s="2" t="s">
        <v>1770</v>
      </c>
      <c r="H302" s="2" t="s">
        <v>1770</v>
      </c>
      <c r="I302" s="2" t="s">
        <v>1771</v>
      </c>
      <c r="J302" s="2" t="s">
        <v>227</v>
      </c>
      <c r="K302" s="2" t="s">
        <v>643</v>
      </c>
      <c r="L302" s="3">
        <v>212</v>
      </c>
      <c r="M302" s="3">
        <v>222.6</v>
      </c>
      <c r="N302" s="3">
        <v>449</v>
      </c>
      <c r="O302" s="2" t="s">
        <v>96</v>
      </c>
      <c r="P302" s="2" t="s">
        <v>135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100</v>
      </c>
      <c r="V302" s="2" t="s">
        <v>310</v>
      </c>
      <c r="W302" s="2" t="s">
        <v>330</v>
      </c>
      <c r="X302" s="2" t="s">
        <v>754</v>
      </c>
      <c r="Y302" s="2" t="s">
        <v>1772</v>
      </c>
      <c r="Z302" s="4">
        <v>1</v>
      </c>
      <c r="AA302" s="4">
        <f>=ROUNDDOWN(0.142857142857143,0)</f>
      </c>
      <c r="AB302" s="5">
        <v>7</v>
      </c>
      <c r="AC302" s="2" t="s">
        <v>890</v>
      </c>
      <c r="AD302" s="4">
        <v>100</v>
      </c>
      <c r="AE302" s="4">
        <v>200</v>
      </c>
      <c r="AF302" s="6">
        <v>83</v>
      </c>
      <c r="AG302" s="6"/>
      <c r="AH302" s="7">
        <v>0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7</v>
      </c>
      <c r="BK302" s="8">
        <v>1984.25</v>
      </c>
      <c r="BL302" s="2" t="s">
        <v>1773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96</v>
      </c>
      <c r="BW302" s="2" t="s">
        <v>792</v>
      </c>
      <c r="BX302" s="2" t="s">
        <v>1068</v>
      </c>
      <c r="BY302" s="2" t="s">
        <v>109</v>
      </c>
      <c r="BZ302" s="2" t="s">
        <v>109</v>
      </c>
      <c r="CA302" s="2" t="s">
        <v>99</v>
      </c>
    </row>
    <row r="303">
      <c r="A303" s="2" t="s">
        <v>1774</v>
      </c>
      <c r="B303" s="2" t="s">
        <v>765</v>
      </c>
      <c r="C303" s="2" t="s">
        <v>740</v>
      </c>
      <c r="D303" s="2" t="s">
        <v>1504</v>
      </c>
      <c r="E303" s="2" t="s">
        <v>1535</v>
      </c>
      <c r="F303" s="2" t="s">
        <v>1775</v>
      </c>
      <c r="G303" s="2" t="s">
        <v>1775</v>
      </c>
      <c r="H303" s="2" t="s">
        <v>1775</v>
      </c>
      <c r="I303" s="2" t="s">
        <v>1776</v>
      </c>
      <c r="J303" s="2" t="s">
        <v>227</v>
      </c>
      <c r="K303" s="2" t="s">
        <v>1728</v>
      </c>
      <c r="L303" s="3">
        <v>112.2</v>
      </c>
      <c r="M303" s="3">
        <v>117.81</v>
      </c>
      <c r="N303" s="3">
        <v>239</v>
      </c>
      <c r="O303" s="2" t="s">
        <v>96</v>
      </c>
      <c r="P303" s="2" t="s">
        <v>131</v>
      </c>
      <c r="Q303" s="2" t="s">
        <v>98</v>
      </c>
      <c r="R303" s="2" t="s">
        <v>99</v>
      </c>
      <c r="S303" s="2" t="s">
        <v>1777</v>
      </c>
      <c r="T303" s="2" t="s">
        <v>99</v>
      </c>
      <c r="U303" s="2" t="s">
        <v>100</v>
      </c>
      <c r="V303" s="2" t="s">
        <v>157</v>
      </c>
      <c r="W303" s="2" t="s">
        <v>362</v>
      </c>
      <c r="X303" s="2" t="s">
        <v>522</v>
      </c>
      <c r="Y303" s="2" t="s">
        <v>196</v>
      </c>
      <c r="Z303" s="4">
        <v>127</v>
      </c>
      <c r="AA303" s="4">
        <f>=ROUNDDOWN(12.7,0)</f>
      </c>
      <c r="AB303" s="5">
        <v>10</v>
      </c>
      <c r="AC303" s="2" t="s">
        <v>1778</v>
      </c>
      <c r="AD303" s="4">
        <v>100</v>
      </c>
      <c r="AE303" s="4">
        <v>100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>
        <v>9</v>
      </c>
      <c r="AQ303" s="8">
        <v>1145.07</v>
      </c>
      <c r="AR303" s="4"/>
      <c r="AS303" s="8"/>
      <c r="AT303" s="7"/>
      <c r="AU303" s="7"/>
      <c r="AV303" s="4">
        <v>9</v>
      </c>
      <c r="AW303" s="8">
        <v>1145.07</v>
      </c>
      <c r="AX303" s="4"/>
      <c r="AY303" s="8"/>
      <c r="AZ303" s="7"/>
      <c r="BA303" s="7"/>
      <c r="BB303" s="7">
        <v>1</v>
      </c>
      <c r="BC303" s="4">
        <v>9</v>
      </c>
      <c r="BD303" s="8">
        <v>1145.07</v>
      </c>
      <c r="BE303" s="4"/>
      <c r="BF303" s="8"/>
      <c r="BG303" s="7"/>
      <c r="BH303" s="7"/>
      <c r="BI303" s="7">
        <v>1</v>
      </c>
      <c r="BJ303" s="4">
        <v>54</v>
      </c>
      <c r="BK303" s="8">
        <v>5532.53</v>
      </c>
      <c r="BL303" s="2" t="s">
        <v>1779</v>
      </c>
      <c r="BM303" s="7">
        <v>0.1667</v>
      </c>
      <c r="BN303" s="7">
        <v>0.207</v>
      </c>
      <c r="BO303" s="4">
        <v>9</v>
      </c>
      <c r="BP303" s="8">
        <v>1145.07</v>
      </c>
      <c r="BQ303" s="4"/>
      <c r="BR303" s="8"/>
      <c r="BS303" s="7"/>
      <c r="BT303" s="7"/>
      <c r="BU303" s="2" t="s">
        <v>107</v>
      </c>
      <c r="BV303" s="2" t="s">
        <v>122</v>
      </c>
      <c r="BW303" s="2" t="s">
        <v>99</v>
      </c>
      <c r="BX303" s="2" t="s">
        <v>99</v>
      </c>
      <c r="BY303" s="2" t="s">
        <v>109</v>
      </c>
      <c r="BZ303" s="2" t="s">
        <v>109</v>
      </c>
      <c r="CA303" s="2" t="s">
        <v>99</v>
      </c>
    </row>
    <row r="304">
      <c r="A304" s="2" t="s">
        <v>1780</v>
      </c>
      <c r="B304" s="2" t="s">
        <v>765</v>
      </c>
      <c r="C304" s="2" t="s">
        <v>740</v>
      </c>
      <c r="D304" s="2" t="s">
        <v>1504</v>
      </c>
      <c r="E304" s="2" t="s">
        <v>1535</v>
      </c>
      <c r="F304" s="2" t="s">
        <v>1781</v>
      </c>
      <c r="G304" s="2" t="s">
        <v>1781</v>
      </c>
      <c r="H304" s="2" t="s">
        <v>1781</v>
      </c>
      <c r="I304" s="2" t="s">
        <v>1776</v>
      </c>
      <c r="J304" s="2" t="s">
        <v>227</v>
      </c>
      <c r="K304" s="2" t="s">
        <v>1728</v>
      </c>
      <c r="L304" s="3">
        <v>103.5</v>
      </c>
      <c r="M304" s="3">
        <v>108.68</v>
      </c>
      <c r="N304" s="3">
        <v>219</v>
      </c>
      <c r="O304" s="2" t="s">
        <v>96</v>
      </c>
      <c r="P304" s="2" t="s">
        <v>131</v>
      </c>
      <c r="Q304" s="2" t="s">
        <v>98</v>
      </c>
      <c r="R304" s="2" t="s">
        <v>99</v>
      </c>
      <c r="S304" s="2" t="s">
        <v>1782</v>
      </c>
      <c r="T304" s="2" t="s">
        <v>99</v>
      </c>
      <c r="U304" s="2" t="s">
        <v>100</v>
      </c>
      <c r="V304" s="2" t="s">
        <v>310</v>
      </c>
      <c r="W304" s="2" t="s">
        <v>362</v>
      </c>
      <c r="X304" s="2" t="s">
        <v>522</v>
      </c>
      <c r="Y304" s="2" t="s">
        <v>196</v>
      </c>
      <c r="Z304" s="4">
        <v>161</v>
      </c>
      <c r="AA304" s="4">
        <f>=ROUNDDOWN(20.125,0)</f>
      </c>
      <c r="AB304" s="5">
        <v>8</v>
      </c>
      <c r="AC304" s="2" t="s">
        <v>1783</v>
      </c>
      <c r="AD304" s="4">
        <v>100</v>
      </c>
      <c r="AE304" s="4">
        <v>100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>
        <v>1</v>
      </c>
      <c r="AQ304" s="8">
        <v>117.37</v>
      </c>
      <c r="AR304" s="4"/>
      <c r="AS304" s="8"/>
      <c r="AT304" s="7"/>
      <c r="AU304" s="7"/>
      <c r="AV304" s="4">
        <v>1</v>
      </c>
      <c r="AW304" s="8">
        <v>117.37</v>
      </c>
      <c r="AX304" s="4"/>
      <c r="AY304" s="8"/>
      <c r="AZ304" s="7"/>
      <c r="BA304" s="7"/>
      <c r="BB304" s="7">
        <v>1</v>
      </c>
      <c r="BC304" s="4">
        <v>1</v>
      </c>
      <c r="BD304" s="8">
        <v>117.37</v>
      </c>
      <c r="BE304" s="4"/>
      <c r="BF304" s="8"/>
      <c r="BG304" s="7"/>
      <c r="BH304" s="7"/>
      <c r="BI304" s="7">
        <v>1</v>
      </c>
      <c r="BJ304" s="4">
        <v>37</v>
      </c>
      <c r="BK304" s="8">
        <v>3097.94</v>
      </c>
      <c r="BL304" s="2" t="s">
        <v>1784</v>
      </c>
      <c r="BM304" s="7">
        <v>0.027</v>
      </c>
      <c r="BN304" s="7">
        <v>0.0379</v>
      </c>
      <c r="BO304" s="4">
        <v>1</v>
      </c>
      <c r="BP304" s="8">
        <v>117.37</v>
      </c>
      <c r="BQ304" s="4"/>
      <c r="BR304" s="8"/>
      <c r="BS304" s="7"/>
      <c r="BT304" s="7"/>
      <c r="BU304" s="2" t="s">
        <v>107</v>
      </c>
      <c r="BV304" s="2" t="s">
        <v>122</v>
      </c>
      <c r="BW304" s="2" t="s">
        <v>99</v>
      </c>
      <c r="BX304" s="2" t="s">
        <v>928</v>
      </c>
      <c r="BY304" s="2" t="s">
        <v>109</v>
      </c>
      <c r="BZ304" s="2" t="s">
        <v>109</v>
      </c>
      <c r="CA304" s="2" t="s">
        <v>99</v>
      </c>
    </row>
    <row r="305">
      <c r="A305" s="2" t="s">
        <v>1785</v>
      </c>
      <c r="B305" s="2" t="s">
        <v>765</v>
      </c>
      <c r="C305" s="2" t="s">
        <v>740</v>
      </c>
      <c r="D305" s="2" t="s">
        <v>1504</v>
      </c>
      <c r="E305" s="2" t="s">
        <v>1535</v>
      </c>
      <c r="F305" s="2" t="s">
        <v>1786</v>
      </c>
      <c r="G305" s="2" t="s">
        <v>1786</v>
      </c>
      <c r="H305" s="2" t="s">
        <v>1786</v>
      </c>
      <c r="I305" s="2" t="s">
        <v>1787</v>
      </c>
      <c r="J305" s="2" t="s">
        <v>227</v>
      </c>
      <c r="K305" s="2" t="s">
        <v>1788</v>
      </c>
      <c r="L305" s="3">
        <v>85.63</v>
      </c>
      <c r="M305" s="3">
        <v>89.91</v>
      </c>
      <c r="N305" s="3">
        <v>179</v>
      </c>
      <c r="O305" s="2" t="s">
        <v>96</v>
      </c>
      <c r="P305" s="2" t="s">
        <v>131</v>
      </c>
      <c r="Q305" s="2" t="s">
        <v>98</v>
      </c>
      <c r="R305" s="2" t="s">
        <v>99</v>
      </c>
      <c r="S305" s="2" t="s">
        <v>1789</v>
      </c>
      <c r="T305" s="2" t="s">
        <v>99</v>
      </c>
      <c r="U305" s="2" t="s">
        <v>100</v>
      </c>
      <c r="V305" s="2" t="s">
        <v>157</v>
      </c>
      <c r="W305" s="2" t="s">
        <v>158</v>
      </c>
      <c r="X305" s="2" t="s">
        <v>522</v>
      </c>
      <c r="Y305" s="2" t="s">
        <v>1790</v>
      </c>
      <c r="Z305" s="4"/>
      <c r="AA305" s="4">
        <f>=ROUNDDOWN({0},0)</f>
      </c>
      <c r="AB305" s="5">
        <v>7</v>
      </c>
      <c r="AC305" s="2" t="s">
        <v>990</v>
      </c>
      <c r="AD305" s="4">
        <v>100</v>
      </c>
      <c r="AE305" s="4">
        <v>100</v>
      </c>
      <c r="AF305" s="6">
        <v>74</v>
      </c>
      <c r="AG305" s="6"/>
      <c r="AH305" s="7">
        <v>0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4</v>
      </c>
      <c r="BK305" s="8">
        <v>458.2</v>
      </c>
      <c r="BL305" s="2" t="s">
        <v>654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122</v>
      </c>
      <c r="BW305" s="2" t="s">
        <v>99</v>
      </c>
      <c r="BX305" s="2" t="s">
        <v>99</v>
      </c>
      <c r="BY305" s="2" t="s">
        <v>109</v>
      </c>
      <c r="BZ305" s="2" t="s">
        <v>109</v>
      </c>
      <c r="CA305" s="2" t="s">
        <v>99</v>
      </c>
    </row>
    <row r="306">
      <c r="A306" s="2" t="s">
        <v>1791</v>
      </c>
      <c r="B306" s="2" t="s">
        <v>765</v>
      </c>
      <c r="C306" s="2" t="s">
        <v>740</v>
      </c>
      <c r="D306" s="2" t="s">
        <v>1504</v>
      </c>
      <c r="E306" s="2" t="s">
        <v>1535</v>
      </c>
      <c r="F306" s="2" t="s">
        <v>1770</v>
      </c>
      <c r="G306" s="2" t="s">
        <v>1770</v>
      </c>
      <c r="H306" s="2" t="s">
        <v>1770</v>
      </c>
      <c r="I306" s="2" t="s">
        <v>1792</v>
      </c>
      <c r="J306" s="2" t="s">
        <v>1793</v>
      </c>
      <c r="K306" s="2" t="s">
        <v>643</v>
      </c>
      <c r="L306" s="3">
        <v>95.5</v>
      </c>
      <c r="M306" s="3">
        <v>100.28</v>
      </c>
      <c r="N306" s="3">
        <v>199</v>
      </c>
      <c r="O306" s="2" t="s">
        <v>96</v>
      </c>
      <c r="P306" s="2" t="s">
        <v>131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100</v>
      </c>
      <c r="V306" s="2" t="s">
        <v>310</v>
      </c>
      <c r="W306" s="2" t="s">
        <v>330</v>
      </c>
      <c r="X306" s="2" t="s">
        <v>754</v>
      </c>
      <c r="Y306" s="2" t="s">
        <v>1794</v>
      </c>
      <c r="Z306" s="4"/>
      <c r="AA306" s="4">
        <f>=ROUNDDOWN({0},0)</f>
      </c>
      <c r="AB306" s="5">
        <v>10</v>
      </c>
      <c r="AC306" s="2" t="s">
        <v>890</v>
      </c>
      <c r="AD306" s="4">
        <v>100</v>
      </c>
      <c r="AE306" s="4">
        <v>300</v>
      </c>
      <c r="AF306" s="6">
        <v>83</v>
      </c>
      <c r="AG306" s="6"/>
      <c r="AH306" s="7">
        <v>0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1</v>
      </c>
      <c r="BK306" s="8">
        <v>100.27</v>
      </c>
      <c r="BL306" s="2" t="s">
        <v>654</v>
      </c>
      <c r="BM306" s="7"/>
      <c r="BN306" s="7"/>
      <c r="BO306" s="4"/>
      <c r="BP306" s="8"/>
      <c r="BQ306" s="4"/>
      <c r="BR306" s="8"/>
      <c r="BS306" s="7"/>
      <c r="BT306" s="7"/>
      <c r="BU306" s="2" t="s">
        <v>645</v>
      </c>
      <c r="BV306" s="2" t="s">
        <v>96</v>
      </c>
      <c r="BW306" s="2" t="s">
        <v>99</v>
      </c>
      <c r="BX306" s="2" t="s">
        <v>99</v>
      </c>
      <c r="BY306" s="2" t="s">
        <v>109</v>
      </c>
      <c r="BZ306" s="2" t="s">
        <v>109</v>
      </c>
      <c r="CA306" s="2" t="s">
        <v>99</v>
      </c>
    </row>
    <row r="307">
      <c r="A307" s="2" t="s">
        <v>1795</v>
      </c>
      <c r="B307" s="2" t="s">
        <v>765</v>
      </c>
      <c r="C307" s="2" t="s">
        <v>740</v>
      </c>
      <c r="D307" s="2" t="s">
        <v>1504</v>
      </c>
      <c r="E307" s="2" t="s">
        <v>1564</v>
      </c>
      <c r="F307" s="2" t="s">
        <v>1763</v>
      </c>
      <c r="G307" s="2" t="s">
        <v>1763</v>
      </c>
      <c r="H307" s="2" t="s">
        <v>1763</v>
      </c>
      <c r="I307" s="2" t="s">
        <v>1634</v>
      </c>
      <c r="J307" s="2" t="s">
        <v>227</v>
      </c>
      <c r="K307" s="2" t="s">
        <v>1796</v>
      </c>
      <c r="L307" s="3">
        <v>62</v>
      </c>
      <c r="M307" s="3">
        <v>65.1</v>
      </c>
      <c r="N307" s="3">
        <v>129</v>
      </c>
      <c r="O307" s="2" t="s">
        <v>96</v>
      </c>
      <c r="P307" s="2" t="s">
        <v>317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99</v>
      </c>
      <c r="V307" s="2" t="s">
        <v>101</v>
      </c>
      <c r="W307" s="2" t="s">
        <v>102</v>
      </c>
      <c r="X307" s="2" t="s">
        <v>257</v>
      </c>
      <c r="Y307" s="2" t="s">
        <v>978</v>
      </c>
      <c r="Z307" s="4">
        <v>67</v>
      </c>
      <c r="AA307" s="4">
        <f>=ROUNDDOWN(15.952380952381,0)</f>
      </c>
      <c r="AB307" s="5">
        <v>4.2</v>
      </c>
      <c r="AC307" s="2" t="s">
        <v>99</v>
      </c>
      <c r="AD307" s="4"/>
      <c r="AE307" s="4"/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>
        <v>2</v>
      </c>
      <c r="AQ307" s="8">
        <v>140.62</v>
      </c>
      <c r="AR307" s="4"/>
      <c r="AS307" s="8"/>
      <c r="AT307" s="7"/>
      <c r="AU307" s="7"/>
      <c r="AV307" s="4">
        <v>2</v>
      </c>
      <c r="AW307" s="8">
        <v>140.62</v>
      </c>
      <c r="AX307" s="4"/>
      <c r="AY307" s="8"/>
      <c r="AZ307" s="7"/>
      <c r="BA307" s="7"/>
      <c r="BB307" s="7">
        <v>1</v>
      </c>
      <c r="BC307" s="4">
        <v>2</v>
      </c>
      <c r="BD307" s="8">
        <v>140.62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1</v>
      </c>
      <c r="BJ307" s="4">
        <v>32</v>
      </c>
      <c r="BK307" s="8">
        <v>1839.49</v>
      </c>
      <c r="BL307" s="2" t="s">
        <v>1797</v>
      </c>
      <c r="BM307" s="7">
        <v>0.0625</v>
      </c>
      <c r="BN307" s="7">
        <v>0.0764</v>
      </c>
      <c r="BO307" s="4">
        <v>2</v>
      </c>
      <c r="BP307" s="8">
        <v>140.62</v>
      </c>
      <c r="BQ307" s="4"/>
      <c r="BR307" s="8"/>
      <c r="BS307" s="7"/>
      <c r="BT307" s="7"/>
      <c r="BU307" s="2" t="s">
        <v>645</v>
      </c>
      <c r="BV307" s="2" t="s">
        <v>96</v>
      </c>
      <c r="BW307" s="2" t="s">
        <v>99</v>
      </c>
      <c r="BX307" s="2" t="s">
        <v>99</v>
      </c>
      <c r="BY307" s="2" t="s">
        <v>109</v>
      </c>
      <c r="BZ307" s="2" t="s">
        <v>109</v>
      </c>
      <c r="CA307" s="2" t="s">
        <v>99</v>
      </c>
    </row>
    <row r="308">
      <c r="A308" s="2" t="s">
        <v>1798</v>
      </c>
      <c r="B308" s="2" t="s">
        <v>765</v>
      </c>
      <c r="C308" s="2" t="s">
        <v>740</v>
      </c>
      <c r="D308" s="2" t="s">
        <v>1504</v>
      </c>
      <c r="E308" s="2" t="s">
        <v>1564</v>
      </c>
      <c r="F308" s="2" t="s">
        <v>1763</v>
      </c>
      <c r="G308" s="2" t="s">
        <v>1763</v>
      </c>
      <c r="H308" s="2" t="s">
        <v>1763</v>
      </c>
      <c r="I308" s="2" t="s">
        <v>1634</v>
      </c>
      <c r="J308" s="2" t="s">
        <v>227</v>
      </c>
      <c r="K308" s="2" t="s">
        <v>1754</v>
      </c>
      <c r="L308" s="3">
        <v>62</v>
      </c>
      <c r="M308" s="3">
        <v>65.1</v>
      </c>
      <c r="N308" s="3">
        <v>129</v>
      </c>
      <c r="O308" s="2" t="s">
        <v>96</v>
      </c>
      <c r="P308" s="2" t="s">
        <v>317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99</v>
      </c>
      <c r="V308" s="2" t="s">
        <v>101</v>
      </c>
      <c r="W308" s="2" t="s">
        <v>102</v>
      </c>
      <c r="X308" s="2" t="s">
        <v>257</v>
      </c>
      <c r="Y308" s="2" t="s">
        <v>978</v>
      </c>
      <c r="Z308" s="4">
        <v>129</v>
      </c>
      <c r="AA308" s="4">
        <f>=ROUNDDOWN(64.5,0)</f>
      </c>
      <c r="AB308" s="5">
        <v>2</v>
      </c>
      <c r="AC308" s="2" t="s">
        <v>99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>
        <v>16</v>
      </c>
      <c r="BK308" s="8">
        <v>935.06</v>
      </c>
      <c r="BL308" s="2" t="s">
        <v>873</v>
      </c>
      <c r="BM308" s="7"/>
      <c r="BN308" s="7"/>
      <c r="BO308" s="4"/>
      <c r="BP308" s="8"/>
      <c r="BQ308" s="4"/>
      <c r="BR308" s="8"/>
      <c r="BS308" s="7"/>
      <c r="BT308" s="7"/>
      <c r="BU308" s="2" t="s">
        <v>645</v>
      </c>
      <c r="BV308" s="2" t="s">
        <v>96</v>
      </c>
      <c r="BW308" s="2" t="s">
        <v>99</v>
      </c>
      <c r="BX308" s="2" t="s">
        <v>99</v>
      </c>
      <c r="BY308" s="2" t="s">
        <v>109</v>
      </c>
      <c r="BZ308" s="2" t="s">
        <v>109</v>
      </c>
      <c r="CA308" s="2" t="s">
        <v>99</v>
      </c>
    </row>
    <row r="309">
      <c r="A309" s="2" t="s">
        <v>1799</v>
      </c>
      <c r="B309" s="2" t="s">
        <v>765</v>
      </c>
      <c r="C309" s="2" t="s">
        <v>740</v>
      </c>
      <c r="D309" s="2" t="s">
        <v>1504</v>
      </c>
      <c r="E309" s="2" t="s">
        <v>1564</v>
      </c>
      <c r="F309" s="2" t="s">
        <v>1800</v>
      </c>
      <c r="G309" s="2" t="s">
        <v>1800</v>
      </c>
      <c r="H309" s="2" t="s">
        <v>1800</v>
      </c>
      <c r="I309" s="2" t="s">
        <v>1553</v>
      </c>
      <c r="J309" s="2" t="s">
        <v>227</v>
      </c>
      <c r="K309" s="2" t="s">
        <v>643</v>
      </c>
      <c r="L309" s="3">
        <v>158</v>
      </c>
      <c r="M309" s="3">
        <v>165.9</v>
      </c>
      <c r="N309" s="3">
        <v>329</v>
      </c>
      <c r="O309" s="2" t="s">
        <v>96</v>
      </c>
      <c r="P309" s="2" t="s">
        <v>317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99</v>
      </c>
      <c r="V309" s="2" t="s">
        <v>644</v>
      </c>
      <c r="W309" s="2" t="s">
        <v>785</v>
      </c>
      <c r="X309" s="2" t="s">
        <v>754</v>
      </c>
      <c r="Y309" s="2" t="s">
        <v>1801</v>
      </c>
      <c r="Z309" s="4"/>
      <c r="AA309" s="4">
        <f>=ROUNDDOWN({0},0)</f>
      </c>
      <c r="AB309" s="5"/>
      <c r="AC309" s="2" t="s">
        <v>990</v>
      </c>
      <c r="AD309" s="4">
        <v>100</v>
      </c>
      <c r="AE309" s="4">
        <v>100</v>
      </c>
      <c r="AF309" s="6">
        <v>74</v>
      </c>
      <c r="AG309" s="6"/>
      <c r="AH309" s="7">
        <v>0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99</v>
      </c>
      <c r="BM309" s="7"/>
      <c r="BN309" s="7"/>
      <c r="BO309" s="4"/>
      <c r="BP309" s="8"/>
      <c r="BQ309" s="4"/>
      <c r="BR309" s="8"/>
      <c r="BS309" s="7"/>
      <c r="BT309" s="7"/>
      <c r="BU309" s="2" t="s">
        <v>819</v>
      </c>
      <c r="BV309" s="2" t="s">
        <v>96</v>
      </c>
      <c r="BW309" s="2" t="s">
        <v>99</v>
      </c>
      <c r="BX309" s="2" t="s">
        <v>99</v>
      </c>
      <c r="BY309" s="2" t="s">
        <v>109</v>
      </c>
      <c r="BZ309" s="2" t="s">
        <v>109</v>
      </c>
      <c r="CA309" s="2" t="s">
        <v>99</v>
      </c>
    </row>
    <row r="310">
      <c r="A310" s="2" t="s">
        <v>1802</v>
      </c>
      <c r="B310" s="2" t="s">
        <v>765</v>
      </c>
      <c r="C310" s="2" t="s">
        <v>740</v>
      </c>
      <c r="D310" s="2" t="s">
        <v>1296</v>
      </c>
      <c r="E310" s="2" t="s">
        <v>1297</v>
      </c>
      <c r="F310" s="2" t="s">
        <v>1803</v>
      </c>
      <c r="G310" s="2" t="s">
        <v>1803</v>
      </c>
      <c r="H310" s="2" t="s">
        <v>1803</v>
      </c>
      <c r="I310" s="2" t="s">
        <v>1804</v>
      </c>
      <c r="J310" s="2" t="s">
        <v>227</v>
      </c>
      <c r="K310" s="2" t="s">
        <v>234</v>
      </c>
      <c r="L310" s="3">
        <v>225</v>
      </c>
      <c r="M310" s="3">
        <v>236.25</v>
      </c>
      <c r="N310" s="3">
        <v>469</v>
      </c>
      <c r="O310" s="2" t="s">
        <v>96</v>
      </c>
      <c r="P310" s="2" t="s">
        <v>135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100</v>
      </c>
      <c r="V310" s="2" t="s">
        <v>310</v>
      </c>
      <c r="W310" s="2" t="s">
        <v>158</v>
      </c>
      <c r="X310" s="2" t="s">
        <v>754</v>
      </c>
      <c r="Y310" s="2" t="s">
        <v>1805</v>
      </c>
      <c r="Z310" s="4">
        <v>163</v>
      </c>
      <c r="AA310" s="4">
        <f>=ROUNDDOWN(11.6428571428571,0)</f>
      </c>
      <c r="AB310" s="5">
        <v>14</v>
      </c>
      <c r="AC310" s="2" t="s">
        <v>7</v>
      </c>
      <c r="AD310" s="4">
        <v>115</v>
      </c>
      <c r="AE310" s="4">
        <v>365</v>
      </c>
      <c r="AF310" s="6">
        <v>83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>
        <v>17</v>
      </c>
      <c r="AQ310" s="8">
        <v>4337.55</v>
      </c>
      <c r="AR310" s="4"/>
      <c r="AS310" s="8"/>
      <c r="AT310" s="7"/>
      <c r="AU310" s="7"/>
      <c r="AV310" s="4">
        <v>17</v>
      </c>
      <c r="AW310" s="8">
        <v>4337.55</v>
      </c>
      <c r="AX310" s="4"/>
      <c r="AY310" s="8"/>
      <c r="AZ310" s="7"/>
      <c r="BA310" s="7"/>
      <c r="BB310" s="7">
        <v>1</v>
      </c>
      <c r="BC310" s="4">
        <v>17</v>
      </c>
      <c r="BD310" s="8">
        <v>4337.55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1</v>
      </c>
      <c r="BJ310" s="4">
        <v>62</v>
      </c>
      <c r="BK310" s="8">
        <v>14557.56</v>
      </c>
      <c r="BL310" s="2" t="s">
        <v>1806</v>
      </c>
      <c r="BM310" s="7">
        <v>0.2742</v>
      </c>
      <c r="BN310" s="7">
        <v>0.298</v>
      </c>
      <c r="BO310" s="4">
        <v>17</v>
      </c>
      <c r="BP310" s="8">
        <v>4337.55</v>
      </c>
      <c r="BQ310" s="4"/>
      <c r="BR310" s="8"/>
      <c r="BS310" s="7"/>
      <c r="BT310" s="7"/>
      <c r="BU310" s="2" t="s">
        <v>107</v>
      </c>
      <c r="BV310" s="2" t="s">
        <v>96</v>
      </c>
      <c r="BW310" s="2" t="s">
        <v>446</v>
      </c>
      <c r="BX310" s="2" t="s">
        <v>1807</v>
      </c>
      <c r="BY310" s="2" t="s">
        <v>109</v>
      </c>
      <c r="BZ310" s="2" t="s">
        <v>109</v>
      </c>
      <c r="CA310" s="2" t="s">
        <v>99</v>
      </c>
    </row>
    <row r="311">
      <c r="A311" s="2" t="s">
        <v>1808</v>
      </c>
      <c r="B311" s="2" t="s">
        <v>765</v>
      </c>
      <c r="C311" s="2" t="s">
        <v>740</v>
      </c>
      <c r="D311" s="2" t="s">
        <v>1296</v>
      </c>
      <c r="E311" s="2" t="s">
        <v>1297</v>
      </c>
      <c r="F311" s="2" t="s">
        <v>1803</v>
      </c>
      <c r="G311" s="2" t="s">
        <v>1803</v>
      </c>
      <c r="H311" s="2" t="s">
        <v>1803</v>
      </c>
      <c r="I311" s="2" t="s">
        <v>1804</v>
      </c>
      <c r="J311" s="2" t="s">
        <v>227</v>
      </c>
      <c r="K311" s="2" t="s">
        <v>1809</v>
      </c>
      <c r="L311" s="3">
        <v>225</v>
      </c>
      <c r="M311" s="3">
        <v>236.25</v>
      </c>
      <c r="N311" s="3">
        <v>469</v>
      </c>
      <c r="O311" s="2" t="s">
        <v>96</v>
      </c>
      <c r="P311" s="2" t="s">
        <v>131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100</v>
      </c>
      <c r="V311" s="2" t="s">
        <v>310</v>
      </c>
      <c r="W311" s="2" t="s">
        <v>158</v>
      </c>
      <c r="X311" s="2" t="s">
        <v>754</v>
      </c>
      <c r="Y311" s="2" t="s">
        <v>519</v>
      </c>
      <c r="Z311" s="4">
        <v>233</v>
      </c>
      <c r="AA311" s="4">
        <f>=ROUNDDOWN(29.125,0)</f>
      </c>
      <c r="AB311" s="5">
        <v>8</v>
      </c>
      <c r="AC311" s="2" t="s">
        <v>147</v>
      </c>
      <c r="AD311" s="4">
        <v>20</v>
      </c>
      <c r="AE311" s="4">
        <v>20</v>
      </c>
      <c r="AF311" s="6">
        <v>83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/>
      <c r="BJ311" s="4">
        <v>31</v>
      </c>
      <c r="BK311" s="8">
        <v>7366.22</v>
      </c>
      <c r="BL311" s="2" t="s">
        <v>1810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96</v>
      </c>
      <c r="BW311" s="2" t="s">
        <v>1811</v>
      </c>
      <c r="BX311" s="2" t="s">
        <v>1812</v>
      </c>
      <c r="BY311" s="2" t="s">
        <v>109</v>
      </c>
      <c r="BZ311" s="2" t="s">
        <v>109</v>
      </c>
      <c r="CA311" s="2" t="s">
        <v>99</v>
      </c>
    </row>
    <row r="312">
      <c r="A312" s="2" t="s">
        <v>1813</v>
      </c>
      <c r="B312" s="2" t="s">
        <v>765</v>
      </c>
      <c r="C312" s="2" t="s">
        <v>740</v>
      </c>
      <c r="D312" s="2" t="s">
        <v>1296</v>
      </c>
      <c r="E312" s="2" t="s">
        <v>1297</v>
      </c>
      <c r="F312" s="2" t="s">
        <v>1814</v>
      </c>
      <c r="G312" s="2" t="s">
        <v>1814</v>
      </c>
      <c r="H312" s="2" t="s">
        <v>1814</v>
      </c>
      <c r="I312" s="2" t="s">
        <v>1815</v>
      </c>
      <c r="J312" s="2" t="s">
        <v>227</v>
      </c>
      <c r="K312" s="2" t="s">
        <v>274</v>
      </c>
      <c r="L312" s="3">
        <v>132</v>
      </c>
      <c r="M312" s="3">
        <v>138.6</v>
      </c>
      <c r="N312" s="3">
        <v>279</v>
      </c>
      <c r="O312" s="2" t="s">
        <v>96</v>
      </c>
      <c r="P312" s="2" t="s">
        <v>135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100</v>
      </c>
      <c r="V312" s="2" t="s">
        <v>310</v>
      </c>
      <c r="W312" s="2" t="s">
        <v>466</v>
      </c>
      <c r="X312" s="2" t="s">
        <v>522</v>
      </c>
      <c r="Y312" s="2" t="s">
        <v>1816</v>
      </c>
      <c r="Z312" s="4">
        <v>187</v>
      </c>
      <c r="AA312" s="4">
        <f>=ROUNDDOWN(11,0)</f>
      </c>
      <c r="AB312" s="5">
        <v>17</v>
      </c>
      <c r="AC312" s="2" t="s">
        <v>7</v>
      </c>
      <c r="AD312" s="4">
        <v>185</v>
      </c>
      <c r="AE312" s="4">
        <v>365</v>
      </c>
      <c r="AF312" s="6">
        <v>74</v>
      </c>
      <c r="AG312" s="6">
        <v>60</v>
      </c>
      <c r="AH312" s="7">
        <v>0.4138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77</v>
      </c>
      <c r="BK312" s="8">
        <v>10821.87</v>
      </c>
      <c r="BL312" s="2" t="s">
        <v>1817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96</v>
      </c>
      <c r="BW312" s="2" t="s">
        <v>1167</v>
      </c>
      <c r="BX312" s="2" t="s">
        <v>1818</v>
      </c>
      <c r="BY312" s="2" t="s">
        <v>109</v>
      </c>
      <c r="BZ312" s="2" t="s">
        <v>109</v>
      </c>
      <c r="CA312" s="2" t="s">
        <v>99</v>
      </c>
    </row>
    <row r="313">
      <c r="A313" s="2" t="s">
        <v>1819</v>
      </c>
      <c r="B313" s="2" t="s">
        <v>765</v>
      </c>
      <c r="C313" s="2" t="s">
        <v>740</v>
      </c>
      <c r="D313" s="2" t="s">
        <v>1296</v>
      </c>
      <c r="E313" s="2" t="s">
        <v>1297</v>
      </c>
      <c r="F313" s="2" t="s">
        <v>1820</v>
      </c>
      <c r="G313" s="2" t="s">
        <v>1820</v>
      </c>
      <c r="H313" s="2" t="s">
        <v>1820</v>
      </c>
      <c r="I313" s="2" t="s">
        <v>1297</v>
      </c>
      <c r="J313" s="2" t="s">
        <v>1709</v>
      </c>
      <c r="K313" s="2" t="s">
        <v>1821</v>
      </c>
      <c r="L313" s="3">
        <v>95</v>
      </c>
      <c r="M313" s="3">
        <v>99.75</v>
      </c>
      <c r="N313" s="3">
        <v>199</v>
      </c>
      <c r="O313" s="2" t="s">
        <v>304</v>
      </c>
      <c r="P313" s="2" t="s">
        <v>188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99</v>
      </c>
      <c r="V313" s="2" t="s">
        <v>157</v>
      </c>
      <c r="W313" s="2" t="s">
        <v>102</v>
      </c>
      <c r="X313" s="2" t="s">
        <v>257</v>
      </c>
      <c r="Y313" s="2" t="s">
        <v>1822</v>
      </c>
      <c r="Z313" s="4">
        <v>55</v>
      </c>
      <c r="AA313" s="4">
        <f>=ROUNDDOWN(6.3953488372093,0)</f>
      </c>
      <c r="AB313" s="5">
        <v>8.6</v>
      </c>
      <c r="AC313" s="2" t="s">
        <v>99</v>
      </c>
      <c r="AD313" s="4"/>
      <c r="AE313" s="4"/>
      <c r="AF313" s="6">
        <v>66</v>
      </c>
      <c r="AG313" s="6">
        <v>49</v>
      </c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20</v>
      </c>
      <c r="BK313" s="8">
        <v>1667</v>
      </c>
      <c r="BL313" s="2" t="s">
        <v>1345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122</v>
      </c>
      <c r="BW313" s="2" t="s">
        <v>99</v>
      </c>
      <c r="BX313" s="2" t="s">
        <v>99</v>
      </c>
      <c r="BY313" s="2" t="s">
        <v>109</v>
      </c>
      <c r="BZ313" s="2" t="s">
        <v>109</v>
      </c>
      <c r="CA313" s="2" t="s">
        <v>99</v>
      </c>
    </row>
    <row r="314">
      <c r="A314" s="2" t="s">
        <v>1823</v>
      </c>
      <c r="B314" s="2" t="s">
        <v>765</v>
      </c>
      <c r="C314" s="2" t="s">
        <v>740</v>
      </c>
      <c r="D314" s="2" t="s">
        <v>1296</v>
      </c>
      <c r="E314" s="2" t="s">
        <v>644</v>
      </c>
      <c r="F314" s="2" t="s">
        <v>1824</v>
      </c>
      <c r="G314" s="2" t="s">
        <v>1824</v>
      </c>
      <c r="H314" s="2" t="s">
        <v>1824</v>
      </c>
      <c r="I314" s="2" t="s">
        <v>1362</v>
      </c>
      <c r="J314" s="2" t="s">
        <v>227</v>
      </c>
      <c r="K314" s="2" t="s">
        <v>784</v>
      </c>
      <c r="L314" s="3">
        <v>124.5</v>
      </c>
      <c r="M314" s="3">
        <v>130.73</v>
      </c>
      <c r="N314" s="3">
        <v>259</v>
      </c>
      <c r="O314" s="2" t="s">
        <v>96</v>
      </c>
      <c r="P314" s="2" t="s">
        <v>317</v>
      </c>
      <c r="Q314" s="2" t="s">
        <v>98</v>
      </c>
      <c r="R314" s="2" t="s">
        <v>99</v>
      </c>
      <c r="S314" s="2" t="s">
        <v>99</v>
      </c>
      <c r="T314" s="2" t="s">
        <v>1278</v>
      </c>
      <c r="U314" s="2" t="s">
        <v>99</v>
      </c>
      <c r="V314" s="2" t="s">
        <v>644</v>
      </c>
      <c r="W314" s="2" t="s">
        <v>466</v>
      </c>
      <c r="X314" s="2" t="s">
        <v>522</v>
      </c>
      <c r="Y314" s="2" t="s">
        <v>978</v>
      </c>
      <c r="Z314" s="4">
        <v>122</v>
      </c>
      <c r="AA314" s="4">
        <f>=ROUNDDOWN(6.42105263157895,0)</f>
      </c>
      <c r="AB314" s="5">
        <v>19</v>
      </c>
      <c r="AC314" s="2" t="s">
        <v>147</v>
      </c>
      <c r="AD314" s="4">
        <v>40</v>
      </c>
      <c r="AE314" s="4">
        <v>280</v>
      </c>
      <c r="AF314" s="6">
        <v>74</v>
      </c>
      <c r="AG314" s="6">
        <v>60</v>
      </c>
      <c r="AH314" s="7">
        <v>0.3103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1</v>
      </c>
      <c r="AQ314" s="8">
        <v>141.18</v>
      </c>
      <c r="AR314" s="4"/>
      <c r="AS314" s="8"/>
      <c r="AT314" s="7"/>
      <c r="AU314" s="7"/>
      <c r="AV314" s="4">
        <v>1</v>
      </c>
      <c r="AW314" s="8">
        <v>141.18</v>
      </c>
      <c r="AX314" s="4"/>
      <c r="AY314" s="8"/>
      <c r="AZ314" s="7"/>
      <c r="BA314" s="7"/>
      <c r="BB314" s="7">
        <v>1</v>
      </c>
      <c r="BC314" s="4">
        <v>1</v>
      </c>
      <c r="BD314" s="8">
        <v>141.18</v>
      </c>
      <c r="BE314" s="4"/>
      <c r="BF314" s="8"/>
      <c r="BG314" s="7"/>
      <c r="BH314" s="7"/>
      <c r="BI314" s="7">
        <v>1</v>
      </c>
      <c r="BJ314" s="4">
        <v>14</v>
      </c>
      <c r="BK314" s="8">
        <v>1875.91</v>
      </c>
      <c r="BL314" s="2" t="s">
        <v>1825</v>
      </c>
      <c r="BM314" s="7">
        <v>0.0714</v>
      </c>
      <c r="BN314" s="7">
        <v>0.0753</v>
      </c>
      <c r="BO314" s="4">
        <v>1</v>
      </c>
      <c r="BP314" s="8">
        <v>141.18</v>
      </c>
      <c r="BQ314" s="4"/>
      <c r="BR314" s="8"/>
      <c r="BS314" s="7"/>
      <c r="BT314" s="7"/>
      <c r="BU314" s="2" t="s">
        <v>645</v>
      </c>
      <c r="BV314" s="2" t="s">
        <v>96</v>
      </c>
      <c r="BW314" s="2" t="s">
        <v>99</v>
      </c>
      <c r="BX314" s="2" t="s">
        <v>99</v>
      </c>
      <c r="BY314" s="2" t="s">
        <v>109</v>
      </c>
      <c r="BZ314" s="2" t="s">
        <v>109</v>
      </c>
      <c r="CA314" s="2" t="s">
        <v>99</v>
      </c>
    </row>
    <row r="315">
      <c r="A315" s="2" t="s">
        <v>1826</v>
      </c>
      <c r="B315" s="2" t="s">
        <v>765</v>
      </c>
      <c r="C315" s="2" t="s">
        <v>740</v>
      </c>
      <c r="D315" s="2" t="s">
        <v>982</v>
      </c>
      <c r="E315" s="2" t="s">
        <v>983</v>
      </c>
      <c r="F315" s="2" t="s">
        <v>1827</v>
      </c>
      <c r="G315" s="2" t="s">
        <v>1827</v>
      </c>
      <c r="H315" s="2" t="s">
        <v>1827</v>
      </c>
      <c r="I315" s="2" t="s">
        <v>1828</v>
      </c>
      <c r="J315" s="2" t="s">
        <v>227</v>
      </c>
      <c r="K315" s="2" t="s">
        <v>853</v>
      </c>
      <c r="L315" s="3">
        <v>286.69</v>
      </c>
      <c r="M315" s="3">
        <v>301.02</v>
      </c>
      <c r="N315" s="3">
        <v>599</v>
      </c>
      <c r="O315" s="2" t="s">
        <v>96</v>
      </c>
      <c r="P315" s="2" t="s">
        <v>131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100</v>
      </c>
      <c r="V315" s="2" t="s">
        <v>101</v>
      </c>
      <c r="W315" s="2" t="s">
        <v>158</v>
      </c>
      <c r="X315" s="2" t="s">
        <v>522</v>
      </c>
      <c r="Y315" s="2" t="s">
        <v>1829</v>
      </c>
      <c r="Z315" s="4">
        <v>141</v>
      </c>
      <c r="AA315" s="4">
        <f>=ROUNDDOWN(10.8461538461538,0)</f>
      </c>
      <c r="AB315" s="5">
        <v>13</v>
      </c>
      <c r="AC315" s="2" t="s">
        <v>99</v>
      </c>
      <c r="AD315" s="4"/>
      <c r="AE315" s="4"/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>
        <v>3</v>
      </c>
      <c r="AQ315" s="8">
        <v>998.97</v>
      </c>
      <c r="AR315" s="4"/>
      <c r="AS315" s="8"/>
      <c r="AT315" s="7"/>
      <c r="AU315" s="7"/>
      <c r="AV315" s="4">
        <v>3</v>
      </c>
      <c r="AW315" s="8">
        <v>998.97</v>
      </c>
      <c r="AX315" s="4"/>
      <c r="AY315" s="8"/>
      <c r="AZ315" s="7"/>
      <c r="BA315" s="7"/>
      <c r="BB315" s="7">
        <v>1</v>
      </c>
      <c r="BC315" s="4">
        <v>3</v>
      </c>
      <c r="BD315" s="8">
        <v>998.97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1</v>
      </c>
      <c r="BJ315" s="4">
        <v>67</v>
      </c>
      <c r="BK315" s="8">
        <v>17553.23</v>
      </c>
      <c r="BL315" s="2" t="s">
        <v>1830</v>
      </c>
      <c r="BM315" s="7">
        <v>0.0448</v>
      </c>
      <c r="BN315" s="7">
        <v>0.0569</v>
      </c>
      <c r="BO315" s="4">
        <v>3</v>
      </c>
      <c r="BP315" s="8">
        <v>998.97</v>
      </c>
      <c r="BQ315" s="4"/>
      <c r="BR315" s="8"/>
      <c r="BS315" s="7"/>
      <c r="BT315" s="7"/>
      <c r="BU315" s="2" t="s">
        <v>107</v>
      </c>
      <c r="BV315" s="2" t="s">
        <v>122</v>
      </c>
      <c r="BW315" s="2" t="s">
        <v>99</v>
      </c>
      <c r="BX315" s="2" t="s">
        <v>99</v>
      </c>
      <c r="BY315" s="2" t="s">
        <v>109</v>
      </c>
      <c r="BZ315" s="2" t="s">
        <v>109</v>
      </c>
      <c r="CA315" s="2" t="s">
        <v>99</v>
      </c>
    </row>
    <row r="316">
      <c r="A316" s="2" t="s">
        <v>1831</v>
      </c>
      <c r="B316" s="2" t="s">
        <v>765</v>
      </c>
      <c r="C316" s="2" t="s">
        <v>740</v>
      </c>
      <c r="D316" s="2" t="s">
        <v>982</v>
      </c>
      <c r="E316" s="2" t="s">
        <v>983</v>
      </c>
      <c r="F316" s="2" t="s">
        <v>1827</v>
      </c>
      <c r="G316" s="2" t="s">
        <v>1827</v>
      </c>
      <c r="H316" s="2" t="s">
        <v>1827</v>
      </c>
      <c r="I316" s="2" t="s">
        <v>1828</v>
      </c>
      <c r="J316" s="2" t="s">
        <v>227</v>
      </c>
      <c r="K316" s="2" t="s">
        <v>317</v>
      </c>
      <c r="L316" s="3">
        <v>286.69</v>
      </c>
      <c r="M316" s="3">
        <v>301.02</v>
      </c>
      <c r="N316" s="3">
        <v>599</v>
      </c>
      <c r="O316" s="2" t="s">
        <v>96</v>
      </c>
      <c r="P316" s="2" t="s">
        <v>1173</v>
      </c>
      <c r="Q316" s="2" t="s">
        <v>98</v>
      </c>
      <c r="R316" s="2" t="s">
        <v>99</v>
      </c>
      <c r="S316" s="2" t="s">
        <v>1832</v>
      </c>
      <c r="T316" s="2" t="s">
        <v>99</v>
      </c>
      <c r="U316" s="2" t="s">
        <v>99</v>
      </c>
      <c r="V316" s="2" t="s">
        <v>157</v>
      </c>
      <c r="W316" s="2" t="s">
        <v>1693</v>
      </c>
      <c r="X316" s="2" t="s">
        <v>522</v>
      </c>
      <c r="Y316" s="2" t="s">
        <v>99</v>
      </c>
      <c r="Z316" s="4"/>
      <c r="AA316" s="4">
        <f>=ROUNDDOWN({0},0)</f>
      </c>
      <c r="AB316" s="5"/>
      <c r="AC316" s="2" t="s">
        <v>99</v>
      </c>
      <c r="AD316" s="4"/>
      <c r="AE316" s="4"/>
      <c r="AF316" s="6">
        <v>74</v>
      </c>
      <c r="AG316" s="6"/>
      <c r="AH316" s="7"/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/>
      <c r="BJ316" s="4"/>
      <c r="BK316" s="8"/>
      <c r="BL316" s="2" t="s">
        <v>99</v>
      </c>
      <c r="BM316" s="7"/>
      <c r="BN316" s="7"/>
      <c r="BO316" s="4"/>
      <c r="BP316" s="8"/>
      <c r="BQ316" s="4"/>
      <c r="BR316" s="8"/>
      <c r="BS316" s="7"/>
      <c r="BT316" s="7"/>
      <c r="BU316" s="2" t="s">
        <v>819</v>
      </c>
      <c r="BV316" s="2" t="s">
        <v>96</v>
      </c>
      <c r="BW316" s="2" t="s">
        <v>99</v>
      </c>
      <c r="BX316" s="2" t="s">
        <v>99</v>
      </c>
      <c r="BY316" s="2" t="s">
        <v>109</v>
      </c>
      <c r="BZ316" s="2" t="s">
        <v>109</v>
      </c>
      <c r="CA316" s="2" t="s">
        <v>99</v>
      </c>
    </row>
    <row r="317">
      <c r="A317" s="2" t="s">
        <v>1833</v>
      </c>
      <c r="B317" s="2" t="s">
        <v>765</v>
      </c>
      <c r="C317" s="2" t="s">
        <v>740</v>
      </c>
      <c r="D317" s="2" t="s">
        <v>982</v>
      </c>
      <c r="E317" s="2" t="s">
        <v>983</v>
      </c>
      <c r="F317" s="2" t="s">
        <v>1834</v>
      </c>
      <c r="G317" s="2" t="s">
        <v>1834</v>
      </c>
      <c r="H317" s="2" t="s">
        <v>1834</v>
      </c>
      <c r="I317" s="2" t="s">
        <v>1065</v>
      </c>
      <c r="J317" s="2" t="s">
        <v>227</v>
      </c>
      <c r="K317" s="2" t="s">
        <v>234</v>
      </c>
      <c r="L317" s="3">
        <v>238</v>
      </c>
      <c r="M317" s="3">
        <v>249.9</v>
      </c>
      <c r="N317" s="3">
        <v>499</v>
      </c>
      <c r="O317" s="2" t="s">
        <v>96</v>
      </c>
      <c r="P317" s="2" t="s">
        <v>188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100</v>
      </c>
      <c r="V317" s="2" t="s">
        <v>310</v>
      </c>
      <c r="W317" s="2" t="s">
        <v>1693</v>
      </c>
      <c r="X317" s="2" t="s">
        <v>522</v>
      </c>
      <c r="Y317" s="2" t="s">
        <v>1835</v>
      </c>
      <c r="Z317" s="4">
        <v>36</v>
      </c>
      <c r="AA317" s="4">
        <f>=ROUNDDOWN(8.57142857142857,0)</f>
      </c>
      <c r="AB317" s="5">
        <v>4.2</v>
      </c>
      <c r="AC317" s="2" t="s">
        <v>99</v>
      </c>
      <c r="AD317" s="4"/>
      <c r="AE317" s="4"/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>
        <v>2</v>
      </c>
      <c r="AQ317" s="8">
        <v>539.78</v>
      </c>
      <c r="AR317" s="4"/>
      <c r="AS317" s="8"/>
      <c r="AT317" s="7"/>
      <c r="AU317" s="7"/>
      <c r="AV317" s="4">
        <v>2</v>
      </c>
      <c r="AW317" s="8">
        <v>539.78</v>
      </c>
      <c r="AX317" s="4"/>
      <c r="AY317" s="8"/>
      <c r="AZ317" s="7"/>
      <c r="BA317" s="7"/>
      <c r="BB317" s="7">
        <v>1</v>
      </c>
      <c r="BC317" s="4">
        <v>2</v>
      </c>
      <c r="BD317" s="8">
        <v>539.78</v>
      </c>
      <c r="BE317" s="4"/>
      <c r="BF317" s="8"/>
      <c r="BG317" s="7"/>
      <c r="BH317" s="7"/>
      <c r="BI317" s="7">
        <v>1</v>
      </c>
      <c r="BJ317" s="4">
        <v>31</v>
      </c>
      <c r="BK317" s="8">
        <v>7964.21</v>
      </c>
      <c r="BL317" s="2" t="s">
        <v>1836</v>
      </c>
      <c r="BM317" s="7">
        <v>0.0645</v>
      </c>
      <c r="BN317" s="7">
        <v>0.0678</v>
      </c>
      <c r="BO317" s="4">
        <v>2</v>
      </c>
      <c r="BP317" s="8">
        <v>539.78</v>
      </c>
      <c r="BQ317" s="4"/>
      <c r="BR317" s="8"/>
      <c r="BS317" s="7"/>
      <c r="BT317" s="7"/>
      <c r="BU317" s="2" t="s">
        <v>107</v>
      </c>
      <c r="BV317" s="2" t="s">
        <v>96</v>
      </c>
      <c r="BW317" s="2" t="s">
        <v>1181</v>
      </c>
      <c r="BX317" s="2" t="s">
        <v>1837</v>
      </c>
      <c r="BY317" s="2" t="s">
        <v>109</v>
      </c>
      <c r="BZ317" s="2" t="s">
        <v>109</v>
      </c>
      <c r="CA317" s="2" t="s">
        <v>99</v>
      </c>
    </row>
    <row r="318">
      <c r="A318" s="2" t="s">
        <v>1838</v>
      </c>
      <c r="B318" s="2" t="s">
        <v>765</v>
      </c>
      <c r="C318" s="2" t="s">
        <v>740</v>
      </c>
      <c r="D318" s="2" t="s">
        <v>982</v>
      </c>
      <c r="E318" s="2" t="s">
        <v>983</v>
      </c>
      <c r="F318" s="2" t="s">
        <v>1770</v>
      </c>
      <c r="G318" s="2" t="s">
        <v>1770</v>
      </c>
      <c r="H318" s="2" t="s">
        <v>1770</v>
      </c>
      <c r="I318" s="2" t="s">
        <v>1115</v>
      </c>
      <c r="J318" s="2" t="s">
        <v>227</v>
      </c>
      <c r="K318" s="2" t="s">
        <v>1839</v>
      </c>
      <c r="L318" s="3">
        <v>215</v>
      </c>
      <c r="M318" s="3">
        <v>225.75</v>
      </c>
      <c r="N318" s="3">
        <v>449</v>
      </c>
      <c r="O318" s="2" t="s">
        <v>443</v>
      </c>
      <c r="P318" s="2" t="s">
        <v>188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100</v>
      </c>
      <c r="V318" s="2" t="s">
        <v>310</v>
      </c>
      <c r="W318" s="2" t="s">
        <v>330</v>
      </c>
      <c r="X318" s="2" t="s">
        <v>754</v>
      </c>
      <c r="Y318" s="2" t="s">
        <v>1185</v>
      </c>
      <c r="Z318" s="4"/>
      <c r="AA318" s="4">
        <f>=ROUNDDOWN({0},0)</f>
      </c>
      <c r="AB318" s="5">
        <v>5.4</v>
      </c>
      <c r="AC318" s="2" t="s">
        <v>99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>
        <v>2</v>
      </c>
      <c r="AQ318" s="8">
        <v>487.62</v>
      </c>
      <c r="AR318" s="4"/>
      <c r="AS318" s="8"/>
      <c r="AT318" s="7"/>
      <c r="AU318" s="7"/>
      <c r="AV318" s="4">
        <v>2</v>
      </c>
      <c r="AW318" s="8">
        <v>487.62</v>
      </c>
      <c r="AX318" s="4"/>
      <c r="AY318" s="8"/>
      <c r="AZ318" s="7"/>
      <c r="BA318" s="7"/>
      <c r="BB318" s="7">
        <v>1</v>
      </c>
      <c r="BC318" s="4">
        <v>2</v>
      </c>
      <c r="BD318" s="8">
        <v>487.62</v>
      </c>
      <c r="BE318" s="4"/>
      <c r="BF318" s="8"/>
      <c r="BG318" s="7"/>
      <c r="BH318" s="7"/>
      <c r="BI318" s="7">
        <v>1</v>
      </c>
      <c r="BJ318" s="4">
        <v>11</v>
      </c>
      <c r="BK318" s="8">
        <v>2600.62</v>
      </c>
      <c r="BL318" s="2" t="s">
        <v>1797</v>
      </c>
      <c r="BM318" s="7">
        <v>0.1818</v>
      </c>
      <c r="BN318" s="7">
        <v>0.1875</v>
      </c>
      <c r="BO318" s="4">
        <v>2</v>
      </c>
      <c r="BP318" s="8">
        <v>487.62</v>
      </c>
      <c r="BQ318" s="4"/>
      <c r="BR318" s="8"/>
      <c r="BS318" s="7"/>
      <c r="BT318" s="7"/>
      <c r="BU318" s="2" t="s">
        <v>107</v>
      </c>
      <c r="BV318" s="2" t="s">
        <v>122</v>
      </c>
      <c r="BW318" s="2" t="s">
        <v>1840</v>
      </c>
      <c r="BX318" s="2" t="s">
        <v>1841</v>
      </c>
      <c r="BY318" s="2" t="s">
        <v>109</v>
      </c>
      <c r="BZ318" s="2" t="s">
        <v>109</v>
      </c>
      <c r="CA318" s="2" t="s">
        <v>99</v>
      </c>
    </row>
    <row r="319">
      <c r="A319" s="2" t="s">
        <v>1842</v>
      </c>
      <c r="B319" s="2" t="s">
        <v>765</v>
      </c>
      <c r="C319" s="2" t="s">
        <v>740</v>
      </c>
      <c r="D319" s="2" t="s">
        <v>982</v>
      </c>
      <c r="E319" s="2" t="s">
        <v>983</v>
      </c>
      <c r="F319" s="2" t="s">
        <v>1843</v>
      </c>
      <c r="G319" s="2" t="s">
        <v>1843</v>
      </c>
      <c r="H319" s="2" t="s">
        <v>1843</v>
      </c>
      <c r="I319" s="2" t="s">
        <v>1065</v>
      </c>
      <c r="J319" s="2" t="s">
        <v>227</v>
      </c>
      <c r="K319" s="2" t="s">
        <v>784</v>
      </c>
      <c r="L319" s="3">
        <v>175.75</v>
      </c>
      <c r="M319" s="3">
        <v>184.54</v>
      </c>
      <c r="N319" s="3">
        <v>369</v>
      </c>
      <c r="O319" s="2" t="s">
        <v>96</v>
      </c>
      <c r="P319" s="2" t="s">
        <v>131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100</v>
      </c>
      <c r="V319" s="2" t="s">
        <v>157</v>
      </c>
      <c r="W319" s="2" t="s">
        <v>103</v>
      </c>
      <c r="X319" s="2" t="s">
        <v>257</v>
      </c>
      <c r="Y319" s="2" t="s">
        <v>1152</v>
      </c>
      <c r="Z319" s="4">
        <v>148</v>
      </c>
      <c r="AA319" s="4">
        <f>=ROUNDDOWN(21.1428571428571,0)</f>
      </c>
      <c r="AB319" s="5">
        <v>7</v>
      </c>
      <c r="AC319" s="2" t="s">
        <v>99</v>
      </c>
      <c r="AD319" s="4"/>
      <c r="AE319" s="4"/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>
        <v>1</v>
      </c>
      <c r="AQ319" s="8">
        <v>199.3</v>
      </c>
      <c r="AR319" s="4"/>
      <c r="AS319" s="8"/>
      <c r="AT319" s="7"/>
      <c r="AU319" s="7"/>
      <c r="AV319" s="4">
        <v>1</v>
      </c>
      <c r="AW319" s="8">
        <v>199.3</v>
      </c>
      <c r="AX319" s="4"/>
      <c r="AY319" s="8"/>
      <c r="AZ319" s="7"/>
      <c r="BA319" s="7"/>
      <c r="BB319" s="7">
        <v>1</v>
      </c>
      <c r="BC319" s="4">
        <v>2</v>
      </c>
      <c r="BD319" s="8">
        <v>398.6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0.5</v>
      </c>
      <c r="BJ319" s="4">
        <v>31</v>
      </c>
      <c r="BK319" s="8">
        <v>4989.66</v>
      </c>
      <c r="BL319" s="2" t="s">
        <v>1844</v>
      </c>
      <c r="BM319" s="7">
        <v>0.0323</v>
      </c>
      <c r="BN319" s="7">
        <v>0.0399</v>
      </c>
      <c r="BO319" s="4">
        <v>1</v>
      </c>
      <c r="BP319" s="8">
        <v>199.3</v>
      </c>
      <c r="BQ319" s="4"/>
      <c r="BR319" s="8"/>
      <c r="BS319" s="7"/>
      <c r="BT319" s="7"/>
      <c r="BU319" s="2" t="s">
        <v>107</v>
      </c>
      <c r="BV319" s="2" t="s">
        <v>96</v>
      </c>
      <c r="BW319" s="2" t="s">
        <v>99</v>
      </c>
      <c r="BX319" s="2" t="s">
        <v>99</v>
      </c>
      <c r="BY319" s="2" t="s">
        <v>109</v>
      </c>
      <c r="BZ319" s="2" t="s">
        <v>109</v>
      </c>
      <c r="CA319" s="2" t="s">
        <v>99</v>
      </c>
    </row>
    <row r="320">
      <c r="A320" s="2" t="s">
        <v>1845</v>
      </c>
      <c r="B320" s="2" t="s">
        <v>765</v>
      </c>
      <c r="C320" s="2" t="s">
        <v>740</v>
      </c>
      <c r="D320" s="2" t="s">
        <v>982</v>
      </c>
      <c r="E320" s="2" t="s">
        <v>983</v>
      </c>
      <c r="F320" s="2" t="s">
        <v>1843</v>
      </c>
      <c r="G320" s="2" t="s">
        <v>1843</v>
      </c>
      <c r="H320" s="2" t="s">
        <v>1843</v>
      </c>
      <c r="I320" s="2" t="s">
        <v>1065</v>
      </c>
      <c r="J320" s="2" t="s">
        <v>227</v>
      </c>
      <c r="K320" s="2" t="s">
        <v>379</v>
      </c>
      <c r="L320" s="3">
        <v>175.75</v>
      </c>
      <c r="M320" s="3">
        <v>184.54</v>
      </c>
      <c r="N320" s="3">
        <v>369</v>
      </c>
      <c r="O320" s="2" t="s">
        <v>96</v>
      </c>
      <c r="P320" s="2" t="s">
        <v>386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100</v>
      </c>
      <c r="V320" s="2" t="s">
        <v>157</v>
      </c>
      <c r="W320" s="2" t="s">
        <v>103</v>
      </c>
      <c r="X320" s="2" t="s">
        <v>257</v>
      </c>
      <c r="Y320" s="2" t="s">
        <v>1846</v>
      </c>
      <c r="Z320" s="4">
        <v>62</v>
      </c>
      <c r="AA320" s="4">
        <f>=ROUNDDOWN(62,0)</f>
      </c>
      <c r="AB320" s="5">
        <v>1</v>
      </c>
      <c r="AC320" s="2" t="s">
        <v>99</v>
      </c>
      <c r="AD320" s="4"/>
      <c r="AE320" s="4"/>
      <c r="AF320" s="6">
        <v>74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>
        <v>1</v>
      </c>
      <c r="AQ320" s="8">
        <v>199.3</v>
      </c>
      <c r="AR320" s="4"/>
      <c r="AS320" s="8"/>
      <c r="AT320" s="7"/>
      <c r="AU320" s="7"/>
      <c r="AV320" s="4">
        <v>1</v>
      </c>
      <c r="AW320" s="8">
        <v>199.3</v>
      </c>
      <c r="AX320" s="4"/>
      <c r="AY320" s="8"/>
      <c r="AZ320" s="7"/>
      <c r="BA320" s="7"/>
      <c r="BB320" s="7">
        <v>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0.5</v>
      </c>
      <c r="BJ320" s="4">
        <v>8</v>
      </c>
      <c r="BK320" s="8">
        <v>1468.51</v>
      </c>
      <c r="BL320" s="2" t="s">
        <v>1847</v>
      </c>
      <c r="BM320" s="7">
        <v>0.125</v>
      </c>
      <c r="BN320" s="7">
        <v>0.1357</v>
      </c>
      <c r="BO320" s="4">
        <v>1</v>
      </c>
      <c r="BP320" s="8">
        <v>199.3</v>
      </c>
      <c r="BQ320" s="4"/>
      <c r="BR320" s="8"/>
      <c r="BS320" s="7"/>
      <c r="BT320" s="7"/>
      <c r="BU320" s="2" t="s">
        <v>107</v>
      </c>
      <c r="BV320" s="2" t="s">
        <v>96</v>
      </c>
      <c r="BW320" s="2" t="s">
        <v>792</v>
      </c>
      <c r="BX320" s="2" t="s">
        <v>1848</v>
      </c>
      <c r="BY320" s="2" t="s">
        <v>109</v>
      </c>
      <c r="BZ320" s="2" t="s">
        <v>109</v>
      </c>
      <c r="CA320" s="2" t="s">
        <v>99</v>
      </c>
    </row>
    <row r="321">
      <c r="A321" s="2" t="s">
        <v>1849</v>
      </c>
      <c r="B321" s="2" t="s">
        <v>765</v>
      </c>
      <c r="C321" s="2" t="s">
        <v>740</v>
      </c>
      <c r="D321" s="2" t="s">
        <v>982</v>
      </c>
      <c r="E321" s="2" t="s">
        <v>983</v>
      </c>
      <c r="F321" s="2" t="s">
        <v>1850</v>
      </c>
      <c r="G321" s="2" t="s">
        <v>1850</v>
      </c>
      <c r="H321" s="2" t="s">
        <v>1850</v>
      </c>
      <c r="I321" s="2" t="s">
        <v>1851</v>
      </c>
      <c r="J321" s="2" t="s">
        <v>227</v>
      </c>
      <c r="K321" s="2" t="s">
        <v>1560</v>
      </c>
      <c r="L321" s="3">
        <v>260</v>
      </c>
      <c r="M321" s="3">
        <v>273</v>
      </c>
      <c r="N321" s="3">
        <v>549</v>
      </c>
      <c r="O321" s="2" t="s">
        <v>96</v>
      </c>
      <c r="P321" s="2" t="s">
        <v>188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100</v>
      </c>
      <c r="V321" s="2" t="s">
        <v>310</v>
      </c>
      <c r="W321" s="2" t="s">
        <v>330</v>
      </c>
      <c r="X321" s="2" t="s">
        <v>754</v>
      </c>
      <c r="Y321" s="2" t="s">
        <v>1852</v>
      </c>
      <c r="Z321" s="4">
        <v>2</v>
      </c>
      <c r="AA321" s="4">
        <f>=ROUNDDOWN(0.5,0)</f>
      </c>
      <c r="AB321" s="5">
        <v>4</v>
      </c>
      <c r="AC321" s="2" t="s">
        <v>99</v>
      </c>
      <c r="AD321" s="4"/>
      <c r="AE321" s="4"/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1</v>
      </c>
      <c r="AQ321" s="8">
        <v>294.84</v>
      </c>
      <c r="AR321" s="4"/>
      <c r="AS321" s="8"/>
      <c r="AT321" s="7"/>
      <c r="AU321" s="7"/>
      <c r="AV321" s="4">
        <v>1</v>
      </c>
      <c r="AW321" s="8">
        <v>294.84</v>
      </c>
      <c r="AX321" s="4"/>
      <c r="AY321" s="8"/>
      <c r="AZ321" s="7"/>
      <c r="BA321" s="7"/>
      <c r="BB321" s="7">
        <v>1</v>
      </c>
      <c r="BC321" s="4">
        <v>1</v>
      </c>
      <c r="BD321" s="8">
        <v>294.84</v>
      </c>
      <c r="BE321" s="4"/>
      <c r="BF321" s="8"/>
      <c r="BG321" s="7"/>
      <c r="BH321" s="7"/>
      <c r="BI321" s="7">
        <v>1</v>
      </c>
      <c r="BJ321" s="4">
        <v>12</v>
      </c>
      <c r="BK321" s="8">
        <v>3083.05</v>
      </c>
      <c r="BL321" s="2" t="s">
        <v>1853</v>
      </c>
      <c r="BM321" s="7">
        <v>0.0833</v>
      </c>
      <c r="BN321" s="7">
        <v>0.0956</v>
      </c>
      <c r="BO321" s="4">
        <v>1</v>
      </c>
      <c r="BP321" s="8">
        <v>294.84</v>
      </c>
      <c r="BQ321" s="4"/>
      <c r="BR321" s="8"/>
      <c r="BS321" s="7"/>
      <c r="BT321" s="7"/>
      <c r="BU321" s="2" t="s">
        <v>107</v>
      </c>
      <c r="BV321" s="2" t="s">
        <v>96</v>
      </c>
      <c r="BW321" s="2" t="s">
        <v>1353</v>
      </c>
      <c r="BX321" s="2" t="s">
        <v>1848</v>
      </c>
      <c r="BY321" s="2" t="s">
        <v>109</v>
      </c>
      <c r="BZ321" s="2" t="s">
        <v>109</v>
      </c>
      <c r="CA321" s="2" t="s">
        <v>99</v>
      </c>
    </row>
    <row r="322">
      <c r="A322" s="2" t="s">
        <v>1854</v>
      </c>
      <c r="B322" s="2" t="s">
        <v>765</v>
      </c>
      <c r="C322" s="2" t="s">
        <v>740</v>
      </c>
      <c r="D322" s="2" t="s">
        <v>982</v>
      </c>
      <c r="E322" s="2" t="s">
        <v>983</v>
      </c>
      <c r="F322" s="2" t="s">
        <v>1855</v>
      </c>
      <c r="G322" s="2" t="s">
        <v>1855</v>
      </c>
      <c r="H322" s="2" t="s">
        <v>1855</v>
      </c>
      <c r="I322" s="2" t="s">
        <v>1856</v>
      </c>
      <c r="J322" s="2" t="s">
        <v>227</v>
      </c>
      <c r="K322" s="2" t="s">
        <v>784</v>
      </c>
      <c r="L322" s="3">
        <v>215</v>
      </c>
      <c r="M322" s="3">
        <v>225.75</v>
      </c>
      <c r="N322" s="3">
        <v>449</v>
      </c>
      <c r="O322" s="2" t="s">
        <v>96</v>
      </c>
      <c r="P322" s="2" t="s">
        <v>131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100</v>
      </c>
      <c r="V322" s="2" t="s">
        <v>310</v>
      </c>
      <c r="W322" s="2" t="s">
        <v>362</v>
      </c>
      <c r="X322" s="2" t="s">
        <v>522</v>
      </c>
      <c r="Y322" s="2" t="s">
        <v>719</v>
      </c>
      <c r="Z322" s="4">
        <v>33</v>
      </c>
      <c r="AA322" s="4">
        <f>=ROUNDDOWN(6.6,0)</f>
      </c>
      <c r="AB322" s="5">
        <v>5</v>
      </c>
      <c r="AC322" s="2" t="s">
        <v>904</v>
      </c>
      <c r="AD322" s="4">
        <v>100</v>
      </c>
      <c r="AE322" s="4">
        <v>100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>
        <v>1</v>
      </c>
      <c r="AQ322" s="8">
        <v>243.81</v>
      </c>
      <c r="AR322" s="4"/>
      <c r="AS322" s="8"/>
      <c r="AT322" s="7"/>
      <c r="AU322" s="7"/>
      <c r="AV322" s="4">
        <v>1</v>
      </c>
      <c r="AW322" s="8">
        <v>243.81</v>
      </c>
      <c r="AX322" s="4"/>
      <c r="AY322" s="8"/>
      <c r="AZ322" s="7"/>
      <c r="BA322" s="7"/>
      <c r="BB322" s="7">
        <v>1</v>
      </c>
      <c r="BC322" s="4">
        <v>1</v>
      </c>
      <c r="BD322" s="8">
        <v>243.81</v>
      </c>
      <c r="BE322" s="4"/>
      <c r="BF322" s="8"/>
      <c r="BG322" s="7"/>
      <c r="BH322" s="7"/>
      <c r="BI322" s="7">
        <v>1</v>
      </c>
      <c r="BJ322" s="4">
        <v>33</v>
      </c>
      <c r="BK322" s="8">
        <v>7913.99</v>
      </c>
      <c r="BL322" s="2" t="s">
        <v>1857</v>
      </c>
      <c r="BM322" s="7">
        <v>0.0303</v>
      </c>
      <c r="BN322" s="7">
        <v>0.0308</v>
      </c>
      <c r="BO322" s="4">
        <v>1</v>
      </c>
      <c r="BP322" s="8">
        <v>243.81</v>
      </c>
      <c r="BQ322" s="4"/>
      <c r="BR322" s="8"/>
      <c r="BS322" s="7"/>
      <c r="BT322" s="7"/>
      <c r="BU322" s="2" t="s">
        <v>107</v>
      </c>
      <c r="BV322" s="2" t="s">
        <v>96</v>
      </c>
      <c r="BW322" s="2" t="s">
        <v>792</v>
      </c>
      <c r="BX322" s="2" t="s">
        <v>1858</v>
      </c>
      <c r="BY322" s="2" t="s">
        <v>109</v>
      </c>
      <c r="BZ322" s="2" t="s">
        <v>109</v>
      </c>
      <c r="CA322" s="2" t="s">
        <v>99</v>
      </c>
    </row>
    <row r="323">
      <c r="A323" s="2" t="s">
        <v>1859</v>
      </c>
      <c r="B323" s="2" t="s">
        <v>765</v>
      </c>
      <c r="C323" s="2" t="s">
        <v>740</v>
      </c>
      <c r="D323" s="2" t="s">
        <v>982</v>
      </c>
      <c r="E323" s="2" t="s">
        <v>983</v>
      </c>
      <c r="F323" s="2" t="s">
        <v>1860</v>
      </c>
      <c r="G323" s="2" t="s">
        <v>1860</v>
      </c>
      <c r="H323" s="2" t="s">
        <v>1860</v>
      </c>
      <c r="I323" s="2" t="s">
        <v>1861</v>
      </c>
      <c r="J323" s="2" t="s">
        <v>227</v>
      </c>
      <c r="K323" s="2" t="s">
        <v>274</v>
      </c>
      <c r="L323" s="3">
        <v>247.5</v>
      </c>
      <c r="M323" s="3">
        <v>259.88</v>
      </c>
      <c r="N323" s="3">
        <v>519</v>
      </c>
      <c r="O323" s="2" t="s">
        <v>96</v>
      </c>
      <c r="P323" s="2" t="s">
        <v>386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100</v>
      </c>
      <c r="V323" s="2" t="s">
        <v>157</v>
      </c>
      <c r="W323" s="2" t="s">
        <v>102</v>
      </c>
      <c r="X323" s="2" t="s">
        <v>257</v>
      </c>
      <c r="Y323" s="2" t="s">
        <v>1862</v>
      </c>
      <c r="Z323" s="4">
        <v>78</v>
      </c>
      <c r="AA323" s="4">
        <f>=ROUNDDOWN(13,0)</f>
      </c>
      <c r="AB323" s="5">
        <v>6</v>
      </c>
      <c r="AC323" s="2" t="s">
        <v>99</v>
      </c>
      <c r="AD323" s="4"/>
      <c r="AE323" s="4"/>
      <c r="AF323" s="6">
        <v>74</v>
      </c>
      <c r="AG323" s="6"/>
      <c r="AH323" s="7">
        <v>0.9655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/>
      <c r="BJ323" s="4">
        <v>54</v>
      </c>
      <c r="BK323" s="8">
        <v>11399.98</v>
      </c>
      <c r="BL323" s="2" t="s">
        <v>1863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122</v>
      </c>
      <c r="BW323" s="2" t="s">
        <v>99</v>
      </c>
      <c r="BX323" s="2" t="s">
        <v>99</v>
      </c>
      <c r="BY323" s="2" t="s">
        <v>109</v>
      </c>
      <c r="BZ323" s="2" t="s">
        <v>109</v>
      </c>
      <c r="CA323" s="2" t="s">
        <v>99</v>
      </c>
    </row>
    <row r="324">
      <c r="A324" s="2" t="s">
        <v>1864</v>
      </c>
      <c r="B324" s="2" t="s">
        <v>765</v>
      </c>
      <c r="C324" s="2" t="s">
        <v>740</v>
      </c>
      <c r="D324" s="2" t="s">
        <v>982</v>
      </c>
      <c r="E324" s="2" t="s">
        <v>983</v>
      </c>
      <c r="F324" s="2" t="s">
        <v>1860</v>
      </c>
      <c r="G324" s="2" t="s">
        <v>1860</v>
      </c>
      <c r="H324" s="2" t="s">
        <v>1860</v>
      </c>
      <c r="I324" s="2" t="s">
        <v>1861</v>
      </c>
      <c r="J324" s="2" t="s">
        <v>227</v>
      </c>
      <c r="K324" s="2" t="s">
        <v>887</v>
      </c>
      <c r="L324" s="3">
        <v>247.5</v>
      </c>
      <c r="M324" s="3">
        <v>259.88</v>
      </c>
      <c r="N324" s="3">
        <v>519</v>
      </c>
      <c r="O324" s="2" t="s">
        <v>96</v>
      </c>
      <c r="P324" s="2" t="s">
        <v>131</v>
      </c>
      <c r="Q324" s="2" t="s">
        <v>98</v>
      </c>
      <c r="R324" s="2" t="s">
        <v>99</v>
      </c>
      <c r="S324" s="2" t="s">
        <v>1865</v>
      </c>
      <c r="T324" s="2" t="s">
        <v>99</v>
      </c>
      <c r="U324" s="2" t="s">
        <v>100</v>
      </c>
      <c r="V324" s="2" t="s">
        <v>157</v>
      </c>
      <c r="W324" s="2" t="s">
        <v>103</v>
      </c>
      <c r="X324" s="2" t="s">
        <v>257</v>
      </c>
      <c r="Y324" s="2" t="s">
        <v>554</v>
      </c>
      <c r="Z324" s="4">
        <v>79</v>
      </c>
      <c r="AA324" s="4">
        <f>=ROUNDDOWN(7.9,0)</f>
      </c>
      <c r="AB324" s="5">
        <v>10</v>
      </c>
      <c r="AC324" s="2" t="s">
        <v>1866</v>
      </c>
      <c r="AD324" s="4">
        <v>100</v>
      </c>
      <c r="AE324" s="4">
        <v>100</v>
      </c>
      <c r="AF324" s="6">
        <v>74</v>
      </c>
      <c r="AG324" s="6"/>
      <c r="AH324" s="7">
        <v>0.8621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/>
      <c r="BJ324" s="4">
        <v>55</v>
      </c>
      <c r="BK324" s="8">
        <v>12044.73</v>
      </c>
      <c r="BL324" s="2" t="s">
        <v>1867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122</v>
      </c>
      <c r="BW324" s="2" t="s">
        <v>99</v>
      </c>
      <c r="BX324" s="2" t="s">
        <v>99</v>
      </c>
      <c r="BY324" s="2" t="s">
        <v>109</v>
      </c>
      <c r="BZ324" s="2" t="s">
        <v>109</v>
      </c>
      <c r="CA324" s="2" t="s">
        <v>99</v>
      </c>
    </row>
    <row r="325">
      <c r="A325" s="2" t="s">
        <v>1868</v>
      </c>
      <c r="B325" s="2" t="s">
        <v>765</v>
      </c>
      <c r="C325" s="2" t="s">
        <v>740</v>
      </c>
      <c r="D325" s="2" t="s">
        <v>982</v>
      </c>
      <c r="E325" s="2" t="s">
        <v>983</v>
      </c>
      <c r="F325" s="2" t="s">
        <v>1869</v>
      </c>
      <c r="G325" s="2" t="s">
        <v>1869</v>
      </c>
      <c r="H325" s="2" t="s">
        <v>1869</v>
      </c>
      <c r="I325" s="2" t="s">
        <v>1870</v>
      </c>
      <c r="J325" s="2" t="s">
        <v>227</v>
      </c>
      <c r="K325" s="2" t="s">
        <v>605</v>
      </c>
      <c r="L325" s="3">
        <v>256.5</v>
      </c>
      <c r="M325" s="3">
        <v>269.32</v>
      </c>
      <c r="N325" s="3">
        <v>549</v>
      </c>
      <c r="O325" s="2" t="s">
        <v>96</v>
      </c>
      <c r="P325" s="2" t="s">
        <v>131</v>
      </c>
      <c r="Q325" s="2" t="s">
        <v>98</v>
      </c>
      <c r="R325" s="2" t="s">
        <v>99</v>
      </c>
      <c r="S325" s="2" t="s">
        <v>1871</v>
      </c>
      <c r="T325" s="2" t="s">
        <v>99</v>
      </c>
      <c r="U325" s="2" t="s">
        <v>100</v>
      </c>
      <c r="V325" s="2" t="s">
        <v>310</v>
      </c>
      <c r="W325" s="2" t="s">
        <v>362</v>
      </c>
      <c r="X325" s="2" t="s">
        <v>522</v>
      </c>
      <c r="Y325" s="2" t="s">
        <v>1872</v>
      </c>
      <c r="Z325" s="4">
        <v>118</v>
      </c>
      <c r="AA325" s="4">
        <f>=ROUNDDOWN(19.6666666666667,0)</f>
      </c>
      <c r="AB325" s="5">
        <v>6</v>
      </c>
      <c r="AC325" s="2" t="s">
        <v>147</v>
      </c>
      <c r="AD325" s="4">
        <v>100</v>
      </c>
      <c r="AE325" s="4">
        <v>100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/>
      <c r="BJ325" s="4">
        <v>16</v>
      </c>
      <c r="BK325" s="8">
        <v>3501.96</v>
      </c>
      <c r="BL325" s="2" t="s">
        <v>1873</v>
      </c>
      <c r="BM325" s="7"/>
      <c r="BN325" s="7"/>
      <c r="BO325" s="4"/>
      <c r="BP325" s="8"/>
      <c r="BQ325" s="4"/>
      <c r="BR325" s="8"/>
      <c r="BS325" s="7"/>
      <c r="BT325" s="7"/>
      <c r="BU325" s="2" t="s">
        <v>107</v>
      </c>
      <c r="BV325" s="2" t="s">
        <v>122</v>
      </c>
      <c r="BW325" s="2" t="s">
        <v>99</v>
      </c>
      <c r="BX325" s="2" t="s">
        <v>1874</v>
      </c>
      <c r="BY325" s="2" t="s">
        <v>109</v>
      </c>
      <c r="BZ325" s="2" t="s">
        <v>109</v>
      </c>
      <c r="CA325" s="2" t="s">
        <v>99</v>
      </c>
    </row>
    <row r="326">
      <c r="A326" s="2" t="s">
        <v>1875</v>
      </c>
      <c r="B326" s="2" t="s">
        <v>765</v>
      </c>
      <c r="C326" s="2" t="s">
        <v>740</v>
      </c>
      <c r="D326" s="2" t="s">
        <v>982</v>
      </c>
      <c r="E326" s="2" t="s">
        <v>983</v>
      </c>
      <c r="F326" s="2" t="s">
        <v>1869</v>
      </c>
      <c r="G326" s="2" t="s">
        <v>1869</v>
      </c>
      <c r="H326" s="2" t="s">
        <v>1869</v>
      </c>
      <c r="I326" s="2" t="s">
        <v>1870</v>
      </c>
      <c r="J326" s="2" t="s">
        <v>227</v>
      </c>
      <c r="K326" s="2" t="s">
        <v>234</v>
      </c>
      <c r="L326" s="3">
        <v>256.5</v>
      </c>
      <c r="M326" s="3">
        <v>269.32</v>
      </c>
      <c r="N326" s="3">
        <v>549</v>
      </c>
      <c r="O326" s="2" t="s">
        <v>96</v>
      </c>
      <c r="P326" s="2" t="s">
        <v>131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100</v>
      </c>
      <c r="V326" s="2" t="s">
        <v>310</v>
      </c>
      <c r="W326" s="2" t="s">
        <v>158</v>
      </c>
      <c r="X326" s="2" t="s">
        <v>522</v>
      </c>
      <c r="Y326" s="2" t="s">
        <v>1876</v>
      </c>
      <c r="Z326" s="4">
        <v>100</v>
      </c>
      <c r="AA326" s="4">
        <f>=ROUNDDOWN(14.2857142857143,0)</f>
      </c>
      <c r="AB326" s="5">
        <v>7</v>
      </c>
      <c r="AC326" s="2" t="s">
        <v>1877</v>
      </c>
      <c r="AD326" s="4">
        <v>100</v>
      </c>
      <c r="AE326" s="4">
        <v>100</v>
      </c>
      <c r="AF326" s="6">
        <v>74</v>
      </c>
      <c r="AG326" s="6">
        <v>60</v>
      </c>
      <c r="AH326" s="7">
        <v>0.1034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/>
      <c r="BJ326" s="4"/>
      <c r="BK326" s="8"/>
      <c r="BL326" s="2" t="s">
        <v>99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122</v>
      </c>
      <c r="BW326" s="2" t="s">
        <v>99</v>
      </c>
      <c r="BX326" s="2" t="s">
        <v>99</v>
      </c>
      <c r="BY326" s="2" t="s">
        <v>109</v>
      </c>
      <c r="BZ326" s="2" t="s">
        <v>109</v>
      </c>
      <c r="CA326" s="2" t="s">
        <v>99</v>
      </c>
    </row>
    <row r="327">
      <c r="A327" s="2" t="s">
        <v>1878</v>
      </c>
      <c r="B327" s="2" t="s">
        <v>765</v>
      </c>
      <c r="C327" s="2" t="s">
        <v>740</v>
      </c>
      <c r="D327" s="2" t="s">
        <v>982</v>
      </c>
      <c r="E327" s="2" t="s">
        <v>983</v>
      </c>
      <c r="F327" s="2" t="s">
        <v>1879</v>
      </c>
      <c r="G327" s="2" t="s">
        <v>1879</v>
      </c>
      <c r="H327" s="2" t="s">
        <v>1879</v>
      </c>
      <c r="I327" s="2" t="s">
        <v>1065</v>
      </c>
      <c r="J327" s="2" t="s">
        <v>1709</v>
      </c>
      <c r="K327" s="2" t="s">
        <v>805</v>
      </c>
      <c r="L327" s="3">
        <v>250</v>
      </c>
      <c r="M327" s="3">
        <v>262.5</v>
      </c>
      <c r="N327" s="3">
        <v>519</v>
      </c>
      <c r="O327" s="2" t="s">
        <v>443</v>
      </c>
      <c r="P327" s="2" t="s">
        <v>188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99</v>
      </c>
      <c r="V327" s="2" t="s">
        <v>157</v>
      </c>
      <c r="W327" s="2" t="s">
        <v>102</v>
      </c>
      <c r="X327" s="2" t="s">
        <v>257</v>
      </c>
      <c r="Y327" s="2" t="s">
        <v>1880</v>
      </c>
      <c r="Z327" s="4">
        <v>31</v>
      </c>
      <c r="AA327" s="4">
        <f>=ROUNDDOWN(77.5,0)</f>
      </c>
      <c r="AB327" s="5">
        <v>0.4</v>
      </c>
      <c r="AC327" s="2" t="s">
        <v>99</v>
      </c>
      <c r="AD327" s="4"/>
      <c r="AE327" s="4"/>
      <c r="AF327" s="6">
        <v>66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99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96</v>
      </c>
      <c r="BW327" s="2" t="s">
        <v>1093</v>
      </c>
      <c r="BX327" s="2" t="s">
        <v>1881</v>
      </c>
      <c r="BY327" s="2" t="s">
        <v>109</v>
      </c>
      <c r="BZ327" s="2" t="s">
        <v>109</v>
      </c>
      <c r="CA327" s="2" t="s">
        <v>99</v>
      </c>
    </row>
    <row r="328">
      <c r="A328" s="2" t="s">
        <v>1882</v>
      </c>
      <c r="B328" s="2" t="s">
        <v>765</v>
      </c>
      <c r="C328" s="2" t="s">
        <v>740</v>
      </c>
      <c r="D328" s="2" t="s">
        <v>982</v>
      </c>
      <c r="E328" s="2" t="s">
        <v>644</v>
      </c>
      <c r="F328" s="2" t="s">
        <v>1883</v>
      </c>
      <c r="G328" s="2" t="s">
        <v>1883</v>
      </c>
      <c r="H328" s="2" t="s">
        <v>1883</v>
      </c>
      <c r="I328" s="2" t="s">
        <v>1065</v>
      </c>
      <c r="J328" s="2" t="s">
        <v>227</v>
      </c>
      <c r="K328" s="2" t="s">
        <v>1884</v>
      </c>
      <c r="L328" s="3">
        <v>190</v>
      </c>
      <c r="M328" s="3">
        <v>199.5</v>
      </c>
      <c r="N328" s="3">
        <v>399</v>
      </c>
      <c r="O328" s="2" t="s">
        <v>96</v>
      </c>
      <c r="P328" s="2" t="s">
        <v>317</v>
      </c>
      <c r="Q328" s="2" t="s">
        <v>98</v>
      </c>
      <c r="R328" s="2" t="s">
        <v>99</v>
      </c>
      <c r="S328" s="2" t="s">
        <v>99</v>
      </c>
      <c r="T328" s="2" t="s">
        <v>1278</v>
      </c>
      <c r="U328" s="2" t="s">
        <v>99</v>
      </c>
      <c r="V328" s="2" t="s">
        <v>1885</v>
      </c>
      <c r="W328" s="2" t="s">
        <v>466</v>
      </c>
      <c r="X328" s="2" t="s">
        <v>522</v>
      </c>
      <c r="Y328" s="2" t="s">
        <v>806</v>
      </c>
      <c r="Z328" s="4">
        <v>86</v>
      </c>
      <c r="AA328" s="4">
        <f>=ROUNDDOWN(21.5,0)</f>
      </c>
      <c r="AB328" s="5">
        <v>4</v>
      </c>
      <c r="AC328" s="2" t="s">
        <v>99</v>
      </c>
      <c r="AD328" s="4"/>
      <c r="AE328" s="4"/>
      <c r="AF328" s="6">
        <v>74</v>
      </c>
      <c r="AG328" s="6"/>
      <c r="AH328" s="7">
        <v>0.6897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8</v>
      </c>
      <c r="BK328" s="8">
        <v>1613.53</v>
      </c>
      <c r="BL328" s="2" t="s">
        <v>1082</v>
      </c>
      <c r="BM328" s="7"/>
      <c r="BN328" s="7"/>
      <c r="BO328" s="4"/>
      <c r="BP328" s="8"/>
      <c r="BQ328" s="4"/>
      <c r="BR328" s="8"/>
      <c r="BS328" s="7"/>
      <c r="BT328" s="7"/>
      <c r="BU328" s="2" t="s">
        <v>645</v>
      </c>
      <c r="BV328" s="2" t="s">
        <v>96</v>
      </c>
      <c r="BW328" s="2" t="s">
        <v>99</v>
      </c>
      <c r="BX328" s="2" t="s">
        <v>99</v>
      </c>
      <c r="BY328" s="2" t="s">
        <v>109</v>
      </c>
      <c r="BZ328" s="2" t="s">
        <v>109</v>
      </c>
      <c r="CA328" s="2" t="s">
        <v>99</v>
      </c>
    </row>
    <row r="329">
      <c r="A329" s="2" t="s">
        <v>1886</v>
      </c>
      <c r="B329" s="2" t="s">
        <v>765</v>
      </c>
      <c r="C329" s="2" t="s">
        <v>740</v>
      </c>
      <c r="D329" s="2" t="s">
        <v>1593</v>
      </c>
      <c r="E329" s="2" t="s">
        <v>1594</v>
      </c>
      <c r="F329" s="2" t="s">
        <v>1770</v>
      </c>
      <c r="G329" s="2" t="s">
        <v>1770</v>
      </c>
      <c r="H329" s="2" t="s">
        <v>1770</v>
      </c>
      <c r="I329" s="2" t="s">
        <v>1887</v>
      </c>
      <c r="J329" s="2" t="s">
        <v>227</v>
      </c>
      <c r="K329" s="2" t="s">
        <v>1839</v>
      </c>
      <c r="L329" s="3">
        <v>278</v>
      </c>
      <c r="M329" s="3">
        <v>291.9</v>
      </c>
      <c r="N329" s="3">
        <v>599</v>
      </c>
      <c r="O329" s="2" t="s">
        <v>96</v>
      </c>
      <c r="P329" s="2" t="s">
        <v>188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100</v>
      </c>
      <c r="V329" s="2" t="s">
        <v>310</v>
      </c>
      <c r="W329" s="2" t="s">
        <v>330</v>
      </c>
      <c r="X329" s="2" t="s">
        <v>754</v>
      </c>
      <c r="Y329" s="2" t="s">
        <v>1185</v>
      </c>
      <c r="Z329" s="4">
        <v>2</v>
      </c>
      <c r="AA329" s="4">
        <f>=ROUNDDOWN(0.740740740740741,0)</f>
      </c>
      <c r="AB329" s="5">
        <v>2.7</v>
      </c>
      <c r="AC329" s="2" t="s">
        <v>99</v>
      </c>
      <c r="AD329" s="4"/>
      <c r="AE329" s="4"/>
      <c r="AF329" s="6">
        <v>74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>
        <v>7</v>
      </c>
      <c r="AQ329" s="8">
        <v>2206.75</v>
      </c>
      <c r="AR329" s="4"/>
      <c r="AS329" s="8"/>
      <c r="AT329" s="7"/>
      <c r="AU329" s="7"/>
      <c r="AV329" s="4">
        <v>7</v>
      </c>
      <c r="AW329" s="8">
        <v>2206.75</v>
      </c>
      <c r="AX329" s="4"/>
      <c r="AY329" s="8"/>
      <c r="AZ329" s="7"/>
      <c r="BA329" s="7"/>
      <c r="BB329" s="7">
        <v>1</v>
      </c>
      <c r="BC329" s="4">
        <v>7</v>
      </c>
      <c r="BD329" s="8">
        <v>2206.75</v>
      </c>
      <c r="BE329" s="4"/>
      <c r="BF329" s="8"/>
      <c r="BG329" s="7"/>
      <c r="BH329" s="7"/>
      <c r="BI329" s="7">
        <v>1</v>
      </c>
      <c r="BJ329" s="4">
        <v>20</v>
      </c>
      <c r="BK329" s="8">
        <v>6220.68</v>
      </c>
      <c r="BL329" s="2" t="s">
        <v>1888</v>
      </c>
      <c r="BM329" s="7">
        <v>0.35</v>
      </c>
      <c r="BN329" s="7">
        <v>0.3547</v>
      </c>
      <c r="BO329" s="4">
        <v>7</v>
      </c>
      <c r="BP329" s="8">
        <v>2206.75</v>
      </c>
      <c r="BQ329" s="4"/>
      <c r="BR329" s="8"/>
      <c r="BS329" s="7"/>
      <c r="BT329" s="7"/>
      <c r="BU329" s="2" t="s">
        <v>107</v>
      </c>
      <c r="BV329" s="2" t="s">
        <v>96</v>
      </c>
      <c r="BW329" s="2" t="s">
        <v>1840</v>
      </c>
      <c r="BX329" s="2" t="s">
        <v>1181</v>
      </c>
      <c r="BY329" s="2" t="s">
        <v>109</v>
      </c>
      <c r="BZ329" s="2" t="s">
        <v>109</v>
      </c>
      <c r="CA329" s="2" t="s">
        <v>99</v>
      </c>
    </row>
    <row r="330">
      <c r="A330" s="2" t="s">
        <v>1889</v>
      </c>
      <c r="B330" s="2" t="s">
        <v>765</v>
      </c>
      <c r="C330" s="2" t="s">
        <v>740</v>
      </c>
      <c r="D330" s="2" t="s">
        <v>1437</v>
      </c>
      <c r="E330" s="2" t="s">
        <v>1438</v>
      </c>
      <c r="F330" s="2" t="s">
        <v>1824</v>
      </c>
      <c r="G330" s="2" t="s">
        <v>1824</v>
      </c>
      <c r="H330" s="2" t="s">
        <v>1824</v>
      </c>
      <c r="I330" s="2" t="s">
        <v>1890</v>
      </c>
      <c r="J330" s="2" t="s">
        <v>219</v>
      </c>
      <c r="K330" s="2" t="s">
        <v>1099</v>
      </c>
      <c r="L330" s="3">
        <v>285</v>
      </c>
      <c r="M330" s="3">
        <v>299.25</v>
      </c>
      <c r="N330" s="3">
        <v>599</v>
      </c>
      <c r="O330" s="2" t="s">
        <v>96</v>
      </c>
      <c r="P330" s="2" t="s">
        <v>135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210</v>
      </c>
      <c r="V330" s="2" t="s">
        <v>157</v>
      </c>
      <c r="W330" s="2" t="s">
        <v>362</v>
      </c>
      <c r="X330" s="2" t="s">
        <v>522</v>
      </c>
      <c r="Y330" s="2" t="s">
        <v>1891</v>
      </c>
      <c r="Z330" s="4">
        <v>210</v>
      </c>
      <c r="AA330" s="4">
        <f>=ROUNDDOWN(11.6666666666667,0)</f>
      </c>
      <c r="AB330" s="5">
        <v>18</v>
      </c>
      <c r="AC330" s="2" t="s">
        <v>1368</v>
      </c>
      <c r="AD330" s="4">
        <v>50</v>
      </c>
      <c r="AE330" s="4">
        <v>220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2</v>
      </c>
      <c r="AQ330" s="8">
        <v>646.38</v>
      </c>
      <c r="AR330" s="4"/>
      <c r="AS330" s="8"/>
      <c r="AT330" s="7"/>
      <c r="AU330" s="7"/>
      <c r="AV330" s="4">
        <v>2</v>
      </c>
      <c r="AW330" s="8">
        <v>646.38</v>
      </c>
      <c r="AX330" s="4"/>
      <c r="AY330" s="8"/>
      <c r="AZ330" s="7"/>
      <c r="BA330" s="7"/>
      <c r="BB330" s="7">
        <v>1</v>
      </c>
      <c r="BC330" s="4">
        <v>5</v>
      </c>
      <c r="BD330" s="8">
        <v>1615.95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0.4</v>
      </c>
      <c r="BJ330" s="4">
        <v>112</v>
      </c>
      <c r="BK330" s="8">
        <v>27910.37</v>
      </c>
      <c r="BL330" s="2" t="s">
        <v>802</v>
      </c>
      <c r="BM330" s="7">
        <v>0.0179</v>
      </c>
      <c r="BN330" s="7">
        <v>0.0232</v>
      </c>
      <c r="BO330" s="4">
        <v>2</v>
      </c>
      <c r="BP330" s="8">
        <v>646.38</v>
      </c>
      <c r="BQ330" s="4"/>
      <c r="BR330" s="8"/>
      <c r="BS330" s="7"/>
      <c r="BT330" s="7"/>
      <c r="BU330" s="2" t="s">
        <v>107</v>
      </c>
      <c r="BV330" s="2" t="s">
        <v>96</v>
      </c>
      <c r="BW330" s="2" t="s">
        <v>1047</v>
      </c>
      <c r="BX330" s="2" t="s">
        <v>1892</v>
      </c>
      <c r="BY330" s="2" t="s">
        <v>109</v>
      </c>
      <c r="BZ330" s="2" t="s">
        <v>109</v>
      </c>
      <c r="CA330" s="2" t="s">
        <v>99</v>
      </c>
    </row>
    <row r="331">
      <c r="A331" s="2" t="s">
        <v>1893</v>
      </c>
      <c r="B331" s="2" t="s">
        <v>765</v>
      </c>
      <c r="C331" s="2" t="s">
        <v>740</v>
      </c>
      <c r="D331" s="2" t="s">
        <v>1437</v>
      </c>
      <c r="E331" s="2" t="s">
        <v>1438</v>
      </c>
      <c r="F331" s="2" t="s">
        <v>1824</v>
      </c>
      <c r="G331" s="2" t="s">
        <v>1824</v>
      </c>
      <c r="H331" s="2" t="s">
        <v>1824</v>
      </c>
      <c r="I331" s="2" t="s">
        <v>1890</v>
      </c>
      <c r="J331" s="2" t="s">
        <v>219</v>
      </c>
      <c r="K331" s="2" t="s">
        <v>887</v>
      </c>
      <c r="L331" s="3">
        <v>285</v>
      </c>
      <c r="M331" s="3">
        <v>299.25</v>
      </c>
      <c r="N331" s="3">
        <v>599</v>
      </c>
      <c r="O331" s="2" t="s">
        <v>96</v>
      </c>
      <c r="P331" s="2" t="s">
        <v>386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210</v>
      </c>
      <c r="V331" s="2" t="s">
        <v>157</v>
      </c>
      <c r="W331" s="2" t="s">
        <v>362</v>
      </c>
      <c r="X331" s="2" t="s">
        <v>522</v>
      </c>
      <c r="Y331" s="2" t="s">
        <v>678</v>
      </c>
      <c r="Z331" s="4">
        <v>23</v>
      </c>
      <c r="AA331" s="4">
        <f>=ROUNDDOWN(5.8974358974359,0)</f>
      </c>
      <c r="AB331" s="5">
        <v>3.9</v>
      </c>
      <c r="AC331" s="2" t="s">
        <v>1894</v>
      </c>
      <c r="AD331" s="4">
        <v>69</v>
      </c>
      <c r="AE331" s="4">
        <v>69</v>
      </c>
      <c r="AF331" s="6">
        <v>74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>
        <v>2</v>
      </c>
      <c r="AQ331" s="8">
        <v>646.38</v>
      </c>
      <c r="AR331" s="4"/>
      <c r="AS331" s="8"/>
      <c r="AT331" s="7"/>
      <c r="AU331" s="7"/>
      <c r="AV331" s="4">
        <v>2</v>
      </c>
      <c r="AW331" s="8">
        <v>646.38</v>
      </c>
      <c r="AX331" s="4"/>
      <c r="AY331" s="8"/>
      <c r="AZ331" s="7"/>
      <c r="BA331" s="7"/>
      <c r="BB331" s="7">
        <v>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0.4</v>
      </c>
      <c r="BJ331" s="4">
        <v>40</v>
      </c>
      <c r="BK331" s="8">
        <v>9413.24</v>
      </c>
      <c r="BL331" s="2" t="s">
        <v>144</v>
      </c>
      <c r="BM331" s="7">
        <v>0.05</v>
      </c>
      <c r="BN331" s="7">
        <v>0.0687</v>
      </c>
      <c r="BO331" s="4">
        <v>2</v>
      </c>
      <c r="BP331" s="8">
        <v>646.38</v>
      </c>
      <c r="BQ331" s="4"/>
      <c r="BR331" s="8"/>
      <c r="BS331" s="7"/>
      <c r="BT331" s="7"/>
      <c r="BU331" s="2" t="s">
        <v>107</v>
      </c>
      <c r="BV331" s="2" t="s">
        <v>96</v>
      </c>
      <c r="BW331" s="2" t="s">
        <v>792</v>
      </c>
      <c r="BX331" s="2" t="s">
        <v>1895</v>
      </c>
      <c r="BY331" s="2" t="s">
        <v>109</v>
      </c>
      <c r="BZ331" s="2" t="s">
        <v>109</v>
      </c>
      <c r="CA331" s="2" t="s">
        <v>99</v>
      </c>
    </row>
    <row r="332">
      <c r="A332" s="2" t="s">
        <v>1896</v>
      </c>
      <c r="B332" s="2" t="s">
        <v>765</v>
      </c>
      <c r="C332" s="2" t="s">
        <v>740</v>
      </c>
      <c r="D332" s="2" t="s">
        <v>1437</v>
      </c>
      <c r="E332" s="2" t="s">
        <v>1438</v>
      </c>
      <c r="F332" s="2" t="s">
        <v>1824</v>
      </c>
      <c r="G332" s="2" t="s">
        <v>1824</v>
      </c>
      <c r="H332" s="2" t="s">
        <v>1824</v>
      </c>
      <c r="I332" s="2" t="s">
        <v>1890</v>
      </c>
      <c r="J332" s="2" t="s">
        <v>219</v>
      </c>
      <c r="K332" s="2" t="s">
        <v>805</v>
      </c>
      <c r="L332" s="3">
        <v>285</v>
      </c>
      <c r="M332" s="3">
        <v>299.25</v>
      </c>
      <c r="N332" s="3">
        <v>599</v>
      </c>
      <c r="O332" s="2" t="s">
        <v>96</v>
      </c>
      <c r="P332" s="2" t="s">
        <v>97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210</v>
      </c>
      <c r="V332" s="2" t="s">
        <v>157</v>
      </c>
      <c r="W332" s="2" t="s">
        <v>362</v>
      </c>
      <c r="X332" s="2" t="s">
        <v>522</v>
      </c>
      <c r="Y332" s="2" t="s">
        <v>1897</v>
      </c>
      <c r="Z332" s="4">
        <v>166</v>
      </c>
      <c r="AA332" s="4">
        <f>=ROUNDDOWN(7.90476190476191,0)</f>
      </c>
      <c r="AB332" s="5">
        <v>21</v>
      </c>
      <c r="AC332" s="2" t="s">
        <v>1368</v>
      </c>
      <c r="AD332" s="4">
        <v>80</v>
      </c>
      <c r="AE332" s="4">
        <v>152</v>
      </c>
      <c r="AF332" s="6">
        <v>74</v>
      </c>
      <c r="AG332" s="6">
        <v>60</v>
      </c>
      <c r="AH332" s="7">
        <v>0.931</v>
      </c>
      <c r="AI332" s="4"/>
      <c r="AJ332" s="4">
        <f>=ROUNDDOWN({0},0)</f>
      </c>
      <c r="AK332" s="5"/>
      <c r="AL332" s="2" t="s">
        <v>1898</v>
      </c>
      <c r="AM332" s="4">
        <v>48</v>
      </c>
      <c r="AN332" s="4">
        <v>158</v>
      </c>
      <c r="AO332" s="7"/>
      <c r="AP332" s="4">
        <v>1</v>
      </c>
      <c r="AQ332" s="8">
        <v>323.19</v>
      </c>
      <c r="AR332" s="4"/>
      <c r="AS332" s="8"/>
      <c r="AT332" s="7"/>
      <c r="AU332" s="7"/>
      <c r="AV332" s="4">
        <v>1</v>
      </c>
      <c r="AW332" s="8">
        <v>323.19</v>
      </c>
      <c r="AX332" s="4"/>
      <c r="AY332" s="8"/>
      <c r="AZ332" s="7"/>
      <c r="BA332" s="7"/>
      <c r="BB332" s="7">
        <v>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0.2</v>
      </c>
      <c r="BJ332" s="4">
        <v>93</v>
      </c>
      <c r="BK332" s="8">
        <v>24404.54</v>
      </c>
      <c r="BL332" s="2" t="s">
        <v>1899</v>
      </c>
      <c r="BM332" s="7">
        <v>0.0108</v>
      </c>
      <c r="BN332" s="7">
        <v>0.0132</v>
      </c>
      <c r="BO332" s="4">
        <v>1</v>
      </c>
      <c r="BP332" s="8">
        <v>323.19</v>
      </c>
      <c r="BQ332" s="4"/>
      <c r="BR332" s="8"/>
      <c r="BS332" s="7"/>
      <c r="BT332" s="7"/>
      <c r="BU332" s="2" t="s">
        <v>107</v>
      </c>
      <c r="BV332" s="2" t="s">
        <v>96</v>
      </c>
      <c r="BW332" s="2" t="s">
        <v>1047</v>
      </c>
      <c r="BX332" s="2" t="s">
        <v>1446</v>
      </c>
      <c r="BY332" s="2" t="s">
        <v>109</v>
      </c>
      <c r="BZ332" s="2" t="s">
        <v>109</v>
      </c>
      <c r="CA332" s="2" t="s">
        <v>99</v>
      </c>
    </row>
    <row r="333">
      <c r="A333" s="2" t="s">
        <v>1900</v>
      </c>
      <c r="B333" s="2" t="s">
        <v>765</v>
      </c>
      <c r="C333" s="2" t="s">
        <v>740</v>
      </c>
      <c r="D333" s="2" t="s">
        <v>1437</v>
      </c>
      <c r="E333" s="2" t="s">
        <v>1438</v>
      </c>
      <c r="F333" s="2" t="s">
        <v>1679</v>
      </c>
      <c r="G333" s="2" t="s">
        <v>1679</v>
      </c>
      <c r="H333" s="2" t="s">
        <v>1679</v>
      </c>
      <c r="I333" s="2" t="s">
        <v>1901</v>
      </c>
      <c r="J333" s="2" t="s">
        <v>227</v>
      </c>
      <c r="K333" s="2" t="s">
        <v>605</v>
      </c>
      <c r="L333" s="3">
        <v>167</v>
      </c>
      <c r="M333" s="3">
        <v>175.35</v>
      </c>
      <c r="N333" s="3">
        <v>349</v>
      </c>
      <c r="O333" s="2" t="s">
        <v>96</v>
      </c>
      <c r="P333" s="2" t="s">
        <v>317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100</v>
      </c>
      <c r="V333" s="2" t="s">
        <v>644</v>
      </c>
      <c r="W333" s="2" t="s">
        <v>466</v>
      </c>
      <c r="X333" s="2" t="s">
        <v>522</v>
      </c>
      <c r="Y333" s="2" t="s">
        <v>806</v>
      </c>
      <c r="Z333" s="4">
        <v>270</v>
      </c>
      <c r="AA333" s="4">
        <f>=ROUNDDOWN(38.5714285714286,0)</f>
      </c>
      <c r="AB333" s="5">
        <v>7</v>
      </c>
      <c r="AC333" s="2" t="s">
        <v>99</v>
      </c>
      <c r="AD333" s="4"/>
      <c r="AE333" s="4"/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3</v>
      </c>
      <c r="AQ333" s="8">
        <v>568.14</v>
      </c>
      <c r="AR333" s="4"/>
      <c r="AS333" s="8"/>
      <c r="AT333" s="7"/>
      <c r="AU333" s="7"/>
      <c r="AV333" s="4">
        <v>3</v>
      </c>
      <c r="AW333" s="8">
        <v>568.14</v>
      </c>
      <c r="AX333" s="4"/>
      <c r="AY333" s="8"/>
      <c r="AZ333" s="7"/>
      <c r="BA333" s="7"/>
      <c r="BB333" s="7">
        <v>1</v>
      </c>
      <c r="BC333" s="4">
        <v>3</v>
      </c>
      <c r="BD333" s="8">
        <v>568.14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1</v>
      </c>
      <c r="BJ333" s="4">
        <v>45</v>
      </c>
      <c r="BK333" s="8">
        <v>6895.44</v>
      </c>
      <c r="BL333" s="2" t="s">
        <v>1902</v>
      </c>
      <c r="BM333" s="7">
        <v>0.0667</v>
      </c>
      <c r="BN333" s="7">
        <v>0.0824</v>
      </c>
      <c r="BO333" s="4">
        <v>3</v>
      </c>
      <c r="BP333" s="8">
        <v>568.14</v>
      </c>
      <c r="BQ333" s="4"/>
      <c r="BR333" s="8"/>
      <c r="BS333" s="7"/>
      <c r="BT333" s="7"/>
      <c r="BU333" s="2" t="s">
        <v>645</v>
      </c>
      <c r="BV333" s="2" t="s">
        <v>96</v>
      </c>
      <c r="BW333" s="2" t="s">
        <v>99</v>
      </c>
      <c r="BX333" s="2" t="s">
        <v>99</v>
      </c>
      <c r="BY333" s="2" t="s">
        <v>109</v>
      </c>
      <c r="BZ333" s="2" t="s">
        <v>109</v>
      </c>
      <c r="CA333" s="2" t="s">
        <v>99</v>
      </c>
    </row>
    <row r="334">
      <c r="A334" s="2" t="s">
        <v>1903</v>
      </c>
      <c r="B334" s="2" t="s">
        <v>765</v>
      </c>
      <c r="C334" s="2" t="s">
        <v>740</v>
      </c>
      <c r="D334" s="2" t="s">
        <v>1437</v>
      </c>
      <c r="E334" s="2" t="s">
        <v>1438</v>
      </c>
      <c r="F334" s="2" t="s">
        <v>1679</v>
      </c>
      <c r="G334" s="2" t="s">
        <v>1679</v>
      </c>
      <c r="H334" s="2" t="s">
        <v>1679</v>
      </c>
      <c r="I334" s="2" t="s">
        <v>1901</v>
      </c>
      <c r="J334" s="2" t="s">
        <v>227</v>
      </c>
      <c r="K334" s="2" t="s">
        <v>228</v>
      </c>
      <c r="L334" s="3">
        <v>167</v>
      </c>
      <c r="M334" s="3">
        <v>175.35</v>
      </c>
      <c r="N334" s="3">
        <v>349</v>
      </c>
      <c r="O334" s="2" t="s">
        <v>96</v>
      </c>
      <c r="P334" s="2" t="s">
        <v>317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100</v>
      </c>
      <c r="V334" s="2" t="s">
        <v>157</v>
      </c>
      <c r="W334" s="2" t="s">
        <v>466</v>
      </c>
      <c r="X334" s="2" t="s">
        <v>522</v>
      </c>
      <c r="Y334" s="2" t="s">
        <v>1904</v>
      </c>
      <c r="Z334" s="4">
        <v>76</v>
      </c>
      <c r="AA334" s="4">
        <f>=ROUNDDOWN(19,0)</f>
      </c>
      <c r="AB334" s="5">
        <v>4</v>
      </c>
      <c r="AC334" s="2" t="s">
        <v>1101</v>
      </c>
      <c r="AD334" s="4">
        <v>50</v>
      </c>
      <c r="AE334" s="4">
        <v>50</v>
      </c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>
        <v>3</v>
      </c>
      <c r="BK334" s="8">
        <v>573.39</v>
      </c>
      <c r="BL334" s="2" t="s">
        <v>751</v>
      </c>
      <c r="BM334" s="7"/>
      <c r="BN334" s="7"/>
      <c r="BO334" s="4"/>
      <c r="BP334" s="8"/>
      <c r="BQ334" s="4"/>
      <c r="BR334" s="8"/>
      <c r="BS334" s="7"/>
      <c r="BT334" s="7"/>
      <c r="BU334" s="2" t="s">
        <v>645</v>
      </c>
      <c r="BV334" s="2" t="s">
        <v>96</v>
      </c>
      <c r="BW334" s="2" t="s">
        <v>99</v>
      </c>
      <c r="BX334" s="2" t="s">
        <v>99</v>
      </c>
      <c r="BY334" s="2" t="s">
        <v>109</v>
      </c>
      <c r="BZ334" s="2" t="s">
        <v>109</v>
      </c>
      <c r="CA334" s="2" t="s">
        <v>99</v>
      </c>
    </row>
    <row r="335">
      <c r="A335" s="2" t="s">
        <v>1905</v>
      </c>
      <c r="B335" s="2" t="s">
        <v>765</v>
      </c>
      <c r="C335" s="2" t="s">
        <v>740</v>
      </c>
      <c r="D335" s="2" t="s">
        <v>1437</v>
      </c>
      <c r="E335" s="2" t="s">
        <v>1438</v>
      </c>
      <c r="F335" s="2" t="s">
        <v>1679</v>
      </c>
      <c r="G335" s="2" t="s">
        <v>1679</v>
      </c>
      <c r="H335" s="2" t="s">
        <v>1679</v>
      </c>
      <c r="I335" s="2" t="s">
        <v>1901</v>
      </c>
      <c r="J335" s="2" t="s">
        <v>227</v>
      </c>
      <c r="K335" s="2" t="s">
        <v>805</v>
      </c>
      <c r="L335" s="3">
        <v>167</v>
      </c>
      <c r="M335" s="3">
        <v>175.35</v>
      </c>
      <c r="N335" s="3">
        <v>349</v>
      </c>
      <c r="O335" s="2" t="s">
        <v>96</v>
      </c>
      <c r="P335" s="2" t="s">
        <v>317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100</v>
      </c>
      <c r="V335" s="2" t="s">
        <v>157</v>
      </c>
      <c r="W335" s="2" t="s">
        <v>466</v>
      </c>
      <c r="X335" s="2" t="s">
        <v>522</v>
      </c>
      <c r="Y335" s="2" t="s">
        <v>806</v>
      </c>
      <c r="Z335" s="4">
        <v>30</v>
      </c>
      <c r="AA335" s="4">
        <f>=ROUNDDOWN(1.66666666666667,0)</f>
      </c>
      <c r="AB335" s="5">
        <v>18</v>
      </c>
      <c r="AC335" s="2" t="s">
        <v>811</v>
      </c>
      <c r="AD335" s="4">
        <v>60</v>
      </c>
      <c r="AE335" s="4">
        <v>514</v>
      </c>
      <c r="AF335" s="6">
        <v>74</v>
      </c>
      <c r="AG335" s="6">
        <v>60</v>
      </c>
      <c r="AH335" s="7">
        <v>0.3103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>
        <v>18</v>
      </c>
      <c r="BK335" s="8">
        <v>3338.09</v>
      </c>
      <c r="BL335" s="2" t="s">
        <v>1345</v>
      </c>
      <c r="BM335" s="7"/>
      <c r="BN335" s="7"/>
      <c r="BO335" s="4"/>
      <c r="BP335" s="8"/>
      <c r="BQ335" s="4"/>
      <c r="BR335" s="8"/>
      <c r="BS335" s="7"/>
      <c r="BT335" s="7"/>
      <c r="BU335" s="2" t="s">
        <v>645</v>
      </c>
      <c r="BV335" s="2" t="s">
        <v>96</v>
      </c>
      <c r="BW335" s="2" t="s">
        <v>99</v>
      </c>
      <c r="BX335" s="2" t="s">
        <v>99</v>
      </c>
      <c r="BY335" s="2" t="s">
        <v>109</v>
      </c>
      <c r="BZ335" s="2" t="s">
        <v>109</v>
      </c>
      <c r="CA335" s="2" t="s">
        <v>99</v>
      </c>
    </row>
    <row r="336">
      <c r="A336" s="2" t="s">
        <v>1906</v>
      </c>
      <c r="B336" s="2" t="s">
        <v>765</v>
      </c>
      <c r="C336" s="2" t="s">
        <v>740</v>
      </c>
      <c r="D336" s="2" t="s">
        <v>1437</v>
      </c>
      <c r="E336" s="2" t="s">
        <v>1438</v>
      </c>
      <c r="F336" s="2" t="s">
        <v>1907</v>
      </c>
      <c r="G336" s="2" t="s">
        <v>1907</v>
      </c>
      <c r="H336" s="2" t="s">
        <v>1907</v>
      </c>
      <c r="I336" s="2" t="s">
        <v>1908</v>
      </c>
      <c r="J336" s="2" t="s">
        <v>227</v>
      </c>
      <c r="K336" s="2" t="s">
        <v>1909</v>
      </c>
      <c r="L336" s="3">
        <v>184.5</v>
      </c>
      <c r="M336" s="3">
        <v>193.72</v>
      </c>
      <c r="N336" s="3">
        <v>389</v>
      </c>
      <c r="O336" s="2" t="s">
        <v>96</v>
      </c>
      <c r="P336" s="2" t="s">
        <v>131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100</v>
      </c>
      <c r="V336" s="2" t="s">
        <v>310</v>
      </c>
      <c r="W336" s="2" t="s">
        <v>1693</v>
      </c>
      <c r="X336" s="2" t="s">
        <v>522</v>
      </c>
      <c r="Y336" s="2" t="s">
        <v>1910</v>
      </c>
      <c r="Z336" s="4">
        <v>26</v>
      </c>
      <c r="AA336" s="4">
        <f>=ROUNDDOWN(3.25,0)</f>
      </c>
      <c r="AB336" s="5">
        <v>8</v>
      </c>
      <c r="AC336" s="2" t="s">
        <v>7</v>
      </c>
      <c r="AD336" s="4">
        <v>85</v>
      </c>
      <c r="AE336" s="4">
        <v>169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/>
      <c r="BJ336" s="4">
        <v>44</v>
      </c>
      <c r="BK336" s="8">
        <v>8865.76</v>
      </c>
      <c r="BL336" s="2" t="s">
        <v>1082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96</v>
      </c>
      <c r="BW336" s="2" t="s">
        <v>792</v>
      </c>
      <c r="BX336" s="2" t="s">
        <v>1546</v>
      </c>
      <c r="BY336" s="2" t="s">
        <v>109</v>
      </c>
      <c r="BZ336" s="2" t="s">
        <v>109</v>
      </c>
      <c r="CA336" s="2" t="s">
        <v>99</v>
      </c>
    </row>
    <row r="337">
      <c r="A337" s="2" t="s">
        <v>1911</v>
      </c>
      <c r="B337" s="2" t="s">
        <v>765</v>
      </c>
      <c r="C337" s="2" t="s">
        <v>740</v>
      </c>
      <c r="D337" s="2" t="s">
        <v>1437</v>
      </c>
      <c r="E337" s="2" t="s">
        <v>1438</v>
      </c>
      <c r="F337" s="2" t="s">
        <v>1907</v>
      </c>
      <c r="G337" s="2" t="s">
        <v>1907</v>
      </c>
      <c r="H337" s="2" t="s">
        <v>1907</v>
      </c>
      <c r="I337" s="2" t="s">
        <v>1908</v>
      </c>
      <c r="J337" s="2" t="s">
        <v>227</v>
      </c>
      <c r="K337" s="2" t="s">
        <v>805</v>
      </c>
      <c r="L337" s="3">
        <v>184.5</v>
      </c>
      <c r="M337" s="3">
        <v>193.72</v>
      </c>
      <c r="N337" s="3">
        <v>389</v>
      </c>
      <c r="O337" s="2" t="s">
        <v>96</v>
      </c>
      <c r="P337" s="2" t="s">
        <v>317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100</v>
      </c>
      <c r="V337" s="2" t="s">
        <v>310</v>
      </c>
      <c r="W337" s="2" t="s">
        <v>1693</v>
      </c>
      <c r="X337" s="2" t="s">
        <v>522</v>
      </c>
      <c r="Y337" s="2" t="s">
        <v>1912</v>
      </c>
      <c r="Z337" s="4">
        <v>245</v>
      </c>
      <c r="AA337" s="4">
        <f>=ROUNDDOWN(36.5671641791045,0)</f>
      </c>
      <c r="AB337" s="5">
        <v>6.7</v>
      </c>
      <c r="AC337" s="2" t="s">
        <v>1877</v>
      </c>
      <c r="AD337" s="4">
        <v>16</v>
      </c>
      <c r="AE337" s="4">
        <v>66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>
        <v>69</v>
      </c>
      <c r="BK337" s="8">
        <v>11172.98</v>
      </c>
      <c r="BL337" s="2" t="s">
        <v>343</v>
      </c>
      <c r="BM337" s="7"/>
      <c r="BN337" s="7"/>
      <c r="BO337" s="4"/>
      <c r="BP337" s="8"/>
      <c r="BQ337" s="4"/>
      <c r="BR337" s="8"/>
      <c r="BS337" s="7"/>
      <c r="BT337" s="7"/>
      <c r="BU337" s="2" t="s">
        <v>645</v>
      </c>
      <c r="BV337" s="2" t="s">
        <v>96</v>
      </c>
      <c r="BW337" s="2" t="s">
        <v>99</v>
      </c>
      <c r="BX337" s="2" t="s">
        <v>99</v>
      </c>
      <c r="BY337" s="2" t="s">
        <v>109</v>
      </c>
      <c r="BZ337" s="2" t="s">
        <v>109</v>
      </c>
      <c r="CA337" s="2" t="s">
        <v>99</v>
      </c>
    </row>
    <row r="338">
      <c r="A338" s="2" t="s">
        <v>1913</v>
      </c>
      <c r="B338" s="2" t="s">
        <v>765</v>
      </c>
      <c r="C338" s="2" t="s">
        <v>740</v>
      </c>
      <c r="D338" s="2" t="s">
        <v>1437</v>
      </c>
      <c r="E338" s="2" t="s">
        <v>1438</v>
      </c>
      <c r="F338" s="2" t="s">
        <v>1907</v>
      </c>
      <c r="G338" s="2" t="s">
        <v>1907</v>
      </c>
      <c r="H338" s="2" t="s">
        <v>1907</v>
      </c>
      <c r="I338" s="2" t="s">
        <v>1908</v>
      </c>
      <c r="J338" s="2" t="s">
        <v>227</v>
      </c>
      <c r="K338" s="2" t="s">
        <v>1042</v>
      </c>
      <c r="L338" s="3">
        <v>184.5</v>
      </c>
      <c r="M338" s="3">
        <v>193.72</v>
      </c>
      <c r="N338" s="3">
        <v>389</v>
      </c>
      <c r="O338" s="2" t="s">
        <v>96</v>
      </c>
      <c r="P338" s="2" t="s">
        <v>135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100</v>
      </c>
      <c r="V338" s="2" t="s">
        <v>310</v>
      </c>
      <c r="W338" s="2" t="s">
        <v>362</v>
      </c>
      <c r="X338" s="2" t="s">
        <v>522</v>
      </c>
      <c r="Y338" s="2" t="s">
        <v>1914</v>
      </c>
      <c r="Z338" s="4">
        <v>2</v>
      </c>
      <c r="AA338" s="4">
        <f>=ROUNDDOWN(0.0769230769230769,0)</f>
      </c>
      <c r="AB338" s="5">
        <v>26</v>
      </c>
      <c r="AC338" s="2" t="s">
        <v>7</v>
      </c>
      <c r="AD338" s="4">
        <v>210</v>
      </c>
      <c r="AE338" s="4">
        <v>580</v>
      </c>
      <c r="AF338" s="6">
        <v>74</v>
      </c>
      <c r="AG338" s="6">
        <v>60</v>
      </c>
      <c r="AH338" s="7">
        <v>0.5517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>
        <v>107</v>
      </c>
      <c r="BK338" s="8">
        <v>20167.87</v>
      </c>
      <c r="BL338" s="2" t="s">
        <v>1915</v>
      </c>
      <c r="BM338" s="7"/>
      <c r="BN338" s="7"/>
      <c r="BO338" s="4"/>
      <c r="BP338" s="8"/>
      <c r="BQ338" s="4"/>
      <c r="BR338" s="8"/>
      <c r="BS338" s="7"/>
      <c r="BT338" s="7"/>
      <c r="BU338" s="2" t="s">
        <v>107</v>
      </c>
      <c r="BV338" s="2" t="s">
        <v>96</v>
      </c>
      <c r="BW338" s="2" t="s">
        <v>1093</v>
      </c>
      <c r="BX338" s="2" t="s">
        <v>1916</v>
      </c>
      <c r="BY338" s="2" t="s">
        <v>109</v>
      </c>
      <c r="BZ338" s="2" t="s">
        <v>109</v>
      </c>
      <c r="CA338" s="2" t="s">
        <v>99</v>
      </c>
    </row>
    <row r="339">
      <c r="A339" s="2" t="s">
        <v>1917</v>
      </c>
      <c r="B339" s="2" t="s">
        <v>765</v>
      </c>
      <c r="C339" s="2" t="s">
        <v>740</v>
      </c>
      <c r="D339" s="2" t="s">
        <v>1437</v>
      </c>
      <c r="E339" s="2" t="s">
        <v>1438</v>
      </c>
      <c r="F339" s="2" t="s">
        <v>1907</v>
      </c>
      <c r="G339" s="2" t="s">
        <v>1907</v>
      </c>
      <c r="H339" s="2" t="s">
        <v>1907</v>
      </c>
      <c r="I339" s="2" t="s">
        <v>1908</v>
      </c>
      <c r="J339" s="2" t="s">
        <v>227</v>
      </c>
      <c r="K339" s="2" t="s">
        <v>1918</v>
      </c>
      <c r="L339" s="3">
        <v>184.5</v>
      </c>
      <c r="M339" s="3">
        <v>193.72</v>
      </c>
      <c r="N339" s="3">
        <v>389</v>
      </c>
      <c r="O339" s="2" t="s">
        <v>96</v>
      </c>
      <c r="P339" s="2" t="s">
        <v>131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100</v>
      </c>
      <c r="V339" s="2" t="s">
        <v>310</v>
      </c>
      <c r="W339" s="2" t="s">
        <v>1693</v>
      </c>
      <c r="X339" s="2" t="s">
        <v>522</v>
      </c>
      <c r="Y339" s="2" t="s">
        <v>1919</v>
      </c>
      <c r="Z339" s="4">
        <v>59</v>
      </c>
      <c r="AA339" s="4">
        <f>=ROUNDDOWN(3.27777777777778,0)</f>
      </c>
      <c r="AB339" s="5">
        <v>18</v>
      </c>
      <c r="AC339" s="2" t="s">
        <v>7</v>
      </c>
      <c r="AD339" s="4">
        <v>150</v>
      </c>
      <c r="AE339" s="4">
        <v>340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/>
      <c r="BJ339" s="4">
        <v>115</v>
      </c>
      <c r="BK339" s="8">
        <v>22072.42</v>
      </c>
      <c r="BL339" s="2" t="s">
        <v>1915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96</v>
      </c>
      <c r="BW339" s="2" t="s">
        <v>1273</v>
      </c>
      <c r="BX339" s="2" t="s">
        <v>1274</v>
      </c>
      <c r="BY339" s="2" t="s">
        <v>109</v>
      </c>
      <c r="BZ339" s="2" t="s">
        <v>109</v>
      </c>
      <c r="CA339" s="2" t="s">
        <v>99</v>
      </c>
    </row>
    <row r="340">
      <c r="A340" s="2" t="s">
        <v>1920</v>
      </c>
      <c r="B340" s="2" t="s">
        <v>765</v>
      </c>
      <c r="C340" s="2" t="s">
        <v>740</v>
      </c>
      <c r="D340" s="2" t="s">
        <v>1437</v>
      </c>
      <c r="E340" s="2" t="s">
        <v>1438</v>
      </c>
      <c r="F340" s="2" t="s">
        <v>1921</v>
      </c>
      <c r="G340" s="2" t="s">
        <v>1921</v>
      </c>
      <c r="H340" s="2" t="s">
        <v>1921</v>
      </c>
      <c r="I340" s="2" t="s">
        <v>1922</v>
      </c>
      <c r="J340" s="2" t="s">
        <v>219</v>
      </c>
      <c r="K340" s="2" t="s">
        <v>887</v>
      </c>
      <c r="L340" s="3">
        <v>145.35</v>
      </c>
      <c r="M340" s="3">
        <v>152.62</v>
      </c>
      <c r="N340" s="3">
        <v>299</v>
      </c>
      <c r="O340" s="2" t="s">
        <v>304</v>
      </c>
      <c r="P340" s="2" t="s">
        <v>188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210</v>
      </c>
      <c r="V340" s="2" t="s">
        <v>310</v>
      </c>
      <c r="W340" s="2" t="s">
        <v>362</v>
      </c>
      <c r="X340" s="2" t="s">
        <v>522</v>
      </c>
      <c r="Y340" s="2" t="s">
        <v>1923</v>
      </c>
      <c r="Z340" s="4">
        <v>47</v>
      </c>
      <c r="AA340" s="4">
        <f>=ROUNDDOWN(8.10344827586207,0)</f>
      </c>
      <c r="AB340" s="5">
        <v>5.8</v>
      </c>
      <c r="AC340" s="2" t="s">
        <v>99</v>
      </c>
      <c r="AD340" s="4"/>
      <c r="AE340" s="4"/>
      <c r="AF340" s="6">
        <v>74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8</v>
      </c>
      <c r="BK340" s="8">
        <v>1196.51</v>
      </c>
      <c r="BL340" s="2" t="s">
        <v>1924</v>
      </c>
      <c r="BM340" s="7"/>
      <c r="BN340" s="7"/>
      <c r="BO340" s="4"/>
      <c r="BP340" s="8"/>
      <c r="BQ340" s="4"/>
      <c r="BR340" s="8"/>
      <c r="BS340" s="7"/>
      <c r="BT340" s="7"/>
      <c r="BU340" s="2" t="s">
        <v>107</v>
      </c>
      <c r="BV340" s="2" t="s">
        <v>96</v>
      </c>
      <c r="BW340" s="2" t="s">
        <v>1818</v>
      </c>
      <c r="BX340" s="2" t="s">
        <v>1925</v>
      </c>
      <c r="BY340" s="2" t="s">
        <v>109</v>
      </c>
      <c r="BZ340" s="2" t="s">
        <v>109</v>
      </c>
      <c r="CA340" s="2" t="s">
        <v>99</v>
      </c>
    </row>
    <row r="341">
      <c r="A341" s="2" t="s">
        <v>1926</v>
      </c>
      <c r="B341" s="2" t="s">
        <v>765</v>
      </c>
      <c r="C341" s="2" t="s">
        <v>740</v>
      </c>
      <c r="D341" s="2" t="s">
        <v>1437</v>
      </c>
      <c r="E341" s="2" t="s">
        <v>1438</v>
      </c>
      <c r="F341" s="2" t="s">
        <v>1927</v>
      </c>
      <c r="G341" s="2" t="s">
        <v>1927</v>
      </c>
      <c r="H341" s="2" t="s">
        <v>1927</v>
      </c>
      <c r="I341" s="2" t="s">
        <v>1439</v>
      </c>
      <c r="J341" s="2" t="s">
        <v>219</v>
      </c>
      <c r="K341" s="2" t="s">
        <v>605</v>
      </c>
      <c r="L341" s="3">
        <v>265</v>
      </c>
      <c r="M341" s="3">
        <v>278.25</v>
      </c>
      <c r="N341" s="3">
        <v>549</v>
      </c>
      <c r="O341" s="2" t="s">
        <v>96</v>
      </c>
      <c r="P341" s="2" t="s">
        <v>131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100</v>
      </c>
      <c r="V341" s="2" t="s">
        <v>157</v>
      </c>
      <c r="W341" s="2" t="s">
        <v>102</v>
      </c>
      <c r="X341" s="2" t="s">
        <v>257</v>
      </c>
      <c r="Y341" s="2" t="s">
        <v>1928</v>
      </c>
      <c r="Z341" s="4">
        <v>97</v>
      </c>
      <c r="AA341" s="4">
        <f>=ROUNDDOWN(9.7,0)</f>
      </c>
      <c r="AB341" s="5">
        <v>10</v>
      </c>
      <c r="AC341" s="2" t="s">
        <v>990</v>
      </c>
      <c r="AD341" s="4">
        <v>29</v>
      </c>
      <c r="AE341" s="4">
        <v>200</v>
      </c>
      <c r="AF341" s="6">
        <v>74</v>
      </c>
      <c r="AG341" s="6">
        <v>60</v>
      </c>
      <c r="AH341" s="7">
        <v>0.4483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12</v>
      </c>
      <c r="BK341" s="8">
        <v>3222.87</v>
      </c>
      <c r="BL341" s="2" t="s">
        <v>1180</v>
      </c>
      <c r="BM341" s="7"/>
      <c r="BN341" s="7"/>
      <c r="BO341" s="4"/>
      <c r="BP341" s="8"/>
      <c r="BQ341" s="4"/>
      <c r="BR341" s="8"/>
      <c r="BS341" s="7"/>
      <c r="BT341" s="7"/>
      <c r="BU341" s="2" t="s">
        <v>107</v>
      </c>
      <c r="BV341" s="2" t="s">
        <v>122</v>
      </c>
      <c r="BW341" s="2" t="s">
        <v>99</v>
      </c>
      <c r="BX341" s="2" t="s">
        <v>99</v>
      </c>
      <c r="BY341" s="2" t="s">
        <v>109</v>
      </c>
      <c r="BZ341" s="2" t="s">
        <v>109</v>
      </c>
      <c r="CA341" s="2" t="s">
        <v>99</v>
      </c>
    </row>
    <row r="342">
      <c r="A342" s="2" t="s">
        <v>1929</v>
      </c>
      <c r="B342" s="2" t="s">
        <v>765</v>
      </c>
      <c r="C342" s="2" t="s">
        <v>740</v>
      </c>
      <c r="D342" s="2" t="s">
        <v>1572</v>
      </c>
      <c r="E342" s="2" t="s">
        <v>1573</v>
      </c>
      <c r="F342" s="2" t="s">
        <v>1930</v>
      </c>
      <c r="G342" s="2" t="s">
        <v>1930</v>
      </c>
      <c r="H342" s="2" t="s">
        <v>1930</v>
      </c>
      <c r="I342" s="2" t="s">
        <v>1931</v>
      </c>
      <c r="J342" s="2" t="s">
        <v>227</v>
      </c>
      <c r="K342" s="2" t="s">
        <v>805</v>
      </c>
      <c r="L342" s="3">
        <v>140.25</v>
      </c>
      <c r="M342" s="3">
        <v>147.26</v>
      </c>
      <c r="N342" s="3">
        <v>299</v>
      </c>
      <c r="O342" s="2" t="s">
        <v>96</v>
      </c>
      <c r="P342" s="2" t="s">
        <v>135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100</v>
      </c>
      <c r="V342" s="2" t="s">
        <v>310</v>
      </c>
      <c r="W342" s="2" t="s">
        <v>362</v>
      </c>
      <c r="X342" s="2" t="s">
        <v>522</v>
      </c>
      <c r="Y342" s="2" t="s">
        <v>1932</v>
      </c>
      <c r="Z342" s="4">
        <v>188</v>
      </c>
      <c r="AA342" s="4">
        <f>=ROUNDDOWN(13.4285714285714,0)</f>
      </c>
      <c r="AB342" s="5">
        <v>14</v>
      </c>
      <c r="AC342" s="2" t="s">
        <v>147</v>
      </c>
      <c r="AD342" s="4">
        <v>10</v>
      </c>
      <c r="AE342" s="4">
        <v>200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>
        <v>10</v>
      </c>
      <c r="AQ342" s="8">
        <v>1590.4</v>
      </c>
      <c r="AR342" s="4"/>
      <c r="AS342" s="8"/>
      <c r="AT342" s="7"/>
      <c r="AU342" s="7"/>
      <c r="AV342" s="4">
        <v>10</v>
      </c>
      <c r="AW342" s="8">
        <v>1590.4</v>
      </c>
      <c r="AX342" s="4"/>
      <c r="AY342" s="8"/>
      <c r="AZ342" s="7"/>
      <c r="BA342" s="7"/>
      <c r="BB342" s="7">
        <v>1</v>
      </c>
      <c r="BC342" s="4">
        <v>10</v>
      </c>
      <c r="BD342" s="8">
        <v>1590.4</v>
      </c>
      <c r="BE342" s="4"/>
      <c r="BF342" s="8"/>
      <c r="BG342" s="7"/>
      <c r="BH342" s="7"/>
      <c r="BI342" s="7">
        <v>1</v>
      </c>
      <c r="BJ342" s="4">
        <v>65</v>
      </c>
      <c r="BK342" s="8">
        <v>9804.06</v>
      </c>
      <c r="BL342" s="2" t="s">
        <v>1779</v>
      </c>
      <c r="BM342" s="7">
        <v>0.1538</v>
      </c>
      <c r="BN342" s="7">
        <v>0.1622</v>
      </c>
      <c r="BO342" s="4">
        <v>10</v>
      </c>
      <c r="BP342" s="8">
        <v>1590.4</v>
      </c>
      <c r="BQ342" s="4"/>
      <c r="BR342" s="8"/>
      <c r="BS342" s="7"/>
      <c r="BT342" s="7"/>
      <c r="BU342" s="2" t="s">
        <v>107</v>
      </c>
      <c r="BV342" s="2" t="s">
        <v>96</v>
      </c>
      <c r="BW342" s="2" t="s">
        <v>1933</v>
      </c>
      <c r="BX342" s="2" t="s">
        <v>1934</v>
      </c>
      <c r="BY342" s="2" t="s">
        <v>109</v>
      </c>
      <c r="BZ342" s="2" t="s">
        <v>109</v>
      </c>
      <c r="CA342" s="2" t="s">
        <v>99</v>
      </c>
    </row>
    <row r="343">
      <c r="A343" s="2" t="s">
        <v>1935</v>
      </c>
      <c r="B343" s="2" t="s">
        <v>765</v>
      </c>
      <c r="C343" s="2" t="s">
        <v>740</v>
      </c>
      <c r="D343" s="2" t="s">
        <v>1572</v>
      </c>
      <c r="E343" s="2" t="s">
        <v>1573</v>
      </c>
      <c r="F343" s="2" t="s">
        <v>1936</v>
      </c>
      <c r="G343" s="2" t="s">
        <v>1936</v>
      </c>
      <c r="H343" s="2" t="s">
        <v>1936</v>
      </c>
      <c r="I343" s="2" t="s">
        <v>1937</v>
      </c>
      <c r="J343" s="2" t="s">
        <v>1709</v>
      </c>
      <c r="K343" s="2" t="s">
        <v>234</v>
      </c>
      <c r="L343" s="3">
        <v>70.3</v>
      </c>
      <c r="M343" s="3">
        <v>73.82</v>
      </c>
      <c r="N343" s="3">
        <v>149</v>
      </c>
      <c r="O343" s="2" t="s">
        <v>96</v>
      </c>
      <c r="P343" s="2" t="s">
        <v>131</v>
      </c>
      <c r="Q343" s="2" t="s">
        <v>98</v>
      </c>
      <c r="R343" s="2" t="s">
        <v>99</v>
      </c>
      <c r="S343" s="2" t="s">
        <v>1938</v>
      </c>
      <c r="T343" s="2" t="s">
        <v>99</v>
      </c>
      <c r="U343" s="2" t="s">
        <v>100</v>
      </c>
      <c r="V343" s="2" t="s">
        <v>157</v>
      </c>
      <c r="W343" s="2" t="s">
        <v>362</v>
      </c>
      <c r="X343" s="2" t="s">
        <v>522</v>
      </c>
      <c r="Y343" s="2" t="s">
        <v>1939</v>
      </c>
      <c r="Z343" s="4">
        <v>271</v>
      </c>
      <c r="AA343" s="4">
        <f>=ROUNDDOWN(15.9411764705882,0)</f>
      </c>
      <c r="AB343" s="5">
        <v>17</v>
      </c>
      <c r="AC343" s="2" t="s">
        <v>147</v>
      </c>
      <c r="AD343" s="4">
        <v>25</v>
      </c>
      <c r="AE343" s="4">
        <v>230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5</v>
      </c>
      <c r="AQ343" s="8">
        <v>413.9</v>
      </c>
      <c r="AR343" s="4"/>
      <c r="AS343" s="8"/>
      <c r="AT343" s="7"/>
      <c r="AU343" s="7"/>
      <c r="AV343" s="4">
        <v>5</v>
      </c>
      <c r="AW343" s="8">
        <v>413.9</v>
      </c>
      <c r="AX343" s="4"/>
      <c r="AY343" s="8"/>
      <c r="AZ343" s="7"/>
      <c r="BA343" s="7"/>
      <c r="BB343" s="7">
        <v>1</v>
      </c>
      <c r="BC343" s="4">
        <v>5</v>
      </c>
      <c r="BD343" s="8">
        <v>413.9</v>
      </c>
      <c r="BE343" s="4"/>
      <c r="BF343" s="8"/>
      <c r="BG343" s="7"/>
      <c r="BH343" s="7"/>
      <c r="BI343" s="7">
        <v>1</v>
      </c>
      <c r="BJ343" s="4">
        <v>76</v>
      </c>
      <c r="BK343" s="8">
        <v>4649.28</v>
      </c>
      <c r="BL343" s="2" t="s">
        <v>1940</v>
      </c>
      <c r="BM343" s="7">
        <v>0.0658</v>
      </c>
      <c r="BN343" s="7">
        <v>0.089</v>
      </c>
      <c r="BO343" s="4">
        <v>5</v>
      </c>
      <c r="BP343" s="8">
        <v>413.9</v>
      </c>
      <c r="BQ343" s="4"/>
      <c r="BR343" s="8"/>
      <c r="BS343" s="7"/>
      <c r="BT343" s="7"/>
      <c r="BU343" s="2" t="s">
        <v>107</v>
      </c>
      <c r="BV343" s="2" t="s">
        <v>122</v>
      </c>
      <c r="BW343" s="2" t="s">
        <v>99</v>
      </c>
      <c r="BX343" s="2" t="s">
        <v>99</v>
      </c>
      <c r="BY343" s="2" t="s">
        <v>109</v>
      </c>
      <c r="BZ343" s="2" t="s">
        <v>109</v>
      </c>
      <c r="CA343" s="2" t="s">
        <v>99</v>
      </c>
    </row>
    <row r="344">
      <c r="A344" s="2" t="s">
        <v>1941</v>
      </c>
      <c r="B344" s="2" t="s">
        <v>765</v>
      </c>
      <c r="C344" s="2" t="s">
        <v>740</v>
      </c>
      <c r="D344" s="2" t="s">
        <v>1572</v>
      </c>
      <c r="E344" s="2" t="s">
        <v>1573</v>
      </c>
      <c r="F344" s="2" t="s">
        <v>1942</v>
      </c>
      <c r="G344" s="2" t="s">
        <v>1942</v>
      </c>
      <c r="H344" s="2" t="s">
        <v>1942</v>
      </c>
      <c r="I344" s="2" t="s">
        <v>1937</v>
      </c>
      <c r="J344" s="2" t="s">
        <v>227</v>
      </c>
      <c r="K344" s="2" t="s">
        <v>1042</v>
      </c>
      <c r="L344" s="3">
        <v>135.58</v>
      </c>
      <c r="M344" s="3">
        <v>142.36</v>
      </c>
      <c r="N344" s="3">
        <v>289</v>
      </c>
      <c r="O344" s="2" t="s">
        <v>96</v>
      </c>
      <c r="P344" s="2" t="s">
        <v>131</v>
      </c>
      <c r="Q344" s="2" t="s">
        <v>98</v>
      </c>
      <c r="R344" s="2" t="s">
        <v>99</v>
      </c>
      <c r="S344" s="2" t="s">
        <v>1943</v>
      </c>
      <c r="T344" s="2" t="s">
        <v>99</v>
      </c>
      <c r="U344" s="2" t="s">
        <v>100</v>
      </c>
      <c r="V344" s="2" t="s">
        <v>157</v>
      </c>
      <c r="W344" s="2" t="s">
        <v>362</v>
      </c>
      <c r="X344" s="2" t="s">
        <v>522</v>
      </c>
      <c r="Y344" s="2" t="s">
        <v>1944</v>
      </c>
      <c r="Z344" s="4">
        <v>3</v>
      </c>
      <c r="AA344" s="4">
        <f>=ROUNDDOWN(0.333333333333333,0)</f>
      </c>
      <c r="AB344" s="5">
        <v>9</v>
      </c>
      <c r="AC344" s="2" t="s">
        <v>904</v>
      </c>
      <c r="AD344" s="4">
        <v>100</v>
      </c>
      <c r="AE344" s="4">
        <v>100</v>
      </c>
      <c r="AF344" s="6">
        <v>74</v>
      </c>
      <c r="AG344" s="6">
        <v>60</v>
      </c>
      <c r="AH344" s="7">
        <v>0.2069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5</v>
      </c>
      <c r="BK344" s="8">
        <v>706.72</v>
      </c>
      <c r="BL344" s="2" t="s">
        <v>1180</v>
      </c>
      <c r="BM344" s="7"/>
      <c r="BN344" s="7"/>
      <c r="BO344" s="4"/>
      <c r="BP344" s="8"/>
      <c r="BQ344" s="4"/>
      <c r="BR344" s="8"/>
      <c r="BS344" s="7"/>
      <c r="BT344" s="7"/>
      <c r="BU344" s="2" t="s">
        <v>107</v>
      </c>
      <c r="BV344" s="2" t="s">
        <v>122</v>
      </c>
      <c r="BW344" s="2" t="s">
        <v>99</v>
      </c>
      <c r="BX344" s="2" t="s">
        <v>446</v>
      </c>
      <c r="BY344" s="2" t="s">
        <v>109</v>
      </c>
      <c r="BZ344" s="2" t="s">
        <v>109</v>
      </c>
      <c r="CA344" s="2" t="s">
        <v>99</v>
      </c>
    </row>
    <row r="345">
      <c r="A345" s="2" t="s">
        <v>1945</v>
      </c>
      <c r="B345" s="2" t="s">
        <v>765</v>
      </c>
      <c r="C345" s="2" t="s">
        <v>740</v>
      </c>
      <c r="D345" s="2" t="s">
        <v>766</v>
      </c>
      <c r="E345" s="2" t="s">
        <v>767</v>
      </c>
      <c r="F345" s="2" t="s">
        <v>1869</v>
      </c>
      <c r="G345" s="2" t="s">
        <v>1869</v>
      </c>
      <c r="H345" s="2" t="s">
        <v>1869</v>
      </c>
      <c r="I345" s="2" t="s">
        <v>825</v>
      </c>
      <c r="J345" s="2" t="s">
        <v>227</v>
      </c>
      <c r="K345" s="2" t="s">
        <v>234</v>
      </c>
      <c r="L345" s="3">
        <v>190</v>
      </c>
      <c r="M345" s="3">
        <v>199.5</v>
      </c>
      <c r="N345" s="3">
        <v>399</v>
      </c>
      <c r="O345" s="2" t="s">
        <v>96</v>
      </c>
      <c r="P345" s="2" t="s">
        <v>131</v>
      </c>
      <c r="Q345" s="2" t="s">
        <v>98</v>
      </c>
      <c r="R345" s="2" t="s">
        <v>99</v>
      </c>
      <c r="S345" s="2" t="s">
        <v>99</v>
      </c>
      <c r="T345" s="2" t="s">
        <v>99</v>
      </c>
      <c r="U345" s="2" t="s">
        <v>100</v>
      </c>
      <c r="V345" s="2" t="s">
        <v>157</v>
      </c>
      <c r="W345" s="2" t="s">
        <v>362</v>
      </c>
      <c r="X345" s="2" t="s">
        <v>522</v>
      </c>
      <c r="Y345" s="2" t="s">
        <v>1946</v>
      </c>
      <c r="Z345" s="4">
        <v>227</v>
      </c>
      <c r="AA345" s="4">
        <f>=ROUNDDOWN(25.2222222222222,0)</f>
      </c>
      <c r="AB345" s="5">
        <v>9</v>
      </c>
      <c r="AC345" s="2" t="s">
        <v>1877</v>
      </c>
      <c r="AD345" s="4">
        <v>100</v>
      </c>
      <c r="AE345" s="4">
        <v>100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3</v>
      </c>
      <c r="AQ345" s="8">
        <v>646.38</v>
      </c>
      <c r="AR345" s="4"/>
      <c r="AS345" s="8"/>
      <c r="AT345" s="7"/>
      <c r="AU345" s="7"/>
      <c r="AV345" s="4">
        <v>3</v>
      </c>
      <c r="AW345" s="8">
        <v>646.38</v>
      </c>
      <c r="AX345" s="4"/>
      <c r="AY345" s="8"/>
      <c r="AZ345" s="7"/>
      <c r="BA345" s="7"/>
      <c r="BB345" s="7">
        <v>1</v>
      </c>
      <c r="BC345" s="4">
        <v>3</v>
      </c>
      <c r="BD345" s="8">
        <v>646.38</v>
      </c>
      <c r="BE345" s="4"/>
      <c r="BF345" s="8"/>
      <c r="BG345" s="7"/>
      <c r="BH345" s="7"/>
      <c r="BI345" s="7">
        <v>1</v>
      </c>
      <c r="BJ345" s="4">
        <v>28</v>
      </c>
      <c r="BK345" s="8">
        <v>5486.24</v>
      </c>
      <c r="BL345" s="2" t="s">
        <v>1947</v>
      </c>
      <c r="BM345" s="7">
        <v>0.1071</v>
      </c>
      <c r="BN345" s="7">
        <v>0.1178</v>
      </c>
      <c r="BO345" s="4">
        <v>3</v>
      </c>
      <c r="BP345" s="8">
        <v>646.38</v>
      </c>
      <c r="BQ345" s="4"/>
      <c r="BR345" s="8"/>
      <c r="BS345" s="7"/>
      <c r="BT345" s="7"/>
      <c r="BU345" s="2" t="s">
        <v>107</v>
      </c>
      <c r="BV345" s="2" t="s">
        <v>96</v>
      </c>
      <c r="BW345" s="2" t="s">
        <v>792</v>
      </c>
      <c r="BX345" s="2" t="s">
        <v>829</v>
      </c>
      <c r="BY345" s="2" t="s">
        <v>109</v>
      </c>
      <c r="BZ345" s="2" t="s">
        <v>109</v>
      </c>
      <c r="CA345" s="2" t="s">
        <v>99</v>
      </c>
    </row>
    <row r="346">
      <c r="A346" s="2" t="s">
        <v>1948</v>
      </c>
      <c r="B346" s="2" t="s">
        <v>765</v>
      </c>
      <c r="C346" s="2" t="s">
        <v>740</v>
      </c>
      <c r="D346" s="2" t="s">
        <v>766</v>
      </c>
      <c r="E346" s="2" t="s">
        <v>767</v>
      </c>
      <c r="F346" s="2" t="s">
        <v>1949</v>
      </c>
      <c r="G346" s="2" t="s">
        <v>1949</v>
      </c>
      <c r="H346" s="2" t="s">
        <v>1949</v>
      </c>
      <c r="I346" s="2" t="s">
        <v>1950</v>
      </c>
      <c r="J346" s="2" t="s">
        <v>227</v>
      </c>
      <c r="K346" s="2" t="s">
        <v>1099</v>
      </c>
      <c r="L346" s="3">
        <v>132</v>
      </c>
      <c r="M346" s="3">
        <v>138.6</v>
      </c>
      <c r="N346" s="3">
        <v>279</v>
      </c>
      <c r="O346" s="2" t="s">
        <v>96</v>
      </c>
      <c r="P346" s="2" t="s">
        <v>317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99</v>
      </c>
      <c r="V346" s="2" t="s">
        <v>644</v>
      </c>
      <c r="W346" s="2" t="s">
        <v>102</v>
      </c>
      <c r="X346" s="2" t="s">
        <v>754</v>
      </c>
      <c r="Y346" s="2" t="s">
        <v>1951</v>
      </c>
      <c r="Z346" s="4">
        <v>64</v>
      </c>
      <c r="AA346" s="4">
        <f>=ROUNDDOWN(16,0)</f>
      </c>
      <c r="AB346" s="5">
        <v>4</v>
      </c>
      <c r="AC346" s="2" t="s">
        <v>904</v>
      </c>
      <c r="AD346" s="4">
        <v>90</v>
      </c>
      <c r="AE346" s="4">
        <v>90</v>
      </c>
      <c r="AF346" s="6">
        <v>74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26</v>
      </c>
      <c r="BK346" s="8">
        <v>3097.65</v>
      </c>
      <c r="BL346" s="2" t="s">
        <v>1345</v>
      </c>
      <c r="BM346" s="7"/>
      <c r="BN346" s="7"/>
      <c r="BO346" s="4"/>
      <c r="BP346" s="8"/>
      <c r="BQ346" s="4"/>
      <c r="BR346" s="8"/>
      <c r="BS346" s="7"/>
      <c r="BT346" s="7"/>
      <c r="BU346" s="2" t="s">
        <v>645</v>
      </c>
      <c r="BV346" s="2" t="s">
        <v>96</v>
      </c>
      <c r="BW346" s="2" t="s">
        <v>99</v>
      </c>
      <c r="BX346" s="2" t="s">
        <v>99</v>
      </c>
      <c r="BY346" s="2" t="s">
        <v>109</v>
      </c>
      <c r="BZ346" s="2" t="s">
        <v>109</v>
      </c>
      <c r="CA346" s="2" t="s">
        <v>99</v>
      </c>
    </row>
    <row r="347">
      <c r="A347" s="2" t="s">
        <v>1952</v>
      </c>
      <c r="B347" s="2" t="s">
        <v>765</v>
      </c>
      <c r="C347" s="2" t="s">
        <v>740</v>
      </c>
      <c r="D347" s="2" t="s">
        <v>766</v>
      </c>
      <c r="E347" s="2" t="s">
        <v>839</v>
      </c>
      <c r="F347" s="2" t="s">
        <v>1953</v>
      </c>
      <c r="G347" s="2" t="s">
        <v>1953</v>
      </c>
      <c r="H347" s="2" t="s">
        <v>1954</v>
      </c>
      <c r="I347" s="2" t="s">
        <v>1955</v>
      </c>
      <c r="J347" s="2" t="s">
        <v>227</v>
      </c>
      <c r="K347" s="2" t="s">
        <v>887</v>
      </c>
      <c r="L347" s="3">
        <v>119.7</v>
      </c>
      <c r="M347" s="3">
        <v>125.68</v>
      </c>
      <c r="N347" s="3">
        <v>249</v>
      </c>
      <c r="O347" s="2" t="s">
        <v>96</v>
      </c>
      <c r="P347" s="2" t="s">
        <v>131</v>
      </c>
      <c r="Q347" s="2" t="s">
        <v>98</v>
      </c>
      <c r="R347" s="2" t="s">
        <v>99</v>
      </c>
      <c r="S347" s="2" t="s">
        <v>99</v>
      </c>
      <c r="T347" s="2" t="s">
        <v>99</v>
      </c>
      <c r="U347" s="2" t="s">
        <v>100</v>
      </c>
      <c r="V347" s="2" t="s">
        <v>310</v>
      </c>
      <c r="W347" s="2" t="s">
        <v>158</v>
      </c>
      <c r="X347" s="2" t="s">
        <v>522</v>
      </c>
      <c r="Y347" s="2" t="s">
        <v>1956</v>
      </c>
      <c r="Z347" s="4">
        <v>113</v>
      </c>
      <c r="AA347" s="4">
        <f>=ROUNDDOWN(8.49624060150376,0)</f>
      </c>
      <c r="AB347" s="5">
        <v>13.3</v>
      </c>
      <c r="AC347" s="2" t="s">
        <v>7</v>
      </c>
      <c r="AD347" s="4">
        <v>90</v>
      </c>
      <c r="AE347" s="4">
        <v>330</v>
      </c>
      <c r="AF347" s="6">
        <v>83</v>
      </c>
      <c r="AG347" s="6">
        <v>69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68</v>
      </c>
      <c r="BK347" s="8">
        <v>8196.72</v>
      </c>
      <c r="BL347" s="2" t="s">
        <v>1957</v>
      </c>
      <c r="BM347" s="7"/>
      <c r="BN347" s="7"/>
      <c r="BO347" s="4"/>
      <c r="BP347" s="8"/>
      <c r="BQ347" s="4"/>
      <c r="BR347" s="8"/>
      <c r="BS347" s="7"/>
      <c r="BT347" s="7"/>
      <c r="BU347" s="2" t="s">
        <v>107</v>
      </c>
      <c r="BV347" s="2" t="s">
        <v>96</v>
      </c>
      <c r="BW347" s="2" t="s">
        <v>1818</v>
      </c>
      <c r="BX347" s="2" t="s">
        <v>1958</v>
      </c>
      <c r="BY347" s="2" t="s">
        <v>109</v>
      </c>
      <c r="BZ347" s="2" t="s">
        <v>109</v>
      </c>
      <c r="CA347" s="2" t="s">
        <v>99</v>
      </c>
    </row>
    <row r="348">
      <c r="A348" s="2" t="s">
        <v>1959</v>
      </c>
      <c r="B348" s="2" t="s">
        <v>765</v>
      </c>
      <c r="C348" s="2" t="s">
        <v>740</v>
      </c>
      <c r="D348" s="2" t="s">
        <v>1639</v>
      </c>
      <c r="E348" s="2" t="s">
        <v>1640</v>
      </c>
      <c r="F348" s="2" t="s">
        <v>1960</v>
      </c>
      <c r="G348" s="2" t="s">
        <v>1960</v>
      </c>
      <c r="H348" s="2" t="s">
        <v>1960</v>
      </c>
      <c r="I348" s="2" t="s">
        <v>1961</v>
      </c>
      <c r="J348" s="2" t="s">
        <v>227</v>
      </c>
      <c r="K348" s="2" t="s">
        <v>1962</v>
      </c>
      <c r="L348" s="3">
        <v>530</v>
      </c>
      <c r="M348" s="3">
        <v>556.5</v>
      </c>
      <c r="N348" s="3">
        <v>1099</v>
      </c>
      <c r="O348" s="2" t="s">
        <v>96</v>
      </c>
      <c r="P348" s="2" t="s">
        <v>188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100</v>
      </c>
      <c r="V348" s="2" t="s">
        <v>310</v>
      </c>
      <c r="W348" s="2" t="s">
        <v>291</v>
      </c>
      <c r="X348" s="2" t="s">
        <v>754</v>
      </c>
      <c r="Y348" s="2" t="s">
        <v>1185</v>
      </c>
      <c r="Z348" s="4">
        <v>17</v>
      </c>
      <c r="AA348" s="4">
        <f>=ROUNDDOWN(4.85714285714286,0)</f>
      </c>
      <c r="AB348" s="5">
        <v>3.5</v>
      </c>
      <c r="AC348" s="2" t="s">
        <v>99</v>
      </c>
      <c r="AD348" s="4"/>
      <c r="AE348" s="4"/>
      <c r="AF348" s="6">
        <v>74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1</v>
      </c>
      <c r="AQ348" s="8">
        <v>601.02</v>
      </c>
      <c r="AR348" s="4"/>
      <c r="AS348" s="8"/>
      <c r="AT348" s="7"/>
      <c r="AU348" s="7"/>
      <c r="AV348" s="4">
        <v>1</v>
      </c>
      <c r="AW348" s="8">
        <v>601.02</v>
      </c>
      <c r="AX348" s="4"/>
      <c r="AY348" s="8"/>
      <c r="AZ348" s="7"/>
      <c r="BA348" s="7"/>
      <c r="BB348" s="7">
        <v>1</v>
      </c>
      <c r="BC348" s="4">
        <v>1</v>
      </c>
      <c r="BD348" s="8">
        <v>601.02</v>
      </c>
      <c r="BE348" s="4"/>
      <c r="BF348" s="8"/>
      <c r="BG348" s="7"/>
      <c r="BH348" s="7"/>
      <c r="BI348" s="7">
        <v>1</v>
      </c>
      <c r="BJ348" s="4">
        <v>10</v>
      </c>
      <c r="BK348" s="8">
        <v>5626.22</v>
      </c>
      <c r="BL348" s="2" t="s">
        <v>1963</v>
      </c>
      <c r="BM348" s="7">
        <v>0.1</v>
      </c>
      <c r="BN348" s="7">
        <v>0.1068</v>
      </c>
      <c r="BO348" s="4">
        <v>1</v>
      </c>
      <c r="BP348" s="8">
        <v>601.02</v>
      </c>
      <c r="BQ348" s="4"/>
      <c r="BR348" s="8"/>
      <c r="BS348" s="7"/>
      <c r="BT348" s="7"/>
      <c r="BU348" s="2" t="s">
        <v>107</v>
      </c>
      <c r="BV348" s="2" t="s">
        <v>96</v>
      </c>
      <c r="BW348" s="2" t="s">
        <v>828</v>
      </c>
      <c r="BX348" s="2" t="s">
        <v>1964</v>
      </c>
      <c r="BY348" s="2" t="s">
        <v>109</v>
      </c>
      <c r="BZ348" s="2" t="s">
        <v>109</v>
      </c>
      <c r="CA348" s="2" t="s">
        <v>99</v>
      </c>
    </row>
    <row r="349">
      <c r="A349" s="2" t="s">
        <v>1965</v>
      </c>
      <c r="B349" s="2" t="s">
        <v>765</v>
      </c>
      <c r="C349" s="2" t="s">
        <v>740</v>
      </c>
      <c r="D349" s="2" t="s">
        <v>1659</v>
      </c>
      <c r="E349" s="2" t="s">
        <v>1660</v>
      </c>
      <c r="F349" s="2" t="s">
        <v>1966</v>
      </c>
      <c r="G349" s="2" t="s">
        <v>1966</v>
      </c>
      <c r="H349" s="2" t="s">
        <v>1966</v>
      </c>
      <c r="I349" s="2" t="s">
        <v>1967</v>
      </c>
      <c r="J349" s="2" t="s">
        <v>227</v>
      </c>
      <c r="K349" s="2" t="s">
        <v>234</v>
      </c>
      <c r="L349" s="3">
        <v>148.5</v>
      </c>
      <c r="M349" s="3">
        <v>155.92</v>
      </c>
      <c r="N349" s="3">
        <v>309</v>
      </c>
      <c r="O349" s="2" t="s">
        <v>96</v>
      </c>
      <c r="P349" s="2" t="s">
        <v>131</v>
      </c>
      <c r="Q349" s="2" t="s">
        <v>98</v>
      </c>
      <c r="R349" s="2" t="s">
        <v>99</v>
      </c>
      <c r="S349" s="2" t="s">
        <v>99</v>
      </c>
      <c r="T349" s="2" t="s">
        <v>99</v>
      </c>
      <c r="U349" s="2" t="s">
        <v>100</v>
      </c>
      <c r="V349" s="2" t="s">
        <v>310</v>
      </c>
      <c r="W349" s="2" t="s">
        <v>362</v>
      </c>
      <c r="X349" s="2" t="s">
        <v>522</v>
      </c>
      <c r="Y349" s="2" t="s">
        <v>1968</v>
      </c>
      <c r="Z349" s="4">
        <v>1</v>
      </c>
      <c r="AA349" s="4">
        <f>=ROUNDDOWN(0.111111111111111,0)</f>
      </c>
      <c r="AB349" s="5">
        <v>9</v>
      </c>
      <c r="AC349" s="2" t="s">
        <v>890</v>
      </c>
      <c r="AD349" s="4">
        <v>100</v>
      </c>
      <c r="AE349" s="4">
        <v>200</v>
      </c>
      <c r="AF349" s="6">
        <v>83</v>
      </c>
      <c r="AG349" s="6"/>
      <c r="AH349" s="7">
        <v>0.1724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2</v>
      </c>
      <c r="AQ349" s="8">
        <v>336.8</v>
      </c>
      <c r="AR349" s="4"/>
      <c r="AS349" s="8"/>
      <c r="AT349" s="7"/>
      <c r="AU349" s="7"/>
      <c r="AV349" s="4">
        <v>2</v>
      </c>
      <c r="AW349" s="8">
        <v>336.8</v>
      </c>
      <c r="AX349" s="4"/>
      <c r="AY349" s="8"/>
      <c r="AZ349" s="7"/>
      <c r="BA349" s="7"/>
      <c r="BB349" s="7">
        <v>1</v>
      </c>
      <c r="BC349" s="4">
        <v>2</v>
      </c>
      <c r="BD349" s="8">
        <v>336.8</v>
      </c>
      <c r="BE349" s="4"/>
      <c r="BF349" s="8"/>
      <c r="BG349" s="7"/>
      <c r="BH349" s="7"/>
      <c r="BI349" s="7">
        <v>1</v>
      </c>
      <c r="BJ349" s="4">
        <v>11</v>
      </c>
      <c r="BK349" s="8">
        <v>1814.97</v>
      </c>
      <c r="BL349" s="2" t="s">
        <v>1969</v>
      </c>
      <c r="BM349" s="7">
        <v>0.1818</v>
      </c>
      <c r="BN349" s="7">
        <v>0.1856</v>
      </c>
      <c r="BO349" s="4">
        <v>2</v>
      </c>
      <c r="BP349" s="8">
        <v>336.8</v>
      </c>
      <c r="BQ349" s="4"/>
      <c r="BR349" s="8"/>
      <c r="BS349" s="7"/>
      <c r="BT349" s="7"/>
      <c r="BU349" s="2" t="s">
        <v>107</v>
      </c>
      <c r="BV349" s="2" t="s">
        <v>122</v>
      </c>
      <c r="BW349" s="2" t="s">
        <v>99</v>
      </c>
      <c r="BX349" s="2" t="s">
        <v>99</v>
      </c>
      <c r="BY349" s="2" t="s">
        <v>109</v>
      </c>
      <c r="BZ349" s="2" t="s">
        <v>109</v>
      </c>
      <c r="CA349" s="2" t="s">
        <v>99</v>
      </c>
    </row>
    <row r="350">
      <c r="A350" s="2" t="s">
        <v>1970</v>
      </c>
      <c r="B350" s="2" t="s">
        <v>765</v>
      </c>
      <c r="C350" s="2" t="s">
        <v>740</v>
      </c>
      <c r="D350" s="2" t="s">
        <v>1605</v>
      </c>
      <c r="E350" s="2" t="s">
        <v>1606</v>
      </c>
      <c r="F350" s="2" t="s">
        <v>1971</v>
      </c>
      <c r="G350" s="2" t="s">
        <v>1971</v>
      </c>
      <c r="H350" s="2" t="s">
        <v>1971</v>
      </c>
      <c r="I350" s="2" t="s">
        <v>1972</v>
      </c>
      <c r="J350" s="2" t="s">
        <v>227</v>
      </c>
      <c r="K350" s="2" t="s">
        <v>1973</v>
      </c>
      <c r="L350" s="3">
        <v>238.5</v>
      </c>
      <c r="M350" s="3">
        <v>250.42</v>
      </c>
      <c r="N350" s="3">
        <v>499</v>
      </c>
      <c r="O350" s="2" t="s">
        <v>96</v>
      </c>
      <c r="P350" s="2" t="s">
        <v>131</v>
      </c>
      <c r="Q350" s="2" t="s">
        <v>98</v>
      </c>
      <c r="R350" s="2" t="s">
        <v>99</v>
      </c>
      <c r="S350" s="2" t="s">
        <v>99</v>
      </c>
      <c r="T350" s="2" t="s">
        <v>99</v>
      </c>
      <c r="U350" s="2" t="s">
        <v>100</v>
      </c>
      <c r="V350" s="2" t="s">
        <v>157</v>
      </c>
      <c r="W350" s="2" t="s">
        <v>102</v>
      </c>
      <c r="X350" s="2" t="s">
        <v>257</v>
      </c>
      <c r="Y350" s="2" t="s">
        <v>1974</v>
      </c>
      <c r="Z350" s="4">
        <v>136</v>
      </c>
      <c r="AA350" s="4">
        <f>=ROUNDDOWN(27.2,0)</f>
      </c>
      <c r="AB350" s="5">
        <v>5</v>
      </c>
      <c r="AC350" s="2" t="s">
        <v>801</v>
      </c>
      <c r="AD350" s="4">
        <v>14</v>
      </c>
      <c r="AE350" s="4">
        <v>14</v>
      </c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33</v>
      </c>
      <c r="BK350" s="8">
        <v>7190.94</v>
      </c>
      <c r="BL350" s="2" t="s">
        <v>873</v>
      </c>
      <c r="BM350" s="7"/>
      <c r="BN350" s="7"/>
      <c r="BO350" s="4"/>
      <c r="BP350" s="8"/>
      <c r="BQ350" s="4"/>
      <c r="BR350" s="8"/>
      <c r="BS350" s="7"/>
      <c r="BT350" s="7"/>
      <c r="BU350" s="2" t="s">
        <v>107</v>
      </c>
      <c r="BV350" s="2" t="s">
        <v>96</v>
      </c>
      <c r="BW350" s="2" t="s">
        <v>1975</v>
      </c>
      <c r="BX350" s="2" t="s">
        <v>1976</v>
      </c>
      <c r="BY350" s="2" t="s">
        <v>109</v>
      </c>
      <c r="BZ350" s="2" t="s">
        <v>109</v>
      </c>
      <c r="CA350" s="2" t="s">
        <v>99</v>
      </c>
    </row>
    <row r="351">
      <c r="A351" s="2" t="s">
        <v>1977</v>
      </c>
      <c r="B351" s="2" t="s">
        <v>765</v>
      </c>
      <c r="C351" s="2" t="s">
        <v>740</v>
      </c>
      <c r="D351" s="2" t="s">
        <v>1605</v>
      </c>
      <c r="E351" s="2" t="s">
        <v>1606</v>
      </c>
      <c r="F351" s="2" t="s">
        <v>1752</v>
      </c>
      <c r="G351" s="2" t="s">
        <v>1752</v>
      </c>
      <c r="H351" s="2" t="s">
        <v>1752</v>
      </c>
      <c r="I351" s="2" t="s">
        <v>1978</v>
      </c>
      <c r="J351" s="2" t="s">
        <v>227</v>
      </c>
      <c r="K351" s="2" t="s">
        <v>1728</v>
      </c>
      <c r="L351" s="3">
        <v>285</v>
      </c>
      <c r="M351" s="3">
        <v>299.25</v>
      </c>
      <c r="N351" s="3">
        <v>599</v>
      </c>
      <c r="O351" s="2" t="s">
        <v>96</v>
      </c>
      <c r="P351" s="2" t="s">
        <v>131</v>
      </c>
      <c r="Q351" s="2" t="s">
        <v>98</v>
      </c>
      <c r="R351" s="2" t="s">
        <v>99</v>
      </c>
      <c r="S351" s="2" t="s">
        <v>99</v>
      </c>
      <c r="T351" s="2" t="s">
        <v>99</v>
      </c>
      <c r="U351" s="2" t="s">
        <v>100</v>
      </c>
      <c r="V351" s="2" t="s">
        <v>310</v>
      </c>
      <c r="W351" s="2" t="s">
        <v>362</v>
      </c>
      <c r="X351" s="2" t="s">
        <v>522</v>
      </c>
      <c r="Y351" s="2" t="s">
        <v>1185</v>
      </c>
      <c r="Z351" s="4">
        <v>81</v>
      </c>
      <c r="AA351" s="4">
        <f>=ROUNDDOWN(20.25,0)</f>
      </c>
      <c r="AB351" s="5">
        <v>4</v>
      </c>
      <c r="AC351" s="2" t="s">
        <v>99</v>
      </c>
      <c r="AD351" s="4"/>
      <c r="AE351" s="4"/>
      <c r="AF351" s="6">
        <v>74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21</v>
      </c>
      <c r="BK351" s="8">
        <v>6017.21</v>
      </c>
      <c r="BL351" s="2" t="s">
        <v>1979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96</v>
      </c>
      <c r="BW351" s="2" t="s">
        <v>1353</v>
      </c>
      <c r="BX351" s="2" t="s">
        <v>1980</v>
      </c>
      <c r="BY351" s="2" t="s">
        <v>109</v>
      </c>
      <c r="BZ351" s="2" t="s">
        <v>109</v>
      </c>
      <c r="CA351" s="2" t="s">
        <v>99</v>
      </c>
    </row>
    <row r="352">
      <c r="A352" s="2" t="s">
        <v>1981</v>
      </c>
      <c r="B352" s="2" t="s">
        <v>765</v>
      </c>
      <c r="C352" s="2" t="s">
        <v>740</v>
      </c>
      <c r="D352" s="2" t="s">
        <v>1605</v>
      </c>
      <c r="E352" s="2" t="s">
        <v>1606</v>
      </c>
      <c r="F352" s="2" t="s">
        <v>1960</v>
      </c>
      <c r="G352" s="2" t="s">
        <v>1960</v>
      </c>
      <c r="H352" s="2" t="s">
        <v>1960</v>
      </c>
      <c r="I352" s="2" t="s">
        <v>1982</v>
      </c>
      <c r="J352" s="2" t="s">
        <v>227</v>
      </c>
      <c r="K352" s="2" t="s">
        <v>1962</v>
      </c>
      <c r="L352" s="3">
        <v>270</v>
      </c>
      <c r="M352" s="3">
        <v>283.5</v>
      </c>
      <c r="N352" s="3">
        <v>559</v>
      </c>
      <c r="O352" s="2" t="s">
        <v>96</v>
      </c>
      <c r="P352" s="2" t="s">
        <v>188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100</v>
      </c>
      <c r="V352" s="2" t="s">
        <v>310</v>
      </c>
      <c r="W352" s="2" t="s">
        <v>291</v>
      </c>
      <c r="X352" s="2" t="s">
        <v>754</v>
      </c>
      <c r="Y352" s="2" t="s">
        <v>1794</v>
      </c>
      <c r="Z352" s="4">
        <v>1</v>
      </c>
      <c r="AA352" s="4">
        <f>=ROUNDDOWN(0.333333333333333,0)</f>
      </c>
      <c r="AB352" s="5">
        <v>3</v>
      </c>
      <c r="AC352" s="2" t="s">
        <v>99</v>
      </c>
      <c r="AD352" s="4"/>
      <c r="AE352" s="4"/>
      <c r="AF352" s="6">
        <v>74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99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96</v>
      </c>
      <c r="BW352" s="2" t="s">
        <v>1353</v>
      </c>
      <c r="BX352" s="2" t="s">
        <v>99</v>
      </c>
      <c r="BY352" s="2" t="s">
        <v>109</v>
      </c>
      <c r="BZ352" s="2" t="s">
        <v>109</v>
      </c>
      <c r="CA352" s="2" t="s">
        <v>99</v>
      </c>
    </row>
    <row r="353">
      <c r="A353" s="2" t="s">
        <v>1983</v>
      </c>
      <c r="B353" s="2" t="s">
        <v>765</v>
      </c>
      <c r="C353" s="2" t="s">
        <v>740</v>
      </c>
      <c r="D353" s="2" t="s">
        <v>1668</v>
      </c>
      <c r="E353" s="2" t="s">
        <v>1669</v>
      </c>
      <c r="F353" s="2" t="s">
        <v>1984</v>
      </c>
      <c r="G353" s="2" t="s">
        <v>1984</v>
      </c>
      <c r="H353" s="2" t="s">
        <v>1984</v>
      </c>
      <c r="I353" s="2" t="s">
        <v>1985</v>
      </c>
      <c r="J353" s="2" t="s">
        <v>1709</v>
      </c>
      <c r="K353" s="2" t="s">
        <v>234</v>
      </c>
      <c r="L353" s="3">
        <v>240</v>
      </c>
      <c r="M353" s="3">
        <v>252</v>
      </c>
      <c r="N353" s="3">
        <v>499</v>
      </c>
      <c r="O353" s="2" t="s">
        <v>443</v>
      </c>
      <c r="P353" s="2" t="s">
        <v>188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100</v>
      </c>
      <c r="V353" s="2" t="s">
        <v>310</v>
      </c>
      <c r="W353" s="2" t="s">
        <v>362</v>
      </c>
      <c r="X353" s="2" t="s">
        <v>522</v>
      </c>
      <c r="Y353" s="2" t="s">
        <v>1603</v>
      </c>
      <c r="Z353" s="4"/>
      <c r="AA353" s="4">
        <f>=ROUNDDOWN({0},0)</f>
      </c>
      <c r="AB353" s="5">
        <v>1</v>
      </c>
      <c r="AC353" s="2" t="s">
        <v>99</v>
      </c>
      <c r="AD353" s="4"/>
      <c r="AE353" s="4"/>
      <c r="AF353" s="6">
        <v>83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99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96</v>
      </c>
      <c r="BW353" s="2" t="s">
        <v>1353</v>
      </c>
      <c r="BX353" s="2" t="s">
        <v>1986</v>
      </c>
      <c r="BY353" s="2" t="s">
        <v>109</v>
      </c>
      <c r="BZ353" s="2" t="s">
        <v>109</v>
      </c>
      <c r="CA353" s="2" t="s">
        <v>99</v>
      </c>
    </row>
    <row r="354">
      <c r="A354" s="2" t="s">
        <v>1987</v>
      </c>
      <c r="B354" s="2" t="s">
        <v>765</v>
      </c>
      <c r="C354" s="2" t="s">
        <v>740</v>
      </c>
      <c r="D354" s="2" t="s">
        <v>1988</v>
      </c>
      <c r="E354" s="2" t="s">
        <v>1989</v>
      </c>
      <c r="F354" s="2" t="s">
        <v>1739</v>
      </c>
      <c r="G354" s="2" t="s">
        <v>1739</v>
      </c>
      <c r="H354" s="2" t="s">
        <v>1739</v>
      </c>
      <c r="I354" s="2" t="s">
        <v>1989</v>
      </c>
      <c r="J354" s="2" t="s">
        <v>227</v>
      </c>
      <c r="K354" s="2" t="s">
        <v>1990</v>
      </c>
      <c r="L354" s="3">
        <v>127</v>
      </c>
      <c r="M354" s="3">
        <v>133.35</v>
      </c>
      <c r="N354" s="3">
        <v>269</v>
      </c>
      <c r="O354" s="2" t="s">
        <v>96</v>
      </c>
      <c r="P354" s="2" t="s">
        <v>131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100</v>
      </c>
      <c r="V354" s="2" t="s">
        <v>310</v>
      </c>
      <c r="W354" s="2" t="s">
        <v>330</v>
      </c>
      <c r="X354" s="2" t="s">
        <v>754</v>
      </c>
      <c r="Y354" s="2" t="s">
        <v>1852</v>
      </c>
      <c r="Z354" s="4"/>
      <c r="AA354" s="4">
        <f>=ROUNDDOWN({0},0)</f>
      </c>
      <c r="AB354" s="5">
        <v>14</v>
      </c>
      <c r="AC354" s="2" t="s">
        <v>890</v>
      </c>
      <c r="AD354" s="4">
        <v>197</v>
      </c>
      <c r="AE354" s="4">
        <v>350</v>
      </c>
      <c r="AF354" s="6">
        <v>83</v>
      </c>
      <c r="AG354" s="6"/>
      <c r="AH354" s="7">
        <v>0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2</v>
      </c>
      <c r="BK354" s="8">
        <v>260.03</v>
      </c>
      <c r="BL354" s="2" t="s">
        <v>654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96</v>
      </c>
      <c r="BW354" s="2" t="s">
        <v>1353</v>
      </c>
      <c r="BX354" s="2" t="s">
        <v>1991</v>
      </c>
      <c r="BY354" s="2" t="s">
        <v>109</v>
      </c>
      <c r="BZ354" s="2" t="s">
        <v>109</v>
      </c>
      <c r="CA354" s="2" t="s">
        <v>99</v>
      </c>
    </row>
    <row r="355">
      <c r="A355" s="2" t="s">
        <v>1992</v>
      </c>
      <c r="B355" s="2" t="s">
        <v>765</v>
      </c>
      <c r="C355" s="2" t="s">
        <v>666</v>
      </c>
      <c r="D355" s="2" t="s">
        <v>1504</v>
      </c>
      <c r="E355" s="2" t="s">
        <v>1535</v>
      </c>
      <c r="F355" s="2" t="s">
        <v>1993</v>
      </c>
      <c r="G355" s="2" t="s">
        <v>1993</v>
      </c>
      <c r="H355" s="2" t="s">
        <v>1993</v>
      </c>
      <c r="I355" s="2" t="s">
        <v>1994</v>
      </c>
      <c r="J355" s="2" t="s">
        <v>227</v>
      </c>
      <c r="K355" s="2" t="s">
        <v>643</v>
      </c>
      <c r="L355" s="3">
        <v>71.25</v>
      </c>
      <c r="M355" s="3">
        <v>74.81</v>
      </c>
      <c r="N355" s="3">
        <v>149</v>
      </c>
      <c r="O355" s="2" t="s">
        <v>96</v>
      </c>
      <c r="P355" s="2" t="s">
        <v>97</v>
      </c>
      <c r="Q355" s="2" t="s">
        <v>98</v>
      </c>
      <c r="R355" s="2" t="s">
        <v>99</v>
      </c>
      <c r="S355" s="2" t="s">
        <v>1995</v>
      </c>
      <c r="T355" s="2" t="s">
        <v>99</v>
      </c>
      <c r="U355" s="2" t="s">
        <v>99</v>
      </c>
      <c r="V355" s="2" t="s">
        <v>157</v>
      </c>
      <c r="W355" s="2" t="s">
        <v>761</v>
      </c>
      <c r="X355" s="2" t="s">
        <v>99</v>
      </c>
      <c r="Y355" s="2" t="s">
        <v>164</v>
      </c>
      <c r="Z355" s="4">
        <v>259</v>
      </c>
      <c r="AA355" s="4">
        <f>=ROUNDDOWN(5.88636363636364,0)</f>
      </c>
      <c r="AB355" s="5">
        <v>44</v>
      </c>
      <c r="AC355" s="2" t="s">
        <v>926</v>
      </c>
      <c r="AD355" s="4">
        <v>89</v>
      </c>
      <c r="AE355" s="4">
        <v>963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1996</v>
      </c>
      <c r="AM355" s="4">
        <v>70</v>
      </c>
      <c r="AN355" s="4">
        <v>230</v>
      </c>
      <c r="AO355" s="7"/>
      <c r="AP355" s="4">
        <v>67</v>
      </c>
      <c r="AQ355" s="8">
        <v>5413.6</v>
      </c>
      <c r="AR355" s="4"/>
      <c r="AS355" s="8"/>
      <c r="AT355" s="7"/>
      <c r="AU355" s="7"/>
      <c r="AV355" s="4">
        <v>67</v>
      </c>
      <c r="AW355" s="8">
        <v>5413.6</v>
      </c>
      <c r="AX355" s="4"/>
      <c r="AY355" s="8"/>
      <c r="AZ355" s="7"/>
      <c r="BA355" s="7"/>
      <c r="BB355" s="7">
        <v>1</v>
      </c>
      <c r="BC355" s="4">
        <v>86</v>
      </c>
      <c r="BD355" s="8">
        <v>6948.8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0.7791</v>
      </c>
      <c r="BJ355" s="4">
        <v>209</v>
      </c>
      <c r="BK355" s="8">
        <v>15868.47</v>
      </c>
      <c r="BL355" s="2" t="s">
        <v>1997</v>
      </c>
      <c r="BM355" s="7">
        <v>0.3206</v>
      </c>
      <c r="BN355" s="7">
        <v>0.3412</v>
      </c>
      <c r="BO355" s="4">
        <v>67</v>
      </c>
      <c r="BP355" s="8">
        <v>5413.6</v>
      </c>
      <c r="BQ355" s="4"/>
      <c r="BR355" s="8"/>
      <c r="BS355" s="7"/>
      <c r="BT355" s="7"/>
      <c r="BU355" s="2" t="s">
        <v>107</v>
      </c>
      <c r="BV355" s="2" t="s">
        <v>96</v>
      </c>
      <c r="BW355" s="2" t="s">
        <v>99</v>
      </c>
      <c r="BX355" s="2" t="s">
        <v>1998</v>
      </c>
      <c r="BY355" s="2" t="s">
        <v>109</v>
      </c>
      <c r="BZ355" s="2" t="s">
        <v>109</v>
      </c>
      <c r="CA355" s="2" t="s">
        <v>99</v>
      </c>
    </row>
    <row r="356">
      <c r="A356" s="2" t="s">
        <v>1999</v>
      </c>
      <c r="B356" s="2" t="s">
        <v>765</v>
      </c>
      <c r="C356" s="2" t="s">
        <v>666</v>
      </c>
      <c r="D356" s="2" t="s">
        <v>1504</v>
      </c>
      <c r="E356" s="2" t="s">
        <v>1535</v>
      </c>
      <c r="F356" s="2" t="s">
        <v>1993</v>
      </c>
      <c r="G356" s="2" t="s">
        <v>1993</v>
      </c>
      <c r="H356" s="2" t="s">
        <v>1993</v>
      </c>
      <c r="I356" s="2" t="s">
        <v>1994</v>
      </c>
      <c r="J356" s="2" t="s">
        <v>227</v>
      </c>
      <c r="K356" s="2" t="s">
        <v>2000</v>
      </c>
      <c r="L356" s="3">
        <v>71.25</v>
      </c>
      <c r="M356" s="3">
        <v>74.81</v>
      </c>
      <c r="N356" s="3">
        <v>149</v>
      </c>
      <c r="O356" s="2" t="s">
        <v>96</v>
      </c>
      <c r="P356" s="2" t="s">
        <v>131</v>
      </c>
      <c r="Q356" s="2" t="s">
        <v>98</v>
      </c>
      <c r="R356" s="2" t="s">
        <v>99</v>
      </c>
      <c r="S356" s="2" t="s">
        <v>99</v>
      </c>
      <c r="T356" s="2" t="s">
        <v>99</v>
      </c>
      <c r="U356" s="2" t="s">
        <v>100</v>
      </c>
      <c r="V356" s="2" t="s">
        <v>157</v>
      </c>
      <c r="W356" s="2" t="s">
        <v>761</v>
      </c>
      <c r="X356" s="2" t="s">
        <v>102</v>
      </c>
      <c r="Y356" s="2" t="s">
        <v>2001</v>
      </c>
      <c r="Z356" s="4">
        <v>168</v>
      </c>
      <c r="AA356" s="4">
        <f>=ROUNDDOWN(10.5,0)</f>
      </c>
      <c r="AB356" s="5">
        <v>16</v>
      </c>
      <c r="AC356" s="2" t="s">
        <v>990</v>
      </c>
      <c r="AD356" s="4">
        <v>20</v>
      </c>
      <c r="AE356" s="4">
        <v>280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>
        <v>19</v>
      </c>
      <c r="AQ356" s="8">
        <v>1535.2</v>
      </c>
      <c r="AR356" s="4"/>
      <c r="AS356" s="8"/>
      <c r="AT356" s="7"/>
      <c r="AU356" s="7"/>
      <c r="AV356" s="4">
        <v>19</v>
      </c>
      <c r="AW356" s="8">
        <v>1535.2</v>
      </c>
      <c r="AX356" s="4"/>
      <c r="AY356" s="8"/>
      <c r="AZ356" s="7"/>
      <c r="BA356" s="7"/>
      <c r="BB356" s="7">
        <v>1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0.2209</v>
      </c>
      <c r="BJ356" s="4">
        <v>72</v>
      </c>
      <c r="BK356" s="8">
        <v>5477.36</v>
      </c>
      <c r="BL356" s="2" t="s">
        <v>2002</v>
      </c>
      <c r="BM356" s="7">
        <v>0.2639</v>
      </c>
      <c r="BN356" s="7">
        <v>0.2803</v>
      </c>
      <c r="BO356" s="4">
        <v>19</v>
      </c>
      <c r="BP356" s="8">
        <v>1535.2</v>
      </c>
      <c r="BQ356" s="4"/>
      <c r="BR356" s="8"/>
      <c r="BS356" s="7"/>
      <c r="BT356" s="7"/>
      <c r="BU356" s="2" t="s">
        <v>107</v>
      </c>
      <c r="BV356" s="2" t="s">
        <v>96</v>
      </c>
      <c r="BW356" s="2" t="s">
        <v>1167</v>
      </c>
      <c r="BX356" s="2" t="s">
        <v>2003</v>
      </c>
      <c r="BY356" s="2" t="s">
        <v>109</v>
      </c>
      <c r="BZ356" s="2" t="s">
        <v>109</v>
      </c>
      <c r="CA356" s="2" t="s">
        <v>99</v>
      </c>
    </row>
    <row r="357">
      <c r="A357" s="2" t="s">
        <v>2004</v>
      </c>
      <c r="B357" s="2" t="s">
        <v>765</v>
      </c>
      <c r="C357" s="2" t="s">
        <v>666</v>
      </c>
      <c r="D357" s="2" t="s">
        <v>1504</v>
      </c>
      <c r="E357" s="2" t="s">
        <v>1505</v>
      </c>
      <c r="F357" s="2" t="s">
        <v>1993</v>
      </c>
      <c r="G357" s="2" t="s">
        <v>1993</v>
      </c>
      <c r="H357" s="2" t="s">
        <v>1993</v>
      </c>
      <c r="I357" s="2" t="s">
        <v>2005</v>
      </c>
      <c r="J357" s="2" t="s">
        <v>227</v>
      </c>
      <c r="K357" s="2" t="s">
        <v>643</v>
      </c>
      <c r="L357" s="3">
        <v>99.18</v>
      </c>
      <c r="M357" s="3">
        <v>104.14</v>
      </c>
      <c r="N357" s="3">
        <v>209</v>
      </c>
      <c r="O357" s="2" t="s">
        <v>96</v>
      </c>
      <c r="P357" s="2" t="s">
        <v>97</v>
      </c>
      <c r="Q357" s="2" t="s">
        <v>98</v>
      </c>
      <c r="R357" s="2" t="s">
        <v>99</v>
      </c>
      <c r="S357" s="2" t="s">
        <v>2006</v>
      </c>
      <c r="T357" s="2" t="s">
        <v>99</v>
      </c>
      <c r="U357" s="2" t="s">
        <v>99</v>
      </c>
      <c r="V357" s="2" t="s">
        <v>157</v>
      </c>
      <c r="W357" s="2" t="s">
        <v>761</v>
      </c>
      <c r="X357" s="2" t="s">
        <v>99</v>
      </c>
      <c r="Y357" s="2" t="s">
        <v>164</v>
      </c>
      <c r="Z357" s="4">
        <v>236</v>
      </c>
      <c r="AA357" s="4">
        <f>=ROUNDDOWN(4.72,0)</f>
      </c>
      <c r="AB357" s="5">
        <v>50</v>
      </c>
      <c r="AC357" s="2" t="s">
        <v>811</v>
      </c>
      <c r="AD357" s="4">
        <v>120</v>
      </c>
      <c r="AE357" s="4">
        <v>770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1996</v>
      </c>
      <c r="AM357" s="4">
        <v>110</v>
      </c>
      <c r="AN357" s="4">
        <v>340</v>
      </c>
      <c r="AO357" s="7"/>
      <c r="AP357" s="4">
        <v>29</v>
      </c>
      <c r="AQ357" s="8">
        <v>3061.53</v>
      </c>
      <c r="AR357" s="4"/>
      <c r="AS357" s="8"/>
      <c r="AT357" s="7"/>
      <c r="AU357" s="7"/>
      <c r="AV357" s="4">
        <v>29</v>
      </c>
      <c r="AW357" s="8">
        <v>3061.53</v>
      </c>
      <c r="AX357" s="4"/>
      <c r="AY357" s="8"/>
      <c r="AZ357" s="7"/>
      <c r="BA357" s="7"/>
      <c r="BB357" s="7">
        <v>1</v>
      </c>
      <c r="BC357" s="4">
        <v>33</v>
      </c>
      <c r="BD357" s="8">
        <v>3506.05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0.8732</v>
      </c>
      <c r="BJ357" s="4">
        <v>229</v>
      </c>
      <c r="BK357" s="8">
        <v>23316.64</v>
      </c>
      <c r="BL357" s="2" t="s">
        <v>2007</v>
      </c>
      <c r="BM357" s="7">
        <v>0.1266</v>
      </c>
      <c r="BN357" s="7">
        <v>0.1313</v>
      </c>
      <c r="BO357" s="4">
        <v>29</v>
      </c>
      <c r="BP357" s="8">
        <v>3061.53</v>
      </c>
      <c r="BQ357" s="4"/>
      <c r="BR357" s="8"/>
      <c r="BS357" s="7"/>
      <c r="BT357" s="7"/>
      <c r="BU357" s="2" t="s">
        <v>107</v>
      </c>
      <c r="BV357" s="2" t="s">
        <v>96</v>
      </c>
      <c r="BW357" s="2" t="s">
        <v>99</v>
      </c>
      <c r="BX357" s="2" t="s">
        <v>294</v>
      </c>
      <c r="BY357" s="2" t="s">
        <v>109</v>
      </c>
      <c r="BZ357" s="2" t="s">
        <v>109</v>
      </c>
      <c r="CA357" s="2" t="s">
        <v>99</v>
      </c>
    </row>
    <row r="358">
      <c r="A358" s="2" t="s">
        <v>2008</v>
      </c>
      <c r="B358" s="2" t="s">
        <v>765</v>
      </c>
      <c r="C358" s="2" t="s">
        <v>666</v>
      </c>
      <c r="D358" s="2" t="s">
        <v>1504</v>
      </c>
      <c r="E358" s="2" t="s">
        <v>1505</v>
      </c>
      <c r="F358" s="2" t="s">
        <v>1993</v>
      </c>
      <c r="G358" s="2" t="s">
        <v>1993</v>
      </c>
      <c r="H358" s="2" t="s">
        <v>1993</v>
      </c>
      <c r="I358" s="2" t="s">
        <v>2005</v>
      </c>
      <c r="J358" s="2" t="s">
        <v>227</v>
      </c>
      <c r="K358" s="2" t="s">
        <v>2000</v>
      </c>
      <c r="L358" s="3">
        <v>99.18</v>
      </c>
      <c r="M358" s="3">
        <v>104.14</v>
      </c>
      <c r="N358" s="3">
        <v>209</v>
      </c>
      <c r="O358" s="2" t="s">
        <v>96</v>
      </c>
      <c r="P358" s="2" t="s">
        <v>131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100</v>
      </c>
      <c r="V358" s="2" t="s">
        <v>157</v>
      </c>
      <c r="W358" s="2" t="s">
        <v>761</v>
      </c>
      <c r="X358" s="2" t="s">
        <v>102</v>
      </c>
      <c r="Y358" s="2" t="s">
        <v>2001</v>
      </c>
      <c r="Z358" s="4">
        <v>177</v>
      </c>
      <c r="AA358" s="4">
        <f>=ROUNDDOWN(12.6428571428571,0)</f>
      </c>
      <c r="AB358" s="5">
        <v>14</v>
      </c>
      <c r="AC358" s="2" t="s">
        <v>1556</v>
      </c>
      <c r="AD358" s="4">
        <v>100</v>
      </c>
      <c r="AE358" s="4">
        <v>210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4</v>
      </c>
      <c r="AQ358" s="8">
        <v>444.52</v>
      </c>
      <c r="AR358" s="4"/>
      <c r="AS358" s="8"/>
      <c r="AT358" s="7"/>
      <c r="AU358" s="7"/>
      <c r="AV358" s="4">
        <v>4</v>
      </c>
      <c r="AW358" s="8">
        <v>444.52</v>
      </c>
      <c r="AX358" s="4"/>
      <c r="AY358" s="8"/>
      <c r="AZ358" s="7"/>
      <c r="BA358" s="7"/>
      <c r="BB358" s="7">
        <v>1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0.1268</v>
      </c>
      <c r="BJ358" s="4">
        <v>56</v>
      </c>
      <c r="BK358" s="8">
        <v>5655.32</v>
      </c>
      <c r="BL358" s="2" t="s">
        <v>2009</v>
      </c>
      <c r="BM358" s="7">
        <v>0.0714</v>
      </c>
      <c r="BN358" s="7">
        <v>0.0786</v>
      </c>
      <c r="BO358" s="4">
        <v>4</v>
      </c>
      <c r="BP358" s="8">
        <v>444.52</v>
      </c>
      <c r="BQ358" s="4"/>
      <c r="BR358" s="8"/>
      <c r="BS358" s="7"/>
      <c r="BT358" s="7"/>
      <c r="BU358" s="2" t="s">
        <v>107</v>
      </c>
      <c r="BV358" s="2" t="s">
        <v>96</v>
      </c>
      <c r="BW358" s="2" t="s">
        <v>99</v>
      </c>
      <c r="BX358" s="2" t="s">
        <v>99</v>
      </c>
      <c r="BY358" s="2" t="s">
        <v>109</v>
      </c>
      <c r="BZ358" s="2" t="s">
        <v>109</v>
      </c>
      <c r="CA358" s="2" t="s">
        <v>99</v>
      </c>
    </row>
    <row r="359">
      <c r="A359" s="2" t="s">
        <v>2010</v>
      </c>
      <c r="B359" s="2" t="s">
        <v>765</v>
      </c>
      <c r="C359" s="2" t="s">
        <v>666</v>
      </c>
      <c r="D359" s="2" t="s">
        <v>1504</v>
      </c>
      <c r="E359" s="2" t="s">
        <v>1505</v>
      </c>
      <c r="F359" s="2" t="s">
        <v>2011</v>
      </c>
      <c r="G359" s="2" t="s">
        <v>2011</v>
      </c>
      <c r="H359" s="2" t="s">
        <v>2011</v>
      </c>
      <c r="I359" s="2" t="s">
        <v>2012</v>
      </c>
      <c r="J359" s="2" t="s">
        <v>2013</v>
      </c>
      <c r="K359" s="2" t="s">
        <v>234</v>
      </c>
      <c r="L359" s="3">
        <v>80</v>
      </c>
      <c r="M359" s="3">
        <v>84</v>
      </c>
      <c r="N359" s="3">
        <v>169</v>
      </c>
      <c r="O359" s="2" t="s">
        <v>96</v>
      </c>
      <c r="P359" s="2" t="s">
        <v>131</v>
      </c>
      <c r="Q359" s="2" t="s">
        <v>98</v>
      </c>
      <c r="R359" s="2" t="s">
        <v>99</v>
      </c>
      <c r="S359" s="2" t="s">
        <v>99</v>
      </c>
      <c r="T359" s="2" t="s">
        <v>99</v>
      </c>
      <c r="U359" s="2" t="s">
        <v>99</v>
      </c>
      <c r="V359" s="2" t="s">
        <v>644</v>
      </c>
      <c r="W359" s="2" t="s">
        <v>785</v>
      </c>
      <c r="X359" s="2" t="s">
        <v>466</v>
      </c>
      <c r="Y359" s="2" t="s">
        <v>1323</v>
      </c>
      <c r="Z359" s="4">
        <v>767</v>
      </c>
      <c r="AA359" s="4">
        <f>=ROUNDDOWN(69.7272727272727,0)</f>
      </c>
      <c r="AB359" s="5">
        <v>11</v>
      </c>
      <c r="AC359" s="2" t="s">
        <v>99</v>
      </c>
      <c r="AD359" s="4"/>
      <c r="AE359" s="4"/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20</v>
      </c>
      <c r="AQ359" s="8">
        <v>1576.6</v>
      </c>
      <c r="AR359" s="4"/>
      <c r="AS359" s="8"/>
      <c r="AT359" s="7"/>
      <c r="AU359" s="7"/>
      <c r="AV359" s="4">
        <v>20</v>
      </c>
      <c r="AW359" s="8">
        <v>1576.6</v>
      </c>
      <c r="AX359" s="4"/>
      <c r="AY359" s="8"/>
      <c r="AZ359" s="7"/>
      <c r="BA359" s="7"/>
      <c r="BB359" s="7">
        <v>1</v>
      </c>
      <c r="BC359" s="4">
        <v>20</v>
      </c>
      <c r="BD359" s="8">
        <v>1576.6</v>
      </c>
      <c r="BE359" s="4"/>
      <c r="BF359" s="8"/>
      <c r="BG359" s="7"/>
      <c r="BH359" s="7"/>
      <c r="BI359" s="7">
        <v>1</v>
      </c>
      <c r="BJ359" s="4">
        <v>52</v>
      </c>
      <c r="BK359" s="8">
        <v>3894.16</v>
      </c>
      <c r="BL359" s="2" t="s">
        <v>2014</v>
      </c>
      <c r="BM359" s="7">
        <v>0.3846</v>
      </c>
      <c r="BN359" s="7">
        <v>0.4049</v>
      </c>
      <c r="BO359" s="4">
        <v>20</v>
      </c>
      <c r="BP359" s="8">
        <v>1576.6</v>
      </c>
      <c r="BQ359" s="4"/>
      <c r="BR359" s="8"/>
      <c r="BS359" s="7"/>
      <c r="BT359" s="7"/>
      <c r="BU359" s="2" t="s">
        <v>645</v>
      </c>
      <c r="BV359" s="2" t="s">
        <v>96</v>
      </c>
      <c r="BW359" s="2" t="s">
        <v>99</v>
      </c>
      <c r="BX359" s="2" t="s">
        <v>99</v>
      </c>
      <c r="BY359" s="2" t="s">
        <v>109</v>
      </c>
      <c r="BZ359" s="2" t="s">
        <v>109</v>
      </c>
      <c r="CA359" s="2" t="s">
        <v>99</v>
      </c>
    </row>
    <row r="360">
      <c r="A360" s="2" t="s">
        <v>2015</v>
      </c>
      <c r="B360" s="2" t="s">
        <v>765</v>
      </c>
      <c r="C360" s="2" t="s">
        <v>666</v>
      </c>
      <c r="D360" s="2" t="s">
        <v>1504</v>
      </c>
      <c r="E360" s="2" t="s">
        <v>1505</v>
      </c>
      <c r="F360" s="2" t="s">
        <v>2016</v>
      </c>
      <c r="G360" s="2" t="s">
        <v>2016</v>
      </c>
      <c r="H360" s="2" t="s">
        <v>2016</v>
      </c>
      <c r="I360" s="2" t="s">
        <v>1505</v>
      </c>
      <c r="J360" s="2" t="s">
        <v>227</v>
      </c>
      <c r="K360" s="2" t="s">
        <v>643</v>
      </c>
      <c r="L360" s="3">
        <v>125.54</v>
      </c>
      <c r="M360" s="3">
        <v>131.82</v>
      </c>
      <c r="N360" s="3">
        <v>269</v>
      </c>
      <c r="O360" s="2" t="s">
        <v>96</v>
      </c>
      <c r="P360" s="2" t="s">
        <v>135</v>
      </c>
      <c r="Q360" s="2" t="s">
        <v>98</v>
      </c>
      <c r="R360" s="2" t="s">
        <v>99</v>
      </c>
      <c r="S360" s="2" t="s">
        <v>2017</v>
      </c>
      <c r="T360" s="2" t="s">
        <v>99</v>
      </c>
      <c r="U360" s="2" t="s">
        <v>99</v>
      </c>
      <c r="V360" s="2" t="s">
        <v>157</v>
      </c>
      <c r="W360" s="2" t="s">
        <v>685</v>
      </c>
      <c r="X360" s="2" t="s">
        <v>99</v>
      </c>
      <c r="Y360" s="2" t="s">
        <v>2018</v>
      </c>
      <c r="Z360" s="4">
        <v>265</v>
      </c>
      <c r="AA360" s="4">
        <f>=ROUNDDOWN(15.5882352941176,0)</f>
      </c>
      <c r="AB360" s="5">
        <v>17</v>
      </c>
      <c r="AC360" s="2" t="s">
        <v>801</v>
      </c>
      <c r="AD360" s="4">
        <v>100</v>
      </c>
      <c r="AE360" s="4">
        <v>100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2019</v>
      </c>
      <c r="AM360" s="4">
        <v>100</v>
      </c>
      <c r="AN360" s="4">
        <v>210</v>
      </c>
      <c r="AO360" s="7"/>
      <c r="AP360" s="4">
        <v>3</v>
      </c>
      <c r="AQ360" s="8">
        <v>412.5</v>
      </c>
      <c r="AR360" s="4"/>
      <c r="AS360" s="8"/>
      <c r="AT360" s="7"/>
      <c r="AU360" s="7"/>
      <c r="AV360" s="4">
        <v>3</v>
      </c>
      <c r="AW360" s="8">
        <v>412.5</v>
      </c>
      <c r="AX360" s="4"/>
      <c r="AY360" s="8"/>
      <c r="AZ360" s="7"/>
      <c r="BA360" s="7"/>
      <c r="BB360" s="7">
        <v>1</v>
      </c>
      <c r="BC360" s="4">
        <v>3</v>
      </c>
      <c r="BD360" s="8">
        <v>412.5</v>
      </c>
      <c r="BE360" s="4"/>
      <c r="BF360" s="8"/>
      <c r="BG360" s="7"/>
      <c r="BH360" s="7"/>
      <c r="BI360" s="7">
        <v>1</v>
      </c>
      <c r="BJ360" s="4">
        <v>62</v>
      </c>
      <c r="BK360" s="8">
        <v>7988.29</v>
      </c>
      <c r="BL360" s="2" t="s">
        <v>2020</v>
      </c>
      <c r="BM360" s="7">
        <v>0.0484</v>
      </c>
      <c r="BN360" s="7">
        <v>0.0516</v>
      </c>
      <c r="BO360" s="4">
        <v>3</v>
      </c>
      <c r="BP360" s="8">
        <v>412.5</v>
      </c>
      <c r="BQ360" s="4"/>
      <c r="BR360" s="8"/>
      <c r="BS360" s="7"/>
      <c r="BT360" s="7"/>
      <c r="BU360" s="2" t="s">
        <v>107</v>
      </c>
      <c r="BV360" s="2" t="s">
        <v>96</v>
      </c>
      <c r="BW360" s="2" t="s">
        <v>1214</v>
      </c>
      <c r="BX360" s="2" t="s">
        <v>2021</v>
      </c>
      <c r="BY360" s="2" t="s">
        <v>109</v>
      </c>
      <c r="BZ360" s="2" t="s">
        <v>109</v>
      </c>
      <c r="CA360" s="2" t="s">
        <v>99</v>
      </c>
    </row>
    <row r="361">
      <c r="A361" s="2" t="s">
        <v>2022</v>
      </c>
      <c r="B361" s="2" t="s">
        <v>765</v>
      </c>
      <c r="C361" s="2" t="s">
        <v>666</v>
      </c>
      <c r="D361" s="2" t="s">
        <v>1504</v>
      </c>
      <c r="E361" s="2" t="s">
        <v>1505</v>
      </c>
      <c r="F361" s="2" t="s">
        <v>2023</v>
      </c>
      <c r="G361" s="2" t="s">
        <v>2023</v>
      </c>
      <c r="H361" s="2" t="s">
        <v>2023</v>
      </c>
      <c r="I361" s="2" t="s">
        <v>2012</v>
      </c>
      <c r="J361" s="2" t="s">
        <v>2024</v>
      </c>
      <c r="K361" s="2" t="s">
        <v>234</v>
      </c>
      <c r="L361" s="3">
        <v>112</v>
      </c>
      <c r="M361" s="3">
        <v>117.6</v>
      </c>
      <c r="N361" s="3">
        <v>239</v>
      </c>
      <c r="O361" s="2" t="s">
        <v>96</v>
      </c>
      <c r="P361" s="2" t="s">
        <v>131</v>
      </c>
      <c r="Q361" s="2" t="s">
        <v>98</v>
      </c>
      <c r="R361" s="2" t="s">
        <v>99</v>
      </c>
      <c r="S361" s="2" t="s">
        <v>99</v>
      </c>
      <c r="T361" s="2" t="s">
        <v>99</v>
      </c>
      <c r="U361" s="2" t="s">
        <v>99</v>
      </c>
      <c r="V361" s="2" t="s">
        <v>644</v>
      </c>
      <c r="W361" s="2" t="s">
        <v>2025</v>
      </c>
      <c r="X361" s="2" t="s">
        <v>785</v>
      </c>
      <c r="Y361" s="2" t="s">
        <v>1323</v>
      </c>
      <c r="Z361" s="4">
        <v>950</v>
      </c>
      <c r="AA361" s="4">
        <f>=ROUNDDOWN(120.253164556962,0)</f>
      </c>
      <c r="AB361" s="5">
        <v>7.9</v>
      </c>
      <c r="AC361" s="2" t="s">
        <v>99</v>
      </c>
      <c r="AD361" s="4"/>
      <c r="AE361" s="4"/>
      <c r="AF361" s="6">
        <v>66</v>
      </c>
      <c r="AG361" s="6">
        <v>49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4</v>
      </c>
      <c r="AQ361" s="8">
        <v>411.04</v>
      </c>
      <c r="AR361" s="4"/>
      <c r="AS361" s="8"/>
      <c r="AT361" s="7"/>
      <c r="AU361" s="7"/>
      <c r="AV361" s="4">
        <v>4</v>
      </c>
      <c r="AW361" s="8">
        <v>411.04</v>
      </c>
      <c r="AX361" s="4"/>
      <c r="AY361" s="8"/>
      <c r="AZ361" s="7"/>
      <c r="BA361" s="7"/>
      <c r="BB361" s="7">
        <v>1</v>
      </c>
      <c r="BC361" s="4">
        <v>4</v>
      </c>
      <c r="BD361" s="8">
        <v>411.04</v>
      </c>
      <c r="BE361" s="4"/>
      <c r="BF361" s="8"/>
      <c r="BG361" s="7"/>
      <c r="BH361" s="7"/>
      <c r="BI361" s="7">
        <v>1</v>
      </c>
      <c r="BJ361" s="4">
        <v>34</v>
      </c>
      <c r="BK361" s="8">
        <v>3191.1</v>
      </c>
      <c r="BL361" s="2" t="s">
        <v>2026</v>
      </c>
      <c r="BM361" s="7">
        <v>0.1176</v>
      </c>
      <c r="BN361" s="7">
        <v>0.1288</v>
      </c>
      <c r="BO361" s="4">
        <v>4</v>
      </c>
      <c r="BP361" s="8">
        <v>411.04</v>
      </c>
      <c r="BQ361" s="4"/>
      <c r="BR361" s="8"/>
      <c r="BS361" s="7"/>
      <c r="BT361" s="7"/>
      <c r="BU361" s="2" t="s">
        <v>645</v>
      </c>
      <c r="BV361" s="2" t="s">
        <v>96</v>
      </c>
      <c r="BW361" s="2" t="s">
        <v>99</v>
      </c>
      <c r="BX361" s="2" t="s">
        <v>99</v>
      </c>
      <c r="BY361" s="2" t="s">
        <v>109</v>
      </c>
      <c r="BZ361" s="2" t="s">
        <v>109</v>
      </c>
      <c r="CA361" s="2" t="s">
        <v>99</v>
      </c>
    </row>
    <row r="362">
      <c r="A362" s="2" t="s">
        <v>2027</v>
      </c>
      <c r="B362" s="2" t="s">
        <v>765</v>
      </c>
      <c r="C362" s="2" t="s">
        <v>666</v>
      </c>
      <c r="D362" s="2" t="s">
        <v>1504</v>
      </c>
      <c r="E362" s="2" t="s">
        <v>1505</v>
      </c>
      <c r="F362" s="2" t="s">
        <v>2028</v>
      </c>
      <c r="G362" s="2" t="s">
        <v>2029</v>
      </c>
      <c r="H362" s="2" t="s">
        <v>2028</v>
      </c>
      <c r="I362" s="2" t="s">
        <v>2030</v>
      </c>
      <c r="J362" s="2" t="s">
        <v>2031</v>
      </c>
      <c r="K362" s="2" t="s">
        <v>234</v>
      </c>
      <c r="L362" s="3">
        <v>80</v>
      </c>
      <c r="M362" s="3">
        <v>84</v>
      </c>
      <c r="N362" s="3">
        <v>169</v>
      </c>
      <c r="O362" s="2" t="s">
        <v>96</v>
      </c>
      <c r="P362" s="2" t="s">
        <v>386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99</v>
      </c>
      <c r="V362" s="2" t="s">
        <v>644</v>
      </c>
      <c r="W362" s="2" t="s">
        <v>785</v>
      </c>
      <c r="X362" s="2" t="s">
        <v>466</v>
      </c>
      <c r="Y362" s="2" t="s">
        <v>1323</v>
      </c>
      <c r="Z362" s="4">
        <v>1155</v>
      </c>
      <c r="AA362" s="4">
        <f>=ROUNDDOWN(251.086956521739,0)</f>
      </c>
      <c r="AB362" s="5">
        <v>4.6</v>
      </c>
      <c r="AC362" s="2" t="s">
        <v>99</v>
      </c>
      <c r="AD362" s="4"/>
      <c r="AE362" s="4"/>
      <c r="AF362" s="6">
        <v>66</v>
      </c>
      <c r="AG362" s="6">
        <v>49</v>
      </c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5</v>
      </c>
      <c r="AQ362" s="8">
        <v>377</v>
      </c>
      <c r="AR362" s="4"/>
      <c r="AS362" s="8"/>
      <c r="AT362" s="7"/>
      <c r="AU362" s="7"/>
      <c r="AV362" s="4">
        <v>5</v>
      </c>
      <c r="AW362" s="8">
        <v>377</v>
      </c>
      <c r="AX362" s="4"/>
      <c r="AY362" s="8"/>
      <c r="AZ362" s="7"/>
      <c r="BA362" s="7"/>
      <c r="BB362" s="7">
        <v>1</v>
      </c>
      <c r="BC362" s="4">
        <v>5</v>
      </c>
      <c r="BD362" s="8">
        <v>377</v>
      </c>
      <c r="BE362" s="4"/>
      <c r="BF362" s="8"/>
      <c r="BG362" s="7"/>
      <c r="BH362" s="7"/>
      <c r="BI362" s="7">
        <v>1</v>
      </c>
      <c r="BJ362" s="4">
        <v>13</v>
      </c>
      <c r="BK362" s="8">
        <v>964.16</v>
      </c>
      <c r="BL362" s="2" t="s">
        <v>2014</v>
      </c>
      <c r="BM362" s="7">
        <v>0.3846</v>
      </c>
      <c r="BN362" s="7">
        <v>0.391</v>
      </c>
      <c r="BO362" s="4">
        <v>5</v>
      </c>
      <c r="BP362" s="8">
        <v>377</v>
      </c>
      <c r="BQ362" s="4"/>
      <c r="BR362" s="8"/>
      <c r="BS362" s="7"/>
      <c r="BT362" s="7"/>
      <c r="BU362" s="2" t="s">
        <v>645</v>
      </c>
      <c r="BV362" s="2" t="s">
        <v>96</v>
      </c>
      <c r="BW362" s="2" t="s">
        <v>99</v>
      </c>
      <c r="BX362" s="2" t="s">
        <v>99</v>
      </c>
      <c r="BY362" s="2" t="s">
        <v>109</v>
      </c>
      <c r="BZ362" s="2" t="s">
        <v>109</v>
      </c>
      <c r="CA362" s="2" t="s">
        <v>99</v>
      </c>
    </row>
    <row r="363">
      <c r="A363" s="2" t="s">
        <v>2032</v>
      </c>
      <c r="B363" s="2" t="s">
        <v>765</v>
      </c>
      <c r="C363" s="2" t="s">
        <v>666</v>
      </c>
      <c r="D363" s="2" t="s">
        <v>1504</v>
      </c>
      <c r="E363" s="2" t="s">
        <v>1505</v>
      </c>
      <c r="F363" s="2" t="s">
        <v>1747</v>
      </c>
      <c r="G363" s="2" t="s">
        <v>1747</v>
      </c>
      <c r="H363" s="2" t="s">
        <v>1747</v>
      </c>
      <c r="I363" s="2" t="s">
        <v>2033</v>
      </c>
      <c r="J363" s="2" t="s">
        <v>227</v>
      </c>
      <c r="K363" s="2" t="s">
        <v>234</v>
      </c>
      <c r="L363" s="3">
        <v>189</v>
      </c>
      <c r="M363" s="3">
        <v>198.45</v>
      </c>
      <c r="N363" s="3">
        <v>399</v>
      </c>
      <c r="O363" s="2" t="s">
        <v>304</v>
      </c>
      <c r="P363" s="2" t="s">
        <v>188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100</v>
      </c>
      <c r="V363" s="2" t="s">
        <v>310</v>
      </c>
      <c r="W363" s="2" t="s">
        <v>102</v>
      </c>
      <c r="X363" s="2" t="s">
        <v>99</v>
      </c>
      <c r="Y363" s="2" t="s">
        <v>1835</v>
      </c>
      <c r="Z363" s="4">
        <v>84</v>
      </c>
      <c r="AA363" s="4">
        <f>=ROUNDDOWN(49.4117647058823,0)</f>
      </c>
      <c r="AB363" s="5">
        <v>1.7</v>
      </c>
      <c r="AC363" s="2" t="s">
        <v>99</v>
      </c>
      <c r="AD363" s="4"/>
      <c r="AE363" s="4"/>
      <c r="AF363" s="6">
        <v>69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4</v>
      </c>
      <c r="BK363" s="8">
        <v>625.11</v>
      </c>
      <c r="BL363" s="2" t="s">
        <v>2034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96</v>
      </c>
      <c r="BW363" s="2" t="s">
        <v>479</v>
      </c>
      <c r="BX363" s="2" t="s">
        <v>99</v>
      </c>
      <c r="BY363" s="2" t="s">
        <v>109</v>
      </c>
      <c r="BZ363" s="2" t="s">
        <v>109</v>
      </c>
      <c r="CA363" s="2" t="s">
        <v>99</v>
      </c>
    </row>
    <row r="364">
      <c r="A364" s="2" t="s">
        <v>2035</v>
      </c>
      <c r="B364" s="2" t="s">
        <v>765</v>
      </c>
      <c r="C364" s="2" t="s">
        <v>666</v>
      </c>
      <c r="D364" s="2" t="s">
        <v>1504</v>
      </c>
      <c r="E364" s="2" t="s">
        <v>1505</v>
      </c>
      <c r="F364" s="2" t="s">
        <v>2036</v>
      </c>
      <c r="G364" s="2" t="s">
        <v>2036</v>
      </c>
      <c r="H364" s="2" t="s">
        <v>2036</v>
      </c>
      <c r="I364" s="2" t="s">
        <v>2037</v>
      </c>
      <c r="J364" s="2" t="s">
        <v>227</v>
      </c>
      <c r="K364" s="2" t="s">
        <v>2038</v>
      </c>
      <c r="L364" s="3">
        <v>210</v>
      </c>
      <c r="M364" s="3">
        <v>220.5</v>
      </c>
      <c r="N364" s="3">
        <v>449</v>
      </c>
      <c r="O364" s="2" t="s">
        <v>304</v>
      </c>
      <c r="P364" s="2" t="s">
        <v>188</v>
      </c>
      <c r="Q364" s="2" t="s">
        <v>98</v>
      </c>
      <c r="R364" s="2" t="s">
        <v>99</v>
      </c>
      <c r="S364" s="2" t="s">
        <v>99</v>
      </c>
      <c r="T364" s="2" t="s">
        <v>99</v>
      </c>
      <c r="U364" s="2" t="s">
        <v>100</v>
      </c>
      <c r="V364" s="2" t="s">
        <v>310</v>
      </c>
      <c r="W364" s="2" t="s">
        <v>102</v>
      </c>
      <c r="X364" s="2" t="s">
        <v>291</v>
      </c>
      <c r="Y364" s="2" t="s">
        <v>2039</v>
      </c>
      <c r="Z364" s="4">
        <v>77</v>
      </c>
      <c r="AA364" s="4">
        <f>=ROUNDDOWN(256.666666666667,0)</f>
      </c>
      <c r="AB364" s="5">
        <v>0.3</v>
      </c>
      <c r="AC364" s="2" t="s">
        <v>99</v>
      </c>
      <c r="AD364" s="4"/>
      <c r="AE364" s="4"/>
      <c r="AF364" s="6">
        <v>74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4</v>
      </c>
      <c r="BK364" s="8">
        <v>948.15</v>
      </c>
      <c r="BL364" s="2" t="s">
        <v>2040</v>
      </c>
      <c r="BM364" s="7"/>
      <c r="BN364" s="7"/>
      <c r="BO364" s="4"/>
      <c r="BP364" s="8"/>
      <c r="BQ364" s="4"/>
      <c r="BR364" s="8"/>
      <c r="BS364" s="7"/>
      <c r="BT364" s="7"/>
      <c r="BU364" s="2" t="s">
        <v>306</v>
      </c>
      <c r="BV364" s="2" t="s">
        <v>96</v>
      </c>
      <c r="BW364" s="2" t="s">
        <v>99</v>
      </c>
      <c r="BX364" s="2" t="s">
        <v>99</v>
      </c>
      <c r="BY364" s="2" t="s">
        <v>109</v>
      </c>
      <c r="BZ364" s="2" t="s">
        <v>109</v>
      </c>
      <c r="CA364" s="2" t="s">
        <v>99</v>
      </c>
    </row>
    <row r="365">
      <c r="A365" s="2" t="s">
        <v>2041</v>
      </c>
      <c r="B365" s="2" t="s">
        <v>765</v>
      </c>
      <c r="C365" s="2" t="s">
        <v>666</v>
      </c>
      <c r="D365" s="2" t="s">
        <v>1504</v>
      </c>
      <c r="E365" s="2" t="s">
        <v>1505</v>
      </c>
      <c r="F365" s="2" t="s">
        <v>2042</v>
      </c>
      <c r="G365" s="2" t="s">
        <v>2042</v>
      </c>
      <c r="H365" s="2" t="s">
        <v>2042</v>
      </c>
      <c r="I365" s="2" t="s">
        <v>2043</v>
      </c>
      <c r="J365" s="2" t="s">
        <v>227</v>
      </c>
      <c r="K365" s="2" t="s">
        <v>2044</v>
      </c>
      <c r="L365" s="3">
        <v>244.7</v>
      </c>
      <c r="M365" s="3">
        <v>256.94</v>
      </c>
      <c r="N365" s="3">
        <v>499</v>
      </c>
      <c r="O365" s="2" t="s">
        <v>96</v>
      </c>
      <c r="P365" s="2" t="s">
        <v>188</v>
      </c>
      <c r="Q365" s="2" t="s">
        <v>98</v>
      </c>
      <c r="R365" s="2" t="s">
        <v>99</v>
      </c>
      <c r="S365" s="2" t="s">
        <v>99</v>
      </c>
      <c r="T365" s="2" t="s">
        <v>99</v>
      </c>
      <c r="U365" s="2" t="s">
        <v>100</v>
      </c>
      <c r="V365" s="2" t="s">
        <v>310</v>
      </c>
      <c r="W365" s="2" t="s">
        <v>102</v>
      </c>
      <c r="X365" s="2" t="s">
        <v>99</v>
      </c>
      <c r="Y365" s="2" t="s">
        <v>2039</v>
      </c>
      <c r="Z365" s="4">
        <v>19</v>
      </c>
      <c r="AA365" s="4">
        <f>=ROUNDDOWN(6.33333333333333,0)</f>
      </c>
      <c r="AB365" s="5">
        <v>3</v>
      </c>
      <c r="AC365" s="2" t="s">
        <v>99</v>
      </c>
      <c r="AD365" s="4"/>
      <c r="AE365" s="4"/>
      <c r="AF365" s="6">
        <v>74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36</v>
      </c>
      <c r="BK365" s="8">
        <v>7086.36</v>
      </c>
      <c r="BL365" s="2" t="s">
        <v>339</v>
      </c>
      <c r="BM365" s="7"/>
      <c r="BN365" s="7"/>
      <c r="BO365" s="4"/>
      <c r="BP365" s="8"/>
      <c r="BQ365" s="4"/>
      <c r="BR365" s="8"/>
      <c r="BS365" s="7"/>
      <c r="BT365" s="7"/>
      <c r="BU365" s="2" t="s">
        <v>306</v>
      </c>
      <c r="BV365" s="2" t="s">
        <v>96</v>
      </c>
      <c r="BW365" s="2" t="s">
        <v>99</v>
      </c>
      <c r="BX365" s="2" t="s">
        <v>99</v>
      </c>
      <c r="BY365" s="2" t="s">
        <v>109</v>
      </c>
      <c r="BZ365" s="2" t="s">
        <v>109</v>
      </c>
      <c r="CA365" s="2" t="s">
        <v>99</v>
      </c>
    </row>
    <row r="366">
      <c r="A366" s="2" t="s">
        <v>2045</v>
      </c>
      <c r="B366" s="2" t="s">
        <v>765</v>
      </c>
      <c r="C366" s="2" t="s">
        <v>666</v>
      </c>
      <c r="D366" s="2" t="s">
        <v>1504</v>
      </c>
      <c r="E366" s="2" t="s">
        <v>1505</v>
      </c>
      <c r="F366" s="2" t="s">
        <v>2046</v>
      </c>
      <c r="G366" s="2" t="s">
        <v>2046</v>
      </c>
      <c r="H366" s="2" t="s">
        <v>2046</v>
      </c>
      <c r="I366" s="2" t="s">
        <v>2047</v>
      </c>
      <c r="J366" s="2" t="s">
        <v>227</v>
      </c>
      <c r="K366" s="2" t="s">
        <v>2048</v>
      </c>
      <c r="L366" s="3">
        <v>237.5</v>
      </c>
      <c r="M366" s="3">
        <v>249.38</v>
      </c>
      <c r="N366" s="3">
        <v>449</v>
      </c>
      <c r="O366" s="2" t="s">
        <v>96</v>
      </c>
      <c r="P366" s="2" t="s">
        <v>317</v>
      </c>
      <c r="Q366" s="2" t="s">
        <v>98</v>
      </c>
      <c r="R366" s="2" t="s">
        <v>99</v>
      </c>
      <c r="S366" s="2" t="s">
        <v>2049</v>
      </c>
      <c r="T366" s="2" t="s">
        <v>99</v>
      </c>
      <c r="U366" s="2" t="s">
        <v>99</v>
      </c>
      <c r="V366" s="2" t="s">
        <v>157</v>
      </c>
      <c r="W366" s="2" t="s">
        <v>2025</v>
      </c>
      <c r="X366" s="2" t="s">
        <v>99</v>
      </c>
      <c r="Y366" s="2" t="s">
        <v>2050</v>
      </c>
      <c r="Z366" s="4">
        <v>234</v>
      </c>
      <c r="AA366" s="4">
        <f>=ROUNDDOWN(19.8305084745763,0)</f>
      </c>
      <c r="AB366" s="5">
        <v>11.8</v>
      </c>
      <c r="AC366" s="2" t="s">
        <v>99</v>
      </c>
      <c r="AD366" s="4"/>
      <c r="AE366" s="4"/>
      <c r="AF366" s="6">
        <v>74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49</v>
      </c>
      <c r="BK366" s="8">
        <v>9489.96</v>
      </c>
      <c r="BL366" s="2" t="s">
        <v>2051</v>
      </c>
      <c r="BM366" s="7"/>
      <c r="BN366" s="7"/>
      <c r="BO366" s="4"/>
      <c r="BP366" s="8"/>
      <c r="BQ366" s="4"/>
      <c r="BR366" s="8"/>
      <c r="BS366" s="7"/>
      <c r="BT366" s="7"/>
      <c r="BU366" s="2" t="s">
        <v>819</v>
      </c>
      <c r="BV366" s="2" t="s">
        <v>96</v>
      </c>
      <c r="BW366" s="2" t="s">
        <v>99</v>
      </c>
      <c r="BX366" s="2" t="s">
        <v>99</v>
      </c>
      <c r="BY366" s="2" t="s">
        <v>109</v>
      </c>
      <c r="BZ366" s="2" t="s">
        <v>109</v>
      </c>
      <c r="CA366" s="2" t="s">
        <v>99</v>
      </c>
    </row>
    <row r="367">
      <c r="A367" s="2" t="s">
        <v>2052</v>
      </c>
      <c r="B367" s="2" t="s">
        <v>765</v>
      </c>
      <c r="C367" s="2" t="s">
        <v>666</v>
      </c>
      <c r="D367" s="2" t="s">
        <v>1504</v>
      </c>
      <c r="E367" s="2" t="s">
        <v>1505</v>
      </c>
      <c r="F367" s="2" t="s">
        <v>2053</v>
      </c>
      <c r="G367" s="2" t="s">
        <v>2053</v>
      </c>
      <c r="H367" s="2" t="s">
        <v>2053</v>
      </c>
      <c r="I367" s="2" t="s">
        <v>1771</v>
      </c>
      <c r="J367" s="2" t="s">
        <v>227</v>
      </c>
      <c r="K367" s="2" t="s">
        <v>234</v>
      </c>
      <c r="L367" s="3">
        <v>165</v>
      </c>
      <c r="M367" s="3">
        <v>173.25</v>
      </c>
      <c r="N367" s="3">
        <v>349</v>
      </c>
      <c r="O367" s="2" t="s">
        <v>96</v>
      </c>
      <c r="P367" s="2" t="s">
        <v>135</v>
      </c>
      <c r="Q367" s="2" t="s">
        <v>98</v>
      </c>
      <c r="R367" s="2" t="s">
        <v>99</v>
      </c>
      <c r="S367" s="2" t="s">
        <v>99</v>
      </c>
      <c r="T367" s="2" t="s">
        <v>99</v>
      </c>
      <c r="U367" s="2" t="s">
        <v>100</v>
      </c>
      <c r="V367" s="2" t="s">
        <v>310</v>
      </c>
      <c r="W367" s="2" t="s">
        <v>102</v>
      </c>
      <c r="X367" s="2" t="s">
        <v>291</v>
      </c>
      <c r="Y367" s="2" t="s">
        <v>2054</v>
      </c>
      <c r="Z367" s="4"/>
      <c r="AA367" s="4">
        <f>=ROUNDDOWN({0},0)</f>
      </c>
      <c r="AB367" s="5">
        <v>10</v>
      </c>
      <c r="AC367" s="2" t="s">
        <v>990</v>
      </c>
      <c r="AD367" s="4">
        <v>100</v>
      </c>
      <c r="AE367" s="4">
        <v>250</v>
      </c>
      <c r="AF367" s="6">
        <v>74</v>
      </c>
      <c r="AG367" s="6"/>
      <c r="AH367" s="7">
        <v>0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2</v>
      </c>
      <c r="BK367" s="8">
        <v>430.21</v>
      </c>
      <c r="BL367" s="2" t="s">
        <v>654</v>
      </c>
      <c r="BM367" s="7"/>
      <c r="BN367" s="7"/>
      <c r="BO367" s="4"/>
      <c r="BP367" s="8"/>
      <c r="BQ367" s="4"/>
      <c r="BR367" s="8"/>
      <c r="BS367" s="7"/>
      <c r="BT367" s="7"/>
      <c r="BU367" s="2" t="s">
        <v>306</v>
      </c>
      <c r="BV367" s="2" t="s">
        <v>96</v>
      </c>
      <c r="BW367" s="2" t="s">
        <v>99</v>
      </c>
      <c r="BX367" s="2" t="s">
        <v>99</v>
      </c>
      <c r="BY367" s="2" t="s">
        <v>109</v>
      </c>
      <c r="BZ367" s="2" t="s">
        <v>109</v>
      </c>
      <c r="CA367" s="2" t="s">
        <v>99</v>
      </c>
    </row>
    <row r="368">
      <c r="A368" s="2" t="s">
        <v>2055</v>
      </c>
      <c r="B368" s="2" t="s">
        <v>765</v>
      </c>
      <c r="C368" s="2" t="s">
        <v>666</v>
      </c>
      <c r="D368" s="2" t="s">
        <v>1504</v>
      </c>
      <c r="E368" s="2" t="s">
        <v>1553</v>
      </c>
      <c r="F368" s="2" t="s">
        <v>2056</v>
      </c>
      <c r="G368" s="2" t="s">
        <v>2056</v>
      </c>
      <c r="H368" s="2" t="s">
        <v>2056</v>
      </c>
      <c r="I368" s="2" t="s">
        <v>2057</v>
      </c>
      <c r="J368" s="2" t="s">
        <v>2058</v>
      </c>
      <c r="K368" s="2" t="s">
        <v>234</v>
      </c>
      <c r="L368" s="3">
        <v>237.5</v>
      </c>
      <c r="M368" s="3">
        <v>249.38</v>
      </c>
      <c r="N368" s="3">
        <v>499</v>
      </c>
      <c r="O368" s="2" t="s">
        <v>96</v>
      </c>
      <c r="P368" s="2" t="s">
        <v>131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100</v>
      </c>
      <c r="V368" s="2" t="s">
        <v>310</v>
      </c>
      <c r="W368" s="2" t="s">
        <v>102</v>
      </c>
      <c r="X368" s="2" t="s">
        <v>291</v>
      </c>
      <c r="Y368" s="2" t="s">
        <v>2059</v>
      </c>
      <c r="Z368" s="4">
        <v>273</v>
      </c>
      <c r="AA368" s="4">
        <f>=ROUNDDOWN(14.3684210526316,0)</f>
      </c>
      <c r="AB368" s="5">
        <v>19</v>
      </c>
      <c r="AC368" s="2" t="s">
        <v>99</v>
      </c>
      <c r="AD368" s="4"/>
      <c r="AE368" s="4"/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773</v>
      </c>
      <c r="AM368" s="4">
        <v>80</v>
      </c>
      <c r="AN368" s="4">
        <v>80</v>
      </c>
      <c r="AO368" s="7"/>
      <c r="AP368" s="4">
        <v>1</v>
      </c>
      <c r="AQ368" s="8">
        <v>269.33</v>
      </c>
      <c r="AR368" s="4"/>
      <c r="AS368" s="8"/>
      <c r="AT368" s="7"/>
      <c r="AU368" s="7"/>
      <c r="AV368" s="4">
        <v>1</v>
      </c>
      <c r="AW368" s="8">
        <v>269.33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1</v>
      </c>
      <c r="BC368" s="4">
        <v>1</v>
      </c>
      <c r="BD368" s="8">
        <v>269.33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1</v>
      </c>
      <c r="BJ368" s="4">
        <v>19</v>
      </c>
      <c r="BK368" s="8">
        <v>4905.11</v>
      </c>
      <c r="BL368" s="2" t="s">
        <v>2060</v>
      </c>
      <c r="BM368" s="7">
        <v>0.0526</v>
      </c>
      <c r="BN368" s="7">
        <v>0.0549</v>
      </c>
      <c r="BO368" s="4">
        <v>1</v>
      </c>
      <c r="BP368" s="8">
        <v>269.33</v>
      </c>
      <c r="BQ368" s="4"/>
      <c r="BR368" s="8"/>
      <c r="BS368" s="7"/>
      <c r="BT368" s="7"/>
      <c r="BU368" s="2" t="s">
        <v>107</v>
      </c>
      <c r="BV368" s="2" t="s">
        <v>96</v>
      </c>
      <c r="BW368" s="2" t="s">
        <v>2061</v>
      </c>
      <c r="BX368" s="2" t="s">
        <v>2062</v>
      </c>
      <c r="BY368" s="2" t="s">
        <v>109</v>
      </c>
      <c r="BZ368" s="2" t="s">
        <v>109</v>
      </c>
      <c r="CA368" s="2" t="s">
        <v>99</v>
      </c>
    </row>
    <row r="369">
      <c r="A369" s="2" t="s">
        <v>2063</v>
      </c>
      <c r="B369" s="2" t="s">
        <v>765</v>
      </c>
      <c r="C369" s="2" t="s">
        <v>666</v>
      </c>
      <c r="D369" s="2" t="s">
        <v>1504</v>
      </c>
      <c r="E369" s="2" t="s">
        <v>1553</v>
      </c>
      <c r="F369" s="2" t="s">
        <v>2056</v>
      </c>
      <c r="G369" s="2" t="s">
        <v>2056</v>
      </c>
      <c r="H369" s="2" t="s">
        <v>2056</v>
      </c>
      <c r="I369" s="2" t="s">
        <v>2057</v>
      </c>
      <c r="J369" s="2" t="s">
        <v>2064</v>
      </c>
      <c r="K369" s="2" t="s">
        <v>234</v>
      </c>
      <c r="L369" s="3">
        <v>218.5</v>
      </c>
      <c r="M369" s="3">
        <v>229.42</v>
      </c>
      <c r="N369" s="3">
        <v>459</v>
      </c>
      <c r="O369" s="2" t="s">
        <v>96</v>
      </c>
      <c r="P369" s="2" t="s">
        <v>131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100</v>
      </c>
      <c r="V369" s="2" t="s">
        <v>310</v>
      </c>
      <c r="W369" s="2" t="s">
        <v>102</v>
      </c>
      <c r="X369" s="2" t="s">
        <v>291</v>
      </c>
      <c r="Y369" s="2" t="s">
        <v>735</v>
      </c>
      <c r="Z369" s="4">
        <v>178</v>
      </c>
      <c r="AA369" s="4">
        <f>=ROUNDDOWN(44.5,0)</f>
      </c>
      <c r="AB369" s="5">
        <v>4</v>
      </c>
      <c r="AC369" s="2" t="s">
        <v>99</v>
      </c>
      <c r="AD369" s="4"/>
      <c r="AE369" s="4"/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/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21</v>
      </c>
      <c r="BK369" s="8">
        <v>4841.78</v>
      </c>
      <c r="BL369" s="2" t="s">
        <v>2065</v>
      </c>
      <c r="BM369" s="7"/>
      <c r="BN369" s="7"/>
      <c r="BO369" s="4"/>
      <c r="BP369" s="8"/>
      <c r="BQ369" s="4"/>
      <c r="BR369" s="8"/>
      <c r="BS369" s="7"/>
      <c r="BT369" s="7"/>
      <c r="BU369" s="2" t="s">
        <v>1019</v>
      </c>
      <c r="BV369" s="2" t="s">
        <v>96</v>
      </c>
      <c r="BW369" s="2" t="s">
        <v>99</v>
      </c>
      <c r="BX369" s="2" t="s">
        <v>99</v>
      </c>
      <c r="BY369" s="2" t="s">
        <v>109</v>
      </c>
      <c r="BZ369" s="2" t="s">
        <v>109</v>
      </c>
      <c r="CA369" s="2" t="s">
        <v>99</v>
      </c>
    </row>
    <row r="370">
      <c r="A370" s="2" t="s">
        <v>2066</v>
      </c>
      <c r="B370" s="2" t="s">
        <v>765</v>
      </c>
      <c r="C370" s="2" t="s">
        <v>666</v>
      </c>
      <c r="D370" s="2" t="s">
        <v>1504</v>
      </c>
      <c r="E370" s="2" t="s">
        <v>1553</v>
      </c>
      <c r="F370" s="2" t="s">
        <v>2056</v>
      </c>
      <c r="G370" s="2" t="s">
        <v>2056</v>
      </c>
      <c r="H370" s="2" t="s">
        <v>2056</v>
      </c>
      <c r="I370" s="2" t="s">
        <v>2057</v>
      </c>
      <c r="J370" s="2" t="s">
        <v>2064</v>
      </c>
      <c r="K370" s="2" t="s">
        <v>643</v>
      </c>
      <c r="L370" s="3">
        <v>218.5</v>
      </c>
      <c r="M370" s="3">
        <v>229.42</v>
      </c>
      <c r="N370" s="3">
        <v>459</v>
      </c>
      <c r="O370" s="2" t="s">
        <v>96</v>
      </c>
      <c r="P370" s="2" t="s">
        <v>131</v>
      </c>
      <c r="Q370" s="2" t="s">
        <v>98</v>
      </c>
      <c r="R370" s="2" t="s">
        <v>99</v>
      </c>
      <c r="S370" s="2" t="s">
        <v>99</v>
      </c>
      <c r="T370" s="2" t="s">
        <v>99</v>
      </c>
      <c r="U370" s="2" t="s">
        <v>100</v>
      </c>
      <c r="V370" s="2" t="s">
        <v>310</v>
      </c>
      <c r="W370" s="2" t="s">
        <v>102</v>
      </c>
      <c r="X370" s="2" t="s">
        <v>291</v>
      </c>
      <c r="Y370" s="2" t="s">
        <v>2067</v>
      </c>
      <c r="Z370" s="4">
        <v>91</v>
      </c>
      <c r="AA370" s="4">
        <f>=ROUNDDOWN(18.2,0)</f>
      </c>
      <c r="AB370" s="5">
        <v>5</v>
      </c>
      <c r="AC370" s="2" t="s">
        <v>1657</v>
      </c>
      <c r="AD370" s="4">
        <v>100</v>
      </c>
      <c r="AE370" s="4">
        <v>100</v>
      </c>
      <c r="AF370" s="6">
        <v>74</v>
      </c>
      <c r="AG370" s="6">
        <v>60</v>
      </c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/>
      <c r="BJ370" s="4">
        <v>31</v>
      </c>
      <c r="BK370" s="8">
        <v>6811.07</v>
      </c>
      <c r="BL370" s="2" t="s">
        <v>2065</v>
      </c>
      <c r="BM370" s="7"/>
      <c r="BN370" s="7"/>
      <c r="BO370" s="4"/>
      <c r="BP370" s="8"/>
      <c r="BQ370" s="4"/>
      <c r="BR370" s="8"/>
      <c r="BS370" s="7"/>
      <c r="BT370" s="7"/>
      <c r="BU370" s="2" t="s">
        <v>107</v>
      </c>
      <c r="BV370" s="2" t="s">
        <v>96</v>
      </c>
      <c r="BW370" s="2" t="s">
        <v>479</v>
      </c>
      <c r="BX370" s="2" t="s">
        <v>2068</v>
      </c>
      <c r="BY370" s="2" t="s">
        <v>109</v>
      </c>
      <c r="BZ370" s="2" t="s">
        <v>109</v>
      </c>
      <c r="CA370" s="2" t="s">
        <v>99</v>
      </c>
    </row>
    <row r="371">
      <c r="A371" s="2" t="s">
        <v>2069</v>
      </c>
      <c r="B371" s="2" t="s">
        <v>765</v>
      </c>
      <c r="C371" s="2" t="s">
        <v>666</v>
      </c>
      <c r="D371" s="2" t="s">
        <v>1504</v>
      </c>
      <c r="E371" s="2" t="s">
        <v>1536</v>
      </c>
      <c r="F371" s="2" t="s">
        <v>2023</v>
      </c>
      <c r="G371" s="2" t="s">
        <v>2023</v>
      </c>
      <c r="H371" s="2" t="s">
        <v>2023</v>
      </c>
      <c r="I371" s="2" t="s">
        <v>2070</v>
      </c>
      <c r="J371" s="2" t="s">
        <v>2071</v>
      </c>
      <c r="K371" s="2" t="s">
        <v>234</v>
      </c>
      <c r="L371" s="3">
        <v>62.38</v>
      </c>
      <c r="M371" s="3">
        <v>65.5</v>
      </c>
      <c r="N371" s="3">
        <v>129</v>
      </c>
      <c r="O371" s="2" t="s">
        <v>96</v>
      </c>
      <c r="P371" s="2" t="s">
        <v>386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99</v>
      </c>
      <c r="V371" s="2" t="s">
        <v>644</v>
      </c>
      <c r="W371" s="2" t="s">
        <v>2025</v>
      </c>
      <c r="X371" s="2" t="s">
        <v>785</v>
      </c>
      <c r="Y371" s="2" t="s">
        <v>1323</v>
      </c>
      <c r="Z371" s="4">
        <v>1496</v>
      </c>
      <c r="AA371" s="4">
        <f>=ROUNDDOWN(299.2,0)</f>
      </c>
      <c r="AB371" s="5">
        <v>5</v>
      </c>
      <c r="AC371" s="2" t="s">
        <v>99</v>
      </c>
      <c r="AD371" s="4"/>
      <c r="AE371" s="4"/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2</v>
      </c>
      <c r="AQ371" s="8">
        <v>124.76</v>
      </c>
      <c r="AR371" s="4"/>
      <c r="AS371" s="8"/>
      <c r="AT371" s="7"/>
      <c r="AU371" s="7"/>
      <c r="AV371" s="4">
        <v>2</v>
      </c>
      <c r="AW371" s="8">
        <v>124.76</v>
      </c>
      <c r="AX371" s="4"/>
      <c r="AY371" s="8"/>
      <c r="AZ371" s="7"/>
      <c r="BA371" s="7"/>
      <c r="BB371" s="7">
        <v>1</v>
      </c>
      <c r="BC371" s="4">
        <v>2</v>
      </c>
      <c r="BD371" s="8">
        <v>124.76</v>
      </c>
      <c r="BE371" s="4"/>
      <c r="BF371" s="8"/>
      <c r="BG371" s="7"/>
      <c r="BH371" s="7"/>
      <c r="BI371" s="7">
        <v>1</v>
      </c>
      <c r="BJ371" s="4">
        <v>20</v>
      </c>
      <c r="BK371" s="8">
        <v>1053.12</v>
      </c>
      <c r="BL371" s="2" t="s">
        <v>2072</v>
      </c>
      <c r="BM371" s="7">
        <v>0.1</v>
      </c>
      <c r="BN371" s="7">
        <v>0.1185</v>
      </c>
      <c r="BO371" s="4">
        <v>2</v>
      </c>
      <c r="BP371" s="8">
        <v>124.76</v>
      </c>
      <c r="BQ371" s="4"/>
      <c r="BR371" s="8"/>
      <c r="BS371" s="7"/>
      <c r="BT371" s="7"/>
      <c r="BU371" s="2" t="s">
        <v>645</v>
      </c>
      <c r="BV371" s="2" t="s">
        <v>96</v>
      </c>
      <c r="BW371" s="2" t="s">
        <v>99</v>
      </c>
      <c r="BX371" s="2" t="s">
        <v>99</v>
      </c>
      <c r="BY371" s="2" t="s">
        <v>109</v>
      </c>
      <c r="BZ371" s="2" t="s">
        <v>109</v>
      </c>
      <c r="CA371" s="2" t="s">
        <v>99</v>
      </c>
    </row>
    <row r="372">
      <c r="A372" s="2" t="s">
        <v>2073</v>
      </c>
      <c r="B372" s="2" t="s">
        <v>765</v>
      </c>
      <c r="C372" s="2" t="s">
        <v>666</v>
      </c>
      <c r="D372" s="2" t="s">
        <v>1504</v>
      </c>
      <c r="E372" s="2" t="s">
        <v>1536</v>
      </c>
      <c r="F372" s="2" t="s">
        <v>2011</v>
      </c>
      <c r="G372" s="2" t="s">
        <v>2011</v>
      </c>
      <c r="H372" s="2" t="s">
        <v>2011</v>
      </c>
      <c r="I372" s="2" t="s">
        <v>2074</v>
      </c>
      <c r="J372" s="2" t="s">
        <v>2075</v>
      </c>
      <c r="K372" s="2" t="s">
        <v>234</v>
      </c>
      <c r="L372" s="3">
        <v>56.2</v>
      </c>
      <c r="M372" s="3">
        <v>59.01</v>
      </c>
      <c r="N372" s="3">
        <v>119</v>
      </c>
      <c r="O372" s="2" t="s">
        <v>96</v>
      </c>
      <c r="P372" s="2" t="s">
        <v>386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99</v>
      </c>
      <c r="V372" s="2" t="s">
        <v>644</v>
      </c>
      <c r="W372" s="2" t="s">
        <v>785</v>
      </c>
      <c r="X372" s="2" t="s">
        <v>466</v>
      </c>
      <c r="Y372" s="2" t="s">
        <v>1323</v>
      </c>
      <c r="Z372" s="4">
        <v>1595</v>
      </c>
      <c r="AA372" s="4">
        <f>=ROUNDDOWN(332.291666666667,0)</f>
      </c>
      <c r="AB372" s="5">
        <v>4.8</v>
      </c>
      <c r="AC372" s="2" t="s">
        <v>99</v>
      </c>
      <c r="AD372" s="4"/>
      <c r="AE372" s="4"/>
      <c r="AF372" s="6">
        <v>66</v>
      </c>
      <c r="AG372" s="6">
        <v>49</v>
      </c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23</v>
      </c>
      <c r="BK372" s="8">
        <v>883.09</v>
      </c>
      <c r="BL372" s="2" t="s">
        <v>751</v>
      </c>
      <c r="BM372" s="7"/>
      <c r="BN372" s="7"/>
      <c r="BO372" s="4"/>
      <c r="BP372" s="8"/>
      <c r="BQ372" s="4"/>
      <c r="BR372" s="8"/>
      <c r="BS372" s="7"/>
      <c r="BT372" s="7"/>
      <c r="BU372" s="2" t="s">
        <v>645</v>
      </c>
      <c r="BV372" s="2" t="s">
        <v>96</v>
      </c>
      <c r="BW372" s="2" t="s">
        <v>99</v>
      </c>
      <c r="BX372" s="2" t="s">
        <v>99</v>
      </c>
      <c r="BY372" s="2" t="s">
        <v>109</v>
      </c>
      <c r="BZ372" s="2" t="s">
        <v>109</v>
      </c>
      <c r="CA372" s="2" t="s">
        <v>99</v>
      </c>
    </row>
    <row r="373">
      <c r="A373" s="2" t="s">
        <v>2076</v>
      </c>
      <c r="B373" s="2" t="s">
        <v>765</v>
      </c>
      <c r="C373" s="2" t="s">
        <v>666</v>
      </c>
      <c r="D373" s="2" t="s">
        <v>766</v>
      </c>
      <c r="E373" s="2" t="s">
        <v>839</v>
      </c>
      <c r="F373" s="2" t="s">
        <v>2077</v>
      </c>
      <c r="G373" s="2" t="s">
        <v>2077</v>
      </c>
      <c r="H373" s="2" t="s">
        <v>2077</v>
      </c>
      <c r="I373" s="2" t="s">
        <v>2078</v>
      </c>
      <c r="J373" s="2" t="s">
        <v>227</v>
      </c>
      <c r="K373" s="2" t="s">
        <v>379</v>
      </c>
      <c r="L373" s="3">
        <v>117</v>
      </c>
      <c r="M373" s="3">
        <v>122.85</v>
      </c>
      <c r="N373" s="3">
        <v>249</v>
      </c>
      <c r="O373" s="2" t="s">
        <v>96</v>
      </c>
      <c r="P373" s="2" t="s">
        <v>135</v>
      </c>
      <c r="Q373" s="2" t="s">
        <v>98</v>
      </c>
      <c r="R373" s="2" t="s">
        <v>99</v>
      </c>
      <c r="S373" s="2" t="s">
        <v>99</v>
      </c>
      <c r="T373" s="2" t="s">
        <v>99</v>
      </c>
      <c r="U373" s="2" t="s">
        <v>100</v>
      </c>
      <c r="V373" s="2" t="s">
        <v>310</v>
      </c>
      <c r="W373" s="2" t="s">
        <v>291</v>
      </c>
      <c r="X373" s="2" t="s">
        <v>99</v>
      </c>
      <c r="Y373" s="2" t="s">
        <v>2079</v>
      </c>
      <c r="Z373" s="4">
        <v>97</v>
      </c>
      <c r="AA373" s="4">
        <f>=ROUNDDOWN(3.59259259259259,0)</f>
      </c>
      <c r="AB373" s="5">
        <v>27</v>
      </c>
      <c r="AC373" s="2" t="s">
        <v>913</v>
      </c>
      <c r="AD373" s="4">
        <v>126</v>
      </c>
      <c r="AE373" s="4">
        <v>280</v>
      </c>
      <c r="AF373" s="6">
        <v>74</v>
      </c>
      <c r="AG373" s="6">
        <v>60</v>
      </c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29</v>
      </c>
      <c r="AQ373" s="8">
        <v>3847.72</v>
      </c>
      <c r="AR373" s="4"/>
      <c r="AS373" s="8"/>
      <c r="AT373" s="7"/>
      <c r="AU373" s="7"/>
      <c r="AV373" s="4">
        <v>29</v>
      </c>
      <c r="AW373" s="8">
        <v>3847.72</v>
      </c>
      <c r="AX373" s="4"/>
      <c r="AY373" s="8"/>
      <c r="AZ373" s="7"/>
      <c r="BA373" s="7"/>
      <c r="BB373" s="7">
        <v>1</v>
      </c>
      <c r="BC373" s="4">
        <v>39</v>
      </c>
      <c r="BD373" s="8">
        <v>5174.52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0.7436</v>
      </c>
      <c r="BJ373" s="4">
        <v>134</v>
      </c>
      <c r="BK373" s="8">
        <v>17715.52</v>
      </c>
      <c r="BL373" s="2" t="s">
        <v>2080</v>
      </c>
      <c r="BM373" s="7">
        <v>0.2164</v>
      </c>
      <c r="BN373" s="7">
        <v>0.2172</v>
      </c>
      <c r="BO373" s="4">
        <v>29</v>
      </c>
      <c r="BP373" s="8">
        <v>3847.72</v>
      </c>
      <c r="BQ373" s="4"/>
      <c r="BR373" s="8"/>
      <c r="BS373" s="7"/>
      <c r="BT373" s="7"/>
      <c r="BU373" s="2" t="s">
        <v>107</v>
      </c>
      <c r="BV373" s="2" t="s">
        <v>96</v>
      </c>
      <c r="BW373" s="2" t="s">
        <v>792</v>
      </c>
      <c r="BX373" s="2" t="s">
        <v>2081</v>
      </c>
      <c r="BY373" s="2" t="s">
        <v>109</v>
      </c>
      <c r="BZ373" s="2" t="s">
        <v>109</v>
      </c>
      <c r="CA373" s="2" t="s">
        <v>99</v>
      </c>
    </row>
    <row r="374">
      <c r="A374" s="2" t="s">
        <v>2082</v>
      </c>
      <c r="B374" s="2" t="s">
        <v>765</v>
      </c>
      <c r="C374" s="2" t="s">
        <v>666</v>
      </c>
      <c r="D374" s="2" t="s">
        <v>766</v>
      </c>
      <c r="E374" s="2" t="s">
        <v>839</v>
      </c>
      <c r="F374" s="2" t="s">
        <v>2077</v>
      </c>
      <c r="G374" s="2" t="s">
        <v>2077</v>
      </c>
      <c r="H374" s="2" t="s">
        <v>2077</v>
      </c>
      <c r="I374" s="2" t="s">
        <v>2078</v>
      </c>
      <c r="J374" s="2" t="s">
        <v>227</v>
      </c>
      <c r="K374" s="2" t="s">
        <v>465</v>
      </c>
      <c r="L374" s="3">
        <v>117</v>
      </c>
      <c r="M374" s="3">
        <v>122.85</v>
      </c>
      <c r="N374" s="3">
        <v>249</v>
      </c>
      <c r="O374" s="2" t="s">
        <v>96</v>
      </c>
      <c r="P374" s="2" t="s">
        <v>131</v>
      </c>
      <c r="Q374" s="2" t="s">
        <v>98</v>
      </c>
      <c r="R374" s="2" t="s">
        <v>99</v>
      </c>
      <c r="S374" s="2" t="s">
        <v>99</v>
      </c>
      <c r="T374" s="2" t="s">
        <v>99</v>
      </c>
      <c r="U374" s="2" t="s">
        <v>100</v>
      </c>
      <c r="V374" s="2" t="s">
        <v>310</v>
      </c>
      <c r="W374" s="2" t="s">
        <v>291</v>
      </c>
      <c r="X374" s="2" t="s">
        <v>99</v>
      </c>
      <c r="Y374" s="2" t="s">
        <v>2083</v>
      </c>
      <c r="Z374" s="4">
        <v>107</v>
      </c>
      <c r="AA374" s="4">
        <f>=ROUNDDOWN(7.13333333333333,0)</f>
      </c>
      <c r="AB374" s="5">
        <v>15</v>
      </c>
      <c r="AC374" s="2" t="s">
        <v>913</v>
      </c>
      <c r="AD374" s="4">
        <v>84</v>
      </c>
      <c r="AE374" s="4">
        <v>231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>
        <v>7</v>
      </c>
      <c r="AQ374" s="8">
        <v>928.76</v>
      </c>
      <c r="AR374" s="4"/>
      <c r="AS374" s="8"/>
      <c r="AT374" s="7"/>
      <c r="AU374" s="7"/>
      <c r="AV374" s="4">
        <v>7</v>
      </c>
      <c r="AW374" s="8">
        <v>928.76</v>
      </c>
      <c r="AX374" s="4"/>
      <c r="AY374" s="8"/>
      <c r="AZ374" s="7"/>
      <c r="BA374" s="7"/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0.1795</v>
      </c>
      <c r="BJ374" s="4">
        <v>104</v>
      </c>
      <c r="BK374" s="8">
        <v>13353.1</v>
      </c>
      <c r="BL374" s="2" t="s">
        <v>2084</v>
      </c>
      <c r="BM374" s="7">
        <v>0.0673</v>
      </c>
      <c r="BN374" s="7">
        <v>0.0696</v>
      </c>
      <c r="BO374" s="4">
        <v>7</v>
      </c>
      <c r="BP374" s="8">
        <v>928.76</v>
      </c>
      <c r="BQ374" s="4"/>
      <c r="BR374" s="8"/>
      <c r="BS374" s="7"/>
      <c r="BT374" s="7"/>
      <c r="BU374" s="2" t="s">
        <v>107</v>
      </c>
      <c r="BV374" s="2" t="s">
        <v>96</v>
      </c>
      <c r="BW374" s="2" t="s">
        <v>99</v>
      </c>
      <c r="BX374" s="2" t="s">
        <v>2085</v>
      </c>
      <c r="BY374" s="2" t="s">
        <v>109</v>
      </c>
      <c r="BZ374" s="2" t="s">
        <v>109</v>
      </c>
      <c r="CA374" s="2" t="s">
        <v>99</v>
      </c>
    </row>
    <row r="375">
      <c r="A375" s="2" t="s">
        <v>2086</v>
      </c>
      <c r="B375" s="2" t="s">
        <v>765</v>
      </c>
      <c r="C375" s="2" t="s">
        <v>666</v>
      </c>
      <c r="D375" s="2" t="s">
        <v>766</v>
      </c>
      <c r="E375" s="2" t="s">
        <v>839</v>
      </c>
      <c r="F375" s="2" t="s">
        <v>2077</v>
      </c>
      <c r="G375" s="2" t="s">
        <v>2077</v>
      </c>
      <c r="H375" s="2" t="s">
        <v>2077</v>
      </c>
      <c r="I375" s="2" t="s">
        <v>2078</v>
      </c>
      <c r="J375" s="2" t="s">
        <v>227</v>
      </c>
      <c r="K375" s="2" t="s">
        <v>784</v>
      </c>
      <c r="L375" s="3">
        <v>117</v>
      </c>
      <c r="M375" s="3">
        <v>122.85</v>
      </c>
      <c r="N375" s="3">
        <v>249</v>
      </c>
      <c r="O375" s="2" t="s">
        <v>96</v>
      </c>
      <c r="P375" s="2" t="s">
        <v>131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100</v>
      </c>
      <c r="V375" s="2" t="s">
        <v>310</v>
      </c>
      <c r="W375" s="2" t="s">
        <v>291</v>
      </c>
      <c r="X375" s="2" t="s">
        <v>99</v>
      </c>
      <c r="Y375" s="2" t="s">
        <v>2083</v>
      </c>
      <c r="Z375" s="4">
        <v>97</v>
      </c>
      <c r="AA375" s="4">
        <f>=ROUNDDOWN(5.70588235294118,0)</f>
      </c>
      <c r="AB375" s="5">
        <v>17</v>
      </c>
      <c r="AC375" s="2" t="s">
        <v>913</v>
      </c>
      <c r="AD375" s="4">
        <v>130</v>
      </c>
      <c r="AE375" s="4">
        <v>235</v>
      </c>
      <c r="AF375" s="6">
        <v>74</v>
      </c>
      <c r="AG375" s="6">
        <v>60</v>
      </c>
      <c r="AH375" s="7">
        <v>0.3103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>
        <v>3</v>
      </c>
      <c r="AQ375" s="8">
        <v>398.04</v>
      </c>
      <c r="AR375" s="4"/>
      <c r="AS375" s="8"/>
      <c r="AT375" s="7"/>
      <c r="AU375" s="7"/>
      <c r="AV375" s="4">
        <v>3</v>
      </c>
      <c r="AW375" s="8">
        <v>398.04</v>
      </c>
      <c r="AX375" s="4"/>
      <c r="AY375" s="8"/>
      <c r="AZ375" s="7"/>
      <c r="BA375" s="7"/>
      <c r="BB375" s="7">
        <v>1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0.0769</v>
      </c>
      <c r="BJ375" s="4">
        <v>24</v>
      </c>
      <c r="BK375" s="8">
        <v>3161.19</v>
      </c>
      <c r="BL375" s="2" t="s">
        <v>2087</v>
      </c>
      <c r="BM375" s="7">
        <v>0.125</v>
      </c>
      <c r="BN375" s="7">
        <v>0.1259</v>
      </c>
      <c r="BO375" s="4">
        <v>3</v>
      </c>
      <c r="BP375" s="8">
        <v>398.04</v>
      </c>
      <c r="BQ375" s="4"/>
      <c r="BR375" s="8"/>
      <c r="BS375" s="7"/>
      <c r="BT375" s="7"/>
      <c r="BU375" s="2" t="s">
        <v>107</v>
      </c>
      <c r="BV375" s="2" t="s">
        <v>96</v>
      </c>
      <c r="BW375" s="2" t="s">
        <v>99</v>
      </c>
      <c r="BX375" s="2" t="s">
        <v>2088</v>
      </c>
      <c r="BY375" s="2" t="s">
        <v>109</v>
      </c>
      <c r="BZ375" s="2" t="s">
        <v>109</v>
      </c>
      <c r="CA375" s="2" t="s">
        <v>99</v>
      </c>
    </row>
    <row r="376">
      <c r="A376" s="2" t="s">
        <v>2089</v>
      </c>
      <c r="B376" s="2" t="s">
        <v>765</v>
      </c>
      <c r="C376" s="2" t="s">
        <v>666</v>
      </c>
      <c r="D376" s="2" t="s">
        <v>766</v>
      </c>
      <c r="E376" s="2" t="s">
        <v>839</v>
      </c>
      <c r="F376" s="2" t="s">
        <v>2077</v>
      </c>
      <c r="G376" s="2" t="s">
        <v>2077</v>
      </c>
      <c r="H376" s="2" t="s">
        <v>2077</v>
      </c>
      <c r="I376" s="2" t="s">
        <v>2078</v>
      </c>
      <c r="J376" s="2" t="s">
        <v>227</v>
      </c>
      <c r="K376" s="2" t="s">
        <v>1157</v>
      </c>
      <c r="L376" s="3">
        <v>117</v>
      </c>
      <c r="M376" s="3">
        <v>122.85</v>
      </c>
      <c r="N376" s="3">
        <v>249</v>
      </c>
      <c r="O376" s="2" t="s">
        <v>96</v>
      </c>
      <c r="P376" s="2" t="s">
        <v>188</v>
      </c>
      <c r="Q376" s="2" t="s">
        <v>98</v>
      </c>
      <c r="R376" s="2" t="s">
        <v>99</v>
      </c>
      <c r="S376" s="2" t="s">
        <v>99</v>
      </c>
      <c r="T376" s="2" t="s">
        <v>99</v>
      </c>
      <c r="U376" s="2" t="s">
        <v>100</v>
      </c>
      <c r="V376" s="2" t="s">
        <v>310</v>
      </c>
      <c r="W376" s="2" t="s">
        <v>291</v>
      </c>
      <c r="X376" s="2" t="s">
        <v>99</v>
      </c>
      <c r="Y376" s="2" t="s">
        <v>2083</v>
      </c>
      <c r="Z376" s="4">
        <v>63</v>
      </c>
      <c r="AA376" s="4">
        <f>=ROUNDDOWN(7,0)</f>
      </c>
      <c r="AB376" s="5">
        <v>9</v>
      </c>
      <c r="AC376" s="2" t="s">
        <v>99</v>
      </c>
      <c r="AD376" s="4"/>
      <c r="AE376" s="4"/>
      <c r="AF376" s="6">
        <v>74</v>
      </c>
      <c r="AG376" s="6"/>
      <c r="AH376" s="7">
        <v>0.3793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/>
      <c r="BJ376" s="4">
        <v>17</v>
      </c>
      <c r="BK376" s="8">
        <v>2246.79</v>
      </c>
      <c r="BL376" s="2" t="s">
        <v>1360</v>
      </c>
      <c r="BM376" s="7"/>
      <c r="BN376" s="7"/>
      <c r="BO376" s="4"/>
      <c r="BP376" s="8"/>
      <c r="BQ376" s="4"/>
      <c r="BR376" s="8"/>
      <c r="BS376" s="7"/>
      <c r="BT376" s="7"/>
      <c r="BU376" s="2" t="s">
        <v>645</v>
      </c>
      <c r="BV376" s="2" t="s">
        <v>96</v>
      </c>
      <c r="BW376" s="2" t="s">
        <v>99</v>
      </c>
      <c r="BX376" s="2" t="s">
        <v>99</v>
      </c>
      <c r="BY376" s="2" t="s">
        <v>109</v>
      </c>
      <c r="BZ376" s="2" t="s">
        <v>109</v>
      </c>
      <c r="CA376" s="2" t="s">
        <v>99</v>
      </c>
    </row>
    <row r="377">
      <c r="A377" s="2" t="s">
        <v>2090</v>
      </c>
      <c r="B377" s="2" t="s">
        <v>765</v>
      </c>
      <c r="C377" s="2" t="s">
        <v>666</v>
      </c>
      <c r="D377" s="2" t="s">
        <v>766</v>
      </c>
      <c r="E377" s="2" t="s">
        <v>839</v>
      </c>
      <c r="F377" s="2" t="s">
        <v>2091</v>
      </c>
      <c r="G377" s="2" t="s">
        <v>2091</v>
      </c>
      <c r="H377" s="2" t="s">
        <v>2091</v>
      </c>
      <c r="I377" s="2" t="s">
        <v>2092</v>
      </c>
      <c r="J377" s="2" t="s">
        <v>227</v>
      </c>
      <c r="K377" s="2" t="s">
        <v>1796</v>
      </c>
      <c r="L377" s="3">
        <v>155</v>
      </c>
      <c r="M377" s="3">
        <v>162.75</v>
      </c>
      <c r="N377" s="3">
        <v>319</v>
      </c>
      <c r="O377" s="2" t="s">
        <v>96</v>
      </c>
      <c r="P377" s="2" t="s">
        <v>135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100</v>
      </c>
      <c r="V377" s="2" t="s">
        <v>310</v>
      </c>
      <c r="W377" s="2" t="s">
        <v>761</v>
      </c>
      <c r="X377" s="2" t="s">
        <v>102</v>
      </c>
      <c r="Y377" s="2" t="s">
        <v>444</v>
      </c>
      <c r="Z377" s="4"/>
      <c r="AA377" s="4">
        <f>=ROUNDDOWN({0},0)</f>
      </c>
      <c r="AB377" s="5">
        <v>22</v>
      </c>
      <c r="AC377" s="2" t="s">
        <v>7</v>
      </c>
      <c r="AD377" s="4">
        <v>506</v>
      </c>
      <c r="AE377" s="4">
        <v>506</v>
      </c>
      <c r="AF377" s="6">
        <v>74</v>
      </c>
      <c r="AG377" s="6">
        <v>60</v>
      </c>
      <c r="AH377" s="7">
        <v>0.1379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>
        <v>5</v>
      </c>
      <c r="AQ377" s="8">
        <v>878.85</v>
      </c>
      <c r="AR377" s="4"/>
      <c r="AS377" s="8"/>
      <c r="AT377" s="7"/>
      <c r="AU377" s="7"/>
      <c r="AV377" s="4">
        <v>5</v>
      </c>
      <c r="AW377" s="8">
        <v>878.85</v>
      </c>
      <c r="AX377" s="4"/>
      <c r="AY377" s="8"/>
      <c r="AZ377" s="7"/>
      <c r="BA377" s="7"/>
      <c r="BB377" s="7">
        <v>1</v>
      </c>
      <c r="BC377" s="4">
        <v>5</v>
      </c>
      <c r="BD377" s="8">
        <v>878.85</v>
      </c>
      <c r="BE377" s="4"/>
      <c r="BF377" s="8"/>
      <c r="BG377" s="7"/>
      <c r="BH377" s="7"/>
      <c r="BI377" s="7">
        <v>1</v>
      </c>
      <c r="BJ377" s="4">
        <v>55</v>
      </c>
      <c r="BK377" s="8">
        <v>9875.46</v>
      </c>
      <c r="BL377" s="2" t="s">
        <v>2093</v>
      </c>
      <c r="BM377" s="7">
        <v>0.0909</v>
      </c>
      <c r="BN377" s="7">
        <v>0.089</v>
      </c>
      <c r="BO377" s="4">
        <v>5</v>
      </c>
      <c r="BP377" s="8">
        <v>878.85</v>
      </c>
      <c r="BQ377" s="4"/>
      <c r="BR377" s="8"/>
      <c r="BS377" s="7"/>
      <c r="BT377" s="7"/>
      <c r="BU377" s="2" t="s">
        <v>107</v>
      </c>
      <c r="BV377" s="2" t="s">
        <v>96</v>
      </c>
      <c r="BW377" s="2" t="s">
        <v>479</v>
      </c>
      <c r="BX377" s="2" t="s">
        <v>2094</v>
      </c>
      <c r="BY377" s="2" t="s">
        <v>109</v>
      </c>
      <c r="BZ377" s="2" t="s">
        <v>109</v>
      </c>
      <c r="CA377" s="2" t="s">
        <v>99</v>
      </c>
    </row>
    <row r="378">
      <c r="A378" s="2" t="s">
        <v>2095</v>
      </c>
      <c r="B378" s="2" t="s">
        <v>765</v>
      </c>
      <c r="C378" s="2" t="s">
        <v>666</v>
      </c>
      <c r="D378" s="2" t="s">
        <v>766</v>
      </c>
      <c r="E378" s="2" t="s">
        <v>767</v>
      </c>
      <c r="F378" s="2" t="s">
        <v>2096</v>
      </c>
      <c r="G378" s="2" t="s">
        <v>2096</v>
      </c>
      <c r="H378" s="2" t="s">
        <v>2096</v>
      </c>
      <c r="I378" s="2" t="s">
        <v>2097</v>
      </c>
      <c r="J378" s="2" t="s">
        <v>2098</v>
      </c>
      <c r="K378" s="2" t="s">
        <v>784</v>
      </c>
      <c r="L378" s="3">
        <v>110</v>
      </c>
      <c r="M378" s="3">
        <v>115.5</v>
      </c>
      <c r="N378" s="3">
        <v>229</v>
      </c>
      <c r="O378" s="2" t="s">
        <v>96</v>
      </c>
      <c r="P378" s="2" t="s">
        <v>131</v>
      </c>
      <c r="Q378" s="2" t="s">
        <v>98</v>
      </c>
      <c r="R378" s="2" t="s">
        <v>99</v>
      </c>
      <c r="S378" s="2" t="s">
        <v>2099</v>
      </c>
      <c r="T378" s="2" t="s">
        <v>99</v>
      </c>
      <c r="U378" s="2" t="s">
        <v>100</v>
      </c>
      <c r="V378" s="2" t="s">
        <v>157</v>
      </c>
      <c r="W378" s="2" t="s">
        <v>291</v>
      </c>
      <c r="X378" s="2" t="s">
        <v>99</v>
      </c>
      <c r="Y378" s="2" t="s">
        <v>2100</v>
      </c>
      <c r="Z378" s="4">
        <v>2</v>
      </c>
      <c r="AA378" s="4">
        <f>=ROUNDDOWN(0.133333333333333,0)</f>
      </c>
      <c r="AB378" s="5">
        <v>15</v>
      </c>
      <c r="AC378" s="2" t="s">
        <v>7</v>
      </c>
      <c r="AD378" s="4">
        <v>100</v>
      </c>
      <c r="AE378" s="4">
        <v>360</v>
      </c>
      <c r="AF378" s="6">
        <v>74</v>
      </c>
      <c r="AG378" s="6"/>
      <c r="AH378" s="7">
        <v>0.2069</v>
      </c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>
        <v>10</v>
      </c>
      <c r="AQ378" s="8">
        <v>1247.4</v>
      </c>
      <c r="AR378" s="4"/>
      <c r="AS378" s="8"/>
      <c r="AT378" s="7"/>
      <c r="AU378" s="7"/>
      <c r="AV378" s="4">
        <v>10</v>
      </c>
      <c r="AW378" s="8">
        <v>1247.4</v>
      </c>
      <c r="AX378" s="4"/>
      <c r="AY378" s="8"/>
      <c r="AZ378" s="7"/>
      <c r="BA378" s="7"/>
      <c r="BB378" s="7">
        <v>1</v>
      </c>
      <c r="BC378" s="4">
        <v>10</v>
      </c>
      <c r="BD378" s="8">
        <v>1247.4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1</v>
      </c>
      <c r="BJ378" s="4">
        <v>35</v>
      </c>
      <c r="BK378" s="8">
        <v>4328.73</v>
      </c>
      <c r="BL378" s="2" t="s">
        <v>1166</v>
      </c>
      <c r="BM378" s="7">
        <v>0.2857</v>
      </c>
      <c r="BN378" s="7">
        <v>0.2882</v>
      </c>
      <c r="BO378" s="4">
        <v>10</v>
      </c>
      <c r="BP378" s="8">
        <v>1247.4</v>
      </c>
      <c r="BQ378" s="4"/>
      <c r="BR378" s="8"/>
      <c r="BS378" s="7"/>
      <c r="BT378" s="7"/>
      <c r="BU378" s="2" t="s">
        <v>107</v>
      </c>
      <c r="BV378" s="2" t="s">
        <v>96</v>
      </c>
      <c r="BW378" s="2" t="s">
        <v>1353</v>
      </c>
      <c r="BX378" s="2" t="s">
        <v>2101</v>
      </c>
      <c r="BY378" s="2" t="s">
        <v>109</v>
      </c>
      <c r="BZ378" s="2" t="s">
        <v>109</v>
      </c>
      <c r="CA378" s="2" t="s">
        <v>99</v>
      </c>
    </row>
    <row r="379">
      <c r="A379" s="2" t="s">
        <v>2102</v>
      </c>
      <c r="B379" s="2" t="s">
        <v>765</v>
      </c>
      <c r="C379" s="2" t="s">
        <v>666</v>
      </c>
      <c r="D379" s="2" t="s">
        <v>766</v>
      </c>
      <c r="E379" s="2" t="s">
        <v>767</v>
      </c>
      <c r="F379" s="2" t="s">
        <v>2096</v>
      </c>
      <c r="G379" s="2" t="s">
        <v>2096</v>
      </c>
      <c r="H379" s="2" t="s">
        <v>2096</v>
      </c>
      <c r="I379" s="2" t="s">
        <v>2097</v>
      </c>
      <c r="J379" s="2" t="s">
        <v>2103</v>
      </c>
      <c r="K379" s="2" t="s">
        <v>605</v>
      </c>
      <c r="L379" s="3">
        <v>135</v>
      </c>
      <c r="M379" s="3">
        <v>141.75</v>
      </c>
      <c r="N379" s="3">
        <v>265</v>
      </c>
      <c r="O379" s="2" t="s">
        <v>96</v>
      </c>
      <c r="P379" s="2" t="s">
        <v>188</v>
      </c>
      <c r="Q379" s="2" t="s">
        <v>98</v>
      </c>
      <c r="R379" s="2" t="s">
        <v>99</v>
      </c>
      <c r="S379" s="2" t="s">
        <v>99</v>
      </c>
      <c r="T379" s="2" t="s">
        <v>99</v>
      </c>
      <c r="U379" s="2" t="s">
        <v>100</v>
      </c>
      <c r="V379" s="2" t="s">
        <v>310</v>
      </c>
      <c r="W379" s="2" t="s">
        <v>291</v>
      </c>
      <c r="X379" s="2" t="s">
        <v>99</v>
      </c>
      <c r="Y379" s="2" t="s">
        <v>1495</v>
      </c>
      <c r="Z379" s="4"/>
      <c r="AA379" s="4">
        <f>=ROUNDDOWN({0},0)</f>
      </c>
      <c r="AB379" s="5">
        <v>2</v>
      </c>
      <c r="AC379" s="2" t="s">
        <v>99</v>
      </c>
      <c r="AD379" s="4"/>
      <c r="AE379" s="4"/>
      <c r="AF379" s="6">
        <v>74</v>
      </c>
      <c r="AG379" s="6"/>
      <c r="AH379" s="7">
        <v>0.1034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/>
      <c r="BJ379" s="4"/>
      <c r="BK379" s="8"/>
      <c r="BL379" s="2" t="s">
        <v>99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96</v>
      </c>
      <c r="BW379" s="2" t="s">
        <v>99</v>
      </c>
      <c r="BX379" s="2" t="s">
        <v>2104</v>
      </c>
      <c r="BY379" s="2" t="s">
        <v>109</v>
      </c>
      <c r="BZ379" s="2" t="s">
        <v>109</v>
      </c>
      <c r="CA379" s="2" t="s">
        <v>99</v>
      </c>
    </row>
    <row r="380">
      <c r="A380" s="2" t="s">
        <v>2105</v>
      </c>
      <c r="B380" s="2" t="s">
        <v>765</v>
      </c>
      <c r="C380" s="2" t="s">
        <v>666</v>
      </c>
      <c r="D380" s="2" t="s">
        <v>766</v>
      </c>
      <c r="E380" s="2" t="s">
        <v>767</v>
      </c>
      <c r="F380" s="2" t="s">
        <v>2096</v>
      </c>
      <c r="G380" s="2" t="s">
        <v>2096</v>
      </c>
      <c r="H380" s="2" t="s">
        <v>2096</v>
      </c>
      <c r="I380" s="2" t="s">
        <v>2097</v>
      </c>
      <c r="J380" s="2" t="s">
        <v>2098</v>
      </c>
      <c r="K380" s="2" t="s">
        <v>465</v>
      </c>
      <c r="L380" s="3">
        <v>110</v>
      </c>
      <c r="M380" s="3">
        <v>115.5</v>
      </c>
      <c r="N380" s="3">
        <v>229</v>
      </c>
      <c r="O380" s="2" t="s">
        <v>96</v>
      </c>
      <c r="P380" s="2" t="s">
        <v>188</v>
      </c>
      <c r="Q380" s="2" t="s">
        <v>98</v>
      </c>
      <c r="R380" s="2" t="s">
        <v>99</v>
      </c>
      <c r="S380" s="2" t="s">
        <v>2099</v>
      </c>
      <c r="T380" s="2" t="s">
        <v>99</v>
      </c>
      <c r="U380" s="2" t="s">
        <v>100</v>
      </c>
      <c r="V380" s="2" t="s">
        <v>157</v>
      </c>
      <c r="W380" s="2" t="s">
        <v>291</v>
      </c>
      <c r="X380" s="2" t="s">
        <v>99</v>
      </c>
      <c r="Y380" s="2" t="s">
        <v>2106</v>
      </c>
      <c r="Z380" s="4">
        <v>4</v>
      </c>
      <c r="AA380" s="4">
        <f>=ROUNDDOWN(1,0)</f>
      </c>
      <c r="AB380" s="5">
        <v>4</v>
      </c>
      <c r="AC380" s="2" t="s">
        <v>99</v>
      </c>
      <c r="AD380" s="4"/>
      <c r="AE380" s="4"/>
      <c r="AF380" s="6">
        <v>74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/>
      <c r="BJ380" s="4">
        <v>45</v>
      </c>
      <c r="BK380" s="8">
        <v>5502.17</v>
      </c>
      <c r="BL380" s="2" t="s">
        <v>1360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96</v>
      </c>
      <c r="BW380" s="2" t="s">
        <v>99</v>
      </c>
      <c r="BX380" s="2" t="s">
        <v>2107</v>
      </c>
      <c r="BY380" s="2" t="s">
        <v>109</v>
      </c>
      <c r="BZ380" s="2" t="s">
        <v>109</v>
      </c>
      <c r="CA380" s="2" t="s">
        <v>99</v>
      </c>
    </row>
    <row r="381">
      <c r="A381" s="2" t="s">
        <v>2108</v>
      </c>
      <c r="B381" s="2" t="s">
        <v>765</v>
      </c>
      <c r="C381" s="2" t="s">
        <v>666</v>
      </c>
      <c r="D381" s="2" t="s">
        <v>766</v>
      </c>
      <c r="E381" s="2" t="s">
        <v>767</v>
      </c>
      <c r="F381" s="2" t="s">
        <v>2109</v>
      </c>
      <c r="G381" s="2" t="s">
        <v>2109</v>
      </c>
      <c r="H381" s="2" t="s">
        <v>2109</v>
      </c>
      <c r="I381" s="2" t="s">
        <v>2110</v>
      </c>
      <c r="J381" s="2" t="s">
        <v>227</v>
      </c>
      <c r="K381" s="2" t="s">
        <v>643</v>
      </c>
      <c r="L381" s="3">
        <v>142.2</v>
      </c>
      <c r="M381" s="3">
        <v>149.31</v>
      </c>
      <c r="N381" s="3">
        <v>299</v>
      </c>
      <c r="O381" s="2" t="s">
        <v>96</v>
      </c>
      <c r="P381" s="2" t="s">
        <v>131</v>
      </c>
      <c r="Q381" s="2" t="s">
        <v>98</v>
      </c>
      <c r="R381" s="2" t="s">
        <v>99</v>
      </c>
      <c r="S381" s="2" t="s">
        <v>2111</v>
      </c>
      <c r="T381" s="2" t="s">
        <v>99</v>
      </c>
      <c r="U381" s="2" t="s">
        <v>99</v>
      </c>
      <c r="V381" s="2" t="s">
        <v>157</v>
      </c>
      <c r="W381" s="2" t="s">
        <v>685</v>
      </c>
      <c r="X381" s="2" t="s">
        <v>99</v>
      </c>
      <c r="Y381" s="2" t="s">
        <v>779</v>
      </c>
      <c r="Z381" s="4">
        <v>195</v>
      </c>
      <c r="AA381" s="4">
        <f>=ROUNDDOWN(15,0)</f>
      </c>
      <c r="AB381" s="5">
        <v>13</v>
      </c>
      <c r="AC381" s="2" t="s">
        <v>2112</v>
      </c>
      <c r="AD381" s="4">
        <v>516</v>
      </c>
      <c r="AE381" s="4">
        <v>516</v>
      </c>
      <c r="AF381" s="6">
        <v>76</v>
      </c>
      <c r="AG381" s="6">
        <v>62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>
        <v>3</v>
      </c>
      <c r="AQ381" s="8">
        <v>462</v>
      </c>
      <c r="AR381" s="4"/>
      <c r="AS381" s="8"/>
      <c r="AT381" s="7"/>
      <c r="AU381" s="7"/>
      <c r="AV381" s="4">
        <v>3</v>
      </c>
      <c r="AW381" s="8">
        <v>462</v>
      </c>
      <c r="AX381" s="4"/>
      <c r="AY381" s="8"/>
      <c r="AZ381" s="7"/>
      <c r="BA381" s="7"/>
      <c r="BB381" s="7">
        <v>1</v>
      </c>
      <c r="BC381" s="4">
        <v>3</v>
      </c>
      <c r="BD381" s="8">
        <v>462</v>
      </c>
      <c r="BE381" s="4"/>
      <c r="BF381" s="8"/>
      <c r="BG381" s="7"/>
      <c r="BH381" s="7"/>
      <c r="BI381" s="7">
        <v>1</v>
      </c>
      <c r="BJ381" s="4">
        <v>60</v>
      </c>
      <c r="BK381" s="8">
        <v>8528.91</v>
      </c>
      <c r="BL381" s="2" t="s">
        <v>2113</v>
      </c>
      <c r="BM381" s="7">
        <v>0.05</v>
      </c>
      <c r="BN381" s="7">
        <v>0.0542</v>
      </c>
      <c r="BO381" s="4">
        <v>3</v>
      </c>
      <c r="BP381" s="8">
        <v>462</v>
      </c>
      <c r="BQ381" s="4"/>
      <c r="BR381" s="8"/>
      <c r="BS381" s="7"/>
      <c r="BT381" s="7"/>
      <c r="BU381" s="2" t="s">
        <v>107</v>
      </c>
      <c r="BV381" s="2" t="s">
        <v>96</v>
      </c>
      <c r="BW381" s="2" t="s">
        <v>2114</v>
      </c>
      <c r="BX381" s="2" t="s">
        <v>2115</v>
      </c>
      <c r="BY381" s="2" t="s">
        <v>109</v>
      </c>
      <c r="BZ381" s="2" t="s">
        <v>109</v>
      </c>
      <c r="CA381" s="2" t="s">
        <v>99</v>
      </c>
    </row>
    <row r="382">
      <c r="A382" s="2" t="s">
        <v>2116</v>
      </c>
      <c r="B382" s="2" t="s">
        <v>765</v>
      </c>
      <c r="C382" s="2" t="s">
        <v>666</v>
      </c>
      <c r="D382" s="2" t="s">
        <v>982</v>
      </c>
      <c r="E382" s="2" t="s">
        <v>983</v>
      </c>
      <c r="F382" s="2" t="s">
        <v>2117</v>
      </c>
      <c r="G382" s="2" t="s">
        <v>2117</v>
      </c>
      <c r="H382" s="2" t="s">
        <v>2117</v>
      </c>
      <c r="I382" s="2" t="s">
        <v>2118</v>
      </c>
      <c r="J382" s="2" t="s">
        <v>227</v>
      </c>
      <c r="K382" s="2" t="s">
        <v>280</v>
      </c>
      <c r="L382" s="3">
        <v>180.5</v>
      </c>
      <c r="M382" s="3">
        <v>189.52</v>
      </c>
      <c r="N382" s="3">
        <v>379</v>
      </c>
      <c r="O382" s="2" t="s">
        <v>96</v>
      </c>
      <c r="P382" s="2" t="s">
        <v>131</v>
      </c>
      <c r="Q382" s="2" t="s">
        <v>98</v>
      </c>
      <c r="R382" s="2" t="s">
        <v>99</v>
      </c>
      <c r="S382" s="2" t="s">
        <v>99</v>
      </c>
      <c r="T382" s="2" t="s">
        <v>99</v>
      </c>
      <c r="U382" s="2" t="s">
        <v>100</v>
      </c>
      <c r="V382" s="2" t="s">
        <v>157</v>
      </c>
      <c r="W382" s="2" t="s">
        <v>761</v>
      </c>
      <c r="X382" s="2" t="s">
        <v>99</v>
      </c>
      <c r="Y382" s="2" t="s">
        <v>2119</v>
      </c>
      <c r="Z382" s="4">
        <v>144</v>
      </c>
      <c r="AA382" s="4">
        <f>=ROUNDDOWN(18.9473684210526,0)</f>
      </c>
      <c r="AB382" s="5">
        <v>7.6</v>
      </c>
      <c r="AC382" s="2" t="s">
        <v>990</v>
      </c>
      <c r="AD382" s="4">
        <v>204</v>
      </c>
      <c r="AE382" s="4">
        <v>244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2120</v>
      </c>
      <c r="AM382" s="4">
        <v>57</v>
      </c>
      <c r="AN382" s="4">
        <v>120</v>
      </c>
      <c r="AO382" s="7"/>
      <c r="AP382" s="4">
        <v>4</v>
      </c>
      <c r="AQ382" s="8">
        <v>760</v>
      </c>
      <c r="AR382" s="4"/>
      <c r="AS382" s="8"/>
      <c r="AT382" s="7"/>
      <c r="AU382" s="7"/>
      <c r="AV382" s="4">
        <v>4</v>
      </c>
      <c r="AW382" s="8">
        <v>760</v>
      </c>
      <c r="AX382" s="4"/>
      <c r="AY382" s="8"/>
      <c r="AZ382" s="7"/>
      <c r="BA382" s="7"/>
      <c r="BB382" s="7">
        <v>1</v>
      </c>
      <c r="BC382" s="4">
        <v>6</v>
      </c>
      <c r="BD382" s="8">
        <v>1140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0.6667</v>
      </c>
      <c r="BJ382" s="4">
        <v>57</v>
      </c>
      <c r="BK382" s="8">
        <v>10125.75</v>
      </c>
      <c r="BL382" s="2" t="s">
        <v>2121</v>
      </c>
      <c r="BM382" s="7">
        <v>0.0702</v>
      </c>
      <c r="BN382" s="7">
        <v>0.0751</v>
      </c>
      <c r="BO382" s="4">
        <v>4</v>
      </c>
      <c r="BP382" s="8">
        <v>760</v>
      </c>
      <c r="BQ382" s="4"/>
      <c r="BR382" s="8"/>
      <c r="BS382" s="7"/>
      <c r="BT382" s="7"/>
      <c r="BU382" s="2" t="s">
        <v>107</v>
      </c>
      <c r="BV382" s="2" t="s">
        <v>96</v>
      </c>
      <c r="BW382" s="2" t="s">
        <v>1047</v>
      </c>
      <c r="BX382" s="2" t="s">
        <v>2122</v>
      </c>
      <c r="BY382" s="2" t="s">
        <v>109</v>
      </c>
      <c r="BZ382" s="2" t="s">
        <v>109</v>
      </c>
      <c r="CA382" s="2" t="s">
        <v>99</v>
      </c>
    </row>
    <row r="383">
      <c r="A383" s="2" t="s">
        <v>2123</v>
      </c>
      <c r="B383" s="2" t="s">
        <v>765</v>
      </c>
      <c r="C383" s="2" t="s">
        <v>666</v>
      </c>
      <c r="D383" s="2" t="s">
        <v>982</v>
      </c>
      <c r="E383" s="2" t="s">
        <v>983</v>
      </c>
      <c r="F383" s="2" t="s">
        <v>2117</v>
      </c>
      <c r="G383" s="2" t="s">
        <v>2117</v>
      </c>
      <c r="H383" s="2" t="s">
        <v>2117</v>
      </c>
      <c r="I383" s="2" t="s">
        <v>2118</v>
      </c>
      <c r="J383" s="2" t="s">
        <v>227</v>
      </c>
      <c r="K383" s="2" t="s">
        <v>605</v>
      </c>
      <c r="L383" s="3">
        <v>180.5</v>
      </c>
      <c r="M383" s="3">
        <v>189.52</v>
      </c>
      <c r="N383" s="3">
        <v>379</v>
      </c>
      <c r="O383" s="2" t="s">
        <v>96</v>
      </c>
      <c r="P383" s="2" t="s">
        <v>135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99</v>
      </c>
      <c r="V383" s="2" t="s">
        <v>157</v>
      </c>
      <c r="W383" s="2" t="s">
        <v>761</v>
      </c>
      <c r="X383" s="2" t="s">
        <v>99</v>
      </c>
      <c r="Y383" s="2" t="s">
        <v>596</v>
      </c>
      <c r="Z383" s="4">
        <v>116</v>
      </c>
      <c r="AA383" s="4">
        <f>=ROUNDDOWN(10.5454545454545,0)</f>
      </c>
      <c r="AB383" s="5">
        <v>11</v>
      </c>
      <c r="AC383" s="2" t="s">
        <v>801</v>
      </c>
      <c r="AD383" s="4">
        <v>104</v>
      </c>
      <c r="AE383" s="4">
        <v>264</v>
      </c>
      <c r="AF383" s="6">
        <v>74</v>
      </c>
      <c r="AG383" s="6">
        <v>60</v>
      </c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>
        <v>2</v>
      </c>
      <c r="AQ383" s="8">
        <v>380</v>
      </c>
      <c r="AR383" s="4"/>
      <c r="AS383" s="8"/>
      <c r="AT383" s="7"/>
      <c r="AU383" s="7"/>
      <c r="AV383" s="4">
        <v>2</v>
      </c>
      <c r="AW383" s="8">
        <v>380</v>
      </c>
      <c r="AX383" s="4"/>
      <c r="AY383" s="8"/>
      <c r="AZ383" s="7"/>
      <c r="BA383" s="7"/>
      <c r="BB383" s="7">
        <v>1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0.3333</v>
      </c>
      <c r="BJ383" s="4">
        <v>63</v>
      </c>
      <c r="BK383" s="8">
        <v>9558.02</v>
      </c>
      <c r="BL383" s="2" t="s">
        <v>2124</v>
      </c>
      <c r="BM383" s="7">
        <v>0.0317</v>
      </c>
      <c r="BN383" s="7">
        <v>0.0398</v>
      </c>
      <c r="BO383" s="4">
        <v>2</v>
      </c>
      <c r="BP383" s="8">
        <v>380</v>
      </c>
      <c r="BQ383" s="4"/>
      <c r="BR383" s="8"/>
      <c r="BS383" s="7"/>
      <c r="BT383" s="7"/>
      <c r="BU383" s="2" t="s">
        <v>107</v>
      </c>
      <c r="BV383" s="2" t="s">
        <v>96</v>
      </c>
      <c r="BW383" s="2" t="s">
        <v>1047</v>
      </c>
      <c r="BX383" s="2" t="s">
        <v>2125</v>
      </c>
      <c r="BY383" s="2" t="s">
        <v>109</v>
      </c>
      <c r="BZ383" s="2" t="s">
        <v>109</v>
      </c>
      <c r="CA383" s="2" t="s">
        <v>99</v>
      </c>
    </row>
    <row r="384">
      <c r="A384" s="2" t="s">
        <v>2126</v>
      </c>
      <c r="B384" s="2" t="s">
        <v>765</v>
      </c>
      <c r="C384" s="2" t="s">
        <v>666</v>
      </c>
      <c r="D384" s="2" t="s">
        <v>982</v>
      </c>
      <c r="E384" s="2" t="s">
        <v>983</v>
      </c>
      <c r="F384" s="2" t="s">
        <v>2117</v>
      </c>
      <c r="G384" s="2" t="s">
        <v>2117</v>
      </c>
      <c r="H384" s="2" t="s">
        <v>2117</v>
      </c>
      <c r="I384" s="2" t="s">
        <v>2118</v>
      </c>
      <c r="J384" s="2" t="s">
        <v>227</v>
      </c>
      <c r="K384" s="2" t="s">
        <v>274</v>
      </c>
      <c r="L384" s="3">
        <v>180.5</v>
      </c>
      <c r="M384" s="3">
        <v>189.52</v>
      </c>
      <c r="N384" s="3">
        <v>379</v>
      </c>
      <c r="O384" s="2" t="s">
        <v>96</v>
      </c>
      <c r="P384" s="2" t="s">
        <v>97</v>
      </c>
      <c r="Q384" s="2" t="s">
        <v>98</v>
      </c>
      <c r="R384" s="2" t="s">
        <v>99</v>
      </c>
      <c r="S384" s="2" t="s">
        <v>2127</v>
      </c>
      <c r="T384" s="2" t="s">
        <v>99</v>
      </c>
      <c r="U384" s="2" t="s">
        <v>99</v>
      </c>
      <c r="V384" s="2" t="s">
        <v>157</v>
      </c>
      <c r="W384" s="2" t="s">
        <v>761</v>
      </c>
      <c r="X384" s="2" t="s">
        <v>99</v>
      </c>
      <c r="Y384" s="2" t="s">
        <v>2128</v>
      </c>
      <c r="Z384" s="4">
        <v>529</v>
      </c>
      <c r="AA384" s="4">
        <f>=ROUNDDOWN(23.1004366812227,0)</f>
      </c>
      <c r="AB384" s="5">
        <v>22.9</v>
      </c>
      <c r="AC384" s="2" t="s">
        <v>801</v>
      </c>
      <c r="AD384" s="4">
        <v>70</v>
      </c>
      <c r="AE384" s="4">
        <v>70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2120</v>
      </c>
      <c r="AM384" s="4">
        <v>110</v>
      </c>
      <c r="AN384" s="4">
        <v>221</v>
      </c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/>
      <c r="BJ384" s="4">
        <v>90</v>
      </c>
      <c r="BK384" s="8">
        <v>15429.72</v>
      </c>
      <c r="BL384" s="2" t="s">
        <v>2129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96</v>
      </c>
      <c r="BW384" s="2" t="s">
        <v>506</v>
      </c>
      <c r="BX384" s="2" t="s">
        <v>2130</v>
      </c>
      <c r="BY384" s="2" t="s">
        <v>109</v>
      </c>
      <c r="BZ384" s="2" t="s">
        <v>109</v>
      </c>
      <c r="CA384" s="2" t="s">
        <v>99</v>
      </c>
    </row>
    <row r="385">
      <c r="A385" s="2" t="s">
        <v>2131</v>
      </c>
      <c r="B385" s="2" t="s">
        <v>765</v>
      </c>
      <c r="C385" s="2" t="s">
        <v>666</v>
      </c>
      <c r="D385" s="2" t="s">
        <v>982</v>
      </c>
      <c r="E385" s="2" t="s">
        <v>983</v>
      </c>
      <c r="F385" s="2" t="s">
        <v>2117</v>
      </c>
      <c r="G385" s="2" t="s">
        <v>2117</v>
      </c>
      <c r="H385" s="2" t="s">
        <v>2117</v>
      </c>
      <c r="I385" s="2" t="s">
        <v>2118</v>
      </c>
      <c r="J385" s="2" t="s">
        <v>227</v>
      </c>
      <c r="K385" s="2" t="s">
        <v>853</v>
      </c>
      <c r="L385" s="3">
        <v>180.5</v>
      </c>
      <c r="M385" s="3">
        <v>189.52</v>
      </c>
      <c r="N385" s="3">
        <v>379</v>
      </c>
      <c r="O385" s="2" t="s">
        <v>96</v>
      </c>
      <c r="P385" s="2" t="s">
        <v>131</v>
      </c>
      <c r="Q385" s="2" t="s">
        <v>98</v>
      </c>
      <c r="R385" s="2" t="s">
        <v>99</v>
      </c>
      <c r="S385" s="2" t="s">
        <v>99</v>
      </c>
      <c r="T385" s="2" t="s">
        <v>99</v>
      </c>
      <c r="U385" s="2" t="s">
        <v>100</v>
      </c>
      <c r="V385" s="2" t="s">
        <v>157</v>
      </c>
      <c r="W385" s="2" t="s">
        <v>761</v>
      </c>
      <c r="X385" s="2" t="s">
        <v>99</v>
      </c>
      <c r="Y385" s="2" t="s">
        <v>2132</v>
      </c>
      <c r="Z385" s="4">
        <v>164</v>
      </c>
      <c r="AA385" s="4">
        <f>=ROUNDDOWN(25.2307692307692,0)</f>
      </c>
      <c r="AB385" s="5">
        <v>6.5</v>
      </c>
      <c r="AC385" s="2" t="s">
        <v>990</v>
      </c>
      <c r="AD385" s="4">
        <v>86</v>
      </c>
      <c r="AE385" s="4">
        <v>176</v>
      </c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>
        <v>2.2</v>
      </c>
      <c r="AL385" s="2" t="s">
        <v>2133</v>
      </c>
      <c r="AM385" s="4">
        <v>50</v>
      </c>
      <c r="AN385" s="4">
        <v>50</v>
      </c>
      <c r="AO385" s="7">
        <v>1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/>
      <c r="BJ385" s="4">
        <v>48</v>
      </c>
      <c r="BK385" s="8">
        <v>7903.4</v>
      </c>
      <c r="BL385" s="2" t="s">
        <v>2134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96</v>
      </c>
      <c r="BW385" s="2" t="s">
        <v>99</v>
      </c>
      <c r="BX385" s="2" t="s">
        <v>99</v>
      </c>
      <c r="BY385" s="2" t="s">
        <v>109</v>
      </c>
      <c r="BZ385" s="2" t="s">
        <v>109</v>
      </c>
      <c r="CA385" s="2" t="s">
        <v>99</v>
      </c>
    </row>
    <row r="386">
      <c r="A386" s="2" t="s">
        <v>2135</v>
      </c>
      <c r="B386" s="2" t="s">
        <v>765</v>
      </c>
      <c r="C386" s="2" t="s">
        <v>666</v>
      </c>
      <c r="D386" s="2" t="s">
        <v>982</v>
      </c>
      <c r="E386" s="2" t="s">
        <v>983</v>
      </c>
      <c r="F386" s="2" t="s">
        <v>2117</v>
      </c>
      <c r="G386" s="2" t="s">
        <v>2117</v>
      </c>
      <c r="H386" s="2" t="s">
        <v>2117</v>
      </c>
      <c r="I386" s="2" t="s">
        <v>2118</v>
      </c>
      <c r="J386" s="2" t="s">
        <v>227</v>
      </c>
      <c r="K386" s="2" t="s">
        <v>887</v>
      </c>
      <c r="L386" s="3">
        <v>180.5</v>
      </c>
      <c r="M386" s="3">
        <v>189.52</v>
      </c>
      <c r="N386" s="3">
        <v>379</v>
      </c>
      <c r="O386" s="2" t="s">
        <v>96</v>
      </c>
      <c r="P386" s="2" t="s">
        <v>131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100</v>
      </c>
      <c r="V386" s="2" t="s">
        <v>157</v>
      </c>
      <c r="W386" s="2" t="s">
        <v>761</v>
      </c>
      <c r="X386" s="2" t="s">
        <v>99</v>
      </c>
      <c r="Y386" s="2" t="s">
        <v>2136</v>
      </c>
      <c r="Z386" s="4">
        <v>177</v>
      </c>
      <c r="AA386" s="4">
        <f>=ROUNDDOWN(40.2272727272727,0)</f>
      </c>
      <c r="AB386" s="5">
        <v>4.4</v>
      </c>
      <c r="AC386" s="2" t="s">
        <v>99</v>
      </c>
      <c r="AD386" s="4"/>
      <c r="AE386" s="4"/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2133</v>
      </c>
      <c r="AM386" s="4">
        <v>60</v>
      </c>
      <c r="AN386" s="4">
        <v>60</v>
      </c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/>
      <c r="BJ386" s="4">
        <v>29</v>
      </c>
      <c r="BK386" s="8">
        <v>4977.23</v>
      </c>
      <c r="BL386" s="2" t="s">
        <v>2137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96</v>
      </c>
      <c r="BW386" s="2" t="s">
        <v>99</v>
      </c>
      <c r="BX386" s="2" t="s">
        <v>99</v>
      </c>
      <c r="BY386" s="2" t="s">
        <v>109</v>
      </c>
      <c r="BZ386" s="2" t="s">
        <v>109</v>
      </c>
      <c r="CA386" s="2" t="s">
        <v>99</v>
      </c>
    </row>
    <row r="387">
      <c r="A387" s="2" t="s">
        <v>2138</v>
      </c>
      <c r="B387" s="2" t="s">
        <v>765</v>
      </c>
      <c r="C387" s="2" t="s">
        <v>666</v>
      </c>
      <c r="D387" s="2" t="s">
        <v>982</v>
      </c>
      <c r="E387" s="2" t="s">
        <v>983</v>
      </c>
      <c r="F387" s="2" t="s">
        <v>2117</v>
      </c>
      <c r="G387" s="2" t="s">
        <v>2117</v>
      </c>
      <c r="H387" s="2" t="s">
        <v>2117</v>
      </c>
      <c r="I387" s="2" t="s">
        <v>2118</v>
      </c>
      <c r="J387" s="2" t="s">
        <v>227</v>
      </c>
      <c r="K387" s="2" t="s">
        <v>2139</v>
      </c>
      <c r="L387" s="3">
        <v>180.5</v>
      </c>
      <c r="M387" s="3">
        <v>189.52</v>
      </c>
      <c r="N387" s="3">
        <v>379</v>
      </c>
      <c r="O387" s="2" t="s">
        <v>96</v>
      </c>
      <c r="P387" s="2" t="s">
        <v>188</v>
      </c>
      <c r="Q387" s="2" t="s">
        <v>98</v>
      </c>
      <c r="R387" s="2" t="s">
        <v>99</v>
      </c>
      <c r="S387" s="2" t="s">
        <v>2140</v>
      </c>
      <c r="T387" s="2" t="s">
        <v>2141</v>
      </c>
      <c r="U387" s="2" t="s">
        <v>99</v>
      </c>
      <c r="V387" s="2" t="s">
        <v>157</v>
      </c>
      <c r="W387" s="2" t="s">
        <v>761</v>
      </c>
      <c r="X387" s="2" t="s">
        <v>99</v>
      </c>
      <c r="Y387" s="2" t="s">
        <v>164</v>
      </c>
      <c r="Z387" s="4">
        <v>22</v>
      </c>
      <c r="AA387" s="4">
        <f>=ROUNDDOWN(2.75,0)</f>
      </c>
      <c r="AB387" s="5">
        <v>8</v>
      </c>
      <c r="AC387" s="2" t="s">
        <v>99</v>
      </c>
      <c r="AD387" s="4"/>
      <c r="AE387" s="4"/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/>
      <c r="BJ387" s="4">
        <v>32</v>
      </c>
      <c r="BK387" s="8">
        <v>5886.09</v>
      </c>
      <c r="BL387" s="2" t="s">
        <v>2142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96</v>
      </c>
      <c r="BW387" s="2" t="s">
        <v>390</v>
      </c>
      <c r="BX387" s="2" t="s">
        <v>2143</v>
      </c>
      <c r="BY387" s="2" t="s">
        <v>109</v>
      </c>
      <c r="BZ387" s="2" t="s">
        <v>109</v>
      </c>
      <c r="CA387" s="2" t="s">
        <v>99</v>
      </c>
    </row>
    <row r="388">
      <c r="A388" s="2" t="s">
        <v>2144</v>
      </c>
      <c r="B388" s="2" t="s">
        <v>765</v>
      </c>
      <c r="C388" s="2" t="s">
        <v>666</v>
      </c>
      <c r="D388" s="2" t="s">
        <v>982</v>
      </c>
      <c r="E388" s="2" t="s">
        <v>983</v>
      </c>
      <c r="F388" s="2" t="s">
        <v>2117</v>
      </c>
      <c r="G388" s="2" t="s">
        <v>2117</v>
      </c>
      <c r="H388" s="2" t="s">
        <v>2117</v>
      </c>
      <c r="I388" s="2" t="s">
        <v>2118</v>
      </c>
      <c r="J388" s="2" t="s">
        <v>227</v>
      </c>
      <c r="K388" s="2" t="s">
        <v>317</v>
      </c>
      <c r="L388" s="3">
        <v>180.5</v>
      </c>
      <c r="M388" s="3">
        <v>189.52</v>
      </c>
      <c r="N388" s="3">
        <v>379</v>
      </c>
      <c r="O388" s="2" t="s">
        <v>96</v>
      </c>
      <c r="P388" s="2" t="s">
        <v>1173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99</v>
      </c>
      <c r="V388" s="2" t="s">
        <v>157</v>
      </c>
      <c r="W388" s="2" t="s">
        <v>2025</v>
      </c>
      <c r="X388" s="2" t="s">
        <v>99</v>
      </c>
      <c r="Y388" s="2" t="s">
        <v>99</v>
      </c>
      <c r="Z388" s="4"/>
      <c r="AA388" s="4">
        <f>=ROUNDDOWN({0},0)</f>
      </c>
      <c r="AB388" s="5"/>
      <c r="AC388" s="2" t="s">
        <v>411</v>
      </c>
      <c r="AD388" s="4">
        <v>125</v>
      </c>
      <c r="AE388" s="4">
        <v>125</v>
      </c>
      <c r="AF388" s="6">
        <v>74</v>
      </c>
      <c r="AG388" s="6"/>
      <c r="AH388" s="7"/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/>
      <c r="BJ388" s="4"/>
      <c r="BK388" s="8"/>
      <c r="BL388" s="2" t="s">
        <v>99</v>
      </c>
      <c r="BM388" s="7"/>
      <c r="BN388" s="7"/>
      <c r="BO388" s="4"/>
      <c r="BP388" s="8"/>
      <c r="BQ388" s="4"/>
      <c r="BR388" s="8"/>
      <c r="BS388" s="7"/>
      <c r="BT388" s="7"/>
      <c r="BU388" s="2" t="s">
        <v>819</v>
      </c>
      <c r="BV388" s="2" t="s">
        <v>96</v>
      </c>
      <c r="BW388" s="2" t="s">
        <v>99</v>
      </c>
      <c r="BX388" s="2" t="s">
        <v>99</v>
      </c>
      <c r="BY388" s="2" t="s">
        <v>109</v>
      </c>
      <c r="BZ388" s="2" t="s">
        <v>109</v>
      </c>
      <c r="CA388" s="2" t="s">
        <v>99</v>
      </c>
    </row>
    <row r="389">
      <c r="A389" s="2" t="s">
        <v>2145</v>
      </c>
      <c r="B389" s="2" t="s">
        <v>765</v>
      </c>
      <c r="C389" s="2" t="s">
        <v>666</v>
      </c>
      <c r="D389" s="2" t="s">
        <v>982</v>
      </c>
      <c r="E389" s="2" t="s">
        <v>983</v>
      </c>
      <c r="F389" s="2" t="s">
        <v>2046</v>
      </c>
      <c r="G389" s="2" t="s">
        <v>2046</v>
      </c>
      <c r="H389" s="2" t="s">
        <v>2046</v>
      </c>
      <c r="I389" s="2" t="s">
        <v>2146</v>
      </c>
      <c r="J389" s="2" t="s">
        <v>227</v>
      </c>
      <c r="K389" s="2" t="s">
        <v>2147</v>
      </c>
      <c r="L389" s="3">
        <v>161.5</v>
      </c>
      <c r="M389" s="3">
        <v>169.58</v>
      </c>
      <c r="N389" s="3">
        <v>339</v>
      </c>
      <c r="O389" s="2" t="s">
        <v>96</v>
      </c>
      <c r="P389" s="2" t="s">
        <v>131</v>
      </c>
      <c r="Q389" s="2" t="s">
        <v>98</v>
      </c>
      <c r="R389" s="2" t="s">
        <v>99</v>
      </c>
      <c r="S389" s="2" t="s">
        <v>2148</v>
      </c>
      <c r="T389" s="2" t="s">
        <v>99</v>
      </c>
      <c r="U389" s="2" t="s">
        <v>99</v>
      </c>
      <c r="V389" s="2" t="s">
        <v>157</v>
      </c>
      <c r="W389" s="2" t="s">
        <v>761</v>
      </c>
      <c r="X389" s="2" t="s">
        <v>99</v>
      </c>
      <c r="Y389" s="2" t="s">
        <v>686</v>
      </c>
      <c r="Z389" s="4">
        <v>140</v>
      </c>
      <c r="AA389" s="4">
        <f>=ROUNDDOWN(28,0)</f>
      </c>
      <c r="AB389" s="5">
        <v>5</v>
      </c>
      <c r="AC389" s="2" t="s">
        <v>926</v>
      </c>
      <c r="AD389" s="4">
        <v>100</v>
      </c>
      <c r="AE389" s="4">
        <v>100</v>
      </c>
      <c r="AF389" s="6">
        <v>74</v>
      </c>
      <c r="AG389" s="6">
        <v>60</v>
      </c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2</v>
      </c>
      <c r="AQ389" s="8">
        <v>366.28</v>
      </c>
      <c r="AR389" s="4"/>
      <c r="AS389" s="8"/>
      <c r="AT389" s="7"/>
      <c r="AU389" s="7"/>
      <c r="AV389" s="4">
        <v>2</v>
      </c>
      <c r="AW389" s="8">
        <v>366.28</v>
      </c>
      <c r="AX389" s="4"/>
      <c r="AY389" s="8"/>
      <c r="AZ389" s="7"/>
      <c r="BA389" s="7"/>
      <c r="BB389" s="7">
        <v>1</v>
      </c>
      <c r="BC389" s="4">
        <v>2</v>
      </c>
      <c r="BD389" s="8">
        <v>366.28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1</v>
      </c>
      <c r="BJ389" s="4">
        <v>12</v>
      </c>
      <c r="BK389" s="8">
        <v>1762.76</v>
      </c>
      <c r="BL389" s="2" t="s">
        <v>945</v>
      </c>
      <c r="BM389" s="7">
        <v>0.1667</v>
      </c>
      <c r="BN389" s="7">
        <v>0.2078</v>
      </c>
      <c r="BO389" s="4">
        <v>2</v>
      </c>
      <c r="BP389" s="8">
        <v>366.28</v>
      </c>
      <c r="BQ389" s="4"/>
      <c r="BR389" s="8"/>
      <c r="BS389" s="7"/>
      <c r="BT389" s="7"/>
      <c r="BU389" s="2" t="s">
        <v>107</v>
      </c>
      <c r="BV389" s="2" t="s">
        <v>122</v>
      </c>
      <c r="BW389" s="2" t="s">
        <v>99</v>
      </c>
      <c r="BX389" s="2" t="s">
        <v>1874</v>
      </c>
      <c r="BY389" s="2" t="s">
        <v>109</v>
      </c>
      <c r="BZ389" s="2" t="s">
        <v>109</v>
      </c>
      <c r="CA389" s="2" t="s">
        <v>99</v>
      </c>
    </row>
    <row r="390">
      <c r="A390" s="2" t="s">
        <v>2149</v>
      </c>
      <c r="B390" s="2" t="s">
        <v>765</v>
      </c>
      <c r="C390" s="2" t="s">
        <v>666</v>
      </c>
      <c r="D390" s="2" t="s">
        <v>982</v>
      </c>
      <c r="E390" s="2" t="s">
        <v>983</v>
      </c>
      <c r="F390" s="2" t="s">
        <v>2046</v>
      </c>
      <c r="G390" s="2" t="s">
        <v>2046</v>
      </c>
      <c r="H390" s="2" t="s">
        <v>2046</v>
      </c>
      <c r="I390" s="2" t="s">
        <v>2146</v>
      </c>
      <c r="J390" s="2" t="s">
        <v>227</v>
      </c>
      <c r="K390" s="2" t="s">
        <v>887</v>
      </c>
      <c r="L390" s="3">
        <v>161.5</v>
      </c>
      <c r="M390" s="3">
        <v>169.58</v>
      </c>
      <c r="N390" s="3">
        <v>339</v>
      </c>
      <c r="O390" s="2" t="s">
        <v>96</v>
      </c>
      <c r="P390" s="2" t="s">
        <v>131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100</v>
      </c>
      <c r="V390" s="2" t="s">
        <v>157</v>
      </c>
      <c r="W390" s="2" t="s">
        <v>761</v>
      </c>
      <c r="X390" s="2" t="s">
        <v>99</v>
      </c>
      <c r="Y390" s="2" t="s">
        <v>1367</v>
      </c>
      <c r="Z390" s="4">
        <v>20</v>
      </c>
      <c r="AA390" s="4">
        <f>=ROUNDDOWN(2.85714285714286,0)</f>
      </c>
      <c r="AB390" s="5">
        <v>7</v>
      </c>
      <c r="AC390" s="2" t="s">
        <v>801</v>
      </c>
      <c r="AD390" s="4">
        <v>114</v>
      </c>
      <c r="AE390" s="4">
        <v>214</v>
      </c>
      <c r="AF390" s="6">
        <v>74</v>
      </c>
      <c r="AG390" s="6">
        <v>60</v>
      </c>
      <c r="AH390" s="7">
        <v>0.3103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/>
      <c r="BJ390" s="4">
        <v>1</v>
      </c>
      <c r="BK390" s="8">
        <v>161.09</v>
      </c>
      <c r="BL390" s="2" t="s">
        <v>654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96</v>
      </c>
      <c r="BW390" s="2" t="s">
        <v>1047</v>
      </c>
      <c r="BX390" s="2" t="s">
        <v>2150</v>
      </c>
      <c r="BY390" s="2" t="s">
        <v>109</v>
      </c>
      <c r="BZ390" s="2" t="s">
        <v>109</v>
      </c>
      <c r="CA390" s="2" t="s">
        <v>99</v>
      </c>
    </row>
    <row r="391">
      <c r="A391" s="2" t="s">
        <v>2151</v>
      </c>
      <c r="B391" s="2" t="s">
        <v>765</v>
      </c>
      <c r="C391" s="2" t="s">
        <v>666</v>
      </c>
      <c r="D391" s="2" t="s">
        <v>982</v>
      </c>
      <c r="E391" s="2" t="s">
        <v>983</v>
      </c>
      <c r="F391" s="2" t="s">
        <v>2046</v>
      </c>
      <c r="G391" s="2" t="s">
        <v>2046</v>
      </c>
      <c r="H391" s="2" t="s">
        <v>99</v>
      </c>
      <c r="I391" s="2" t="s">
        <v>2146</v>
      </c>
      <c r="J391" s="2" t="s">
        <v>227</v>
      </c>
      <c r="K391" s="2" t="s">
        <v>835</v>
      </c>
      <c r="L391" s="3">
        <v>161.5</v>
      </c>
      <c r="M391" s="3">
        <v>169.58</v>
      </c>
      <c r="N391" s="3">
        <v>339</v>
      </c>
      <c r="O391" s="2" t="s">
        <v>96</v>
      </c>
      <c r="P391" s="2" t="s">
        <v>188</v>
      </c>
      <c r="Q391" s="2" t="s">
        <v>98</v>
      </c>
      <c r="R391" s="2" t="s">
        <v>99</v>
      </c>
      <c r="S391" s="2" t="s">
        <v>2152</v>
      </c>
      <c r="T391" s="2" t="s">
        <v>99</v>
      </c>
      <c r="U391" s="2" t="s">
        <v>99</v>
      </c>
      <c r="V391" s="2" t="s">
        <v>157</v>
      </c>
      <c r="W391" s="2" t="s">
        <v>761</v>
      </c>
      <c r="X391" s="2" t="s">
        <v>99</v>
      </c>
      <c r="Y391" s="2" t="s">
        <v>164</v>
      </c>
      <c r="Z391" s="4">
        <v>94</v>
      </c>
      <c r="AA391" s="4">
        <f>=ROUNDDOWN(23.5,0)</f>
      </c>
      <c r="AB391" s="5">
        <v>4</v>
      </c>
      <c r="AC391" s="2" t="s">
        <v>99</v>
      </c>
      <c r="AD391" s="4"/>
      <c r="AE391" s="4"/>
      <c r="AF391" s="6">
        <v>74</v>
      </c>
      <c r="AG391" s="6">
        <v>60</v>
      </c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/>
      <c r="BJ391" s="4">
        <v>17</v>
      </c>
      <c r="BK391" s="8">
        <v>2645.84</v>
      </c>
      <c r="BL391" s="2" t="s">
        <v>2153</v>
      </c>
      <c r="BM391" s="7"/>
      <c r="BN391" s="7"/>
      <c r="BO391" s="4"/>
      <c r="BP391" s="8"/>
      <c r="BQ391" s="4"/>
      <c r="BR391" s="8"/>
      <c r="BS391" s="7"/>
      <c r="BT391" s="7"/>
      <c r="BU391" s="2" t="s">
        <v>107</v>
      </c>
      <c r="BV391" s="2" t="s">
        <v>96</v>
      </c>
      <c r="BW391" s="2" t="s">
        <v>846</v>
      </c>
      <c r="BX391" s="2" t="s">
        <v>390</v>
      </c>
      <c r="BY391" s="2" t="s">
        <v>109</v>
      </c>
      <c r="BZ391" s="2" t="s">
        <v>109</v>
      </c>
      <c r="CA391" s="2" t="s">
        <v>99</v>
      </c>
    </row>
    <row r="392">
      <c r="A392" s="2" t="s">
        <v>2154</v>
      </c>
      <c r="B392" s="2" t="s">
        <v>765</v>
      </c>
      <c r="C392" s="2" t="s">
        <v>666</v>
      </c>
      <c r="D392" s="2" t="s">
        <v>982</v>
      </c>
      <c r="E392" s="2" t="s">
        <v>983</v>
      </c>
      <c r="F392" s="2" t="s">
        <v>2155</v>
      </c>
      <c r="G392" s="2" t="s">
        <v>2155</v>
      </c>
      <c r="H392" s="2" t="s">
        <v>2155</v>
      </c>
      <c r="I392" s="2" t="s">
        <v>2156</v>
      </c>
      <c r="J392" s="2" t="s">
        <v>227</v>
      </c>
      <c r="K392" s="2" t="s">
        <v>228</v>
      </c>
      <c r="L392" s="3">
        <v>161.5</v>
      </c>
      <c r="M392" s="3">
        <v>169.58</v>
      </c>
      <c r="N392" s="3">
        <v>339</v>
      </c>
      <c r="O392" s="2" t="s">
        <v>96</v>
      </c>
      <c r="P392" s="2" t="s">
        <v>386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100</v>
      </c>
      <c r="V392" s="2" t="s">
        <v>157</v>
      </c>
      <c r="W392" s="2" t="s">
        <v>761</v>
      </c>
      <c r="X392" s="2" t="s">
        <v>102</v>
      </c>
      <c r="Y392" s="2" t="s">
        <v>2157</v>
      </c>
      <c r="Z392" s="4">
        <v>47</v>
      </c>
      <c r="AA392" s="4">
        <f>=ROUNDDOWN(8.86792452830189,0)</f>
      </c>
      <c r="AB392" s="5">
        <v>5.3</v>
      </c>
      <c r="AC392" s="2" t="s">
        <v>811</v>
      </c>
      <c r="AD392" s="4">
        <v>28</v>
      </c>
      <c r="AE392" s="4">
        <v>100</v>
      </c>
      <c r="AF392" s="6">
        <v>74</v>
      </c>
      <c r="AG392" s="6">
        <v>60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1</v>
      </c>
      <c r="AQ392" s="8">
        <v>230.77</v>
      </c>
      <c r="AR392" s="4"/>
      <c r="AS392" s="8"/>
      <c r="AT392" s="7"/>
      <c r="AU392" s="7"/>
      <c r="AV392" s="4">
        <v>1</v>
      </c>
      <c r="AW392" s="8">
        <v>230.77</v>
      </c>
      <c r="AX392" s="4"/>
      <c r="AY392" s="8"/>
      <c r="AZ392" s="7"/>
      <c r="BA392" s="7"/>
      <c r="BB392" s="7">
        <v>1</v>
      </c>
      <c r="BC392" s="4">
        <v>1</v>
      </c>
      <c r="BD392" s="8">
        <v>230.77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1</v>
      </c>
      <c r="BJ392" s="4">
        <v>18</v>
      </c>
      <c r="BK392" s="8">
        <v>2519.77</v>
      </c>
      <c r="BL392" s="2" t="s">
        <v>2158</v>
      </c>
      <c r="BM392" s="7">
        <v>0.0556</v>
      </c>
      <c r="BN392" s="7">
        <v>0.0916</v>
      </c>
      <c r="BO392" s="4">
        <v>1</v>
      </c>
      <c r="BP392" s="8">
        <v>230.77</v>
      </c>
      <c r="BQ392" s="4"/>
      <c r="BR392" s="8"/>
      <c r="BS392" s="7"/>
      <c r="BT392" s="7"/>
      <c r="BU392" s="2" t="s">
        <v>107</v>
      </c>
      <c r="BV392" s="2" t="s">
        <v>96</v>
      </c>
      <c r="BW392" s="2" t="s">
        <v>99</v>
      </c>
      <c r="BX392" s="2" t="s">
        <v>2159</v>
      </c>
      <c r="BY392" s="2" t="s">
        <v>109</v>
      </c>
      <c r="BZ392" s="2" t="s">
        <v>109</v>
      </c>
      <c r="CA392" s="2" t="s">
        <v>99</v>
      </c>
    </row>
    <row r="393">
      <c r="A393" s="2" t="s">
        <v>2160</v>
      </c>
      <c r="B393" s="2" t="s">
        <v>765</v>
      </c>
      <c r="C393" s="2" t="s">
        <v>666</v>
      </c>
      <c r="D393" s="2" t="s">
        <v>982</v>
      </c>
      <c r="E393" s="2" t="s">
        <v>983</v>
      </c>
      <c r="F393" s="2" t="s">
        <v>2155</v>
      </c>
      <c r="G393" s="2" t="s">
        <v>2155</v>
      </c>
      <c r="H393" s="2" t="s">
        <v>2155</v>
      </c>
      <c r="I393" s="2" t="s">
        <v>2156</v>
      </c>
      <c r="J393" s="2" t="s">
        <v>227</v>
      </c>
      <c r="K393" s="2" t="s">
        <v>784</v>
      </c>
      <c r="L393" s="3">
        <v>161.5</v>
      </c>
      <c r="M393" s="3">
        <v>169.58</v>
      </c>
      <c r="N393" s="3">
        <v>339</v>
      </c>
      <c r="O393" s="2" t="s">
        <v>96</v>
      </c>
      <c r="P393" s="2" t="s">
        <v>131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100</v>
      </c>
      <c r="V393" s="2" t="s">
        <v>157</v>
      </c>
      <c r="W393" s="2" t="s">
        <v>761</v>
      </c>
      <c r="X393" s="2" t="s">
        <v>102</v>
      </c>
      <c r="Y393" s="2" t="s">
        <v>1123</v>
      </c>
      <c r="Z393" s="4">
        <v>152</v>
      </c>
      <c r="AA393" s="4">
        <f>=ROUNDDOWN(8.94117647058824,0)</f>
      </c>
      <c r="AB393" s="5">
        <v>17</v>
      </c>
      <c r="AC393" s="2" t="s">
        <v>411</v>
      </c>
      <c r="AD393" s="4">
        <v>120</v>
      </c>
      <c r="AE393" s="4">
        <v>275</v>
      </c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/>
      <c r="BJ393" s="4">
        <v>41</v>
      </c>
      <c r="BK393" s="8">
        <v>6469.09</v>
      </c>
      <c r="BL393" s="2" t="s">
        <v>1360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96</v>
      </c>
      <c r="BW393" s="2" t="s">
        <v>99</v>
      </c>
      <c r="BX393" s="2" t="s">
        <v>99</v>
      </c>
      <c r="BY393" s="2" t="s">
        <v>109</v>
      </c>
      <c r="BZ393" s="2" t="s">
        <v>109</v>
      </c>
      <c r="CA393" s="2" t="s">
        <v>99</v>
      </c>
    </row>
    <row r="394">
      <c r="A394" s="2" t="s">
        <v>2161</v>
      </c>
      <c r="B394" s="2" t="s">
        <v>765</v>
      </c>
      <c r="C394" s="2" t="s">
        <v>666</v>
      </c>
      <c r="D394" s="2" t="s">
        <v>982</v>
      </c>
      <c r="E394" s="2" t="s">
        <v>983</v>
      </c>
      <c r="F394" s="2" t="s">
        <v>2155</v>
      </c>
      <c r="G394" s="2" t="s">
        <v>2155</v>
      </c>
      <c r="H394" s="2" t="s">
        <v>2155</v>
      </c>
      <c r="I394" s="2" t="s">
        <v>2156</v>
      </c>
      <c r="J394" s="2" t="s">
        <v>227</v>
      </c>
      <c r="K394" s="2" t="s">
        <v>280</v>
      </c>
      <c r="L394" s="3">
        <v>161.5</v>
      </c>
      <c r="M394" s="3">
        <v>169.58</v>
      </c>
      <c r="N394" s="3">
        <v>339</v>
      </c>
      <c r="O394" s="2" t="s">
        <v>96</v>
      </c>
      <c r="P394" s="2" t="s">
        <v>188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100</v>
      </c>
      <c r="V394" s="2" t="s">
        <v>157</v>
      </c>
      <c r="W394" s="2" t="s">
        <v>761</v>
      </c>
      <c r="X394" s="2" t="s">
        <v>102</v>
      </c>
      <c r="Y394" s="2" t="s">
        <v>1818</v>
      </c>
      <c r="Z394" s="4">
        <v>53</v>
      </c>
      <c r="AA394" s="4">
        <f>=ROUNDDOWN(15.1428571428571,0)</f>
      </c>
      <c r="AB394" s="5">
        <v>3.5</v>
      </c>
      <c r="AC394" s="2" t="s">
        <v>99</v>
      </c>
      <c r="AD394" s="4"/>
      <c r="AE394" s="4"/>
      <c r="AF394" s="6">
        <v>74</v>
      </c>
      <c r="AG394" s="6">
        <v>60</v>
      </c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/>
      <c r="BJ394" s="4">
        <v>9</v>
      </c>
      <c r="BK394" s="8">
        <v>1478.78</v>
      </c>
      <c r="BL394" s="2" t="s">
        <v>2162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96</v>
      </c>
      <c r="BW394" s="2" t="s">
        <v>99</v>
      </c>
      <c r="BX394" s="2" t="s">
        <v>99</v>
      </c>
      <c r="BY394" s="2" t="s">
        <v>109</v>
      </c>
      <c r="BZ394" s="2" t="s">
        <v>109</v>
      </c>
      <c r="CA394" s="2" t="s">
        <v>99</v>
      </c>
    </row>
    <row r="395">
      <c r="A395" s="2" t="s">
        <v>2163</v>
      </c>
      <c r="B395" s="2" t="s">
        <v>765</v>
      </c>
      <c r="C395" s="2" t="s">
        <v>666</v>
      </c>
      <c r="D395" s="2" t="s">
        <v>982</v>
      </c>
      <c r="E395" s="2" t="s">
        <v>983</v>
      </c>
      <c r="F395" s="2" t="s">
        <v>2155</v>
      </c>
      <c r="G395" s="2" t="s">
        <v>2155</v>
      </c>
      <c r="H395" s="2" t="s">
        <v>2155</v>
      </c>
      <c r="I395" s="2" t="s">
        <v>2156</v>
      </c>
      <c r="J395" s="2" t="s">
        <v>227</v>
      </c>
      <c r="K395" s="2" t="s">
        <v>379</v>
      </c>
      <c r="L395" s="3">
        <v>161.5</v>
      </c>
      <c r="M395" s="3">
        <v>169.58</v>
      </c>
      <c r="N395" s="3">
        <v>339</v>
      </c>
      <c r="O395" s="2" t="s">
        <v>96</v>
      </c>
      <c r="P395" s="2" t="s">
        <v>131</v>
      </c>
      <c r="Q395" s="2" t="s">
        <v>98</v>
      </c>
      <c r="R395" s="2" t="s">
        <v>99</v>
      </c>
      <c r="S395" s="2" t="s">
        <v>2164</v>
      </c>
      <c r="T395" s="2" t="s">
        <v>99</v>
      </c>
      <c r="U395" s="2" t="s">
        <v>100</v>
      </c>
      <c r="V395" s="2" t="s">
        <v>157</v>
      </c>
      <c r="W395" s="2" t="s">
        <v>761</v>
      </c>
      <c r="X395" s="2" t="s">
        <v>102</v>
      </c>
      <c r="Y395" s="2" t="s">
        <v>164</v>
      </c>
      <c r="Z395" s="4">
        <v>210</v>
      </c>
      <c r="AA395" s="4">
        <f>=ROUNDDOWN(6.7741935483871,0)</f>
      </c>
      <c r="AB395" s="5">
        <v>31</v>
      </c>
      <c r="AC395" s="2" t="s">
        <v>801</v>
      </c>
      <c r="AD395" s="4">
        <v>40</v>
      </c>
      <c r="AE395" s="4">
        <v>500</v>
      </c>
      <c r="AF395" s="6">
        <v>74</v>
      </c>
      <c r="AG395" s="6">
        <v>60</v>
      </c>
      <c r="AH395" s="7">
        <v>0.5172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/>
      <c r="BJ395" s="4">
        <v>59</v>
      </c>
      <c r="BK395" s="8">
        <v>9742.45</v>
      </c>
      <c r="BL395" s="2" t="s">
        <v>2165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96</v>
      </c>
      <c r="BW395" s="2" t="s">
        <v>390</v>
      </c>
      <c r="BX395" s="2" t="s">
        <v>885</v>
      </c>
      <c r="BY395" s="2" t="s">
        <v>109</v>
      </c>
      <c r="BZ395" s="2" t="s">
        <v>109</v>
      </c>
      <c r="CA395" s="2" t="s">
        <v>99</v>
      </c>
    </row>
    <row r="396">
      <c r="A396" s="2" t="s">
        <v>2166</v>
      </c>
      <c r="B396" s="2" t="s">
        <v>765</v>
      </c>
      <c r="C396" s="2" t="s">
        <v>666</v>
      </c>
      <c r="D396" s="2" t="s">
        <v>982</v>
      </c>
      <c r="E396" s="2" t="s">
        <v>983</v>
      </c>
      <c r="F396" s="2" t="s">
        <v>2155</v>
      </c>
      <c r="G396" s="2" t="s">
        <v>2155</v>
      </c>
      <c r="H396" s="2" t="s">
        <v>2155</v>
      </c>
      <c r="I396" s="2" t="s">
        <v>2156</v>
      </c>
      <c r="J396" s="2" t="s">
        <v>227</v>
      </c>
      <c r="K396" s="2" t="s">
        <v>458</v>
      </c>
      <c r="L396" s="3">
        <v>161.5</v>
      </c>
      <c r="M396" s="3">
        <v>169.58</v>
      </c>
      <c r="N396" s="3">
        <v>339</v>
      </c>
      <c r="O396" s="2" t="s">
        <v>96</v>
      </c>
      <c r="P396" s="2" t="s">
        <v>386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100</v>
      </c>
      <c r="V396" s="2" t="s">
        <v>157</v>
      </c>
      <c r="W396" s="2" t="s">
        <v>761</v>
      </c>
      <c r="X396" s="2" t="s">
        <v>102</v>
      </c>
      <c r="Y396" s="2" t="s">
        <v>2157</v>
      </c>
      <c r="Z396" s="4">
        <v>62</v>
      </c>
      <c r="AA396" s="4">
        <f>=ROUNDDOWN(6.88888888888889,0)</f>
      </c>
      <c r="AB396" s="5">
        <v>9</v>
      </c>
      <c r="AC396" s="2" t="s">
        <v>2167</v>
      </c>
      <c r="AD396" s="4">
        <v>118</v>
      </c>
      <c r="AE396" s="4">
        <v>145</v>
      </c>
      <c r="AF396" s="6">
        <v>74</v>
      </c>
      <c r="AG396" s="6">
        <v>60</v>
      </c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/>
      <c r="BJ396" s="4">
        <v>32</v>
      </c>
      <c r="BK396" s="8">
        <v>4649.33</v>
      </c>
      <c r="BL396" s="2" t="s">
        <v>2168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96</v>
      </c>
      <c r="BW396" s="2" t="s">
        <v>2169</v>
      </c>
      <c r="BX396" s="2" t="s">
        <v>2170</v>
      </c>
      <c r="BY396" s="2" t="s">
        <v>109</v>
      </c>
      <c r="BZ396" s="2" t="s">
        <v>109</v>
      </c>
      <c r="CA396" s="2" t="s">
        <v>99</v>
      </c>
    </row>
    <row r="397">
      <c r="A397" s="2" t="s">
        <v>2171</v>
      </c>
      <c r="B397" s="2" t="s">
        <v>765</v>
      </c>
      <c r="C397" s="2" t="s">
        <v>666</v>
      </c>
      <c r="D397" s="2" t="s">
        <v>982</v>
      </c>
      <c r="E397" s="2" t="s">
        <v>983</v>
      </c>
      <c r="F397" s="2" t="s">
        <v>2172</v>
      </c>
      <c r="G397" s="2" t="s">
        <v>2172</v>
      </c>
      <c r="H397" s="2" t="s">
        <v>2172</v>
      </c>
      <c r="I397" s="2" t="s">
        <v>2173</v>
      </c>
      <c r="J397" s="2" t="s">
        <v>1709</v>
      </c>
      <c r="K397" s="2" t="s">
        <v>234</v>
      </c>
      <c r="L397" s="3">
        <v>262.38</v>
      </c>
      <c r="M397" s="3">
        <v>275.5</v>
      </c>
      <c r="N397" s="3">
        <v>549</v>
      </c>
      <c r="O397" s="2" t="s">
        <v>443</v>
      </c>
      <c r="P397" s="2" t="s">
        <v>188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100</v>
      </c>
      <c r="V397" s="2" t="s">
        <v>157</v>
      </c>
      <c r="W397" s="2" t="s">
        <v>102</v>
      </c>
      <c r="X397" s="2" t="s">
        <v>242</v>
      </c>
      <c r="Y397" s="2" t="s">
        <v>1805</v>
      </c>
      <c r="Z397" s="4"/>
      <c r="AA397" s="4">
        <f>=ROUNDDOWN({0},0)</f>
      </c>
      <c r="AB397" s="5">
        <v>0.6</v>
      </c>
      <c r="AC397" s="2" t="s">
        <v>99</v>
      </c>
      <c r="AD397" s="4"/>
      <c r="AE397" s="4"/>
      <c r="AF397" s="6">
        <v>83</v>
      </c>
      <c r="AG397" s="6"/>
      <c r="AH397" s="7">
        <v>0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99</v>
      </c>
      <c r="BM397" s="7"/>
      <c r="BN397" s="7"/>
      <c r="BO397" s="4"/>
      <c r="BP397" s="8"/>
      <c r="BQ397" s="4"/>
      <c r="BR397" s="8"/>
      <c r="BS397" s="7"/>
      <c r="BT397" s="7"/>
      <c r="BU397" s="2" t="s">
        <v>306</v>
      </c>
      <c r="BV397" s="2" t="s">
        <v>96</v>
      </c>
      <c r="BW397" s="2" t="s">
        <v>99</v>
      </c>
      <c r="BX397" s="2" t="s">
        <v>99</v>
      </c>
      <c r="BY397" s="2" t="s">
        <v>109</v>
      </c>
      <c r="BZ397" s="2" t="s">
        <v>109</v>
      </c>
      <c r="CA397" s="2" t="s">
        <v>99</v>
      </c>
    </row>
    <row r="398">
      <c r="A398" s="2" t="s">
        <v>2174</v>
      </c>
      <c r="B398" s="2" t="s">
        <v>765</v>
      </c>
      <c r="C398" s="2" t="s">
        <v>666</v>
      </c>
      <c r="D398" s="2" t="s">
        <v>982</v>
      </c>
      <c r="E398" s="2" t="s">
        <v>983</v>
      </c>
      <c r="F398" s="2" t="s">
        <v>2175</v>
      </c>
      <c r="G398" s="2" t="s">
        <v>2175</v>
      </c>
      <c r="H398" s="2" t="s">
        <v>2175</v>
      </c>
      <c r="I398" s="2" t="s">
        <v>1065</v>
      </c>
      <c r="J398" s="2" t="s">
        <v>227</v>
      </c>
      <c r="K398" s="2" t="s">
        <v>2000</v>
      </c>
      <c r="L398" s="3">
        <v>172</v>
      </c>
      <c r="M398" s="3">
        <v>180.6</v>
      </c>
      <c r="N398" s="3">
        <v>359</v>
      </c>
      <c r="O398" s="2" t="s">
        <v>96</v>
      </c>
      <c r="P398" s="2" t="s">
        <v>131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100</v>
      </c>
      <c r="V398" s="2" t="s">
        <v>157</v>
      </c>
      <c r="W398" s="2" t="s">
        <v>291</v>
      </c>
      <c r="X398" s="2" t="s">
        <v>99</v>
      </c>
      <c r="Y398" s="2" t="s">
        <v>2176</v>
      </c>
      <c r="Z398" s="4">
        <v>97</v>
      </c>
      <c r="AA398" s="4">
        <f>=ROUNDDOWN(8.81818181818182,0)</f>
      </c>
      <c r="AB398" s="5">
        <v>11</v>
      </c>
      <c r="AC398" s="2" t="s">
        <v>147</v>
      </c>
      <c r="AD398" s="4">
        <v>20</v>
      </c>
      <c r="AE398" s="4">
        <v>100</v>
      </c>
      <c r="AF398" s="6">
        <v>74</v>
      </c>
      <c r="AG398" s="6">
        <v>60</v>
      </c>
      <c r="AH398" s="7">
        <v>0.5172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17</v>
      </c>
      <c r="BK398" s="8">
        <v>3463.97</v>
      </c>
      <c r="BL398" s="2" t="s">
        <v>2177</v>
      </c>
      <c r="BM398" s="7"/>
      <c r="BN398" s="7"/>
      <c r="BO398" s="4"/>
      <c r="BP398" s="8"/>
      <c r="BQ398" s="4"/>
      <c r="BR398" s="8"/>
      <c r="BS398" s="7"/>
      <c r="BT398" s="7"/>
      <c r="BU398" s="2" t="s">
        <v>107</v>
      </c>
      <c r="BV398" s="2" t="s">
        <v>96</v>
      </c>
      <c r="BW398" s="2" t="s">
        <v>2178</v>
      </c>
      <c r="BX398" s="2" t="s">
        <v>2179</v>
      </c>
      <c r="BY398" s="2" t="s">
        <v>109</v>
      </c>
      <c r="BZ398" s="2" t="s">
        <v>109</v>
      </c>
      <c r="CA398" s="2" t="s">
        <v>99</v>
      </c>
    </row>
    <row r="399">
      <c r="A399" s="2" t="s">
        <v>2180</v>
      </c>
      <c r="B399" s="2" t="s">
        <v>765</v>
      </c>
      <c r="C399" s="2" t="s">
        <v>666</v>
      </c>
      <c r="D399" s="2" t="s">
        <v>1132</v>
      </c>
      <c r="E399" s="2" t="s">
        <v>1133</v>
      </c>
      <c r="F399" s="2" t="s">
        <v>2181</v>
      </c>
      <c r="G399" s="2" t="s">
        <v>2181</v>
      </c>
      <c r="H399" s="2" t="s">
        <v>2181</v>
      </c>
      <c r="I399" s="2" t="s">
        <v>2182</v>
      </c>
      <c r="J399" s="2" t="s">
        <v>227</v>
      </c>
      <c r="K399" s="2" t="s">
        <v>1157</v>
      </c>
      <c r="L399" s="3">
        <v>213.75</v>
      </c>
      <c r="M399" s="3">
        <v>224.44</v>
      </c>
      <c r="N399" s="3">
        <v>449</v>
      </c>
      <c r="O399" s="2" t="s">
        <v>96</v>
      </c>
      <c r="P399" s="2" t="s">
        <v>188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100</v>
      </c>
      <c r="V399" s="2" t="s">
        <v>310</v>
      </c>
      <c r="W399" s="2" t="s">
        <v>158</v>
      </c>
      <c r="X399" s="2" t="s">
        <v>291</v>
      </c>
      <c r="Y399" s="2" t="s">
        <v>1755</v>
      </c>
      <c r="Z399" s="4">
        <v>21</v>
      </c>
      <c r="AA399" s="4">
        <f>=ROUNDDOWN(11.0526315789474,0)</f>
      </c>
      <c r="AB399" s="5">
        <v>1.9</v>
      </c>
      <c r="AC399" s="2" t="s">
        <v>99</v>
      </c>
      <c r="AD399" s="4"/>
      <c r="AE399" s="4"/>
      <c r="AF399" s="6">
        <v>74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>
        <v>2</v>
      </c>
      <c r="AQ399" s="8">
        <v>484.78</v>
      </c>
      <c r="AR399" s="4"/>
      <c r="AS399" s="8"/>
      <c r="AT399" s="7"/>
      <c r="AU399" s="7"/>
      <c r="AV399" s="4">
        <v>2</v>
      </c>
      <c r="AW399" s="8">
        <v>484.78</v>
      </c>
      <c r="AX399" s="4"/>
      <c r="AY399" s="8"/>
      <c r="AZ399" s="7"/>
      <c r="BA399" s="7"/>
      <c r="BB399" s="7">
        <v>1</v>
      </c>
      <c r="BC399" s="4">
        <v>2</v>
      </c>
      <c r="BD399" s="8">
        <v>484.78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1</v>
      </c>
      <c r="BJ399" s="4">
        <v>46</v>
      </c>
      <c r="BK399" s="8">
        <v>10874.23</v>
      </c>
      <c r="BL399" s="2" t="s">
        <v>2183</v>
      </c>
      <c r="BM399" s="7">
        <v>0.0435</v>
      </c>
      <c r="BN399" s="7">
        <v>0.0446</v>
      </c>
      <c r="BO399" s="4">
        <v>2</v>
      </c>
      <c r="BP399" s="8">
        <v>484.78</v>
      </c>
      <c r="BQ399" s="4"/>
      <c r="BR399" s="8"/>
      <c r="BS399" s="7"/>
      <c r="BT399" s="7"/>
      <c r="BU399" s="2" t="s">
        <v>107</v>
      </c>
      <c r="BV399" s="2" t="s">
        <v>96</v>
      </c>
      <c r="BW399" s="2" t="s">
        <v>99</v>
      </c>
      <c r="BX399" s="2" t="s">
        <v>2184</v>
      </c>
      <c r="BY399" s="2" t="s">
        <v>109</v>
      </c>
      <c r="BZ399" s="2" t="s">
        <v>109</v>
      </c>
      <c r="CA399" s="2" t="s">
        <v>99</v>
      </c>
    </row>
    <row r="400">
      <c r="A400" s="2" t="s">
        <v>2185</v>
      </c>
      <c r="B400" s="2" t="s">
        <v>765</v>
      </c>
      <c r="C400" s="2" t="s">
        <v>666</v>
      </c>
      <c r="D400" s="2" t="s">
        <v>1132</v>
      </c>
      <c r="E400" s="2" t="s">
        <v>1133</v>
      </c>
      <c r="F400" s="2" t="s">
        <v>2181</v>
      </c>
      <c r="G400" s="2" t="s">
        <v>2181</v>
      </c>
      <c r="H400" s="2" t="s">
        <v>2181</v>
      </c>
      <c r="I400" s="2" t="s">
        <v>2182</v>
      </c>
      <c r="J400" s="2" t="s">
        <v>227</v>
      </c>
      <c r="K400" s="2" t="s">
        <v>605</v>
      </c>
      <c r="L400" s="3">
        <v>213.75</v>
      </c>
      <c r="M400" s="3">
        <v>224.44</v>
      </c>
      <c r="N400" s="3">
        <v>449</v>
      </c>
      <c r="O400" s="2" t="s">
        <v>96</v>
      </c>
      <c r="P400" s="2" t="s">
        <v>386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100</v>
      </c>
      <c r="V400" s="2" t="s">
        <v>310</v>
      </c>
      <c r="W400" s="2" t="s">
        <v>158</v>
      </c>
      <c r="X400" s="2" t="s">
        <v>291</v>
      </c>
      <c r="Y400" s="2" t="s">
        <v>2186</v>
      </c>
      <c r="Z400" s="4">
        <v>109</v>
      </c>
      <c r="AA400" s="4">
        <f>=ROUNDDOWN(36.3333333333333,0)</f>
      </c>
      <c r="AB400" s="5">
        <v>3</v>
      </c>
      <c r="AC400" s="2" t="s">
        <v>99</v>
      </c>
      <c r="AD400" s="4"/>
      <c r="AE400" s="4"/>
      <c r="AF400" s="6">
        <v>74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/>
      <c r="BJ400" s="4">
        <v>40</v>
      </c>
      <c r="BK400" s="8">
        <v>9590</v>
      </c>
      <c r="BL400" s="2" t="s">
        <v>1472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96</v>
      </c>
      <c r="BW400" s="2" t="s">
        <v>1353</v>
      </c>
      <c r="BX400" s="2" t="s">
        <v>99</v>
      </c>
      <c r="BY400" s="2" t="s">
        <v>109</v>
      </c>
      <c r="BZ400" s="2" t="s">
        <v>109</v>
      </c>
      <c r="CA400" s="2" t="s">
        <v>99</v>
      </c>
    </row>
    <row r="401">
      <c r="A401" s="2" t="s">
        <v>2187</v>
      </c>
      <c r="B401" s="2" t="s">
        <v>765</v>
      </c>
      <c r="C401" s="2" t="s">
        <v>666</v>
      </c>
      <c r="D401" s="2" t="s">
        <v>1132</v>
      </c>
      <c r="E401" s="2" t="s">
        <v>1133</v>
      </c>
      <c r="F401" s="2" t="s">
        <v>2181</v>
      </c>
      <c r="G401" s="2" t="s">
        <v>2181</v>
      </c>
      <c r="H401" s="2" t="s">
        <v>2181</v>
      </c>
      <c r="I401" s="2" t="s">
        <v>2182</v>
      </c>
      <c r="J401" s="2" t="s">
        <v>227</v>
      </c>
      <c r="K401" s="2" t="s">
        <v>784</v>
      </c>
      <c r="L401" s="3">
        <v>213.75</v>
      </c>
      <c r="M401" s="3">
        <v>224.44</v>
      </c>
      <c r="N401" s="3">
        <v>449</v>
      </c>
      <c r="O401" s="2" t="s">
        <v>96</v>
      </c>
      <c r="P401" s="2" t="s">
        <v>386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100</v>
      </c>
      <c r="V401" s="2" t="s">
        <v>310</v>
      </c>
      <c r="W401" s="2" t="s">
        <v>158</v>
      </c>
      <c r="X401" s="2" t="s">
        <v>291</v>
      </c>
      <c r="Y401" s="2" t="s">
        <v>1185</v>
      </c>
      <c r="Z401" s="4">
        <v>3</v>
      </c>
      <c r="AA401" s="4">
        <f>=ROUNDDOWN(0.75,0)</f>
      </c>
      <c r="AB401" s="5">
        <v>4</v>
      </c>
      <c r="AC401" s="2" t="s">
        <v>807</v>
      </c>
      <c r="AD401" s="4">
        <v>73</v>
      </c>
      <c r="AE401" s="4">
        <v>73</v>
      </c>
      <c r="AF401" s="6">
        <v>74</v>
      </c>
      <c r="AG401" s="6"/>
      <c r="AH401" s="7">
        <v>0.2759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/>
      <c r="BJ401" s="4">
        <v>11</v>
      </c>
      <c r="BK401" s="8">
        <v>3171.15</v>
      </c>
      <c r="BL401" s="2" t="s">
        <v>2188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96</v>
      </c>
      <c r="BW401" s="2" t="s">
        <v>99</v>
      </c>
      <c r="BX401" s="2" t="s">
        <v>2189</v>
      </c>
      <c r="BY401" s="2" t="s">
        <v>109</v>
      </c>
      <c r="BZ401" s="2" t="s">
        <v>109</v>
      </c>
      <c r="CA401" s="2" t="s">
        <v>99</v>
      </c>
    </row>
    <row r="402">
      <c r="A402" s="2" t="s">
        <v>2190</v>
      </c>
      <c r="B402" s="2" t="s">
        <v>765</v>
      </c>
      <c r="C402" s="2" t="s">
        <v>666</v>
      </c>
      <c r="D402" s="2" t="s">
        <v>1132</v>
      </c>
      <c r="E402" s="2" t="s">
        <v>1133</v>
      </c>
      <c r="F402" s="2" t="s">
        <v>2191</v>
      </c>
      <c r="G402" s="2" t="s">
        <v>2191</v>
      </c>
      <c r="H402" s="2" t="s">
        <v>2191</v>
      </c>
      <c r="I402" s="2" t="s">
        <v>2192</v>
      </c>
      <c r="J402" s="2" t="s">
        <v>227</v>
      </c>
      <c r="K402" s="2" t="s">
        <v>784</v>
      </c>
      <c r="L402" s="3">
        <v>239</v>
      </c>
      <c r="M402" s="3">
        <v>250.95</v>
      </c>
      <c r="N402" s="3">
        <v>499</v>
      </c>
      <c r="O402" s="2" t="s">
        <v>96</v>
      </c>
      <c r="P402" s="2" t="s">
        <v>188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100</v>
      </c>
      <c r="V402" s="2" t="s">
        <v>157</v>
      </c>
      <c r="W402" s="2" t="s">
        <v>102</v>
      </c>
      <c r="X402" s="2" t="s">
        <v>291</v>
      </c>
      <c r="Y402" s="2" t="s">
        <v>2193</v>
      </c>
      <c r="Z402" s="4">
        <v>8</v>
      </c>
      <c r="AA402" s="4">
        <f>=ROUNDDOWN(4,0)</f>
      </c>
      <c r="AB402" s="5">
        <v>2</v>
      </c>
      <c r="AC402" s="2" t="s">
        <v>99</v>
      </c>
      <c r="AD402" s="4"/>
      <c r="AE402" s="4"/>
      <c r="AF402" s="6">
        <v>74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2</v>
      </c>
      <c r="BK402" s="8">
        <v>534.52</v>
      </c>
      <c r="BL402" s="2" t="s">
        <v>339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96</v>
      </c>
      <c r="BW402" s="2" t="s">
        <v>99</v>
      </c>
      <c r="BX402" s="2" t="s">
        <v>99</v>
      </c>
      <c r="BY402" s="2" t="s">
        <v>109</v>
      </c>
      <c r="BZ402" s="2" t="s">
        <v>109</v>
      </c>
      <c r="CA402" s="2" t="s">
        <v>99</v>
      </c>
    </row>
    <row r="403">
      <c r="A403" s="2" t="s">
        <v>2194</v>
      </c>
      <c r="B403" s="2" t="s">
        <v>765</v>
      </c>
      <c r="C403" s="2" t="s">
        <v>666</v>
      </c>
      <c r="D403" s="2" t="s">
        <v>1132</v>
      </c>
      <c r="E403" s="2" t="s">
        <v>1281</v>
      </c>
      <c r="F403" s="2" t="s">
        <v>2195</v>
      </c>
      <c r="G403" s="2" t="s">
        <v>2195</v>
      </c>
      <c r="H403" s="2" t="s">
        <v>2195</v>
      </c>
      <c r="I403" s="2" t="s">
        <v>1287</v>
      </c>
      <c r="J403" s="2" t="s">
        <v>227</v>
      </c>
      <c r="K403" s="2" t="s">
        <v>605</v>
      </c>
      <c r="L403" s="3">
        <v>240</v>
      </c>
      <c r="M403" s="3">
        <v>252</v>
      </c>
      <c r="N403" s="3">
        <v>499</v>
      </c>
      <c r="O403" s="2" t="s">
        <v>96</v>
      </c>
      <c r="P403" s="2" t="s">
        <v>317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99</v>
      </c>
      <c r="V403" s="2" t="s">
        <v>644</v>
      </c>
      <c r="W403" s="2" t="s">
        <v>785</v>
      </c>
      <c r="X403" s="2" t="s">
        <v>102</v>
      </c>
      <c r="Y403" s="2" t="s">
        <v>1284</v>
      </c>
      <c r="Z403" s="4">
        <v>241</v>
      </c>
      <c r="AA403" s="4">
        <f>=ROUNDDOWN(120.5,0)</f>
      </c>
      <c r="AB403" s="5">
        <v>2</v>
      </c>
      <c r="AC403" s="2" t="s">
        <v>904</v>
      </c>
      <c r="AD403" s="4">
        <v>60</v>
      </c>
      <c r="AE403" s="4">
        <v>60</v>
      </c>
      <c r="AF403" s="6">
        <v>74</v>
      </c>
      <c r="AG403" s="6">
        <v>60</v>
      </c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/>
      <c r="BJ403" s="4">
        <v>10</v>
      </c>
      <c r="BK403" s="8">
        <v>2608.2</v>
      </c>
      <c r="BL403" s="2" t="s">
        <v>1291</v>
      </c>
      <c r="BM403" s="7"/>
      <c r="BN403" s="7"/>
      <c r="BO403" s="4"/>
      <c r="BP403" s="8"/>
      <c r="BQ403" s="4"/>
      <c r="BR403" s="8"/>
      <c r="BS403" s="7"/>
      <c r="BT403" s="7"/>
      <c r="BU403" s="2" t="s">
        <v>645</v>
      </c>
      <c r="BV403" s="2" t="s">
        <v>96</v>
      </c>
      <c r="BW403" s="2" t="s">
        <v>99</v>
      </c>
      <c r="BX403" s="2" t="s">
        <v>99</v>
      </c>
      <c r="BY403" s="2" t="s">
        <v>109</v>
      </c>
      <c r="BZ403" s="2" t="s">
        <v>109</v>
      </c>
      <c r="CA403" s="2" t="s">
        <v>99</v>
      </c>
    </row>
    <row r="404">
      <c r="A404" s="2" t="s">
        <v>2196</v>
      </c>
      <c r="B404" s="2" t="s">
        <v>765</v>
      </c>
      <c r="C404" s="2" t="s">
        <v>666</v>
      </c>
      <c r="D404" s="2" t="s">
        <v>1132</v>
      </c>
      <c r="E404" s="2" t="s">
        <v>1281</v>
      </c>
      <c r="F404" s="2" t="s">
        <v>2195</v>
      </c>
      <c r="G404" s="2" t="s">
        <v>2195</v>
      </c>
      <c r="H404" s="2" t="s">
        <v>2195</v>
      </c>
      <c r="I404" s="2" t="s">
        <v>1287</v>
      </c>
      <c r="J404" s="2" t="s">
        <v>227</v>
      </c>
      <c r="K404" s="2" t="s">
        <v>274</v>
      </c>
      <c r="L404" s="3">
        <v>240</v>
      </c>
      <c r="M404" s="3">
        <v>252</v>
      </c>
      <c r="N404" s="3">
        <v>499</v>
      </c>
      <c r="O404" s="2" t="s">
        <v>96</v>
      </c>
      <c r="P404" s="2" t="s">
        <v>317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99</v>
      </c>
      <c r="V404" s="2" t="s">
        <v>644</v>
      </c>
      <c r="W404" s="2" t="s">
        <v>785</v>
      </c>
      <c r="X404" s="2" t="s">
        <v>102</v>
      </c>
      <c r="Y404" s="2" t="s">
        <v>1912</v>
      </c>
      <c r="Z404" s="4">
        <v>136</v>
      </c>
      <c r="AA404" s="4">
        <f>=ROUNDDOWN(136,0)</f>
      </c>
      <c r="AB404" s="5">
        <v>1</v>
      </c>
      <c r="AC404" s="2" t="s">
        <v>99</v>
      </c>
      <c r="AD404" s="4"/>
      <c r="AE404" s="4"/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/>
      <c r="BJ404" s="4">
        <v>1</v>
      </c>
      <c r="BK404" s="8">
        <v>277.2</v>
      </c>
      <c r="BL404" s="2" t="s">
        <v>2197</v>
      </c>
      <c r="BM404" s="7"/>
      <c r="BN404" s="7"/>
      <c r="BO404" s="4"/>
      <c r="BP404" s="8"/>
      <c r="BQ404" s="4"/>
      <c r="BR404" s="8"/>
      <c r="BS404" s="7"/>
      <c r="BT404" s="7"/>
      <c r="BU404" s="2" t="s">
        <v>645</v>
      </c>
      <c r="BV404" s="2" t="s">
        <v>96</v>
      </c>
      <c r="BW404" s="2" t="s">
        <v>99</v>
      </c>
      <c r="BX404" s="2" t="s">
        <v>99</v>
      </c>
      <c r="BY404" s="2" t="s">
        <v>109</v>
      </c>
      <c r="BZ404" s="2" t="s">
        <v>109</v>
      </c>
      <c r="CA404" s="2" t="s">
        <v>99</v>
      </c>
    </row>
    <row r="405">
      <c r="A405" s="2" t="s">
        <v>2198</v>
      </c>
      <c r="B405" s="2" t="s">
        <v>765</v>
      </c>
      <c r="C405" s="2" t="s">
        <v>666</v>
      </c>
      <c r="D405" s="2" t="s">
        <v>1132</v>
      </c>
      <c r="E405" s="2" t="s">
        <v>1281</v>
      </c>
      <c r="F405" s="2" t="s">
        <v>2195</v>
      </c>
      <c r="G405" s="2" t="s">
        <v>2195</v>
      </c>
      <c r="H405" s="2" t="s">
        <v>2195</v>
      </c>
      <c r="I405" s="2" t="s">
        <v>1287</v>
      </c>
      <c r="J405" s="2" t="s">
        <v>227</v>
      </c>
      <c r="K405" s="2" t="s">
        <v>228</v>
      </c>
      <c r="L405" s="3">
        <v>240</v>
      </c>
      <c r="M405" s="3">
        <v>252</v>
      </c>
      <c r="N405" s="3">
        <v>499</v>
      </c>
      <c r="O405" s="2" t="s">
        <v>96</v>
      </c>
      <c r="P405" s="2" t="s">
        <v>317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99</v>
      </c>
      <c r="V405" s="2" t="s">
        <v>644</v>
      </c>
      <c r="W405" s="2" t="s">
        <v>785</v>
      </c>
      <c r="X405" s="2" t="s">
        <v>102</v>
      </c>
      <c r="Y405" s="2" t="s">
        <v>1912</v>
      </c>
      <c r="Z405" s="4">
        <v>166</v>
      </c>
      <c r="AA405" s="4">
        <f>=ROUNDDOWN(83,0)</f>
      </c>
      <c r="AB405" s="5">
        <v>2</v>
      </c>
      <c r="AC405" s="2" t="s">
        <v>99</v>
      </c>
      <c r="AD405" s="4"/>
      <c r="AE405" s="4"/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/>
      <c r="BJ405" s="4">
        <v>11</v>
      </c>
      <c r="BK405" s="8">
        <v>2712.27</v>
      </c>
      <c r="BL405" s="2" t="s">
        <v>751</v>
      </c>
      <c r="BM405" s="7"/>
      <c r="BN405" s="7"/>
      <c r="BO405" s="4"/>
      <c r="BP405" s="8"/>
      <c r="BQ405" s="4"/>
      <c r="BR405" s="8"/>
      <c r="BS405" s="7"/>
      <c r="BT405" s="7"/>
      <c r="BU405" s="2" t="s">
        <v>645</v>
      </c>
      <c r="BV405" s="2" t="s">
        <v>96</v>
      </c>
      <c r="BW405" s="2" t="s">
        <v>99</v>
      </c>
      <c r="BX405" s="2" t="s">
        <v>99</v>
      </c>
      <c r="BY405" s="2" t="s">
        <v>109</v>
      </c>
      <c r="BZ405" s="2" t="s">
        <v>109</v>
      </c>
      <c r="CA405" s="2" t="s">
        <v>99</v>
      </c>
    </row>
    <row r="406">
      <c r="A406" s="2" t="s">
        <v>2199</v>
      </c>
      <c r="B406" s="2" t="s">
        <v>765</v>
      </c>
      <c r="C406" s="2" t="s">
        <v>666</v>
      </c>
      <c r="D406" s="2" t="s">
        <v>1437</v>
      </c>
      <c r="E406" s="2" t="s">
        <v>1438</v>
      </c>
      <c r="F406" s="2" t="s">
        <v>2200</v>
      </c>
      <c r="G406" s="2" t="s">
        <v>2200</v>
      </c>
      <c r="H406" s="2" t="s">
        <v>2200</v>
      </c>
      <c r="I406" s="2" t="s">
        <v>2201</v>
      </c>
      <c r="J406" s="2" t="s">
        <v>219</v>
      </c>
      <c r="K406" s="2" t="s">
        <v>2202</v>
      </c>
      <c r="L406" s="3">
        <v>209</v>
      </c>
      <c r="M406" s="3">
        <v>219.45</v>
      </c>
      <c r="N406" s="3">
        <v>459</v>
      </c>
      <c r="O406" s="2" t="s">
        <v>96</v>
      </c>
      <c r="P406" s="2" t="s">
        <v>131</v>
      </c>
      <c r="Q406" s="2" t="s">
        <v>98</v>
      </c>
      <c r="R406" s="2" t="s">
        <v>99</v>
      </c>
      <c r="S406" s="2" t="s">
        <v>2203</v>
      </c>
      <c r="T406" s="2" t="s">
        <v>99</v>
      </c>
      <c r="U406" s="2" t="s">
        <v>210</v>
      </c>
      <c r="V406" s="2" t="s">
        <v>157</v>
      </c>
      <c r="W406" s="2" t="s">
        <v>291</v>
      </c>
      <c r="X406" s="2" t="s">
        <v>99</v>
      </c>
      <c r="Y406" s="2" t="s">
        <v>2204</v>
      </c>
      <c r="Z406" s="4">
        <v>66</v>
      </c>
      <c r="AA406" s="4">
        <f>=ROUNDDOWN(11,0)</f>
      </c>
      <c r="AB406" s="5">
        <v>6</v>
      </c>
      <c r="AC406" s="2" t="s">
        <v>1877</v>
      </c>
      <c r="AD406" s="4">
        <v>100</v>
      </c>
      <c r="AE406" s="4">
        <v>100</v>
      </c>
      <c r="AF406" s="6">
        <v>74</v>
      </c>
      <c r="AG406" s="6">
        <v>60</v>
      </c>
      <c r="AH406" s="7">
        <v>0.931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>
        <v>2</v>
      </c>
      <c r="AQ406" s="8">
        <v>366.68</v>
      </c>
      <c r="AR406" s="4"/>
      <c r="AS406" s="8"/>
      <c r="AT406" s="7"/>
      <c r="AU406" s="7"/>
      <c r="AV406" s="4">
        <v>2</v>
      </c>
      <c r="AW406" s="8">
        <v>366.68</v>
      </c>
      <c r="AX406" s="4"/>
      <c r="AY406" s="8"/>
      <c r="AZ406" s="7"/>
      <c r="BA406" s="7"/>
      <c r="BB406" s="7">
        <v>1</v>
      </c>
      <c r="BC406" s="4">
        <v>2</v>
      </c>
      <c r="BD406" s="8">
        <v>366.68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1</v>
      </c>
      <c r="BJ406" s="4">
        <v>35</v>
      </c>
      <c r="BK406" s="8">
        <v>7740.06</v>
      </c>
      <c r="BL406" s="2" t="s">
        <v>2205</v>
      </c>
      <c r="BM406" s="7">
        <v>0.0571</v>
      </c>
      <c r="BN406" s="7">
        <v>0.0474</v>
      </c>
      <c r="BO406" s="4">
        <v>2</v>
      </c>
      <c r="BP406" s="8">
        <v>366.68</v>
      </c>
      <c r="BQ406" s="4"/>
      <c r="BR406" s="8"/>
      <c r="BS406" s="7"/>
      <c r="BT406" s="7"/>
      <c r="BU406" s="2" t="s">
        <v>107</v>
      </c>
      <c r="BV406" s="2" t="s">
        <v>96</v>
      </c>
      <c r="BW406" s="2" t="s">
        <v>2206</v>
      </c>
      <c r="BX406" s="2" t="s">
        <v>2207</v>
      </c>
      <c r="BY406" s="2" t="s">
        <v>109</v>
      </c>
      <c r="BZ406" s="2" t="s">
        <v>109</v>
      </c>
      <c r="CA406" s="2" t="s">
        <v>99</v>
      </c>
    </row>
    <row r="407">
      <c r="A407" s="2" t="s">
        <v>2208</v>
      </c>
      <c r="B407" s="2" t="s">
        <v>765</v>
      </c>
      <c r="C407" s="2" t="s">
        <v>666</v>
      </c>
      <c r="D407" s="2" t="s">
        <v>1437</v>
      </c>
      <c r="E407" s="2" t="s">
        <v>1438</v>
      </c>
      <c r="F407" s="2" t="s">
        <v>2200</v>
      </c>
      <c r="G407" s="2" t="s">
        <v>2200</v>
      </c>
      <c r="H407" s="2" t="s">
        <v>2200</v>
      </c>
      <c r="I407" s="2" t="s">
        <v>2201</v>
      </c>
      <c r="J407" s="2" t="s">
        <v>219</v>
      </c>
      <c r="K407" s="2" t="s">
        <v>705</v>
      </c>
      <c r="L407" s="3">
        <v>209</v>
      </c>
      <c r="M407" s="3">
        <v>219.45</v>
      </c>
      <c r="N407" s="3">
        <v>459</v>
      </c>
      <c r="O407" s="2" t="s">
        <v>96</v>
      </c>
      <c r="P407" s="2" t="s">
        <v>131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210</v>
      </c>
      <c r="V407" s="2" t="s">
        <v>157</v>
      </c>
      <c r="W407" s="2" t="s">
        <v>291</v>
      </c>
      <c r="X407" s="2" t="s">
        <v>99</v>
      </c>
      <c r="Y407" s="2" t="s">
        <v>2209</v>
      </c>
      <c r="Z407" s="4">
        <v>85</v>
      </c>
      <c r="AA407" s="4">
        <f>=ROUNDDOWN(8.5,0)</f>
      </c>
      <c r="AB407" s="5">
        <v>10</v>
      </c>
      <c r="AC407" s="2" t="s">
        <v>1035</v>
      </c>
      <c r="AD407" s="4">
        <v>143</v>
      </c>
      <c r="AE407" s="4">
        <v>143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/>
      <c r="BJ407" s="4">
        <v>51</v>
      </c>
      <c r="BK407" s="8">
        <v>10546.7</v>
      </c>
      <c r="BL407" s="2" t="s">
        <v>2210</v>
      </c>
      <c r="BM407" s="7"/>
      <c r="BN407" s="7"/>
      <c r="BO407" s="4"/>
      <c r="BP407" s="8"/>
      <c r="BQ407" s="4"/>
      <c r="BR407" s="8"/>
      <c r="BS407" s="7"/>
      <c r="BT407" s="7"/>
      <c r="BU407" s="2" t="s">
        <v>306</v>
      </c>
      <c r="BV407" s="2" t="s">
        <v>96</v>
      </c>
      <c r="BW407" s="2" t="s">
        <v>99</v>
      </c>
      <c r="BX407" s="2" t="s">
        <v>99</v>
      </c>
      <c r="BY407" s="2" t="s">
        <v>109</v>
      </c>
      <c r="BZ407" s="2" t="s">
        <v>109</v>
      </c>
      <c r="CA407" s="2" t="s">
        <v>99</v>
      </c>
    </row>
    <row r="408">
      <c r="A408" s="2" t="s">
        <v>2211</v>
      </c>
      <c r="B408" s="2" t="s">
        <v>765</v>
      </c>
      <c r="C408" s="2" t="s">
        <v>666</v>
      </c>
      <c r="D408" s="2" t="s">
        <v>1437</v>
      </c>
      <c r="E408" s="2" t="s">
        <v>1438</v>
      </c>
      <c r="F408" s="2" t="s">
        <v>2175</v>
      </c>
      <c r="G408" s="2" t="s">
        <v>2175</v>
      </c>
      <c r="H408" s="2" t="s">
        <v>2175</v>
      </c>
      <c r="I408" s="2" t="s">
        <v>2212</v>
      </c>
      <c r="J408" s="2" t="s">
        <v>219</v>
      </c>
      <c r="K408" s="2" t="s">
        <v>643</v>
      </c>
      <c r="L408" s="3">
        <v>203</v>
      </c>
      <c r="M408" s="3">
        <v>213.15</v>
      </c>
      <c r="N408" s="3">
        <v>429</v>
      </c>
      <c r="O408" s="2" t="s">
        <v>96</v>
      </c>
      <c r="P408" s="2" t="s">
        <v>131</v>
      </c>
      <c r="Q408" s="2" t="s">
        <v>98</v>
      </c>
      <c r="R408" s="2" t="s">
        <v>99</v>
      </c>
      <c r="S408" s="2" t="s">
        <v>99</v>
      </c>
      <c r="T408" s="2" t="s">
        <v>99</v>
      </c>
      <c r="U408" s="2" t="s">
        <v>210</v>
      </c>
      <c r="V408" s="2" t="s">
        <v>310</v>
      </c>
      <c r="W408" s="2" t="s">
        <v>291</v>
      </c>
      <c r="X408" s="2" t="s">
        <v>102</v>
      </c>
      <c r="Y408" s="2" t="s">
        <v>2213</v>
      </c>
      <c r="Z408" s="4">
        <v>100</v>
      </c>
      <c r="AA408" s="4">
        <f>=ROUNDDOWN(12.5,0)</f>
      </c>
      <c r="AB408" s="5">
        <v>8</v>
      </c>
      <c r="AC408" s="2" t="s">
        <v>1045</v>
      </c>
      <c r="AD408" s="4">
        <v>100</v>
      </c>
      <c r="AE408" s="4">
        <v>100</v>
      </c>
      <c r="AF408" s="6">
        <v>74</v>
      </c>
      <c r="AG408" s="6">
        <v>60</v>
      </c>
      <c r="AH408" s="7">
        <v>0.5172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15</v>
      </c>
      <c r="BK408" s="8">
        <v>2933.7</v>
      </c>
      <c r="BL408" s="2" t="s">
        <v>751</v>
      </c>
      <c r="BM408" s="7"/>
      <c r="BN408" s="7"/>
      <c r="BO408" s="4"/>
      <c r="BP408" s="8"/>
      <c r="BQ408" s="4"/>
      <c r="BR408" s="8"/>
      <c r="BS408" s="7"/>
      <c r="BT408" s="7"/>
      <c r="BU408" s="2" t="s">
        <v>107</v>
      </c>
      <c r="BV408" s="2" t="s">
        <v>96</v>
      </c>
      <c r="BW408" s="2" t="s">
        <v>479</v>
      </c>
      <c r="BX408" s="2" t="s">
        <v>872</v>
      </c>
      <c r="BY408" s="2" t="s">
        <v>109</v>
      </c>
      <c r="BZ408" s="2" t="s">
        <v>109</v>
      </c>
      <c r="CA408" s="2" t="s">
        <v>99</v>
      </c>
    </row>
    <row r="409">
      <c r="A409" s="2" t="s">
        <v>2214</v>
      </c>
      <c r="B409" s="2" t="s">
        <v>765</v>
      </c>
      <c r="C409" s="2" t="s">
        <v>666</v>
      </c>
      <c r="D409" s="2" t="s">
        <v>1437</v>
      </c>
      <c r="E409" s="2" t="s">
        <v>1438</v>
      </c>
      <c r="F409" s="2" t="s">
        <v>2215</v>
      </c>
      <c r="G409" s="2" t="s">
        <v>2215</v>
      </c>
      <c r="H409" s="2" t="s">
        <v>2215</v>
      </c>
      <c r="I409" s="2" t="s">
        <v>1487</v>
      </c>
      <c r="J409" s="2" t="s">
        <v>227</v>
      </c>
      <c r="K409" s="2" t="s">
        <v>379</v>
      </c>
      <c r="L409" s="3">
        <v>155</v>
      </c>
      <c r="M409" s="3">
        <v>162.75</v>
      </c>
      <c r="N409" s="3">
        <v>329</v>
      </c>
      <c r="O409" s="2" t="s">
        <v>96</v>
      </c>
      <c r="P409" s="2" t="s">
        <v>317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99</v>
      </c>
      <c r="V409" s="2" t="s">
        <v>644</v>
      </c>
      <c r="W409" s="2" t="s">
        <v>785</v>
      </c>
      <c r="X409" s="2" t="s">
        <v>99</v>
      </c>
      <c r="Y409" s="2" t="s">
        <v>1488</v>
      </c>
      <c r="Z409" s="4"/>
      <c r="AA409" s="4">
        <f>=ROUNDDOWN({0},0)</f>
      </c>
      <c r="AB409" s="5"/>
      <c r="AC409" s="2" t="s">
        <v>811</v>
      </c>
      <c r="AD409" s="4">
        <v>200</v>
      </c>
      <c r="AE409" s="4">
        <v>200</v>
      </c>
      <c r="AF409" s="6">
        <v>74</v>
      </c>
      <c r="AG409" s="6"/>
      <c r="AH409" s="7">
        <v>0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99</v>
      </c>
      <c r="BM409" s="7"/>
      <c r="BN409" s="7"/>
      <c r="BO409" s="4"/>
      <c r="BP409" s="8"/>
      <c r="BQ409" s="4"/>
      <c r="BR409" s="8"/>
      <c r="BS409" s="7"/>
      <c r="BT409" s="7"/>
      <c r="BU409" s="2" t="s">
        <v>819</v>
      </c>
      <c r="BV409" s="2" t="s">
        <v>96</v>
      </c>
      <c r="BW409" s="2" t="s">
        <v>99</v>
      </c>
      <c r="BX409" s="2" t="s">
        <v>99</v>
      </c>
      <c r="BY409" s="2" t="s">
        <v>109</v>
      </c>
      <c r="BZ409" s="2" t="s">
        <v>109</v>
      </c>
      <c r="CA409" s="2" t="s">
        <v>99</v>
      </c>
    </row>
    <row r="410">
      <c r="A410" s="2" t="s">
        <v>2216</v>
      </c>
      <c r="B410" s="2" t="s">
        <v>765</v>
      </c>
      <c r="C410" s="2" t="s">
        <v>666</v>
      </c>
      <c r="D410" s="2" t="s">
        <v>1630</v>
      </c>
      <c r="E410" s="2" t="s">
        <v>1535</v>
      </c>
      <c r="F410" s="2" t="s">
        <v>2217</v>
      </c>
      <c r="G410" s="2" t="s">
        <v>99</v>
      </c>
      <c r="H410" s="2" t="s">
        <v>99</v>
      </c>
      <c r="I410" s="2" t="s">
        <v>2218</v>
      </c>
      <c r="J410" s="2" t="s">
        <v>227</v>
      </c>
      <c r="K410" s="2" t="s">
        <v>2219</v>
      </c>
      <c r="L410" s="3">
        <v>71.82</v>
      </c>
      <c r="M410" s="3">
        <v>75.41</v>
      </c>
      <c r="N410" s="3">
        <v>149</v>
      </c>
      <c r="O410" s="2" t="s">
        <v>96</v>
      </c>
      <c r="P410" s="2" t="s">
        <v>131</v>
      </c>
      <c r="Q410" s="2" t="s">
        <v>98</v>
      </c>
      <c r="R410" s="2" t="s">
        <v>99</v>
      </c>
      <c r="S410" s="2" t="s">
        <v>2220</v>
      </c>
      <c r="T410" s="2" t="s">
        <v>99</v>
      </c>
      <c r="U410" s="2" t="s">
        <v>99</v>
      </c>
      <c r="V410" s="2" t="s">
        <v>157</v>
      </c>
      <c r="W410" s="2" t="s">
        <v>761</v>
      </c>
      <c r="X410" s="2" t="s">
        <v>99</v>
      </c>
      <c r="Y410" s="2" t="s">
        <v>164</v>
      </c>
      <c r="Z410" s="4">
        <v>149</v>
      </c>
      <c r="AA410" s="4">
        <f>=ROUNDDOWN(18.625,0)</f>
      </c>
      <c r="AB410" s="5">
        <v>8</v>
      </c>
      <c r="AC410" s="2" t="s">
        <v>1778</v>
      </c>
      <c r="AD410" s="4">
        <v>100</v>
      </c>
      <c r="AE410" s="4">
        <v>100</v>
      </c>
      <c r="AF410" s="6">
        <v>74</v>
      </c>
      <c r="AG410" s="6">
        <v>60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1</v>
      </c>
      <c r="AQ410" s="8">
        <v>66</v>
      </c>
      <c r="AR410" s="4"/>
      <c r="AS410" s="8"/>
      <c r="AT410" s="7"/>
      <c r="AU410" s="7"/>
      <c r="AV410" s="4">
        <v>1</v>
      </c>
      <c r="AW410" s="8">
        <v>66</v>
      </c>
      <c r="AX410" s="4"/>
      <c r="AY410" s="8"/>
      <c r="AZ410" s="7"/>
      <c r="BA410" s="7"/>
      <c r="BB410" s="7">
        <v>1</v>
      </c>
      <c r="BC410" s="4">
        <v>1</v>
      </c>
      <c r="BD410" s="8">
        <v>66</v>
      </c>
      <c r="BE410" s="4"/>
      <c r="BF410" s="8"/>
      <c r="BG410" s="7"/>
      <c r="BH410" s="7"/>
      <c r="BI410" s="7">
        <v>1</v>
      </c>
      <c r="BJ410" s="4">
        <v>35</v>
      </c>
      <c r="BK410" s="8">
        <v>2624</v>
      </c>
      <c r="BL410" s="2" t="s">
        <v>2221</v>
      </c>
      <c r="BM410" s="7">
        <v>0.0286</v>
      </c>
      <c r="BN410" s="7">
        <v>0.0252</v>
      </c>
      <c r="BO410" s="4">
        <v>1</v>
      </c>
      <c r="BP410" s="8">
        <v>66</v>
      </c>
      <c r="BQ410" s="4"/>
      <c r="BR410" s="8"/>
      <c r="BS410" s="7"/>
      <c r="BT410" s="7"/>
      <c r="BU410" s="2" t="s">
        <v>107</v>
      </c>
      <c r="BV410" s="2" t="s">
        <v>96</v>
      </c>
      <c r="BW410" s="2" t="s">
        <v>390</v>
      </c>
      <c r="BX410" s="2" t="s">
        <v>1213</v>
      </c>
      <c r="BY410" s="2" t="s">
        <v>109</v>
      </c>
      <c r="BZ410" s="2" t="s">
        <v>109</v>
      </c>
      <c r="CA410" s="2" t="s">
        <v>99</v>
      </c>
    </row>
    <row r="411">
      <c r="A411" s="2" t="s">
        <v>2222</v>
      </c>
      <c r="B411" s="2" t="s">
        <v>765</v>
      </c>
      <c r="C411" s="2" t="s">
        <v>666</v>
      </c>
      <c r="D411" s="2" t="s">
        <v>1605</v>
      </c>
      <c r="E411" s="2" t="s">
        <v>1606</v>
      </c>
      <c r="F411" s="2" t="s">
        <v>2223</v>
      </c>
      <c r="G411" s="2" t="s">
        <v>2223</v>
      </c>
      <c r="H411" s="2" t="s">
        <v>2223</v>
      </c>
      <c r="I411" s="2" t="s">
        <v>1972</v>
      </c>
      <c r="J411" s="2" t="s">
        <v>227</v>
      </c>
      <c r="K411" s="2" t="s">
        <v>643</v>
      </c>
      <c r="L411" s="3">
        <v>248.29</v>
      </c>
      <c r="M411" s="3">
        <v>260.7</v>
      </c>
      <c r="N411" s="3">
        <v>519</v>
      </c>
      <c r="O411" s="2" t="s">
        <v>304</v>
      </c>
      <c r="P411" s="2" t="s">
        <v>188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100</v>
      </c>
      <c r="V411" s="2" t="s">
        <v>157</v>
      </c>
      <c r="W411" s="2" t="s">
        <v>102</v>
      </c>
      <c r="X411" s="2" t="s">
        <v>158</v>
      </c>
      <c r="Y411" s="2" t="s">
        <v>2224</v>
      </c>
      <c r="Z411" s="4">
        <v>40</v>
      </c>
      <c r="AA411" s="4">
        <f>=ROUNDDOWN(26.6666666666667,0)</f>
      </c>
      <c r="AB411" s="5">
        <v>1.5</v>
      </c>
      <c r="AC411" s="2" t="s">
        <v>99</v>
      </c>
      <c r="AD411" s="4"/>
      <c r="AE411" s="4"/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8</v>
      </c>
      <c r="BK411" s="8">
        <v>1815.62</v>
      </c>
      <c r="BL411" s="2" t="s">
        <v>1360</v>
      </c>
      <c r="BM411" s="7"/>
      <c r="BN411" s="7"/>
      <c r="BO411" s="4"/>
      <c r="BP411" s="8"/>
      <c r="BQ411" s="4"/>
      <c r="BR411" s="8"/>
      <c r="BS411" s="7"/>
      <c r="BT411" s="7"/>
      <c r="BU411" s="2" t="s">
        <v>107</v>
      </c>
      <c r="BV411" s="2" t="s">
        <v>96</v>
      </c>
      <c r="BW411" s="2" t="s">
        <v>828</v>
      </c>
      <c r="BX411" s="2" t="s">
        <v>2225</v>
      </c>
      <c r="BY411" s="2" t="s">
        <v>109</v>
      </c>
      <c r="BZ411" s="2" t="s">
        <v>109</v>
      </c>
      <c r="CA411" s="2" t="s">
        <v>99</v>
      </c>
    </row>
    <row r="412">
      <c r="A412" s="2" t="s">
        <v>2226</v>
      </c>
      <c r="B412" s="2" t="s">
        <v>765</v>
      </c>
      <c r="C412" s="2" t="s">
        <v>666</v>
      </c>
      <c r="D412" s="2" t="s">
        <v>1296</v>
      </c>
      <c r="E412" s="2" t="s">
        <v>1297</v>
      </c>
      <c r="F412" s="2" t="s">
        <v>2227</v>
      </c>
      <c r="G412" s="2" t="s">
        <v>2227</v>
      </c>
      <c r="H412" s="2" t="s">
        <v>2227</v>
      </c>
      <c r="I412" s="2" t="s">
        <v>1297</v>
      </c>
      <c r="J412" s="2" t="s">
        <v>227</v>
      </c>
      <c r="K412" s="2" t="s">
        <v>887</v>
      </c>
      <c r="L412" s="3">
        <v>119.7</v>
      </c>
      <c r="M412" s="3">
        <v>125.68</v>
      </c>
      <c r="N412" s="3">
        <v>249</v>
      </c>
      <c r="O412" s="2" t="s">
        <v>96</v>
      </c>
      <c r="P412" s="2" t="s">
        <v>131</v>
      </c>
      <c r="Q412" s="2" t="s">
        <v>98</v>
      </c>
      <c r="R412" s="2" t="s">
        <v>99</v>
      </c>
      <c r="S412" s="2" t="s">
        <v>2228</v>
      </c>
      <c r="T412" s="2" t="s">
        <v>99</v>
      </c>
      <c r="U412" s="2" t="s">
        <v>100</v>
      </c>
      <c r="V412" s="2" t="s">
        <v>157</v>
      </c>
      <c r="W412" s="2" t="s">
        <v>761</v>
      </c>
      <c r="X412" s="2" t="s">
        <v>99</v>
      </c>
      <c r="Y412" s="2" t="s">
        <v>1103</v>
      </c>
      <c r="Z412" s="4">
        <v>202</v>
      </c>
      <c r="AA412" s="4">
        <f>=ROUNDDOWN(18.3636363636364,0)</f>
      </c>
      <c r="AB412" s="5">
        <v>11</v>
      </c>
      <c r="AC412" s="2" t="s">
        <v>99</v>
      </c>
      <c r="AD412" s="4"/>
      <c r="AE412" s="4"/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>
        <v>50</v>
      </c>
      <c r="BK412" s="8">
        <v>6659.55</v>
      </c>
      <c r="BL412" s="2" t="s">
        <v>2229</v>
      </c>
      <c r="BM412" s="7"/>
      <c r="BN412" s="7"/>
      <c r="BO412" s="4"/>
      <c r="BP412" s="8"/>
      <c r="BQ412" s="4"/>
      <c r="BR412" s="8"/>
      <c r="BS412" s="7"/>
      <c r="BT412" s="7"/>
      <c r="BU412" s="2" t="s">
        <v>107</v>
      </c>
      <c r="BV412" s="2" t="s">
        <v>96</v>
      </c>
      <c r="BW412" s="2" t="s">
        <v>2230</v>
      </c>
      <c r="BX412" s="2" t="s">
        <v>2115</v>
      </c>
      <c r="BY412" s="2" t="s">
        <v>109</v>
      </c>
      <c r="BZ412" s="2" t="s">
        <v>109</v>
      </c>
      <c r="CA412" s="2" t="s">
        <v>99</v>
      </c>
    </row>
    <row r="413">
      <c r="A413" s="2" t="s">
        <v>2231</v>
      </c>
      <c r="B413" s="2" t="s">
        <v>765</v>
      </c>
      <c r="C413" s="2" t="s">
        <v>666</v>
      </c>
      <c r="D413" s="2" t="s">
        <v>1296</v>
      </c>
      <c r="E413" s="2" t="s">
        <v>1297</v>
      </c>
      <c r="F413" s="2" t="s">
        <v>2232</v>
      </c>
      <c r="G413" s="2" t="s">
        <v>2232</v>
      </c>
      <c r="H413" s="2" t="s">
        <v>2232</v>
      </c>
      <c r="I413" s="2" t="s">
        <v>1297</v>
      </c>
      <c r="J413" s="2" t="s">
        <v>227</v>
      </c>
      <c r="K413" s="2" t="s">
        <v>887</v>
      </c>
      <c r="L413" s="3">
        <v>133</v>
      </c>
      <c r="M413" s="3">
        <v>139.65</v>
      </c>
      <c r="N413" s="3">
        <v>279</v>
      </c>
      <c r="O413" s="2" t="s">
        <v>96</v>
      </c>
      <c r="P413" s="2" t="s">
        <v>131</v>
      </c>
      <c r="Q413" s="2" t="s">
        <v>98</v>
      </c>
      <c r="R413" s="2" t="s">
        <v>99</v>
      </c>
      <c r="S413" s="2" t="s">
        <v>2233</v>
      </c>
      <c r="T413" s="2" t="s">
        <v>99</v>
      </c>
      <c r="U413" s="2" t="s">
        <v>99</v>
      </c>
      <c r="V413" s="2" t="s">
        <v>157</v>
      </c>
      <c r="W413" s="2" t="s">
        <v>158</v>
      </c>
      <c r="X413" s="2" t="s">
        <v>99</v>
      </c>
      <c r="Y413" s="2" t="s">
        <v>164</v>
      </c>
      <c r="Z413" s="4">
        <v>245</v>
      </c>
      <c r="AA413" s="4">
        <f>=ROUNDDOWN(27.5280898876404,0)</f>
      </c>
      <c r="AB413" s="5">
        <v>8.9</v>
      </c>
      <c r="AC413" s="2" t="s">
        <v>797</v>
      </c>
      <c r="AD413" s="4">
        <v>40</v>
      </c>
      <c r="AE413" s="4">
        <v>40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69</v>
      </c>
      <c r="BK413" s="8">
        <v>8665.5</v>
      </c>
      <c r="BL413" s="2" t="s">
        <v>2234</v>
      </c>
      <c r="BM413" s="7"/>
      <c r="BN413" s="7"/>
      <c r="BO413" s="4"/>
      <c r="BP413" s="8"/>
      <c r="BQ413" s="4"/>
      <c r="BR413" s="8"/>
      <c r="BS413" s="7"/>
      <c r="BT413" s="7"/>
      <c r="BU413" s="2" t="s">
        <v>1019</v>
      </c>
      <c r="BV413" s="2" t="s">
        <v>122</v>
      </c>
      <c r="BW413" s="2" t="s">
        <v>99</v>
      </c>
      <c r="BX413" s="2" t="s">
        <v>99</v>
      </c>
      <c r="BY413" s="2" t="s">
        <v>109</v>
      </c>
      <c r="BZ413" s="2" t="s">
        <v>109</v>
      </c>
      <c r="CA413" s="2" t="s">
        <v>99</v>
      </c>
    </row>
    <row r="414">
      <c r="A414" s="2" t="s">
        <v>2235</v>
      </c>
      <c r="B414" s="2" t="s">
        <v>765</v>
      </c>
      <c r="C414" s="2" t="s">
        <v>666</v>
      </c>
      <c r="D414" s="2" t="s">
        <v>1296</v>
      </c>
      <c r="E414" s="2" t="s">
        <v>1297</v>
      </c>
      <c r="F414" s="2" t="s">
        <v>2236</v>
      </c>
      <c r="G414" s="2" t="s">
        <v>2236</v>
      </c>
      <c r="H414" s="2" t="s">
        <v>2236</v>
      </c>
      <c r="I414" s="2" t="s">
        <v>2237</v>
      </c>
      <c r="J414" s="2" t="s">
        <v>227</v>
      </c>
      <c r="K414" s="2" t="s">
        <v>1099</v>
      </c>
      <c r="L414" s="3">
        <v>66.5</v>
      </c>
      <c r="M414" s="3">
        <v>69.82</v>
      </c>
      <c r="N414" s="3">
        <v>139</v>
      </c>
      <c r="O414" s="2" t="s">
        <v>96</v>
      </c>
      <c r="P414" s="2" t="s">
        <v>131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100</v>
      </c>
      <c r="V414" s="2" t="s">
        <v>310</v>
      </c>
      <c r="W414" s="2" t="s">
        <v>102</v>
      </c>
      <c r="X414" s="2" t="s">
        <v>99</v>
      </c>
      <c r="Y414" s="2" t="s">
        <v>2238</v>
      </c>
      <c r="Z414" s="4">
        <v>130</v>
      </c>
      <c r="AA414" s="4">
        <f>=ROUNDDOWN(14.4444444444444,0)</f>
      </c>
      <c r="AB414" s="5">
        <v>9</v>
      </c>
      <c r="AC414" s="2" t="s">
        <v>99</v>
      </c>
      <c r="AD414" s="4"/>
      <c r="AE414" s="4"/>
      <c r="AF414" s="6">
        <v>74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52</v>
      </c>
      <c r="BK414" s="8">
        <v>3616.21</v>
      </c>
      <c r="BL414" s="2" t="s">
        <v>2239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96</v>
      </c>
      <c r="BW414" s="2" t="s">
        <v>2240</v>
      </c>
      <c r="BX414" s="2" t="s">
        <v>99</v>
      </c>
      <c r="BY414" s="2" t="s">
        <v>109</v>
      </c>
      <c r="BZ414" s="2" t="s">
        <v>109</v>
      </c>
      <c r="CA414" s="2" t="s">
        <v>99</v>
      </c>
    </row>
    <row r="415">
      <c r="A415" s="2" t="s">
        <v>2241</v>
      </c>
      <c r="B415" s="2" t="s">
        <v>765</v>
      </c>
      <c r="C415" s="2" t="s">
        <v>666</v>
      </c>
      <c r="D415" s="2" t="s">
        <v>1296</v>
      </c>
      <c r="E415" s="2" t="s">
        <v>1297</v>
      </c>
      <c r="F415" s="2" t="s">
        <v>2242</v>
      </c>
      <c r="G415" s="2" t="s">
        <v>2242</v>
      </c>
      <c r="H415" s="2" t="s">
        <v>2242</v>
      </c>
      <c r="I415" s="2" t="s">
        <v>2243</v>
      </c>
      <c r="J415" s="2" t="s">
        <v>227</v>
      </c>
      <c r="K415" s="2" t="s">
        <v>643</v>
      </c>
      <c r="L415" s="3">
        <v>131.75</v>
      </c>
      <c r="M415" s="3">
        <v>138.34</v>
      </c>
      <c r="N415" s="3">
        <v>279</v>
      </c>
      <c r="O415" s="2" t="s">
        <v>96</v>
      </c>
      <c r="P415" s="2" t="s">
        <v>135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100</v>
      </c>
      <c r="V415" s="2" t="s">
        <v>310</v>
      </c>
      <c r="W415" s="2" t="s">
        <v>291</v>
      </c>
      <c r="X415" s="2" t="s">
        <v>761</v>
      </c>
      <c r="Y415" s="2" t="s">
        <v>1543</v>
      </c>
      <c r="Z415" s="4">
        <v>288</v>
      </c>
      <c r="AA415" s="4">
        <f>=ROUNDDOWN(9.38110749185668,0)</f>
      </c>
      <c r="AB415" s="5">
        <v>30.7</v>
      </c>
      <c r="AC415" s="2" t="s">
        <v>801</v>
      </c>
      <c r="AD415" s="4">
        <v>297</v>
      </c>
      <c r="AE415" s="4">
        <v>531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116</v>
      </c>
      <c r="BK415" s="8">
        <v>14883.26</v>
      </c>
      <c r="BL415" s="2" t="s">
        <v>2244</v>
      </c>
      <c r="BM415" s="7"/>
      <c r="BN415" s="7"/>
      <c r="BO415" s="4"/>
      <c r="BP415" s="8"/>
      <c r="BQ415" s="4"/>
      <c r="BR415" s="8"/>
      <c r="BS415" s="7"/>
      <c r="BT415" s="7"/>
      <c r="BU415" s="2" t="s">
        <v>107</v>
      </c>
      <c r="BV415" s="2" t="s">
        <v>96</v>
      </c>
      <c r="BW415" s="2" t="s">
        <v>479</v>
      </c>
      <c r="BX415" s="2" t="s">
        <v>2245</v>
      </c>
      <c r="BY415" s="2" t="s">
        <v>109</v>
      </c>
      <c r="BZ415" s="2" t="s">
        <v>109</v>
      </c>
      <c r="CA415" s="2" t="s">
        <v>99</v>
      </c>
    </row>
    <row r="416">
      <c r="A416" s="2" t="s">
        <v>2246</v>
      </c>
      <c r="B416" s="2" t="s">
        <v>765</v>
      </c>
      <c r="C416" s="2" t="s">
        <v>666</v>
      </c>
      <c r="D416" s="2" t="s">
        <v>1296</v>
      </c>
      <c r="E416" s="2" t="s">
        <v>1362</v>
      </c>
      <c r="F416" s="2" t="s">
        <v>2247</v>
      </c>
      <c r="G416" s="2" t="s">
        <v>2247</v>
      </c>
      <c r="H416" s="2" t="s">
        <v>2247</v>
      </c>
      <c r="I416" s="2" t="s">
        <v>2248</v>
      </c>
      <c r="J416" s="2" t="s">
        <v>227</v>
      </c>
      <c r="K416" s="2" t="s">
        <v>228</v>
      </c>
      <c r="L416" s="3">
        <v>85.5</v>
      </c>
      <c r="M416" s="3">
        <v>89.78</v>
      </c>
      <c r="N416" s="3">
        <v>179</v>
      </c>
      <c r="O416" s="2" t="s">
        <v>304</v>
      </c>
      <c r="P416" s="2" t="s">
        <v>188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100</v>
      </c>
      <c r="V416" s="2" t="s">
        <v>310</v>
      </c>
      <c r="W416" s="2" t="s">
        <v>102</v>
      </c>
      <c r="X416" s="2" t="s">
        <v>99</v>
      </c>
      <c r="Y416" s="2" t="s">
        <v>2249</v>
      </c>
      <c r="Z416" s="4">
        <v>95</v>
      </c>
      <c r="AA416" s="4">
        <f>=ROUNDDOWN(43.1818181818182,0)</f>
      </c>
      <c r="AB416" s="5">
        <v>2.2</v>
      </c>
      <c r="AC416" s="2" t="s">
        <v>99</v>
      </c>
      <c r="AD416" s="4"/>
      <c r="AE416" s="4"/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8</v>
      </c>
      <c r="BK416" s="8">
        <v>848.12</v>
      </c>
      <c r="BL416" s="2" t="s">
        <v>2040</v>
      </c>
      <c r="BM416" s="7"/>
      <c r="BN416" s="7"/>
      <c r="BO416" s="4"/>
      <c r="BP416" s="8"/>
      <c r="BQ416" s="4"/>
      <c r="BR416" s="8"/>
      <c r="BS416" s="7"/>
      <c r="BT416" s="7"/>
      <c r="BU416" s="2" t="s">
        <v>306</v>
      </c>
      <c r="BV416" s="2" t="s">
        <v>96</v>
      </c>
      <c r="BW416" s="2" t="s">
        <v>99</v>
      </c>
      <c r="BX416" s="2" t="s">
        <v>99</v>
      </c>
      <c r="BY416" s="2" t="s">
        <v>109</v>
      </c>
      <c r="BZ416" s="2" t="s">
        <v>109</v>
      </c>
      <c r="CA416" s="2" t="s">
        <v>99</v>
      </c>
    </row>
    <row r="417">
      <c r="A417" s="2" t="s">
        <v>2250</v>
      </c>
      <c r="B417" s="2" t="s">
        <v>765</v>
      </c>
      <c r="C417" s="2" t="s">
        <v>666</v>
      </c>
      <c r="D417" s="2" t="s">
        <v>1296</v>
      </c>
      <c r="E417" s="2" t="s">
        <v>1362</v>
      </c>
      <c r="F417" s="2" t="s">
        <v>2251</v>
      </c>
      <c r="G417" s="2" t="s">
        <v>2251</v>
      </c>
      <c r="H417" s="2" t="s">
        <v>2251</v>
      </c>
      <c r="I417" s="2" t="s">
        <v>1362</v>
      </c>
      <c r="J417" s="2" t="s">
        <v>227</v>
      </c>
      <c r="K417" s="2" t="s">
        <v>2252</v>
      </c>
      <c r="L417" s="3">
        <v>80.75</v>
      </c>
      <c r="M417" s="3">
        <v>84.79</v>
      </c>
      <c r="N417" s="3">
        <v>169</v>
      </c>
      <c r="O417" s="2" t="s">
        <v>96</v>
      </c>
      <c r="P417" s="2" t="s">
        <v>131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100</v>
      </c>
      <c r="V417" s="2" t="s">
        <v>157</v>
      </c>
      <c r="W417" s="2" t="s">
        <v>685</v>
      </c>
      <c r="X417" s="2" t="s">
        <v>99</v>
      </c>
      <c r="Y417" s="2" t="s">
        <v>2253</v>
      </c>
      <c r="Z417" s="4">
        <v>300</v>
      </c>
      <c r="AA417" s="4">
        <f>=ROUNDDOWN(37.5,0)</f>
      </c>
      <c r="AB417" s="5">
        <v>8</v>
      </c>
      <c r="AC417" s="2" t="s">
        <v>99</v>
      </c>
      <c r="AD417" s="4"/>
      <c r="AE417" s="4"/>
      <c r="AF417" s="6">
        <v>74</v>
      </c>
      <c r="AG417" s="6">
        <v>60</v>
      </c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69</v>
      </c>
      <c r="BK417" s="8">
        <v>5741.02</v>
      </c>
      <c r="BL417" s="2" t="s">
        <v>1423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96</v>
      </c>
      <c r="BW417" s="2" t="s">
        <v>2254</v>
      </c>
      <c r="BX417" s="2" t="s">
        <v>2255</v>
      </c>
      <c r="BY417" s="2" t="s">
        <v>109</v>
      </c>
      <c r="BZ417" s="2" t="s">
        <v>109</v>
      </c>
      <c r="CA417" s="2" t="s">
        <v>99</v>
      </c>
    </row>
    <row r="418">
      <c r="A418" s="2" t="s">
        <v>2256</v>
      </c>
      <c r="B418" s="2" t="s">
        <v>765</v>
      </c>
      <c r="C418" s="2" t="s">
        <v>666</v>
      </c>
      <c r="D418" s="2" t="s">
        <v>1639</v>
      </c>
      <c r="E418" s="2" t="s">
        <v>1640</v>
      </c>
      <c r="F418" s="2" t="s">
        <v>2257</v>
      </c>
      <c r="G418" s="2" t="s">
        <v>2257</v>
      </c>
      <c r="H418" s="2" t="s">
        <v>2257</v>
      </c>
      <c r="I418" s="2" t="s">
        <v>2258</v>
      </c>
      <c r="J418" s="2" t="s">
        <v>2259</v>
      </c>
      <c r="K418" s="2" t="s">
        <v>2260</v>
      </c>
      <c r="L418" s="3">
        <v>552</v>
      </c>
      <c r="M418" s="3">
        <v>579.6</v>
      </c>
      <c r="N418" s="3">
        <v>1149</v>
      </c>
      <c r="O418" s="2" t="s">
        <v>96</v>
      </c>
      <c r="P418" s="2" t="s">
        <v>188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100</v>
      </c>
      <c r="V418" s="2" t="s">
        <v>157</v>
      </c>
      <c r="W418" s="2" t="s">
        <v>102</v>
      </c>
      <c r="X418" s="2" t="s">
        <v>291</v>
      </c>
      <c r="Y418" s="2" t="s">
        <v>2261</v>
      </c>
      <c r="Z418" s="4">
        <v>70</v>
      </c>
      <c r="AA418" s="4">
        <f>=ROUNDDOWN(58.3333333333333,0)</f>
      </c>
      <c r="AB418" s="5">
        <v>1.2</v>
      </c>
      <c r="AC418" s="2" t="s">
        <v>99</v>
      </c>
      <c r="AD418" s="4"/>
      <c r="AE418" s="4"/>
      <c r="AF418" s="6">
        <v>74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4</v>
      </c>
      <c r="BK418" s="8">
        <v>2086.56</v>
      </c>
      <c r="BL418" s="2" t="s">
        <v>2262</v>
      </c>
      <c r="BM418" s="7"/>
      <c r="BN418" s="7"/>
      <c r="BO418" s="4"/>
      <c r="BP418" s="8"/>
      <c r="BQ418" s="4"/>
      <c r="BR418" s="8"/>
      <c r="BS418" s="7"/>
      <c r="BT418" s="7"/>
      <c r="BU418" s="2" t="s">
        <v>306</v>
      </c>
      <c r="BV418" s="2" t="s">
        <v>96</v>
      </c>
      <c r="BW418" s="2" t="s">
        <v>99</v>
      </c>
      <c r="BX418" s="2" t="s">
        <v>99</v>
      </c>
      <c r="BY418" s="2" t="s">
        <v>109</v>
      </c>
      <c r="BZ418" s="2" t="s">
        <v>109</v>
      </c>
      <c r="CA418" s="2" t="s">
        <v>99</v>
      </c>
    </row>
    <row r="419">
      <c r="A419" s="2" t="s">
        <v>2263</v>
      </c>
      <c r="B419" s="2" t="s">
        <v>765</v>
      </c>
      <c r="C419" s="2" t="s">
        <v>666</v>
      </c>
      <c r="D419" s="2" t="s">
        <v>1639</v>
      </c>
      <c r="E419" s="2" t="s">
        <v>1640</v>
      </c>
      <c r="F419" s="2" t="s">
        <v>2264</v>
      </c>
      <c r="G419" s="2" t="s">
        <v>2264</v>
      </c>
      <c r="H419" s="2" t="s">
        <v>2264</v>
      </c>
      <c r="I419" s="2" t="s">
        <v>2265</v>
      </c>
      <c r="J419" s="2" t="s">
        <v>227</v>
      </c>
      <c r="K419" s="2" t="s">
        <v>234</v>
      </c>
      <c r="L419" s="3">
        <v>430</v>
      </c>
      <c r="M419" s="3">
        <v>451.5</v>
      </c>
      <c r="N419" s="3">
        <v>899</v>
      </c>
      <c r="O419" s="2" t="s">
        <v>96</v>
      </c>
      <c r="P419" s="2" t="s">
        <v>188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100</v>
      </c>
      <c r="V419" s="2" t="s">
        <v>310</v>
      </c>
      <c r="W419" s="2" t="s">
        <v>761</v>
      </c>
      <c r="X419" s="2" t="s">
        <v>102</v>
      </c>
      <c r="Y419" s="2" t="s">
        <v>2266</v>
      </c>
      <c r="Z419" s="4">
        <v>39</v>
      </c>
      <c r="AA419" s="4">
        <f>=ROUNDDOWN(24.375,0)</f>
      </c>
      <c r="AB419" s="5">
        <v>1.6</v>
      </c>
      <c r="AC419" s="2" t="s">
        <v>99</v>
      </c>
      <c r="AD419" s="4"/>
      <c r="AE419" s="4"/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3</v>
      </c>
      <c r="BK419" s="8">
        <v>1517.04</v>
      </c>
      <c r="BL419" s="2" t="s">
        <v>1289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96</v>
      </c>
      <c r="BW419" s="2" t="s">
        <v>638</v>
      </c>
      <c r="BX419" s="2" t="s">
        <v>149</v>
      </c>
      <c r="BY419" s="2" t="s">
        <v>109</v>
      </c>
      <c r="BZ419" s="2" t="s">
        <v>109</v>
      </c>
      <c r="CA419" s="2" t="s">
        <v>99</v>
      </c>
    </row>
    <row r="420">
      <c r="A420" s="2" t="s">
        <v>2267</v>
      </c>
      <c r="B420" s="2" t="s">
        <v>765</v>
      </c>
      <c r="C420" s="2" t="s">
        <v>666</v>
      </c>
      <c r="D420" s="2" t="s">
        <v>2268</v>
      </c>
      <c r="E420" s="2" t="s">
        <v>767</v>
      </c>
      <c r="F420" s="2" t="s">
        <v>2269</v>
      </c>
      <c r="G420" s="2" t="s">
        <v>2269</v>
      </c>
      <c r="H420" s="2" t="s">
        <v>2269</v>
      </c>
      <c r="I420" s="2" t="s">
        <v>2270</v>
      </c>
      <c r="J420" s="2" t="s">
        <v>227</v>
      </c>
      <c r="K420" s="2" t="s">
        <v>2271</v>
      </c>
      <c r="L420" s="3">
        <v>121.5</v>
      </c>
      <c r="M420" s="3">
        <v>127.58</v>
      </c>
      <c r="N420" s="3">
        <v>259</v>
      </c>
      <c r="O420" s="2" t="s">
        <v>304</v>
      </c>
      <c r="P420" s="2" t="s">
        <v>188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100</v>
      </c>
      <c r="V420" s="2" t="s">
        <v>157</v>
      </c>
      <c r="W420" s="2" t="s">
        <v>685</v>
      </c>
      <c r="X420" s="2" t="s">
        <v>102</v>
      </c>
      <c r="Y420" s="2" t="s">
        <v>2272</v>
      </c>
      <c r="Z420" s="4">
        <v>79</v>
      </c>
      <c r="AA420" s="4">
        <f>=ROUNDDOWN(263.333333333333,0)</f>
      </c>
      <c r="AB420" s="5">
        <v>0.3</v>
      </c>
      <c r="AC420" s="2" t="s">
        <v>99</v>
      </c>
      <c r="AD420" s="4"/>
      <c r="AE420" s="4"/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6</v>
      </c>
      <c r="BK420" s="8">
        <v>608.49</v>
      </c>
      <c r="BL420" s="2" t="s">
        <v>751</v>
      </c>
      <c r="BM420" s="7"/>
      <c r="BN420" s="7"/>
      <c r="BO420" s="4"/>
      <c r="BP420" s="8"/>
      <c r="BQ420" s="4"/>
      <c r="BR420" s="8"/>
      <c r="BS420" s="7"/>
      <c r="BT420" s="7"/>
      <c r="BU420" s="2" t="s">
        <v>107</v>
      </c>
      <c r="BV420" s="2" t="s">
        <v>96</v>
      </c>
      <c r="BW420" s="2" t="s">
        <v>1167</v>
      </c>
      <c r="BX420" s="2" t="s">
        <v>2273</v>
      </c>
      <c r="BY420" s="2" t="s">
        <v>109</v>
      </c>
      <c r="BZ420" s="2" t="s">
        <v>109</v>
      </c>
      <c r="CA420" s="2" t="s">
        <v>99</v>
      </c>
    </row>
    <row r="421">
      <c r="A421" s="2" t="s">
        <v>2274</v>
      </c>
      <c r="B421" s="2" t="s">
        <v>765</v>
      </c>
      <c r="C421" s="2" t="s">
        <v>666</v>
      </c>
      <c r="D421" s="2" t="s">
        <v>1668</v>
      </c>
      <c r="E421" s="2" t="s">
        <v>1669</v>
      </c>
      <c r="F421" s="2" t="s">
        <v>2275</v>
      </c>
      <c r="G421" s="2" t="s">
        <v>2275</v>
      </c>
      <c r="H421" s="2" t="s">
        <v>2275</v>
      </c>
      <c r="I421" s="2" t="s">
        <v>2276</v>
      </c>
      <c r="J421" s="2" t="s">
        <v>227</v>
      </c>
      <c r="K421" s="2" t="s">
        <v>2219</v>
      </c>
      <c r="L421" s="3">
        <v>262.2</v>
      </c>
      <c r="M421" s="3">
        <v>275.31</v>
      </c>
      <c r="N421" s="3">
        <v>549</v>
      </c>
      <c r="O421" s="2" t="s">
        <v>304</v>
      </c>
      <c r="P421" s="2" t="s">
        <v>188</v>
      </c>
      <c r="Q421" s="2" t="s">
        <v>98</v>
      </c>
      <c r="R421" s="2" t="s">
        <v>99</v>
      </c>
      <c r="S421" s="2" t="s">
        <v>99</v>
      </c>
      <c r="T421" s="2" t="s">
        <v>99</v>
      </c>
      <c r="U421" s="2" t="s">
        <v>100</v>
      </c>
      <c r="V421" s="2" t="s">
        <v>310</v>
      </c>
      <c r="W421" s="2" t="s">
        <v>102</v>
      </c>
      <c r="X421" s="2" t="s">
        <v>291</v>
      </c>
      <c r="Y421" s="2" t="s">
        <v>1611</v>
      </c>
      <c r="Z421" s="4">
        <v>118</v>
      </c>
      <c r="AA421" s="4">
        <f>=ROUNDDOWN(40.6896551724138,0)</f>
      </c>
      <c r="AB421" s="5">
        <v>2.9</v>
      </c>
      <c r="AC421" s="2" t="s">
        <v>99</v>
      </c>
      <c r="AD421" s="4"/>
      <c r="AE421" s="4"/>
      <c r="AF421" s="6">
        <v>69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11</v>
      </c>
      <c r="BK421" s="8">
        <v>2739.71</v>
      </c>
      <c r="BL421" s="2" t="s">
        <v>2277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96</v>
      </c>
      <c r="BW421" s="2" t="s">
        <v>99</v>
      </c>
      <c r="BX421" s="2" t="s">
        <v>99</v>
      </c>
      <c r="BY421" s="2" t="s">
        <v>109</v>
      </c>
      <c r="BZ421" s="2" t="s">
        <v>109</v>
      </c>
      <c r="CA421" s="2" t="s">
        <v>99</v>
      </c>
    </row>
    <row r="422">
      <c r="A422" s="2" t="s">
        <v>2278</v>
      </c>
      <c r="B422" s="2" t="s">
        <v>765</v>
      </c>
      <c r="C422" s="2" t="s">
        <v>666</v>
      </c>
      <c r="D422" s="2" t="s">
        <v>1988</v>
      </c>
      <c r="E422" s="2" t="s">
        <v>1989</v>
      </c>
      <c r="F422" s="2" t="s">
        <v>2264</v>
      </c>
      <c r="G422" s="2" t="s">
        <v>2264</v>
      </c>
      <c r="H422" s="2" t="s">
        <v>2264</v>
      </c>
      <c r="I422" s="2" t="s">
        <v>2279</v>
      </c>
      <c r="J422" s="2" t="s">
        <v>227</v>
      </c>
      <c r="K422" s="2" t="s">
        <v>234</v>
      </c>
      <c r="L422" s="3">
        <v>145</v>
      </c>
      <c r="M422" s="3">
        <v>152.25</v>
      </c>
      <c r="N422" s="3">
        <v>299</v>
      </c>
      <c r="O422" s="2" t="s">
        <v>96</v>
      </c>
      <c r="P422" s="2" t="s">
        <v>386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99</v>
      </c>
      <c r="V422" s="2" t="s">
        <v>310</v>
      </c>
      <c r="W422" s="2" t="s">
        <v>761</v>
      </c>
      <c r="X422" s="2" t="s">
        <v>102</v>
      </c>
      <c r="Y422" s="2" t="s">
        <v>1729</v>
      </c>
      <c r="Z422" s="4">
        <v>257</v>
      </c>
      <c r="AA422" s="4">
        <f>=ROUNDDOWN(257,0)</f>
      </c>
      <c r="AB422" s="5">
        <v>1</v>
      </c>
      <c r="AC422" s="2" t="s">
        <v>99</v>
      </c>
      <c r="AD422" s="4"/>
      <c r="AE422" s="4"/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2</v>
      </c>
      <c r="BK422" s="8">
        <v>341.04</v>
      </c>
      <c r="BL422" s="2" t="s">
        <v>2280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96</v>
      </c>
      <c r="BW422" s="2" t="s">
        <v>828</v>
      </c>
      <c r="BX422" s="2" t="s">
        <v>2281</v>
      </c>
      <c r="BY422" s="2" t="s">
        <v>109</v>
      </c>
      <c r="BZ422" s="2" t="s">
        <v>109</v>
      </c>
      <c r="CA422" s="2" t="s">
        <v>99</v>
      </c>
    </row>
    <row r="423">
      <c r="A423" s="2" t="s">
        <v>2282</v>
      </c>
      <c r="B423" s="2" t="s">
        <v>765</v>
      </c>
      <c r="C423" s="2" t="s">
        <v>666</v>
      </c>
      <c r="D423" s="2" t="s">
        <v>2283</v>
      </c>
      <c r="E423" s="2" t="s">
        <v>2284</v>
      </c>
      <c r="F423" s="2" t="s">
        <v>2285</v>
      </c>
      <c r="G423" s="2" t="s">
        <v>2285</v>
      </c>
      <c r="H423" s="2" t="s">
        <v>2285</v>
      </c>
      <c r="I423" s="2" t="s">
        <v>2286</v>
      </c>
      <c r="J423" s="2" t="s">
        <v>1125</v>
      </c>
      <c r="K423" s="2" t="s">
        <v>1042</v>
      </c>
      <c r="L423" s="3">
        <v>157.5</v>
      </c>
      <c r="M423" s="3">
        <v>165.38</v>
      </c>
      <c r="N423" s="3">
        <v>329</v>
      </c>
      <c r="O423" s="2" t="s">
        <v>304</v>
      </c>
      <c r="P423" s="2" t="s">
        <v>188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100</v>
      </c>
      <c r="V423" s="2" t="s">
        <v>310</v>
      </c>
      <c r="W423" s="2" t="s">
        <v>102</v>
      </c>
      <c r="X423" s="2" t="s">
        <v>291</v>
      </c>
      <c r="Y423" s="2" t="s">
        <v>1067</v>
      </c>
      <c r="Z423" s="4">
        <v>128</v>
      </c>
      <c r="AA423" s="4">
        <f>=ROUNDDOWN(1280,0)</f>
      </c>
      <c r="AB423" s="5">
        <v>0.1</v>
      </c>
      <c r="AC423" s="2" t="s">
        <v>99</v>
      </c>
      <c r="AD423" s="4"/>
      <c r="AE423" s="4"/>
      <c r="AF423" s="6">
        <v>76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/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/>
      <c r="BJ423" s="4"/>
      <c r="BK423" s="8"/>
      <c r="BL423" s="2" t="s">
        <v>99</v>
      </c>
      <c r="BM423" s="7"/>
      <c r="BN423" s="7"/>
      <c r="BO423" s="4"/>
      <c r="BP423" s="8"/>
      <c r="BQ423" s="4"/>
      <c r="BR423" s="8"/>
      <c r="BS423" s="7"/>
      <c r="BT423" s="7"/>
      <c r="BU423" s="2" t="s">
        <v>306</v>
      </c>
      <c r="BV423" s="2" t="s">
        <v>96</v>
      </c>
      <c r="BW423" s="2" t="s">
        <v>99</v>
      </c>
      <c r="BX423" s="2" t="s">
        <v>99</v>
      </c>
      <c r="BY423" s="2" t="s">
        <v>109</v>
      </c>
      <c r="BZ423" s="2" t="s">
        <v>109</v>
      </c>
      <c r="CA423" s="2" t="s">
        <v>99</v>
      </c>
    </row>
    <row r="424">
      <c r="A424" s="2" t="s">
        <v>2287</v>
      </c>
      <c r="B424" s="2" t="s">
        <v>765</v>
      </c>
      <c r="C424" s="2" t="s">
        <v>666</v>
      </c>
      <c r="D424" s="2" t="s">
        <v>2283</v>
      </c>
      <c r="E424" s="2" t="s">
        <v>2284</v>
      </c>
      <c r="F424" s="2" t="s">
        <v>2285</v>
      </c>
      <c r="G424" s="2" t="s">
        <v>2285</v>
      </c>
      <c r="H424" s="2" t="s">
        <v>2285</v>
      </c>
      <c r="I424" s="2" t="s">
        <v>2288</v>
      </c>
      <c r="J424" s="2" t="s">
        <v>2289</v>
      </c>
      <c r="K424" s="2" t="s">
        <v>1042</v>
      </c>
      <c r="L424" s="3">
        <v>166.5</v>
      </c>
      <c r="M424" s="3">
        <v>174.83</v>
      </c>
      <c r="N424" s="3">
        <v>349</v>
      </c>
      <c r="O424" s="2" t="s">
        <v>443</v>
      </c>
      <c r="P424" s="2" t="s">
        <v>188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100</v>
      </c>
      <c r="V424" s="2" t="s">
        <v>310</v>
      </c>
      <c r="W424" s="2" t="s">
        <v>102</v>
      </c>
      <c r="X424" s="2" t="s">
        <v>291</v>
      </c>
      <c r="Y424" s="2" t="s">
        <v>1067</v>
      </c>
      <c r="Z424" s="4"/>
      <c r="AA424" s="4">
        <f>=ROUNDDOWN({0},0)</f>
      </c>
      <c r="AB424" s="5">
        <v>1.4</v>
      </c>
      <c r="AC424" s="2" t="s">
        <v>99</v>
      </c>
      <c r="AD424" s="4"/>
      <c r="AE424" s="4"/>
      <c r="AF424" s="6">
        <v>76</v>
      </c>
      <c r="AG424" s="6"/>
      <c r="AH424" s="7">
        <v>0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/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/>
      <c r="BJ424" s="4"/>
      <c r="BK424" s="8"/>
      <c r="BL424" s="2" t="s">
        <v>99</v>
      </c>
      <c r="BM424" s="7"/>
      <c r="BN424" s="7"/>
      <c r="BO424" s="4"/>
      <c r="BP424" s="8"/>
      <c r="BQ424" s="4"/>
      <c r="BR424" s="8"/>
      <c r="BS424" s="7"/>
      <c r="BT424" s="7"/>
      <c r="BU424" s="2" t="s">
        <v>306</v>
      </c>
      <c r="BV424" s="2" t="s">
        <v>96</v>
      </c>
      <c r="BW424" s="2" t="s">
        <v>99</v>
      </c>
      <c r="BX424" s="2" t="s">
        <v>99</v>
      </c>
      <c r="BY424" s="2" t="s">
        <v>109</v>
      </c>
      <c r="BZ424" s="2" t="s">
        <v>109</v>
      </c>
      <c r="CA424" s="2" t="s">
        <v>99</v>
      </c>
    </row>
    <row r="425">
      <c r="A425" s="2" t="s">
        <v>2290</v>
      </c>
      <c r="B425" s="2" t="s">
        <v>765</v>
      </c>
      <c r="C425" s="2" t="s">
        <v>666</v>
      </c>
      <c r="D425" s="2" t="s">
        <v>2283</v>
      </c>
      <c r="E425" s="2" t="s">
        <v>2284</v>
      </c>
      <c r="F425" s="2" t="s">
        <v>2285</v>
      </c>
      <c r="G425" s="2" t="s">
        <v>2285</v>
      </c>
      <c r="H425" s="2" t="s">
        <v>2285</v>
      </c>
      <c r="I425" s="2" t="s">
        <v>2291</v>
      </c>
      <c r="J425" s="2" t="s">
        <v>1573</v>
      </c>
      <c r="K425" s="2" t="s">
        <v>1042</v>
      </c>
      <c r="L425" s="3">
        <v>118.8</v>
      </c>
      <c r="M425" s="3">
        <v>124.74</v>
      </c>
      <c r="N425" s="3">
        <v>249</v>
      </c>
      <c r="O425" s="2" t="s">
        <v>443</v>
      </c>
      <c r="P425" s="2" t="s">
        <v>188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100</v>
      </c>
      <c r="V425" s="2" t="s">
        <v>310</v>
      </c>
      <c r="W425" s="2" t="s">
        <v>102</v>
      </c>
      <c r="X425" s="2" t="s">
        <v>291</v>
      </c>
      <c r="Y425" s="2" t="s">
        <v>1067</v>
      </c>
      <c r="Z425" s="4">
        <v>2</v>
      </c>
      <c r="AA425" s="4">
        <f>=ROUNDDOWN(5,0)</f>
      </c>
      <c r="AB425" s="5">
        <v>0.4</v>
      </c>
      <c r="AC425" s="2" t="s">
        <v>99</v>
      </c>
      <c r="AD425" s="4"/>
      <c r="AE425" s="4"/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/>
      <c r="BJ425" s="4">
        <v>4</v>
      </c>
      <c r="BK425" s="8">
        <v>486.54</v>
      </c>
      <c r="BL425" s="2" t="s">
        <v>2292</v>
      </c>
      <c r="BM425" s="7"/>
      <c r="BN425" s="7"/>
      <c r="BO425" s="4"/>
      <c r="BP425" s="8"/>
      <c r="BQ425" s="4"/>
      <c r="BR425" s="8"/>
      <c r="BS425" s="7"/>
      <c r="BT425" s="7"/>
      <c r="BU425" s="2" t="s">
        <v>306</v>
      </c>
      <c r="BV425" s="2" t="s">
        <v>96</v>
      </c>
      <c r="BW425" s="2" t="s">
        <v>99</v>
      </c>
      <c r="BX425" s="2" t="s">
        <v>99</v>
      </c>
      <c r="BY425" s="2" t="s">
        <v>109</v>
      </c>
      <c r="BZ425" s="2" t="s">
        <v>109</v>
      </c>
      <c r="CA425" s="2" t="s">
        <v>99</v>
      </c>
    </row>
    <row r="426">
      <c r="A426" s="2" t="s">
        <v>2293</v>
      </c>
      <c r="B426" s="2" t="s">
        <v>765</v>
      </c>
      <c r="C426" s="2" t="s">
        <v>666</v>
      </c>
      <c r="D426" s="2" t="s">
        <v>2283</v>
      </c>
      <c r="E426" s="2" t="s">
        <v>2284</v>
      </c>
      <c r="F426" s="2" t="s">
        <v>2285</v>
      </c>
      <c r="G426" s="2" t="s">
        <v>2285</v>
      </c>
      <c r="H426" s="2" t="s">
        <v>2285</v>
      </c>
      <c r="I426" s="2" t="s">
        <v>2286</v>
      </c>
      <c r="J426" s="2" t="s">
        <v>1125</v>
      </c>
      <c r="K426" s="2" t="s">
        <v>2294</v>
      </c>
      <c r="L426" s="3">
        <v>157.5</v>
      </c>
      <c r="M426" s="3">
        <v>165.38</v>
      </c>
      <c r="N426" s="3">
        <v>329</v>
      </c>
      <c r="O426" s="2" t="s">
        <v>304</v>
      </c>
      <c r="P426" s="2" t="s">
        <v>188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100</v>
      </c>
      <c r="V426" s="2" t="s">
        <v>310</v>
      </c>
      <c r="W426" s="2" t="s">
        <v>102</v>
      </c>
      <c r="X426" s="2" t="s">
        <v>291</v>
      </c>
      <c r="Y426" s="2" t="s">
        <v>2295</v>
      </c>
      <c r="Z426" s="4">
        <v>16</v>
      </c>
      <c r="AA426" s="4">
        <f>=ROUNDDOWN(32,0)</f>
      </c>
      <c r="AB426" s="5">
        <v>0.5</v>
      </c>
      <c r="AC426" s="2" t="s">
        <v>99</v>
      </c>
      <c r="AD426" s="4"/>
      <c r="AE426" s="4"/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/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/>
      <c r="BJ426" s="4">
        <v>1</v>
      </c>
      <c r="BK426" s="8">
        <v>165.37</v>
      </c>
      <c r="BL426" s="2" t="s">
        <v>654</v>
      </c>
      <c r="BM426" s="7"/>
      <c r="BN426" s="7"/>
      <c r="BO426" s="4"/>
      <c r="BP426" s="8"/>
      <c r="BQ426" s="4"/>
      <c r="BR426" s="8"/>
      <c r="BS426" s="7"/>
      <c r="BT426" s="7"/>
      <c r="BU426" s="2" t="s">
        <v>306</v>
      </c>
      <c r="BV426" s="2" t="s">
        <v>96</v>
      </c>
      <c r="BW426" s="2" t="s">
        <v>99</v>
      </c>
      <c r="BX426" s="2" t="s">
        <v>99</v>
      </c>
      <c r="BY426" s="2" t="s">
        <v>109</v>
      </c>
      <c r="BZ426" s="2" t="s">
        <v>109</v>
      </c>
      <c r="CA426" s="2" t="s">
        <v>99</v>
      </c>
    </row>
    <row r="427">
      <c r="A427" s="2" t="s">
        <v>2296</v>
      </c>
      <c r="B427" s="2" t="s">
        <v>765</v>
      </c>
      <c r="C427" s="2" t="s">
        <v>666</v>
      </c>
      <c r="D427" s="2" t="s">
        <v>2283</v>
      </c>
      <c r="E427" s="2" t="s">
        <v>2284</v>
      </c>
      <c r="F427" s="2" t="s">
        <v>2285</v>
      </c>
      <c r="G427" s="2" t="s">
        <v>2285</v>
      </c>
      <c r="H427" s="2" t="s">
        <v>2285</v>
      </c>
      <c r="I427" s="2" t="s">
        <v>2288</v>
      </c>
      <c r="J427" s="2" t="s">
        <v>2289</v>
      </c>
      <c r="K427" s="2" t="s">
        <v>2294</v>
      </c>
      <c r="L427" s="3">
        <v>166.5</v>
      </c>
      <c r="M427" s="3">
        <v>174.82</v>
      </c>
      <c r="N427" s="3">
        <v>349</v>
      </c>
      <c r="O427" s="2" t="s">
        <v>304</v>
      </c>
      <c r="P427" s="2" t="s">
        <v>188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100</v>
      </c>
      <c r="V427" s="2" t="s">
        <v>310</v>
      </c>
      <c r="W427" s="2" t="s">
        <v>102</v>
      </c>
      <c r="X427" s="2" t="s">
        <v>291</v>
      </c>
      <c r="Y427" s="2" t="s">
        <v>2295</v>
      </c>
      <c r="Z427" s="4">
        <v>2</v>
      </c>
      <c r="AA427" s="4">
        <f>=ROUNDDOWN(5,0)</f>
      </c>
      <c r="AB427" s="5">
        <v>0.4</v>
      </c>
      <c r="AC427" s="2" t="s">
        <v>99</v>
      </c>
      <c r="AD427" s="4"/>
      <c r="AE427" s="4"/>
      <c r="AF427" s="6">
        <v>76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/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/>
      <c r="BJ427" s="4"/>
      <c r="BK427" s="8"/>
      <c r="BL427" s="2" t="s">
        <v>99</v>
      </c>
      <c r="BM427" s="7"/>
      <c r="BN427" s="7"/>
      <c r="BO427" s="4"/>
      <c r="BP427" s="8"/>
      <c r="BQ427" s="4"/>
      <c r="BR427" s="8"/>
      <c r="BS427" s="7"/>
      <c r="BT427" s="7"/>
      <c r="BU427" s="2" t="s">
        <v>306</v>
      </c>
      <c r="BV427" s="2" t="s">
        <v>96</v>
      </c>
      <c r="BW427" s="2" t="s">
        <v>99</v>
      </c>
      <c r="BX427" s="2" t="s">
        <v>99</v>
      </c>
      <c r="BY427" s="2" t="s">
        <v>109</v>
      </c>
      <c r="BZ427" s="2" t="s">
        <v>109</v>
      </c>
      <c r="CA427" s="2" t="s">
        <v>99</v>
      </c>
    </row>
    <row r="428">
      <c r="A428" s="2" t="s">
        <v>2297</v>
      </c>
      <c r="B428" s="2" t="s">
        <v>765</v>
      </c>
      <c r="C428" s="2" t="s">
        <v>666</v>
      </c>
      <c r="D428" s="2" t="s">
        <v>2283</v>
      </c>
      <c r="E428" s="2" t="s">
        <v>2284</v>
      </c>
      <c r="F428" s="2" t="s">
        <v>2285</v>
      </c>
      <c r="G428" s="2" t="s">
        <v>2285</v>
      </c>
      <c r="H428" s="2" t="s">
        <v>2285</v>
      </c>
      <c r="I428" s="2" t="s">
        <v>2291</v>
      </c>
      <c r="J428" s="2" t="s">
        <v>1573</v>
      </c>
      <c r="K428" s="2" t="s">
        <v>2294</v>
      </c>
      <c r="L428" s="3">
        <v>118.8</v>
      </c>
      <c r="M428" s="3">
        <v>124.74</v>
      </c>
      <c r="N428" s="3">
        <v>249</v>
      </c>
      <c r="O428" s="2" t="s">
        <v>304</v>
      </c>
      <c r="P428" s="2" t="s">
        <v>188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100</v>
      </c>
      <c r="V428" s="2" t="s">
        <v>310</v>
      </c>
      <c r="W428" s="2" t="s">
        <v>102</v>
      </c>
      <c r="X428" s="2" t="s">
        <v>291</v>
      </c>
      <c r="Y428" s="2" t="s">
        <v>2295</v>
      </c>
      <c r="Z428" s="4">
        <v>31</v>
      </c>
      <c r="AA428" s="4">
        <f>=ROUNDDOWN(34.4444444444444,0)</f>
      </c>
      <c r="AB428" s="5">
        <v>0.9</v>
      </c>
      <c r="AC428" s="2" t="s">
        <v>99</v>
      </c>
      <c r="AD428" s="4"/>
      <c r="AE428" s="4"/>
      <c r="AF428" s="6">
        <v>76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/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/>
      <c r="BJ428" s="4">
        <v>9</v>
      </c>
      <c r="BK428" s="8">
        <v>1221.21</v>
      </c>
      <c r="BL428" s="2" t="s">
        <v>2298</v>
      </c>
      <c r="BM428" s="7"/>
      <c r="BN428" s="7"/>
      <c r="BO428" s="4"/>
      <c r="BP428" s="8"/>
      <c r="BQ428" s="4"/>
      <c r="BR428" s="8"/>
      <c r="BS428" s="7"/>
      <c r="BT428" s="7"/>
      <c r="BU428" s="2" t="s">
        <v>306</v>
      </c>
      <c r="BV428" s="2" t="s">
        <v>96</v>
      </c>
      <c r="BW428" s="2" t="s">
        <v>99</v>
      </c>
      <c r="BX428" s="2" t="s">
        <v>99</v>
      </c>
      <c r="BY428" s="2" t="s">
        <v>109</v>
      </c>
      <c r="BZ428" s="2" t="s">
        <v>109</v>
      </c>
      <c r="CA428" s="2" t="s">
        <v>99</v>
      </c>
    </row>
    <row r="429">
      <c r="A429" s="2" t="s">
        <v>2299</v>
      </c>
      <c r="B429" s="2" t="s">
        <v>765</v>
      </c>
      <c r="C429" s="2" t="s">
        <v>2300</v>
      </c>
      <c r="D429" s="2" t="s">
        <v>766</v>
      </c>
      <c r="E429" s="2" t="s">
        <v>839</v>
      </c>
      <c r="F429" s="2" t="s">
        <v>2301</v>
      </c>
      <c r="G429" s="2" t="s">
        <v>2301</v>
      </c>
      <c r="H429" s="2" t="s">
        <v>2301</v>
      </c>
      <c r="I429" s="2" t="s">
        <v>2302</v>
      </c>
      <c r="J429" s="2" t="s">
        <v>227</v>
      </c>
      <c r="K429" s="2" t="s">
        <v>784</v>
      </c>
      <c r="L429" s="3">
        <v>85</v>
      </c>
      <c r="M429" s="3">
        <v>89.25</v>
      </c>
      <c r="N429" s="3">
        <v>179</v>
      </c>
      <c r="O429" s="2" t="s">
        <v>96</v>
      </c>
      <c r="P429" s="2" t="s">
        <v>131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100</v>
      </c>
      <c r="V429" s="2" t="s">
        <v>310</v>
      </c>
      <c r="W429" s="2" t="s">
        <v>158</v>
      </c>
      <c r="X429" s="2" t="s">
        <v>330</v>
      </c>
      <c r="Y429" s="2" t="s">
        <v>149</v>
      </c>
      <c r="Z429" s="4">
        <v>3</v>
      </c>
      <c r="AA429" s="4">
        <f>=ROUNDDOWN(0.3,0)</f>
      </c>
      <c r="AB429" s="5">
        <v>10</v>
      </c>
      <c r="AC429" s="2" t="s">
        <v>904</v>
      </c>
      <c r="AD429" s="4">
        <v>120</v>
      </c>
      <c r="AE429" s="4">
        <v>260</v>
      </c>
      <c r="AF429" s="6">
        <v>74</v>
      </c>
      <c r="AG429" s="6"/>
      <c r="AH429" s="7">
        <v>0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99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96</v>
      </c>
      <c r="BW429" s="2" t="s">
        <v>99</v>
      </c>
      <c r="BX429" s="2" t="s">
        <v>2303</v>
      </c>
      <c r="BY429" s="2" t="s">
        <v>109</v>
      </c>
      <c r="BZ429" s="2" t="s">
        <v>109</v>
      </c>
      <c r="CA429" s="2" t="s">
        <v>99</v>
      </c>
    </row>
    <row r="430">
      <c r="A430" s="2" t="s">
        <v>2304</v>
      </c>
      <c r="B430" s="2" t="s">
        <v>765</v>
      </c>
      <c r="C430" s="2" t="s">
        <v>2300</v>
      </c>
      <c r="D430" s="2" t="s">
        <v>982</v>
      </c>
      <c r="E430" s="2" t="s">
        <v>983</v>
      </c>
      <c r="F430" s="2" t="s">
        <v>2305</v>
      </c>
      <c r="G430" s="2" t="s">
        <v>2305</v>
      </c>
      <c r="H430" s="2" t="s">
        <v>2305</v>
      </c>
      <c r="I430" s="2" t="s">
        <v>1870</v>
      </c>
      <c r="J430" s="2" t="s">
        <v>227</v>
      </c>
      <c r="K430" s="2" t="s">
        <v>784</v>
      </c>
      <c r="L430" s="3">
        <v>118.75</v>
      </c>
      <c r="M430" s="3">
        <v>124.69</v>
      </c>
      <c r="N430" s="3">
        <v>249</v>
      </c>
      <c r="O430" s="2" t="s">
        <v>96</v>
      </c>
      <c r="P430" s="2" t="s">
        <v>131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100</v>
      </c>
      <c r="V430" s="2" t="s">
        <v>310</v>
      </c>
      <c r="W430" s="2" t="s">
        <v>158</v>
      </c>
      <c r="X430" s="2" t="s">
        <v>291</v>
      </c>
      <c r="Y430" s="2" t="s">
        <v>2306</v>
      </c>
      <c r="Z430" s="4">
        <v>186</v>
      </c>
      <c r="AA430" s="4">
        <f>=ROUNDDOWN(26.5714285714286,0)</f>
      </c>
      <c r="AB430" s="5">
        <v>7</v>
      </c>
      <c r="AC430" s="2" t="s">
        <v>99</v>
      </c>
      <c r="AD430" s="4"/>
      <c r="AE430" s="4"/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>
        <v>42</v>
      </c>
      <c r="BK430" s="8">
        <v>4909.36</v>
      </c>
      <c r="BL430" s="2" t="s">
        <v>2307</v>
      </c>
      <c r="BM430" s="7"/>
      <c r="BN430" s="7"/>
      <c r="BO430" s="4"/>
      <c r="BP430" s="8"/>
      <c r="BQ430" s="4"/>
      <c r="BR430" s="8"/>
      <c r="BS430" s="7"/>
      <c r="BT430" s="7"/>
      <c r="BU430" s="2" t="s">
        <v>306</v>
      </c>
      <c r="BV430" s="2" t="s">
        <v>96</v>
      </c>
      <c r="BW430" s="2" t="s">
        <v>99</v>
      </c>
      <c r="BX430" s="2" t="s">
        <v>99</v>
      </c>
      <c r="BY430" s="2" t="s">
        <v>109</v>
      </c>
      <c r="BZ430" s="2" t="s">
        <v>109</v>
      </c>
      <c r="CA430" s="2" t="s">
        <v>99</v>
      </c>
    </row>
    <row r="431">
      <c r="A431" s="2" t="s">
        <v>2308</v>
      </c>
      <c r="B431" s="2" t="s">
        <v>765</v>
      </c>
      <c r="C431" s="2" t="s">
        <v>2300</v>
      </c>
      <c r="D431" s="2" t="s">
        <v>982</v>
      </c>
      <c r="E431" s="2" t="s">
        <v>983</v>
      </c>
      <c r="F431" s="2" t="s">
        <v>2305</v>
      </c>
      <c r="G431" s="2" t="s">
        <v>2305</v>
      </c>
      <c r="H431" s="2" t="s">
        <v>2305</v>
      </c>
      <c r="I431" s="2" t="s">
        <v>1870</v>
      </c>
      <c r="J431" s="2" t="s">
        <v>227</v>
      </c>
      <c r="K431" s="2" t="s">
        <v>805</v>
      </c>
      <c r="L431" s="3">
        <v>118.75</v>
      </c>
      <c r="M431" s="3">
        <v>124.69</v>
      </c>
      <c r="N431" s="3">
        <v>249</v>
      </c>
      <c r="O431" s="2" t="s">
        <v>96</v>
      </c>
      <c r="P431" s="2" t="s">
        <v>97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100</v>
      </c>
      <c r="V431" s="2" t="s">
        <v>310</v>
      </c>
      <c r="W431" s="2" t="s">
        <v>158</v>
      </c>
      <c r="X431" s="2" t="s">
        <v>291</v>
      </c>
      <c r="Y431" s="2" t="s">
        <v>2309</v>
      </c>
      <c r="Z431" s="4">
        <v>489</v>
      </c>
      <c r="AA431" s="4">
        <f>=ROUNDDOWN(13.5833333333333,0)</f>
      </c>
      <c r="AB431" s="5">
        <v>36</v>
      </c>
      <c r="AC431" s="2" t="s">
        <v>7</v>
      </c>
      <c r="AD431" s="4">
        <v>106</v>
      </c>
      <c r="AE431" s="4">
        <v>392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/>
      <c r="BJ431" s="4">
        <v>171</v>
      </c>
      <c r="BK431" s="8">
        <v>22702.67</v>
      </c>
      <c r="BL431" s="2" t="s">
        <v>2310</v>
      </c>
      <c r="BM431" s="7"/>
      <c r="BN431" s="7"/>
      <c r="BO431" s="4"/>
      <c r="BP431" s="8"/>
      <c r="BQ431" s="4"/>
      <c r="BR431" s="8"/>
      <c r="BS431" s="7"/>
      <c r="BT431" s="7"/>
      <c r="BU431" s="2" t="s">
        <v>306</v>
      </c>
      <c r="BV431" s="2" t="s">
        <v>96</v>
      </c>
      <c r="BW431" s="2" t="s">
        <v>99</v>
      </c>
      <c r="BX431" s="2" t="s">
        <v>99</v>
      </c>
      <c r="BY431" s="2" t="s">
        <v>109</v>
      </c>
      <c r="BZ431" s="2" t="s">
        <v>109</v>
      </c>
      <c r="CA431" s="2" t="s">
        <v>99</v>
      </c>
    </row>
    <row r="432">
      <c r="A432" s="2" t="s">
        <v>2311</v>
      </c>
      <c r="B432" s="2" t="s">
        <v>765</v>
      </c>
      <c r="C432" s="2" t="s">
        <v>2300</v>
      </c>
      <c r="D432" s="2" t="s">
        <v>982</v>
      </c>
      <c r="E432" s="2" t="s">
        <v>983</v>
      </c>
      <c r="F432" s="2" t="s">
        <v>2305</v>
      </c>
      <c r="G432" s="2" t="s">
        <v>2305</v>
      </c>
      <c r="H432" s="2" t="s">
        <v>2305</v>
      </c>
      <c r="I432" s="2" t="s">
        <v>1870</v>
      </c>
      <c r="J432" s="2" t="s">
        <v>227</v>
      </c>
      <c r="K432" s="2" t="s">
        <v>1692</v>
      </c>
      <c r="L432" s="3">
        <v>118.75</v>
      </c>
      <c r="M432" s="3">
        <v>124.69</v>
      </c>
      <c r="N432" s="3">
        <v>249</v>
      </c>
      <c r="O432" s="2" t="s">
        <v>96</v>
      </c>
      <c r="P432" s="2" t="s">
        <v>317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100</v>
      </c>
      <c r="V432" s="2" t="s">
        <v>310</v>
      </c>
      <c r="W432" s="2" t="s">
        <v>785</v>
      </c>
      <c r="X432" s="2" t="s">
        <v>291</v>
      </c>
      <c r="Y432" s="2" t="s">
        <v>99</v>
      </c>
      <c r="Z432" s="4"/>
      <c r="AA432" s="4">
        <f>=ROUNDDOWN({0},0)</f>
      </c>
      <c r="AB432" s="5"/>
      <c r="AC432" s="2" t="s">
        <v>1866</v>
      </c>
      <c r="AD432" s="4">
        <v>30</v>
      </c>
      <c r="AE432" s="4">
        <v>30</v>
      </c>
      <c r="AF432" s="6">
        <v>74</v>
      </c>
      <c r="AG432" s="6"/>
      <c r="AH432" s="7"/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/>
      <c r="BJ432" s="4"/>
      <c r="BK432" s="8"/>
      <c r="BL432" s="2" t="s">
        <v>99</v>
      </c>
      <c r="BM432" s="7"/>
      <c r="BN432" s="7"/>
      <c r="BO432" s="4"/>
      <c r="BP432" s="8"/>
      <c r="BQ432" s="4"/>
      <c r="BR432" s="8"/>
      <c r="BS432" s="7"/>
      <c r="BT432" s="7"/>
      <c r="BU432" s="2" t="s">
        <v>819</v>
      </c>
      <c r="BV432" s="2" t="s">
        <v>96</v>
      </c>
      <c r="BW432" s="2" t="s">
        <v>99</v>
      </c>
      <c r="BX432" s="2" t="s">
        <v>99</v>
      </c>
      <c r="BY432" s="2" t="s">
        <v>109</v>
      </c>
      <c r="BZ432" s="2" t="s">
        <v>109</v>
      </c>
      <c r="CA432" s="2" t="s">
        <v>99</v>
      </c>
    </row>
    <row r="433">
      <c r="A433" s="2" t="s">
        <v>2312</v>
      </c>
      <c r="B433" s="2" t="s">
        <v>765</v>
      </c>
      <c r="C433" s="2" t="s">
        <v>2300</v>
      </c>
      <c r="D433" s="2" t="s">
        <v>1659</v>
      </c>
      <c r="E433" s="2" t="s">
        <v>1660</v>
      </c>
      <c r="F433" s="2" t="s">
        <v>2313</v>
      </c>
      <c r="G433" s="2" t="s">
        <v>2313</v>
      </c>
      <c r="H433" s="2" t="s">
        <v>2313</v>
      </c>
      <c r="I433" s="2" t="s">
        <v>1660</v>
      </c>
      <c r="J433" s="2" t="s">
        <v>227</v>
      </c>
      <c r="K433" s="2" t="s">
        <v>1990</v>
      </c>
      <c r="L433" s="3">
        <v>95.64</v>
      </c>
      <c r="M433" s="3">
        <v>100.42</v>
      </c>
      <c r="N433" s="3">
        <v>189.99</v>
      </c>
      <c r="O433" s="2" t="s">
        <v>443</v>
      </c>
      <c r="P433" s="2" t="s">
        <v>188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99</v>
      </c>
      <c r="V433" s="2" t="s">
        <v>310</v>
      </c>
      <c r="W433" s="2" t="s">
        <v>685</v>
      </c>
      <c r="X433" s="2" t="s">
        <v>158</v>
      </c>
      <c r="Y433" s="2" t="s">
        <v>2314</v>
      </c>
      <c r="Z433" s="4"/>
      <c r="AA433" s="4">
        <f>=ROUNDDOWN({0},0)</f>
      </c>
      <c r="AB433" s="5">
        <v>13</v>
      </c>
      <c r="AC433" s="2" t="s">
        <v>99</v>
      </c>
      <c r="AD433" s="4"/>
      <c r="AE433" s="4"/>
      <c r="AF433" s="6">
        <v>74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99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122</v>
      </c>
      <c r="BW433" s="2" t="s">
        <v>99</v>
      </c>
      <c r="BX433" s="2" t="s">
        <v>413</v>
      </c>
      <c r="BY433" s="2" t="s">
        <v>109</v>
      </c>
      <c r="BZ433" s="2" t="s">
        <v>109</v>
      </c>
      <c r="CA433" s="2" t="s">
        <v>99</v>
      </c>
    </row>
    <row r="434">
      <c r="A434" s="2" t="s">
        <v>2315</v>
      </c>
      <c r="B434" s="2" t="s">
        <v>765</v>
      </c>
      <c r="C434" s="2" t="s">
        <v>2300</v>
      </c>
      <c r="D434" s="2" t="s">
        <v>1437</v>
      </c>
      <c r="E434" s="2" t="s">
        <v>1438</v>
      </c>
      <c r="F434" s="2" t="s">
        <v>2301</v>
      </c>
      <c r="G434" s="2" t="s">
        <v>2301</v>
      </c>
      <c r="H434" s="2" t="s">
        <v>2301</v>
      </c>
      <c r="I434" s="2" t="s">
        <v>2316</v>
      </c>
      <c r="J434" s="2" t="s">
        <v>219</v>
      </c>
      <c r="K434" s="2" t="s">
        <v>234</v>
      </c>
      <c r="L434" s="3">
        <v>105</v>
      </c>
      <c r="M434" s="3">
        <v>110.25</v>
      </c>
      <c r="N434" s="3">
        <v>219</v>
      </c>
      <c r="O434" s="2" t="s">
        <v>304</v>
      </c>
      <c r="P434" s="2" t="s">
        <v>188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210</v>
      </c>
      <c r="V434" s="2" t="s">
        <v>310</v>
      </c>
      <c r="W434" s="2" t="s">
        <v>158</v>
      </c>
      <c r="X434" s="2" t="s">
        <v>330</v>
      </c>
      <c r="Y434" s="2" t="s">
        <v>149</v>
      </c>
      <c r="Z434" s="4">
        <v>4</v>
      </c>
      <c r="AA434" s="4">
        <f>=ROUNDDOWN(1.33333333333333,0)</f>
      </c>
      <c r="AB434" s="5">
        <v>3</v>
      </c>
      <c r="AC434" s="2" t="s">
        <v>99</v>
      </c>
      <c r="AD434" s="4"/>
      <c r="AE434" s="4"/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19</v>
      </c>
      <c r="BK434" s="8">
        <v>2221.53</v>
      </c>
      <c r="BL434" s="2" t="s">
        <v>2317</v>
      </c>
      <c r="BM434" s="7"/>
      <c r="BN434" s="7"/>
      <c r="BO434" s="4"/>
      <c r="BP434" s="8"/>
      <c r="BQ434" s="4"/>
      <c r="BR434" s="8"/>
      <c r="BS434" s="7"/>
      <c r="BT434" s="7"/>
      <c r="BU434" s="2" t="s">
        <v>306</v>
      </c>
      <c r="BV434" s="2" t="s">
        <v>96</v>
      </c>
      <c r="BW434" s="2" t="s">
        <v>99</v>
      </c>
      <c r="BX434" s="2" t="s">
        <v>99</v>
      </c>
      <c r="BY434" s="2" t="s">
        <v>109</v>
      </c>
      <c r="BZ434" s="2" t="s">
        <v>109</v>
      </c>
      <c r="CA434" s="2" t="s">
        <v>99</v>
      </c>
    </row>
    <row r="435">
      <c r="A435" s="2" t="s">
        <v>2318</v>
      </c>
      <c r="B435" s="2" t="s">
        <v>765</v>
      </c>
      <c r="C435" s="2" t="s">
        <v>2300</v>
      </c>
      <c r="D435" s="2" t="s">
        <v>1437</v>
      </c>
      <c r="E435" s="2" t="s">
        <v>1438</v>
      </c>
      <c r="F435" s="2" t="s">
        <v>2319</v>
      </c>
      <c r="G435" s="2" t="s">
        <v>2319</v>
      </c>
      <c r="H435" s="2" t="s">
        <v>2319</v>
      </c>
      <c r="I435" s="2" t="s">
        <v>2320</v>
      </c>
      <c r="J435" s="2" t="s">
        <v>219</v>
      </c>
      <c r="K435" s="2" t="s">
        <v>2321</v>
      </c>
      <c r="L435" s="3">
        <v>102.6</v>
      </c>
      <c r="M435" s="3">
        <v>107.73</v>
      </c>
      <c r="N435" s="3">
        <v>219</v>
      </c>
      <c r="O435" s="2" t="s">
        <v>304</v>
      </c>
      <c r="P435" s="2" t="s">
        <v>188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210</v>
      </c>
      <c r="V435" s="2" t="s">
        <v>310</v>
      </c>
      <c r="W435" s="2" t="s">
        <v>158</v>
      </c>
      <c r="X435" s="2" t="s">
        <v>102</v>
      </c>
      <c r="Y435" s="2" t="s">
        <v>2322</v>
      </c>
      <c r="Z435" s="4">
        <v>10</v>
      </c>
      <c r="AA435" s="4">
        <f>=ROUNDDOWN(6.25,0)</f>
      </c>
      <c r="AB435" s="5">
        <v>1.6</v>
      </c>
      <c r="AC435" s="2" t="s">
        <v>99</v>
      </c>
      <c r="AD435" s="4"/>
      <c r="AE435" s="4"/>
      <c r="AF435" s="6">
        <v>83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31</v>
      </c>
      <c r="BK435" s="8">
        <v>3265.04</v>
      </c>
      <c r="BL435" s="2" t="s">
        <v>1472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96</v>
      </c>
      <c r="BW435" s="2" t="s">
        <v>2323</v>
      </c>
      <c r="BX435" s="2" t="s">
        <v>99</v>
      </c>
      <c r="BY435" s="2" t="s">
        <v>109</v>
      </c>
      <c r="BZ435" s="2" t="s">
        <v>109</v>
      </c>
      <c r="CA435" s="2" t="s">
        <v>99</v>
      </c>
    </row>
    <row r="436">
      <c r="A436" s="2" t="s">
        <v>2324</v>
      </c>
      <c r="B436" s="2" t="s">
        <v>765</v>
      </c>
      <c r="C436" s="2" t="s">
        <v>89</v>
      </c>
      <c r="D436" s="2" t="s">
        <v>982</v>
      </c>
      <c r="E436" s="2" t="s">
        <v>983</v>
      </c>
      <c r="F436" s="2" t="s">
        <v>2325</v>
      </c>
      <c r="G436" s="2" t="s">
        <v>2325</v>
      </c>
      <c r="H436" s="2" t="s">
        <v>2325</v>
      </c>
      <c r="I436" s="2" t="s">
        <v>2326</v>
      </c>
      <c r="J436" s="2" t="s">
        <v>227</v>
      </c>
      <c r="K436" s="2" t="s">
        <v>2327</v>
      </c>
      <c r="L436" s="3">
        <v>212.85</v>
      </c>
      <c r="M436" s="3">
        <v>223.49</v>
      </c>
      <c r="N436" s="3">
        <v>449</v>
      </c>
      <c r="O436" s="2" t="s">
        <v>96</v>
      </c>
      <c r="P436" s="2" t="s">
        <v>188</v>
      </c>
      <c r="Q436" s="2" t="s">
        <v>98</v>
      </c>
      <c r="R436" s="2" t="s">
        <v>99</v>
      </c>
      <c r="S436" s="2" t="s">
        <v>99</v>
      </c>
      <c r="T436" s="2" t="s">
        <v>99</v>
      </c>
      <c r="U436" s="2" t="s">
        <v>100</v>
      </c>
      <c r="V436" s="2" t="s">
        <v>157</v>
      </c>
      <c r="W436" s="2" t="s">
        <v>330</v>
      </c>
      <c r="X436" s="2" t="s">
        <v>99</v>
      </c>
      <c r="Y436" s="2" t="s">
        <v>2249</v>
      </c>
      <c r="Z436" s="4">
        <v>47</v>
      </c>
      <c r="AA436" s="4">
        <f>=ROUNDDOWN(11.75,0)</f>
      </c>
      <c r="AB436" s="5">
        <v>4</v>
      </c>
      <c r="AC436" s="2" t="s">
        <v>99</v>
      </c>
      <c r="AD436" s="4"/>
      <c r="AE436" s="4"/>
      <c r="AF436" s="6">
        <v>76</v>
      </c>
      <c r="AG436" s="6">
        <v>62</v>
      </c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35</v>
      </c>
      <c r="BK436" s="8">
        <v>6811.46</v>
      </c>
      <c r="BL436" s="2" t="s">
        <v>2328</v>
      </c>
      <c r="BM436" s="7"/>
      <c r="BN436" s="7"/>
      <c r="BO436" s="4"/>
      <c r="BP436" s="8"/>
      <c r="BQ436" s="4"/>
      <c r="BR436" s="8"/>
      <c r="BS436" s="7"/>
      <c r="BT436" s="7"/>
      <c r="BU436" s="2" t="s">
        <v>645</v>
      </c>
      <c r="BV436" s="2" t="s">
        <v>96</v>
      </c>
      <c r="BW436" s="2" t="s">
        <v>99</v>
      </c>
      <c r="BX436" s="2" t="s">
        <v>99</v>
      </c>
      <c r="BY436" s="2" t="s">
        <v>109</v>
      </c>
      <c r="BZ436" s="2" t="s">
        <v>109</v>
      </c>
      <c r="CA436" s="2" t="s">
        <v>99</v>
      </c>
    </row>
    <row r="437">
      <c r="A437" s="2" t="s">
        <v>2329</v>
      </c>
      <c r="B437" s="2" t="s">
        <v>765</v>
      </c>
      <c r="C437" s="2" t="s">
        <v>89</v>
      </c>
      <c r="D437" s="2" t="s">
        <v>1605</v>
      </c>
      <c r="E437" s="2" t="s">
        <v>1606</v>
      </c>
      <c r="F437" s="2" t="s">
        <v>2330</v>
      </c>
      <c r="G437" s="2" t="s">
        <v>2330</v>
      </c>
      <c r="H437" s="2" t="s">
        <v>2330</v>
      </c>
      <c r="I437" s="2" t="s">
        <v>2331</v>
      </c>
      <c r="J437" s="2" t="s">
        <v>227</v>
      </c>
      <c r="K437" s="2" t="s">
        <v>2332</v>
      </c>
      <c r="L437" s="3">
        <v>217.8</v>
      </c>
      <c r="M437" s="3">
        <v>228.69</v>
      </c>
      <c r="N437" s="3">
        <v>459</v>
      </c>
      <c r="O437" s="2" t="s">
        <v>96</v>
      </c>
      <c r="P437" s="2" t="s">
        <v>131</v>
      </c>
      <c r="Q437" s="2" t="s">
        <v>98</v>
      </c>
      <c r="R437" s="2" t="s">
        <v>99</v>
      </c>
      <c r="S437" s="2" t="s">
        <v>99</v>
      </c>
      <c r="T437" s="2" t="s">
        <v>99</v>
      </c>
      <c r="U437" s="2" t="s">
        <v>100</v>
      </c>
      <c r="V437" s="2" t="s">
        <v>310</v>
      </c>
      <c r="W437" s="2" t="s">
        <v>330</v>
      </c>
      <c r="X437" s="2" t="s">
        <v>362</v>
      </c>
      <c r="Y437" s="2" t="s">
        <v>2333</v>
      </c>
      <c r="Z437" s="4">
        <v>101</v>
      </c>
      <c r="AA437" s="4">
        <f>=ROUNDDOWN(9.18181818181818,0)</f>
      </c>
      <c r="AB437" s="5">
        <v>11</v>
      </c>
      <c r="AC437" s="2" t="s">
        <v>811</v>
      </c>
      <c r="AD437" s="4">
        <v>80</v>
      </c>
      <c r="AE437" s="4">
        <v>140</v>
      </c>
      <c r="AF437" s="6">
        <v>74</v>
      </c>
      <c r="AG437" s="6">
        <v>60</v>
      </c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/>
      <c r="BJ437" s="4">
        <v>39</v>
      </c>
      <c r="BK437" s="8">
        <v>8411.5</v>
      </c>
      <c r="BL437" s="2" t="s">
        <v>1360</v>
      </c>
      <c r="BM437" s="7"/>
      <c r="BN437" s="7"/>
      <c r="BO437" s="4"/>
      <c r="BP437" s="8"/>
      <c r="BQ437" s="4"/>
      <c r="BR437" s="8"/>
      <c r="BS437" s="7"/>
      <c r="BT437" s="7"/>
      <c r="BU437" s="2" t="s">
        <v>645</v>
      </c>
      <c r="BV437" s="2" t="s">
        <v>96</v>
      </c>
      <c r="BW437" s="2" t="s">
        <v>99</v>
      </c>
      <c r="BX437" s="2" t="s">
        <v>99</v>
      </c>
      <c r="BY437" s="2" t="s">
        <v>109</v>
      </c>
      <c r="BZ437" s="2" t="s">
        <v>109</v>
      </c>
      <c r="CA437" s="2" t="s">
        <v>99</v>
      </c>
    </row>
    <row r="438">
      <c r="A438" s="2" t="s">
        <v>2334</v>
      </c>
      <c r="B438" s="2" t="s">
        <v>765</v>
      </c>
      <c r="C438" s="2" t="s">
        <v>89</v>
      </c>
      <c r="D438" s="2" t="s">
        <v>1605</v>
      </c>
      <c r="E438" s="2" t="s">
        <v>1606</v>
      </c>
      <c r="F438" s="2" t="s">
        <v>2330</v>
      </c>
      <c r="G438" s="2" t="s">
        <v>2330</v>
      </c>
      <c r="H438" s="2" t="s">
        <v>2330</v>
      </c>
      <c r="I438" s="2" t="s">
        <v>2331</v>
      </c>
      <c r="J438" s="2" t="s">
        <v>227</v>
      </c>
      <c r="K438" s="2" t="s">
        <v>2048</v>
      </c>
      <c r="L438" s="3">
        <v>217.8</v>
      </c>
      <c r="M438" s="3">
        <v>228.69</v>
      </c>
      <c r="N438" s="3">
        <v>459</v>
      </c>
      <c r="O438" s="2" t="s">
        <v>96</v>
      </c>
      <c r="P438" s="2" t="s">
        <v>97</v>
      </c>
      <c r="Q438" s="2" t="s">
        <v>98</v>
      </c>
      <c r="R438" s="2" t="s">
        <v>99</v>
      </c>
      <c r="S438" s="2" t="s">
        <v>99</v>
      </c>
      <c r="T438" s="2" t="s">
        <v>99</v>
      </c>
      <c r="U438" s="2" t="s">
        <v>100</v>
      </c>
      <c r="V438" s="2" t="s">
        <v>157</v>
      </c>
      <c r="W438" s="2" t="s">
        <v>330</v>
      </c>
      <c r="X438" s="2" t="s">
        <v>362</v>
      </c>
      <c r="Y438" s="2" t="s">
        <v>2335</v>
      </c>
      <c r="Z438" s="4">
        <v>209</v>
      </c>
      <c r="AA438" s="4">
        <f>=ROUNDDOWN(8.03846153846154,0)</f>
      </c>
      <c r="AB438" s="5">
        <v>26</v>
      </c>
      <c r="AC438" s="2" t="s">
        <v>990</v>
      </c>
      <c r="AD438" s="4">
        <v>60</v>
      </c>
      <c r="AE438" s="4">
        <v>553</v>
      </c>
      <c r="AF438" s="6">
        <v>74</v>
      </c>
      <c r="AG438" s="6">
        <v>60</v>
      </c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/>
      <c r="BJ438" s="4">
        <v>107</v>
      </c>
      <c r="BK438" s="8">
        <v>23331.04</v>
      </c>
      <c r="BL438" s="2" t="s">
        <v>2336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96</v>
      </c>
      <c r="BW438" s="2" t="s">
        <v>828</v>
      </c>
      <c r="BX438" s="2" t="s">
        <v>2337</v>
      </c>
      <c r="BY438" s="2" t="s">
        <v>109</v>
      </c>
      <c r="BZ438" s="2" t="s">
        <v>109</v>
      </c>
      <c r="CA438" s="2" t="s">
        <v>99</v>
      </c>
    </row>
    <row r="439">
      <c r="A439" s="2" t="s">
        <v>2338</v>
      </c>
      <c r="B439" s="2" t="s">
        <v>765</v>
      </c>
      <c r="C439" s="2" t="s">
        <v>89</v>
      </c>
      <c r="D439" s="2" t="s">
        <v>1605</v>
      </c>
      <c r="E439" s="2" t="s">
        <v>1606</v>
      </c>
      <c r="F439" s="2" t="s">
        <v>2330</v>
      </c>
      <c r="G439" s="2" t="s">
        <v>2330</v>
      </c>
      <c r="H439" s="2" t="s">
        <v>2330</v>
      </c>
      <c r="I439" s="2" t="s">
        <v>2331</v>
      </c>
      <c r="J439" s="2" t="s">
        <v>227</v>
      </c>
      <c r="K439" s="2" t="s">
        <v>234</v>
      </c>
      <c r="L439" s="3">
        <v>217.8</v>
      </c>
      <c r="M439" s="3">
        <v>228.69</v>
      </c>
      <c r="N439" s="3">
        <v>459</v>
      </c>
      <c r="O439" s="2" t="s">
        <v>96</v>
      </c>
      <c r="P439" s="2" t="s">
        <v>131</v>
      </c>
      <c r="Q439" s="2" t="s">
        <v>98</v>
      </c>
      <c r="R439" s="2" t="s">
        <v>99</v>
      </c>
      <c r="S439" s="2" t="s">
        <v>99</v>
      </c>
      <c r="T439" s="2" t="s">
        <v>99</v>
      </c>
      <c r="U439" s="2" t="s">
        <v>100</v>
      </c>
      <c r="V439" s="2" t="s">
        <v>310</v>
      </c>
      <c r="W439" s="2" t="s">
        <v>330</v>
      </c>
      <c r="X439" s="2" t="s">
        <v>362</v>
      </c>
      <c r="Y439" s="2" t="s">
        <v>1185</v>
      </c>
      <c r="Z439" s="4">
        <v>14</v>
      </c>
      <c r="AA439" s="4">
        <f>=ROUNDDOWN(1.75,0)</f>
      </c>
      <c r="AB439" s="5">
        <v>8</v>
      </c>
      <c r="AC439" s="2" t="s">
        <v>811</v>
      </c>
      <c r="AD439" s="4">
        <v>120</v>
      </c>
      <c r="AE439" s="4">
        <v>220</v>
      </c>
      <c r="AF439" s="6">
        <v>74</v>
      </c>
      <c r="AG439" s="6">
        <v>60</v>
      </c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/>
      <c r="BJ439" s="4">
        <v>25</v>
      </c>
      <c r="BK439" s="8">
        <v>5551.97</v>
      </c>
      <c r="BL439" s="2" t="s">
        <v>1863</v>
      </c>
      <c r="BM439" s="7"/>
      <c r="BN439" s="7"/>
      <c r="BO439" s="4"/>
      <c r="BP439" s="8"/>
      <c r="BQ439" s="4"/>
      <c r="BR439" s="8"/>
      <c r="BS439" s="7"/>
      <c r="BT439" s="7"/>
      <c r="BU439" s="2" t="s">
        <v>1019</v>
      </c>
      <c r="BV439" s="2" t="s">
        <v>96</v>
      </c>
      <c r="BW439" s="2" t="s">
        <v>99</v>
      </c>
      <c r="BX439" s="2" t="s">
        <v>99</v>
      </c>
      <c r="BY439" s="2" t="s">
        <v>109</v>
      </c>
      <c r="BZ439" s="2" t="s">
        <v>109</v>
      </c>
      <c r="CA439" s="2" t="s">
        <v>99</v>
      </c>
    </row>
    <row r="440">
      <c r="A440" s="2" t="s">
        <v>2339</v>
      </c>
      <c r="B440" s="2" t="s">
        <v>765</v>
      </c>
      <c r="C440" s="2" t="s">
        <v>89</v>
      </c>
      <c r="D440" s="2" t="s">
        <v>1639</v>
      </c>
      <c r="E440" s="2" t="s">
        <v>1640</v>
      </c>
      <c r="F440" s="2" t="s">
        <v>2330</v>
      </c>
      <c r="G440" s="2" t="s">
        <v>2330</v>
      </c>
      <c r="H440" s="2" t="s">
        <v>2330</v>
      </c>
      <c r="I440" s="2" t="s">
        <v>2340</v>
      </c>
      <c r="J440" s="2" t="s">
        <v>2341</v>
      </c>
      <c r="K440" s="2" t="s">
        <v>2332</v>
      </c>
      <c r="L440" s="3">
        <v>345</v>
      </c>
      <c r="M440" s="3">
        <v>362.25</v>
      </c>
      <c r="N440" s="3">
        <v>729</v>
      </c>
      <c r="O440" s="2" t="s">
        <v>96</v>
      </c>
      <c r="P440" s="2" t="s">
        <v>317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100</v>
      </c>
      <c r="V440" s="2" t="s">
        <v>157</v>
      </c>
      <c r="W440" s="2" t="s">
        <v>330</v>
      </c>
      <c r="X440" s="2" t="s">
        <v>1693</v>
      </c>
      <c r="Y440" s="2" t="s">
        <v>2342</v>
      </c>
      <c r="Z440" s="4">
        <v>159</v>
      </c>
      <c r="AA440" s="4">
        <f>=ROUNDDOWN(58.8888888888889,0)</f>
      </c>
      <c r="AB440" s="5">
        <v>2.7</v>
      </c>
      <c r="AC440" s="2" t="s">
        <v>99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99</v>
      </c>
      <c r="AW440" s="8" t="s">
        <v>99</v>
      </c>
      <c r="AX440" s="4" t="s">
        <v>99</v>
      </c>
      <c r="AY440" s="8" t="s">
        <v>99</v>
      </c>
      <c r="AZ440" s="7" t="s">
        <v>99</v>
      </c>
      <c r="BA440" s="7" t="s">
        <v>99</v>
      </c>
      <c r="BB440" s="7"/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/>
      <c r="BJ440" s="4">
        <v>5</v>
      </c>
      <c r="BK440" s="8">
        <v>1973.36</v>
      </c>
      <c r="BL440" s="2" t="s">
        <v>2343</v>
      </c>
      <c r="BM440" s="7"/>
      <c r="BN440" s="7"/>
      <c r="BO440" s="4"/>
      <c r="BP440" s="8"/>
      <c r="BQ440" s="4"/>
      <c r="BR440" s="8"/>
      <c r="BS440" s="7"/>
      <c r="BT440" s="7"/>
      <c r="BU440" s="2" t="s">
        <v>645</v>
      </c>
      <c r="BV440" s="2" t="s">
        <v>96</v>
      </c>
      <c r="BW440" s="2" t="s">
        <v>99</v>
      </c>
      <c r="BX440" s="2" t="s">
        <v>99</v>
      </c>
      <c r="BY440" s="2" t="s">
        <v>109</v>
      </c>
      <c r="BZ440" s="2" t="s">
        <v>109</v>
      </c>
      <c r="CA440" s="2" t="s">
        <v>99</v>
      </c>
    </row>
    <row r="441">
      <c r="A441" s="2" t="s">
        <v>2344</v>
      </c>
      <c r="B441" s="2" t="s">
        <v>765</v>
      </c>
      <c r="C441" s="2" t="s">
        <v>89</v>
      </c>
      <c r="D441" s="2" t="s">
        <v>1639</v>
      </c>
      <c r="E441" s="2" t="s">
        <v>1640</v>
      </c>
      <c r="F441" s="2" t="s">
        <v>2330</v>
      </c>
      <c r="G441" s="2" t="s">
        <v>2330</v>
      </c>
      <c r="H441" s="2" t="s">
        <v>2330</v>
      </c>
      <c r="I441" s="2" t="s">
        <v>2340</v>
      </c>
      <c r="J441" s="2" t="s">
        <v>2259</v>
      </c>
      <c r="K441" s="2" t="s">
        <v>2332</v>
      </c>
      <c r="L441" s="3">
        <v>370</v>
      </c>
      <c r="M441" s="3">
        <v>388.5</v>
      </c>
      <c r="N441" s="3">
        <v>769</v>
      </c>
      <c r="O441" s="2" t="s">
        <v>96</v>
      </c>
      <c r="P441" s="2" t="s">
        <v>97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100</v>
      </c>
      <c r="V441" s="2" t="s">
        <v>157</v>
      </c>
      <c r="W441" s="2" t="s">
        <v>330</v>
      </c>
      <c r="X441" s="2" t="s">
        <v>1693</v>
      </c>
      <c r="Y441" s="2" t="s">
        <v>1013</v>
      </c>
      <c r="Z441" s="4">
        <v>14</v>
      </c>
      <c r="AA441" s="4">
        <f>=ROUNDDOWN(0.725388601036269,0)</f>
      </c>
      <c r="AB441" s="5">
        <v>19.3</v>
      </c>
      <c r="AC441" s="2" t="s">
        <v>965</v>
      </c>
      <c r="AD441" s="4">
        <v>144</v>
      </c>
      <c r="AE441" s="4">
        <v>444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/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/>
      <c r="BJ441" s="4">
        <v>50</v>
      </c>
      <c r="BK441" s="8">
        <v>19316.46</v>
      </c>
      <c r="BL441" s="2" t="s">
        <v>2345</v>
      </c>
      <c r="BM441" s="7"/>
      <c r="BN441" s="7"/>
      <c r="BO441" s="4"/>
      <c r="BP441" s="8"/>
      <c r="BQ441" s="4"/>
      <c r="BR441" s="8"/>
      <c r="BS441" s="7"/>
      <c r="BT441" s="7"/>
      <c r="BU441" s="2" t="s">
        <v>645</v>
      </c>
      <c r="BV441" s="2" t="s">
        <v>96</v>
      </c>
      <c r="BW441" s="2" t="s">
        <v>99</v>
      </c>
      <c r="BX441" s="2" t="s">
        <v>99</v>
      </c>
      <c r="BY441" s="2" t="s">
        <v>109</v>
      </c>
      <c r="BZ441" s="2" t="s">
        <v>109</v>
      </c>
      <c r="CA441" s="2" t="s">
        <v>99</v>
      </c>
    </row>
    <row r="442">
      <c r="A442" s="2" t="s">
        <v>2346</v>
      </c>
      <c r="B442" s="2" t="s">
        <v>765</v>
      </c>
      <c r="C442" s="2" t="s">
        <v>89</v>
      </c>
      <c r="D442" s="2" t="s">
        <v>1639</v>
      </c>
      <c r="E442" s="2" t="s">
        <v>1640</v>
      </c>
      <c r="F442" s="2" t="s">
        <v>2330</v>
      </c>
      <c r="G442" s="2" t="s">
        <v>2330</v>
      </c>
      <c r="H442" s="2" t="s">
        <v>2330</v>
      </c>
      <c r="I442" s="2" t="s">
        <v>2340</v>
      </c>
      <c r="J442" s="2" t="s">
        <v>923</v>
      </c>
      <c r="K442" s="2" t="s">
        <v>2332</v>
      </c>
      <c r="L442" s="3">
        <v>430</v>
      </c>
      <c r="M442" s="3">
        <v>451.5</v>
      </c>
      <c r="N442" s="3">
        <v>899</v>
      </c>
      <c r="O442" s="2" t="s">
        <v>96</v>
      </c>
      <c r="P442" s="2" t="s">
        <v>131</v>
      </c>
      <c r="Q442" s="2" t="s">
        <v>175</v>
      </c>
      <c r="R442" s="2" t="s">
        <v>99</v>
      </c>
      <c r="S442" s="2" t="s">
        <v>99</v>
      </c>
      <c r="T442" s="2" t="s">
        <v>99</v>
      </c>
      <c r="U442" s="2" t="s">
        <v>100</v>
      </c>
      <c r="V442" s="2" t="s">
        <v>157</v>
      </c>
      <c r="W442" s="2" t="s">
        <v>330</v>
      </c>
      <c r="X442" s="2" t="s">
        <v>1693</v>
      </c>
      <c r="Y442" s="2" t="s">
        <v>2347</v>
      </c>
      <c r="Z442" s="4">
        <v>68</v>
      </c>
      <c r="AA442" s="4">
        <f>=ROUNDDOWN(10.3030303030303,0)</f>
      </c>
      <c r="AB442" s="5">
        <v>6.6</v>
      </c>
      <c r="AC442" s="2" t="s">
        <v>926</v>
      </c>
      <c r="AD442" s="4">
        <v>33</v>
      </c>
      <c r="AE442" s="4">
        <v>100</v>
      </c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 t="s">
        <v>99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>
        <v>37</v>
      </c>
      <c r="BK442" s="8">
        <v>14826.44</v>
      </c>
      <c r="BL442" s="2" t="s">
        <v>1180</v>
      </c>
      <c r="BM442" s="7"/>
      <c r="BN442" s="7"/>
      <c r="BO442" s="4"/>
      <c r="BP442" s="8"/>
      <c r="BQ442" s="4"/>
      <c r="BR442" s="8"/>
      <c r="BS442" s="7"/>
      <c r="BT442" s="7"/>
      <c r="BU442" s="2" t="s">
        <v>645</v>
      </c>
      <c r="BV442" s="2" t="s">
        <v>96</v>
      </c>
      <c r="BW442" s="2" t="s">
        <v>99</v>
      </c>
      <c r="BX442" s="2" t="s">
        <v>99</v>
      </c>
      <c r="BY442" s="2" t="s">
        <v>109</v>
      </c>
      <c r="BZ442" s="2" t="s">
        <v>109</v>
      </c>
      <c r="CA442" s="2" t="s">
        <v>99</v>
      </c>
    </row>
    <row r="443">
      <c r="A443" s="2" t="s">
        <v>2348</v>
      </c>
      <c r="B443" s="2" t="s">
        <v>765</v>
      </c>
      <c r="C443" s="2" t="s">
        <v>89</v>
      </c>
      <c r="D443" s="2" t="s">
        <v>1639</v>
      </c>
      <c r="E443" s="2" t="s">
        <v>1640</v>
      </c>
      <c r="F443" s="2" t="s">
        <v>2330</v>
      </c>
      <c r="G443" s="2" t="s">
        <v>2330</v>
      </c>
      <c r="H443" s="2" t="s">
        <v>2330</v>
      </c>
      <c r="I443" s="2" t="s">
        <v>2340</v>
      </c>
      <c r="J443" s="2" t="s">
        <v>923</v>
      </c>
      <c r="K443" s="2" t="s">
        <v>2332</v>
      </c>
      <c r="L443" s="3">
        <v>430</v>
      </c>
      <c r="M443" s="3">
        <v>451.5</v>
      </c>
      <c r="N443" s="3">
        <v>899</v>
      </c>
      <c r="O443" s="2" t="s">
        <v>96</v>
      </c>
      <c r="P443" s="2" t="s">
        <v>1266</v>
      </c>
      <c r="Q443" s="2" t="s">
        <v>175</v>
      </c>
      <c r="R443" s="2" t="s">
        <v>99</v>
      </c>
      <c r="S443" s="2" t="s">
        <v>99</v>
      </c>
      <c r="T443" s="2" t="s">
        <v>99</v>
      </c>
      <c r="U443" s="2" t="s">
        <v>100</v>
      </c>
      <c r="V443" s="2" t="s">
        <v>157</v>
      </c>
      <c r="W443" s="2" t="s">
        <v>330</v>
      </c>
      <c r="X443" s="2" t="s">
        <v>1693</v>
      </c>
      <c r="Y443" s="2" t="s">
        <v>2349</v>
      </c>
      <c r="Z443" s="4">
        <v>1</v>
      </c>
      <c r="AA443" s="4">
        <f>=ROUNDDOWN(0.142857142857143,0)</f>
      </c>
      <c r="AB443" s="5">
        <v>7</v>
      </c>
      <c r="AC443" s="2" t="s">
        <v>99</v>
      </c>
      <c r="AD443" s="4"/>
      <c r="AE443" s="4"/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99</v>
      </c>
      <c r="AW443" s="8" t="s">
        <v>99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 t="s">
        <v>99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/>
      <c r="BJ443" s="4"/>
      <c r="BK443" s="8"/>
      <c r="BL443" s="2" t="s">
        <v>99</v>
      </c>
      <c r="BM443" s="7"/>
      <c r="BN443" s="7"/>
      <c r="BO443" s="4"/>
      <c r="BP443" s="8"/>
      <c r="BQ443" s="4"/>
      <c r="BR443" s="8"/>
      <c r="BS443" s="7"/>
      <c r="BT443" s="7"/>
      <c r="BU443" s="2" t="s">
        <v>1484</v>
      </c>
      <c r="BV443" s="2" t="s">
        <v>96</v>
      </c>
      <c r="BW443" s="2" t="s">
        <v>99</v>
      </c>
      <c r="BX443" s="2" t="s">
        <v>99</v>
      </c>
      <c r="BY443" s="2" t="s">
        <v>109</v>
      </c>
      <c r="BZ443" s="2" t="s">
        <v>109</v>
      </c>
      <c r="CA443" s="2" t="s">
        <v>99</v>
      </c>
    </row>
    <row r="444">
      <c r="A444" s="2" t="s">
        <v>2350</v>
      </c>
      <c r="B444" s="2" t="s">
        <v>765</v>
      </c>
      <c r="C444" s="2" t="s">
        <v>89</v>
      </c>
      <c r="D444" s="2" t="s">
        <v>1639</v>
      </c>
      <c r="E444" s="2" t="s">
        <v>1640</v>
      </c>
      <c r="F444" s="2" t="s">
        <v>2330</v>
      </c>
      <c r="G444" s="2" t="s">
        <v>2330</v>
      </c>
      <c r="H444" s="2" t="s">
        <v>2330</v>
      </c>
      <c r="I444" s="2" t="s">
        <v>2340</v>
      </c>
      <c r="J444" s="2" t="s">
        <v>2341</v>
      </c>
      <c r="K444" s="2" t="s">
        <v>2048</v>
      </c>
      <c r="L444" s="3">
        <v>345</v>
      </c>
      <c r="M444" s="3">
        <v>362.25</v>
      </c>
      <c r="N444" s="3">
        <v>729</v>
      </c>
      <c r="O444" s="2" t="s">
        <v>96</v>
      </c>
      <c r="P444" s="2" t="s">
        <v>317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99</v>
      </c>
      <c r="V444" s="2" t="s">
        <v>157</v>
      </c>
      <c r="W444" s="2" t="s">
        <v>330</v>
      </c>
      <c r="X444" s="2" t="s">
        <v>1693</v>
      </c>
      <c r="Y444" s="2" t="s">
        <v>2342</v>
      </c>
      <c r="Z444" s="4">
        <v>227</v>
      </c>
      <c r="AA444" s="4">
        <f>=ROUNDDOWN(35.46875,0)</f>
      </c>
      <c r="AB444" s="5">
        <v>6.4</v>
      </c>
      <c r="AC444" s="2" t="s">
        <v>99</v>
      </c>
      <c r="AD444" s="4"/>
      <c r="AE444" s="4"/>
      <c r="AF444" s="6">
        <v>74</v>
      </c>
      <c r="AG444" s="6"/>
      <c r="AH444" s="7">
        <v>0.9231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>
        <v>11</v>
      </c>
      <c r="BK444" s="8">
        <v>4329.76</v>
      </c>
      <c r="BL444" s="2" t="s">
        <v>2051</v>
      </c>
      <c r="BM444" s="7"/>
      <c r="BN444" s="7"/>
      <c r="BO444" s="4"/>
      <c r="BP444" s="8"/>
      <c r="BQ444" s="4"/>
      <c r="BR444" s="8"/>
      <c r="BS444" s="7"/>
      <c r="BT444" s="7"/>
      <c r="BU444" s="2" t="s">
        <v>645</v>
      </c>
      <c r="BV444" s="2" t="s">
        <v>96</v>
      </c>
      <c r="BW444" s="2" t="s">
        <v>99</v>
      </c>
      <c r="BX444" s="2" t="s">
        <v>99</v>
      </c>
      <c r="BY444" s="2" t="s">
        <v>109</v>
      </c>
      <c r="BZ444" s="2" t="s">
        <v>109</v>
      </c>
      <c r="CA444" s="2" t="s">
        <v>99</v>
      </c>
    </row>
    <row r="445">
      <c r="A445" s="2" t="s">
        <v>2351</v>
      </c>
      <c r="B445" s="2" t="s">
        <v>765</v>
      </c>
      <c r="C445" s="2" t="s">
        <v>89</v>
      </c>
      <c r="D445" s="2" t="s">
        <v>1639</v>
      </c>
      <c r="E445" s="2" t="s">
        <v>1640</v>
      </c>
      <c r="F445" s="2" t="s">
        <v>2330</v>
      </c>
      <c r="G445" s="2" t="s">
        <v>2330</v>
      </c>
      <c r="H445" s="2" t="s">
        <v>2330</v>
      </c>
      <c r="I445" s="2" t="s">
        <v>2340</v>
      </c>
      <c r="J445" s="2" t="s">
        <v>2259</v>
      </c>
      <c r="K445" s="2" t="s">
        <v>2048</v>
      </c>
      <c r="L445" s="3">
        <v>370</v>
      </c>
      <c r="M445" s="3">
        <v>388.5</v>
      </c>
      <c r="N445" s="3">
        <v>769</v>
      </c>
      <c r="O445" s="2" t="s">
        <v>96</v>
      </c>
      <c r="P445" s="2" t="s">
        <v>97</v>
      </c>
      <c r="Q445" s="2" t="s">
        <v>98</v>
      </c>
      <c r="R445" s="2" t="s">
        <v>99</v>
      </c>
      <c r="S445" s="2" t="s">
        <v>2352</v>
      </c>
      <c r="T445" s="2" t="s">
        <v>99</v>
      </c>
      <c r="U445" s="2" t="s">
        <v>99</v>
      </c>
      <c r="V445" s="2" t="s">
        <v>157</v>
      </c>
      <c r="W445" s="2" t="s">
        <v>330</v>
      </c>
      <c r="X445" s="2" t="s">
        <v>1693</v>
      </c>
      <c r="Y445" s="2" t="s">
        <v>1934</v>
      </c>
      <c r="Z445" s="4">
        <v>1</v>
      </c>
      <c r="AA445" s="4">
        <f>=ROUNDDOWN(0.0294117647058824,0)</f>
      </c>
      <c r="AB445" s="5">
        <v>34</v>
      </c>
      <c r="AC445" s="2" t="s">
        <v>811</v>
      </c>
      <c r="AD445" s="4">
        <v>179</v>
      </c>
      <c r="AE445" s="4">
        <v>699</v>
      </c>
      <c r="AF445" s="6">
        <v>74</v>
      </c>
      <c r="AG445" s="6">
        <v>60</v>
      </c>
      <c r="AH445" s="7">
        <v>0.3448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>
        <v>139</v>
      </c>
      <c r="BK445" s="8">
        <v>55227.06</v>
      </c>
      <c r="BL445" s="2" t="s">
        <v>2345</v>
      </c>
      <c r="BM445" s="7"/>
      <c r="BN445" s="7"/>
      <c r="BO445" s="4"/>
      <c r="BP445" s="8"/>
      <c r="BQ445" s="4"/>
      <c r="BR445" s="8"/>
      <c r="BS445" s="7"/>
      <c r="BT445" s="7"/>
      <c r="BU445" s="2" t="s">
        <v>645</v>
      </c>
      <c r="BV445" s="2" t="s">
        <v>96</v>
      </c>
      <c r="BW445" s="2" t="s">
        <v>99</v>
      </c>
      <c r="BX445" s="2" t="s">
        <v>99</v>
      </c>
      <c r="BY445" s="2" t="s">
        <v>109</v>
      </c>
      <c r="BZ445" s="2" t="s">
        <v>109</v>
      </c>
      <c r="CA445" s="2" t="s">
        <v>99</v>
      </c>
    </row>
    <row r="446">
      <c r="A446" s="2" t="s">
        <v>2353</v>
      </c>
      <c r="B446" s="2" t="s">
        <v>765</v>
      </c>
      <c r="C446" s="2" t="s">
        <v>89</v>
      </c>
      <c r="D446" s="2" t="s">
        <v>1639</v>
      </c>
      <c r="E446" s="2" t="s">
        <v>1640</v>
      </c>
      <c r="F446" s="2" t="s">
        <v>2330</v>
      </c>
      <c r="G446" s="2" t="s">
        <v>2330</v>
      </c>
      <c r="H446" s="2" t="s">
        <v>2330</v>
      </c>
      <c r="I446" s="2" t="s">
        <v>2340</v>
      </c>
      <c r="J446" s="2" t="s">
        <v>923</v>
      </c>
      <c r="K446" s="2" t="s">
        <v>2048</v>
      </c>
      <c r="L446" s="3">
        <v>430</v>
      </c>
      <c r="M446" s="3">
        <v>451.5</v>
      </c>
      <c r="N446" s="3">
        <v>899</v>
      </c>
      <c r="O446" s="2" t="s">
        <v>96</v>
      </c>
      <c r="P446" s="2" t="s">
        <v>97</v>
      </c>
      <c r="Q446" s="2" t="s">
        <v>175</v>
      </c>
      <c r="R446" s="2" t="s">
        <v>99</v>
      </c>
      <c r="S446" s="2" t="s">
        <v>99</v>
      </c>
      <c r="T446" s="2" t="s">
        <v>99</v>
      </c>
      <c r="U446" s="2" t="s">
        <v>99</v>
      </c>
      <c r="V446" s="2" t="s">
        <v>157</v>
      </c>
      <c r="W446" s="2" t="s">
        <v>330</v>
      </c>
      <c r="X446" s="2" t="s">
        <v>1693</v>
      </c>
      <c r="Y446" s="2" t="s">
        <v>2354</v>
      </c>
      <c r="Z446" s="4">
        <v>138</v>
      </c>
      <c r="AA446" s="4">
        <f>=ROUNDDOWN(10.952380952381,0)</f>
      </c>
      <c r="AB446" s="5">
        <v>12.6</v>
      </c>
      <c r="AC446" s="2" t="s">
        <v>183</v>
      </c>
      <c r="AD446" s="4">
        <v>100</v>
      </c>
      <c r="AE446" s="4">
        <v>100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99</v>
      </c>
      <c r="AW446" s="8" t="s">
        <v>99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>
        <v>122</v>
      </c>
      <c r="BK446" s="8">
        <v>46700.49</v>
      </c>
      <c r="BL446" s="2" t="s">
        <v>2355</v>
      </c>
      <c r="BM446" s="7"/>
      <c r="BN446" s="7"/>
      <c r="BO446" s="4"/>
      <c r="BP446" s="8"/>
      <c r="BQ446" s="4"/>
      <c r="BR446" s="8"/>
      <c r="BS446" s="7"/>
      <c r="BT446" s="7"/>
      <c r="BU446" s="2" t="s">
        <v>645</v>
      </c>
      <c r="BV446" s="2" t="s">
        <v>96</v>
      </c>
      <c r="BW446" s="2" t="s">
        <v>99</v>
      </c>
      <c r="BX446" s="2" t="s">
        <v>99</v>
      </c>
      <c r="BY446" s="2" t="s">
        <v>109</v>
      </c>
      <c r="BZ446" s="2" t="s">
        <v>109</v>
      </c>
      <c r="CA446" s="2" t="s">
        <v>99</v>
      </c>
    </row>
    <row r="447">
      <c r="A447" s="2" t="s">
        <v>2356</v>
      </c>
      <c r="B447" s="2" t="s">
        <v>765</v>
      </c>
      <c r="C447" s="2" t="s">
        <v>89</v>
      </c>
      <c r="D447" s="2" t="s">
        <v>1639</v>
      </c>
      <c r="E447" s="2" t="s">
        <v>1640</v>
      </c>
      <c r="F447" s="2" t="s">
        <v>2330</v>
      </c>
      <c r="G447" s="2" t="s">
        <v>2330</v>
      </c>
      <c r="H447" s="2" t="s">
        <v>2330</v>
      </c>
      <c r="I447" s="2" t="s">
        <v>2340</v>
      </c>
      <c r="J447" s="2" t="s">
        <v>2259</v>
      </c>
      <c r="K447" s="2" t="s">
        <v>234</v>
      </c>
      <c r="L447" s="3">
        <v>370</v>
      </c>
      <c r="M447" s="3">
        <v>388.5</v>
      </c>
      <c r="N447" s="3">
        <v>769</v>
      </c>
      <c r="O447" s="2" t="s">
        <v>96</v>
      </c>
      <c r="P447" s="2" t="s">
        <v>97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100</v>
      </c>
      <c r="V447" s="2" t="s">
        <v>157</v>
      </c>
      <c r="W447" s="2" t="s">
        <v>330</v>
      </c>
      <c r="X447" s="2" t="s">
        <v>362</v>
      </c>
      <c r="Y447" s="2" t="s">
        <v>1185</v>
      </c>
      <c r="Z447" s="4">
        <v>120</v>
      </c>
      <c r="AA447" s="4">
        <f>=ROUNDDOWN(10.9090909090909,0)</f>
      </c>
      <c r="AB447" s="5">
        <v>11</v>
      </c>
      <c r="AC447" s="2" t="s">
        <v>7</v>
      </c>
      <c r="AD447" s="4">
        <v>5</v>
      </c>
      <c r="AE447" s="4">
        <v>155</v>
      </c>
      <c r="AF447" s="6">
        <v>74</v>
      </c>
      <c r="AG447" s="6"/>
      <c r="AH447" s="7">
        <v>0.8621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/>
      <c r="BJ447" s="4">
        <v>34</v>
      </c>
      <c r="BK447" s="8">
        <v>12749.08</v>
      </c>
      <c r="BL447" s="2" t="s">
        <v>2357</v>
      </c>
      <c r="BM447" s="7"/>
      <c r="BN447" s="7"/>
      <c r="BO447" s="4"/>
      <c r="BP447" s="8"/>
      <c r="BQ447" s="4"/>
      <c r="BR447" s="8"/>
      <c r="BS447" s="7"/>
      <c r="BT447" s="7"/>
      <c r="BU447" s="2" t="s">
        <v>1019</v>
      </c>
      <c r="BV447" s="2" t="s">
        <v>96</v>
      </c>
      <c r="BW447" s="2" t="s">
        <v>99</v>
      </c>
      <c r="BX447" s="2" t="s">
        <v>99</v>
      </c>
      <c r="BY447" s="2" t="s">
        <v>109</v>
      </c>
      <c r="BZ447" s="2" t="s">
        <v>109</v>
      </c>
      <c r="CA447" s="2" t="s">
        <v>99</v>
      </c>
    </row>
    <row r="448">
      <c r="A448" s="2" t="s">
        <v>2358</v>
      </c>
      <c r="B448" s="2" t="s">
        <v>765</v>
      </c>
      <c r="C448" s="2" t="s">
        <v>89</v>
      </c>
      <c r="D448" s="2" t="s">
        <v>1639</v>
      </c>
      <c r="E448" s="2" t="s">
        <v>644</v>
      </c>
      <c r="F448" s="2" t="s">
        <v>2359</v>
      </c>
      <c r="G448" s="2" t="s">
        <v>2359</v>
      </c>
      <c r="H448" s="2" t="s">
        <v>2359</v>
      </c>
      <c r="I448" s="2" t="s">
        <v>99</v>
      </c>
      <c r="J448" s="2" t="s">
        <v>2360</v>
      </c>
      <c r="K448" s="2" t="s">
        <v>118</v>
      </c>
      <c r="L448" s="3">
        <v>180.71</v>
      </c>
      <c r="M448" s="3"/>
      <c r="N448" s="3"/>
      <c r="O448" s="2" t="s">
        <v>2361</v>
      </c>
      <c r="P448" s="2" t="s">
        <v>99</v>
      </c>
      <c r="Q448" s="2" t="s">
        <v>99</v>
      </c>
      <c r="R448" s="2" t="s">
        <v>99</v>
      </c>
      <c r="S448" s="2" t="s">
        <v>99</v>
      </c>
      <c r="T448" s="2" t="s">
        <v>99</v>
      </c>
      <c r="U448" s="2" t="s">
        <v>99</v>
      </c>
      <c r="V448" s="2" t="s">
        <v>99</v>
      </c>
      <c r="W448" s="2" t="s">
        <v>99</v>
      </c>
      <c r="X448" s="2" t="s">
        <v>99</v>
      </c>
      <c r="Y448" s="2" t="s">
        <v>99</v>
      </c>
      <c r="Z448" s="4"/>
      <c r="AA448" s="4">
        <f>=ROUNDDOWN({0},0)</f>
      </c>
      <c r="AB448" s="5"/>
      <c r="AC448" s="2" t="s">
        <v>99</v>
      </c>
      <c r="AD448" s="4"/>
      <c r="AE448" s="4"/>
      <c r="AF448" s="6"/>
      <c r="AG448" s="6"/>
      <c r="AH448" s="7"/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/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/>
      <c r="BJ448" s="4"/>
      <c r="BK448" s="8"/>
      <c r="BL448" s="2" t="s">
        <v>99</v>
      </c>
      <c r="BM448" s="7"/>
      <c r="BN448" s="7"/>
      <c r="BO448" s="4"/>
      <c r="BP448" s="8"/>
      <c r="BQ448" s="4"/>
      <c r="BR448" s="8"/>
      <c r="BS448" s="7"/>
      <c r="BT448" s="7"/>
      <c r="BU448" s="2" t="s">
        <v>99</v>
      </c>
      <c r="BV448" s="2" t="s">
        <v>99</v>
      </c>
      <c r="BW448" s="2" t="s">
        <v>99</v>
      </c>
      <c r="BX448" s="2" t="s">
        <v>99</v>
      </c>
      <c r="BY448" s="2" t="s">
        <v>99</v>
      </c>
      <c r="BZ448" s="2" t="s">
        <v>99</v>
      </c>
      <c r="CA448" s="2" t="s">
        <v>99</v>
      </c>
    </row>
    <row r="449">
      <c r="A449" s="2" t="s">
        <v>2362</v>
      </c>
      <c r="B449" s="2" t="s">
        <v>765</v>
      </c>
      <c r="C449" s="2" t="s">
        <v>89</v>
      </c>
      <c r="D449" s="2" t="s">
        <v>1639</v>
      </c>
      <c r="E449" s="2" t="s">
        <v>644</v>
      </c>
      <c r="F449" s="2" t="s">
        <v>2359</v>
      </c>
      <c r="G449" s="2" t="s">
        <v>2359</v>
      </c>
      <c r="H449" s="2" t="s">
        <v>2359</v>
      </c>
      <c r="I449" s="2" t="s">
        <v>99</v>
      </c>
      <c r="J449" s="2" t="s">
        <v>2363</v>
      </c>
      <c r="K449" s="2" t="s">
        <v>118</v>
      </c>
      <c r="L449" s="3">
        <v>81.19</v>
      </c>
      <c r="M449" s="3"/>
      <c r="N449" s="3"/>
      <c r="O449" s="2" t="s">
        <v>2361</v>
      </c>
      <c r="P449" s="2" t="s">
        <v>99</v>
      </c>
      <c r="Q449" s="2" t="s">
        <v>99</v>
      </c>
      <c r="R449" s="2" t="s">
        <v>99</v>
      </c>
      <c r="S449" s="2" t="s">
        <v>99</v>
      </c>
      <c r="T449" s="2" t="s">
        <v>99</v>
      </c>
      <c r="U449" s="2" t="s">
        <v>99</v>
      </c>
      <c r="V449" s="2" t="s">
        <v>99</v>
      </c>
      <c r="W449" s="2" t="s">
        <v>99</v>
      </c>
      <c r="X449" s="2" t="s">
        <v>99</v>
      </c>
      <c r="Y449" s="2" t="s">
        <v>99</v>
      </c>
      <c r="Z449" s="4"/>
      <c r="AA449" s="4">
        <f>=ROUNDDOWN({0},0)</f>
      </c>
      <c r="AB449" s="5"/>
      <c r="AC449" s="2" t="s">
        <v>99</v>
      </c>
      <c r="AD449" s="4"/>
      <c r="AE449" s="4"/>
      <c r="AF449" s="6"/>
      <c r="AG449" s="6"/>
      <c r="AH449" s="7"/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/>
      <c r="BK449" s="8"/>
      <c r="BL449" s="2" t="s">
        <v>99</v>
      </c>
      <c r="BM449" s="7"/>
      <c r="BN449" s="7"/>
      <c r="BO449" s="4"/>
      <c r="BP449" s="8"/>
      <c r="BQ449" s="4"/>
      <c r="BR449" s="8"/>
      <c r="BS449" s="7"/>
      <c r="BT449" s="7"/>
      <c r="BU449" s="2" t="s">
        <v>99</v>
      </c>
      <c r="BV449" s="2" t="s">
        <v>99</v>
      </c>
      <c r="BW449" s="2" t="s">
        <v>99</v>
      </c>
      <c r="BX449" s="2" t="s">
        <v>99</v>
      </c>
      <c r="BY449" s="2" t="s">
        <v>99</v>
      </c>
      <c r="BZ449" s="2" t="s">
        <v>99</v>
      </c>
      <c r="CA449" s="2" t="s">
        <v>99</v>
      </c>
    </row>
    <row r="450">
      <c r="A450" s="2" t="s">
        <v>2364</v>
      </c>
      <c r="B450" s="2" t="s">
        <v>765</v>
      </c>
      <c r="C450" s="2" t="s">
        <v>89</v>
      </c>
      <c r="D450" s="2" t="s">
        <v>1437</v>
      </c>
      <c r="E450" s="2" t="s">
        <v>1438</v>
      </c>
      <c r="F450" s="2" t="s">
        <v>2365</v>
      </c>
      <c r="G450" s="2" t="s">
        <v>99</v>
      </c>
      <c r="H450" s="2" t="s">
        <v>99</v>
      </c>
      <c r="I450" s="2" t="s">
        <v>2366</v>
      </c>
      <c r="J450" s="2" t="s">
        <v>219</v>
      </c>
      <c r="K450" s="2" t="s">
        <v>228</v>
      </c>
      <c r="L450" s="3">
        <v>256.03</v>
      </c>
      <c r="M450" s="3">
        <v>268.83</v>
      </c>
      <c r="N450" s="3">
        <v>529</v>
      </c>
      <c r="O450" s="2" t="s">
        <v>96</v>
      </c>
      <c r="P450" s="2" t="s">
        <v>131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99</v>
      </c>
      <c r="V450" s="2" t="s">
        <v>157</v>
      </c>
      <c r="W450" s="2" t="s">
        <v>330</v>
      </c>
      <c r="X450" s="2" t="s">
        <v>99</v>
      </c>
      <c r="Y450" s="2" t="s">
        <v>686</v>
      </c>
      <c r="Z450" s="4">
        <v>7</v>
      </c>
      <c r="AA450" s="4">
        <f>=ROUNDDOWN(0.777777777777778,0)</f>
      </c>
      <c r="AB450" s="5">
        <v>9</v>
      </c>
      <c r="AC450" s="2" t="s">
        <v>1778</v>
      </c>
      <c r="AD450" s="4">
        <v>100</v>
      </c>
      <c r="AE450" s="4">
        <v>100</v>
      </c>
      <c r="AF450" s="6">
        <v>74</v>
      </c>
      <c r="AG450" s="6">
        <v>60</v>
      </c>
      <c r="AH450" s="7">
        <v>0.7586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6</v>
      </c>
      <c r="BK450" s="8">
        <v>1526.12</v>
      </c>
      <c r="BL450" s="2" t="s">
        <v>751</v>
      </c>
      <c r="BM450" s="7"/>
      <c r="BN450" s="7"/>
      <c r="BO450" s="4"/>
      <c r="BP450" s="8"/>
      <c r="BQ450" s="4"/>
      <c r="BR450" s="8"/>
      <c r="BS450" s="7"/>
      <c r="BT450" s="7"/>
      <c r="BU450" s="2" t="s">
        <v>645</v>
      </c>
      <c r="BV450" s="2" t="s">
        <v>96</v>
      </c>
      <c r="BW450" s="2" t="s">
        <v>99</v>
      </c>
      <c r="BX450" s="2" t="s">
        <v>99</v>
      </c>
      <c r="BY450" s="2" t="s">
        <v>109</v>
      </c>
      <c r="BZ450" s="2" t="s">
        <v>109</v>
      </c>
      <c r="CA450" s="2" t="s">
        <v>99</v>
      </c>
    </row>
    <row r="451">
      <c r="A451" s="2" t="s">
        <v>2367</v>
      </c>
      <c r="B451" s="2" t="s">
        <v>765</v>
      </c>
      <c r="C451" s="2" t="s">
        <v>89</v>
      </c>
      <c r="D451" s="2" t="s">
        <v>1437</v>
      </c>
      <c r="E451" s="2" t="s">
        <v>1438</v>
      </c>
      <c r="F451" s="2" t="s">
        <v>2368</v>
      </c>
      <c r="G451" s="2" t="s">
        <v>2368</v>
      </c>
      <c r="H451" s="2" t="s">
        <v>2368</v>
      </c>
      <c r="I451" s="2" t="s">
        <v>2369</v>
      </c>
      <c r="J451" s="2" t="s">
        <v>219</v>
      </c>
      <c r="K451" s="2" t="s">
        <v>2370</v>
      </c>
      <c r="L451" s="3">
        <v>200.36</v>
      </c>
      <c r="M451" s="3">
        <v>210.38</v>
      </c>
      <c r="N451" s="3">
        <v>419</v>
      </c>
      <c r="O451" s="2" t="s">
        <v>96</v>
      </c>
      <c r="P451" s="2" t="s">
        <v>317</v>
      </c>
      <c r="Q451" s="2" t="s">
        <v>98</v>
      </c>
      <c r="R451" s="2" t="s">
        <v>99</v>
      </c>
      <c r="S451" s="2" t="s">
        <v>2371</v>
      </c>
      <c r="T451" s="2" t="s">
        <v>99</v>
      </c>
      <c r="U451" s="2" t="s">
        <v>99</v>
      </c>
      <c r="V451" s="2" t="s">
        <v>157</v>
      </c>
      <c r="W451" s="2" t="s">
        <v>102</v>
      </c>
      <c r="X451" s="2" t="s">
        <v>99</v>
      </c>
      <c r="Y451" s="2" t="s">
        <v>319</v>
      </c>
      <c r="Z451" s="4">
        <v>122</v>
      </c>
      <c r="AA451" s="4">
        <f>=ROUNDDOWN(40.6666666666667,0)</f>
      </c>
      <c r="AB451" s="5">
        <v>3</v>
      </c>
      <c r="AC451" s="2" t="s">
        <v>99</v>
      </c>
      <c r="AD451" s="4"/>
      <c r="AE451" s="4"/>
      <c r="AF451" s="6">
        <v>74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22</v>
      </c>
      <c r="BK451" s="8">
        <v>4154.31</v>
      </c>
      <c r="BL451" s="2" t="s">
        <v>343</v>
      </c>
      <c r="BM451" s="7"/>
      <c r="BN451" s="7"/>
      <c r="BO451" s="4"/>
      <c r="BP451" s="8"/>
      <c r="BQ451" s="4"/>
      <c r="BR451" s="8"/>
      <c r="BS451" s="7"/>
      <c r="BT451" s="7"/>
      <c r="BU451" s="2" t="s">
        <v>645</v>
      </c>
      <c r="BV451" s="2" t="s">
        <v>96</v>
      </c>
      <c r="BW451" s="2" t="s">
        <v>99</v>
      </c>
      <c r="BX451" s="2" t="s">
        <v>99</v>
      </c>
      <c r="BY451" s="2" t="s">
        <v>109</v>
      </c>
      <c r="BZ451" s="2" t="s">
        <v>109</v>
      </c>
      <c r="CA451" s="2" t="s">
        <v>99</v>
      </c>
    </row>
    <row r="452">
      <c r="A452" s="2" t="s">
        <v>2372</v>
      </c>
      <c r="B452" s="2" t="s">
        <v>765</v>
      </c>
      <c r="C452" s="2" t="s">
        <v>89</v>
      </c>
      <c r="D452" s="2" t="s">
        <v>1437</v>
      </c>
      <c r="E452" s="2" t="s">
        <v>1438</v>
      </c>
      <c r="F452" s="2" t="s">
        <v>2373</v>
      </c>
      <c r="G452" s="2" t="s">
        <v>2373</v>
      </c>
      <c r="H452" s="2" t="s">
        <v>2373</v>
      </c>
      <c r="I452" s="2" t="s">
        <v>2374</v>
      </c>
      <c r="J452" s="2" t="s">
        <v>219</v>
      </c>
      <c r="K452" s="2" t="s">
        <v>274</v>
      </c>
      <c r="L452" s="3">
        <v>214.2</v>
      </c>
      <c r="M452" s="3">
        <v>224.91</v>
      </c>
      <c r="N452" s="3">
        <v>449</v>
      </c>
      <c r="O452" s="2" t="s">
        <v>96</v>
      </c>
      <c r="P452" s="2" t="s">
        <v>135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210</v>
      </c>
      <c r="V452" s="2" t="s">
        <v>157</v>
      </c>
      <c r="W452" s="2" t="s">
        <v>330</v>
      </c>
      <c r="X452" s="2" t="s">
        <v>99</v>
      </c>
      <c r="Y452" s="2" t="s">
        <v>133</v>
      </c>
      <c r="Z452" s="4">
        <v>224</v>
      </c>
      <c r="AA452" s="4">
        <f>=ROUNDDOWN(7.72413793103448,0)</f>
      </c>
      <c r="AB452" s="5">
        <v>29</v>
      </c>
      <c r="AC452" s="2" t="s">
        <v>2167</v>
      </c>
      <c r="AD452" s="4">
        <v>100</v>
      </c>
      <c r="AE452" s="4">
        <v>500</v>
      </c>
      <c r="AF452" s="6">
        <v>74</v>
      </c>
      <c r="AG452" s="6">
        <v>60</v>
      </c>
      <c r="AH452" s="7">
        <v>0.8276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>
        <v>150</v>
      </c>
      <c r="BK452" s="8">
        <v>33785.31</v>
      </c>
      <c r="BL452" s="2" t="s">
        <v>2375</v>
      </c>
      <c r="BM452" s="7"/>
      <c r="BN452" s="7"/>
      <c r="BO452" s="4"/>
      <c r="BP452" s="8"/>
      <c r="BQ452" s="4"/>
      <c r="BR452" s="8"/>
      <c r="BS452" s="7"/>
      <c r="BT452" s="7"/>
      <c r="BU452" s="2" t="s">
        <v>645</v>
      </c>
      <c r="BV452" s="2" t="s">
        <v>96</v>
      </c>
      <c r="BW452" s="2" t="s">
        <v>99</v>
      </c>
      <c r="BX452" s="2" t="s">
        <v>99</v>
      </c>
      <c r="BY452" s="2" t="s">
        <v>109</v>
      </c>
      <c r="BZ452" s="2" t="s">
        <v>109</v>
      </c>
      <c r="CA452" s="2" t="s">
        <v>99</v>
      </c>
    </row>
    <row r="453">
      <c r="A453" s="2" t="s">
        <v>2376</v>
      </c>
      <c r="B453" s="2" t="s">
        <v>765</v>
      </c>
      <c r="C453" s="2" t="s">
        <v>89</v>
      </c>
      <c r="D453" s="2" t="s">
        <v>1437</v>
      </c>
      <c r="E453" s="2" t="s">
        <v>1438</v>
      </c>
      <c r="F453" s="2" t="s">
        <v>2373</v>
      </c>
      <c r="G453" s="2" t="s">
        <v>2373</v>
      </c>
      <c r="H453" s="2" t="s">
        <v>2373</v>
      </c>
      <c r="I453" s="2" t="s">
        <v>2374</v>
      </c>
      <c r="J453" s="2" t="s">
        <v>219</v>
      </c>
      <c r="K453" s="2" t="s">
        <v>643</v>
      </c>
      <c r="L453" s="3">
        <v>214.2</v>
      </c>
      <c r="M453" s="3">
        <v>224.91</v>
      </c>
      <c r="N453" s="3">
        <v>449</v>
      </c>
      <c r="O453" s="2" t="s">
        <v>96</v>
      </c>
      <c r="P453" s="2" t="s">
        <v>317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210</v>
      </c>
      <c r="V453" s="2" t="s">
        <v>157</v>
      </c>
      <c r="W453" s="2" t="s">
        <v>330</v>
      </c>
      <c r="X453" s="2" t="s">
        <v>99</v>
      </c>
      <c r="Y453" s="2" t="s">
        <v>2377</v>
      </c>
      <c r="Z453" s="4"/>
      <c r="AA453" s="4">
        <f>=ROUNDDOWN({0},0)</f>
      </c>
      <c r="AB453" s="5">
        <v>11</v>
      </c>
      <c r="AC453" s="2" t="s">
        <v>811</v>
      </c>
      <c r="AD453" s="4">
        <v>100</v>
      </c>
      <c r="AE453" s="4">
        <v>260</v>
      </c>
      <c r="AF453" s="6">
        <v>74</v>
      </c>
      <c r="AG453" s="6">
        <v>60</v>
      </c>
      <c r="AH453" s="7">
        <v>0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/>
      <c r="BJ453" s="4"/>
      <c r="BK453" s="8"/>
      <c r="BL453" s="2" t="s">
        <v>99</v>
      </c>
      <c r="BM453" s="7"/>
      <c r="BN453" s="7"/>
      <c r="BO453" s="4"/>
      <c r="BP453" s="8"/>
      <c r="BQ453" s="4"/>
      <c r="BR453" s="8"/>
      <c r="BS453" s="7"/>
      <c r="BT453" s="7"/>
      <c r="BU453" s="2" t="s">
        <v>645</v>
      </c>
      <c r="BV453" s="2" t="s">
        <v>96</v>
      </c>
      <c r="BW453" s="2" t="s">
        <v>99</v>
      </c>
      <c r="BX453" s="2" t="s">
        <v>99</v>
      </c>
      <c r="BY453" s="2" t="s">
        <v>109</v>
      </c>
      <c r="BZ453" s="2" t="s">
        <v>109</v>
      </c>
      <c r="CA453" s="2" t="s">
        <v>99</v>
      </c>
    </row>
    <row r="454">
      <c r="A454" s="2" t="s">
        <v>2378</v>
      </c>
      <c r="B454" s="2" t="s">
        <v>765</v>
      </c>
      <c r="C454" s="2" t="s">
        <v>89</v>
      </c>
      <c r="D454" s="2" t="s">
        <v>1437</v>
      </c>
      <c r="E454" s="2" t="s">
        <v>1438</v>
      </c>
      <c r="F454" s="2" t="s">
        <v>2373</v>
      </c>
      <c r="G454" s="2" t="s">
        <v>2373</v>
      </c>
      <c r="H454" s="2" t="s">
        <v>2373</v>
      </c>
      <c r="I454" s="2" t="s">
        <v>2374</v>
      </c>
      <c r="J454" s="2" t="s">
        <v>219</v>
      </c>
      <c r="K454" s="2" t="s">
        <v>784</v>
      </c>
      <c r="L454" s="3">
        <v>214.2</v>
      </c>
      <c r="M454" s="3">
        <v>224.91</v>
      </c>
      <c r="N454" s="3">
        <v>449</v>
      </c>
      <c r="O454" s="2" t="s">
        <v>96</v>
      </c>
      <c r="P454" s="2" t="s">
        <v>97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210</v>
      </c>
      <c r="V454" s="2" t="s">
        <v>157</v>
      </c>
      <c r="W454" s="2" t="s">
        <v>330</v>
      </c>
      <c r="X454" s="2" t="s">
        <v>99</v>
      </c>
      <c r="Y454" s="2" t="s">
        <v>2379</v>
      </c>
      <c r="Z454" s="4">
        <v>839</v>
      </c>
      <c r="AA454" s="4">
        <f>=ROUNDDOWN(11.0832232496697,0)</f>
      </c>
      <c r="AB454" s="5">
        <v>75.7</v>
      </c>
      <c r="AC454" s="2" t="s">
        <v>926</v>
      </c>
      <c r="AD454" s="4">
        <v>57</v>
      </c>
      <c r="AE454" s="4">
        <v>652</v>
      </c>
      <c r="AF454" s="6">
        <v>74</v>
      </c>
      <c r="AG454" s="6">
        <v>60</v>
      </c>
      <c r="AH454" s="7">
        <v>0.6552</v>
      </c>
      <c r="AI454" s="4"/>
      <c r="AJ454" s="4">
        <f>=ROUNDDOWN({0},0)</f>
      </c>
      <c r="AK454" s="5"/>
      <c r="AL454" s="2" t="s">
        <v>1898</v>
      </c>
      <c r="AM454" s="4">
        <v>30</v>
      </c>
      <c r="AN454" s="4">
        <v>580</v>
      </c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>
        <v>257</v>
      </c>
      <c r="BK454" s="8">
        <v>55473.88</v>
      </c>
      <c r="BL454" s="2" t="s">
        <v>2380</v>
      </c>
      <c r="BM454" s="7"/>
      <c r="BN454" s="7"/>
      <c r="BO454" s="4"/>
      <c r="BP454" s="8"/>
      <c r="BQ454" s="4"/>
      <c r="BR454" s="8"/>
      <c r="BS454" s="7"/>
      <c r="BT454" s="7"/>
      <c r="BU454" s="2" t="s">
        <v>645</v>
      </c>
      <c r="BV454" s="2" t="s">
        <v>96</v>
      </c>
      <c r="BW454" s="2" t="s">
        <v>99</v>
      </c>
      <c r="BX454" s="2" t="s">
        <v>99</v>
      </c>
      <c r="BY454" s="2" t="s">
        <v>109</v>
      </c>
      <c r="BZ454" s="2" t="s">
        <v>109</v>
      </c>
      <c r="CA454" s="2" t="s">
        <v>99</v>
      </c>
    </row>
    <row r="455">
      <c r="A455" s="2" t="s">
        <v>2381</v>
      </c>
      <c r="B455" s="2" t="s">
        <v>765</v>
      </c>
      <c r="C455" s="2" t="s">
        <v>89</v>
      </c>
      <c r="D455" s="2" t="s">
        <v>1437</v>
      </c>
      <c r="E455" s="2" t="s">
        <v>1438</v>
      </c>
      <c r="F455" s="2" t="s">
        <v>2373</v>
      </c>
      <c r="G455" s="2" t="s">
        <v>2373</v>
      </c>
      <c r="H455" s="2" t="s">
        <v>2373</v>
      </c>
      <c r="I455" s="2" t="s">
        <v>2374</v>
      </c>
      <c r="J455" s="2" t="s">
        <v>219</v>
      </c>
      <c r="K455" s="2" t="s">
        <v>2382</v>
      </c>
      <c r="L455" s="3">
        <v>214.2</v>
      </c>
      <c r="M455" s="3">
        <v>224.91</v>
      </c>
      <c r="N455" s="3">
        <v>449</v>
      </c>
      <c r="O455" s="2" t="s">
        <v>96</v>
      </c>
      <c r="P455" s="2" t="s">
        <v>131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210</v>
      </c>
      <c r="V455" s="2" t="s">
        <v>157</v>
      </c>
      <c r="W455" s="2" t="s">
        <v>330</v>
      </c>
      <c r="X455" s="2" t="s">
        <v>99</v>
      </c>
      <c r="Y455" s="2" t="s">
        <v>2383</v>
      </c>
      <c r="Z455" s="4"/>
      <c r="AA455" s="4">
        <f>=ROUNDDOWN({0},0)</f>
      </c>
      <c r="AB455" s="5">
        <v>21.6</v>
      </c>
      <c r="AC455" s="2" t="s">
        <v>1035</v>
      </c>
      <c r="AD455" s="4">
        <v>44</v>
      </c>
      <c r="AE455" s="4">
        <v>246</v>
      </c>
      <c r="AF455" s="6">
        <v>74</v>
      </c>
      <c r="AG455" s="6">
        <v>60</v>
      </c>
      <c r="AH455" s="7">
        <v>0.2069</v>
      </c>
      <c r="AI455" s="4"/>
      <c r="AJ455" s="4">
        <f>=ROUNDDOWN({0},0)</f>
      </c>
      <c r="AK455" s="5"/>
      <c r="AL455" s="2" t="s">
        <v>1898</v>
      </c>
      <c r="AM455" s="4">
        <v>50</v>
      </c>
      <c r="AN455" s="4">
        <v>214</v>
      </c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>
        <v>32</v>
      </c>
      <c r="BK455" s="8">
        <v>6528.48</v>
      </c>
      <c r="BL455" s="2" t="s">
        <v>343</v>
      </c>
      <c r="BM455" s="7"/>
      <c r="BN455" s="7"/>
      <c r="BO455" s="4"/>
      <c r="BP455" s="8"/>
      <c r="BQ455" s="4"/>
      <c r="BR455" s="8"/>
      <c r="BS455" s="7"/>
      <c r="BT455" s="7"/>
      <c r="BU455" s="2" t="s">
        <v>107</v>
      </c>
      <c r="BV455" s="2" t="s">
        <v>96</v>
      </c>
      <c r="BW455" s="2" t="s">
        <v>2384</v>
      </c>
      <c r="BX455" s="2" t="s">
        <v>2385</v>
      </c>
      <c r="BY455" s="2" t="s">
        <v>109</v>
      </c>
      <c r="BZ455" s="2" t="s">
        <v>109</v>
      </c>
      <c r="CA455" s="2" t="s">
        <v>99</v>
      </c>
    </row>
    <row r="456">
      <c r="A456" s="2" t="s">
        <v>2386</v>
      </c>
      <c r="B456" s="2" t="s">
        <v>765</v>
      </c>
      <c r="C456" s="2" t="s">
        <v>89</v>
      </c>
      <c r="D456" s="2" t="s">
        <v>1437</v>
      </c>
      <c r="E456" s="2" t="s">
        <v>1438</v>
      </c>
      <c r="F456" s="2" t="s">
        <v>2373</v>
      </c>
      <c r="G456" s="2" t="s">
        <v>2373</v>
      </c>
      <c r="H456" s="2" t="s">
        <v>2373</v>
      </c>
      <c r="I456" s="2" t="s">
        <v>2374</v>
      </c>
      <c r="J456" s="2" t="s">
        <v>219</v>
      </c>
      <c r="K456" s="2" t="s">
        <v>95</v>
      </c>
      <c r="L456" s="3">
        <v>214.2</v>
      </c>
      <c r="M456" s="3">
        <v>224.91</v>
      </c>
      <c r="N456" s="3">
        <v>449</v>
      </c>
      <c r="O456" s="2" t="s">
        <v>96</v>
      </c>
      <c r="P456" s="2" t="s">
        <v>317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210</v>
      </c>
      <c r="V456" s="2" t="s">
        <v>157</v>
      </c>
      <c r="W456" s="2" t="s">
        <v>330</v>
      </c>
      <c r="X456" s="2" t="s">
        <v>99</v>
      </c>
      <c r="Y456" s="2" t="s">
        <v>2377</v>
      </c>
      <c r="Z456" s="4">
        <v>7</v>
      </c>
      <c r="AA456" s="4">
        <f>=ROUNDDOWN(0.875,0)</f>
      </c>
      <c r="AB456" s="5">
        <v>8</v>
      </c>
      <c r="AC456" s="2" t="s">
        <v>1017</v>
      </c>
      <c r="AD456" s="4">
        <v>40</v>
      </c>
      <c r="AE456" s="4">
        <v>191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>
        <v>22</v>
      </c>
      <c r="BK456" s="8">
        <v>4437</v>
      </c>
      <c r="BL456" s="2" t="s">
        <v>1873</v>
      </c>
      <c r="BM456" s="7"/>
      <c r="BN456" s="7"/>
      <c r="BO456" s="4"/>
      <c r="BP456" s="8"/>
      <c r="BQ456" s="4"/>
      <c r="BR456" s="8"/>
      <c r="BS456" s="7"/>
      <c r="BT456" s="7"/>
      <c r="BU456" s="2" t="s">
        <v>645</v>
      </c>
      <c r="BV456" s="2" t="s">
        <v>96</v>
      </c>
      <c r="BW456" s="2" t="s">
        <v>99</v>
      </c>
      <c r="BX456" s="2" t="s">
        <v>99</v>
      </c>
      <c r="BY456" s="2" t="s">
        <v>109</v>
      </c>
      <c r="BZ456" s="2" t="s">
        <v>109</v>
      </c>
      <c r="CA456" s="2" t="s">
        <v>99</v>
      </c>
    </row>
    <row r="457">
      <c r="A457" s="2" t="s">
        <v>2387</v>
      </c>
      <c r="B457" s="2" t="s">
        <v>765</v>
      </c>
      <c r="C457" s="2" t="s">
        <v>89</v>
      </c>
      <c r="D457" s="2" t="s">
        <v>1437</v>
      </c>
      <c r="E457" s="2" t="s">
        <v>1438</v>
      </c>
      <c r="F457" s="2" t="s">
        <v>2373</v>
      </c>
      <c r="G457" s="2" t="s">
        <v>2373</v>
      </c>
      <c r="H457" s="2" t="s">
        <v>2373</v>
      </c>
      <c r="I457" s="2" t="s">
        <v>2374</v>
      </c>
      <c r="J457" s="2" t="s">
        <v>219</v>
      </c>
      <c r="K457" s="2" t="s">
        <v>2388</v>
      </c>
      <c r="L457" s="3">
        <v>214.2</v>
      </c>
      <c r="M457" s="3">
        <v>224.91</v>
      </c>
      <c r="N457" s="3">
        <v>449</v>
      </c>
      <c r="O457" s="2" t="s">
        <v>96</v>
      </c>
      <c r="P457" s="2" t="s">
        <v>131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210</v>
      </c>
      <c r="V457" s="2" t="s">
        <v>157</v>
      </c>
      <c r="W457" s="2" t="s">
        <v>330</v>
      </c>
      <c r="X457" s="2" t="s">
        <v>158</v>
      </c>
      <c r="Y457" s="2" t="s">
        <v>2389</v>
      </c>
      <c r="Z457" s="4">
        <v>5</v>
      </c>
      <c r="AA457" s="4">
        <f>=ROUNDDOWN(0.190114068441065,0)</f>
      </c>
      <c r="AB457" s="5">
        <v>26.3</v>
      </c>
      <c r="AC457" s="2" t="s">
        <v>811</v>
      </c>
      <c r="AD457" s="4">
        <v>26</v>
      </c>
      <c r="AE457" s="4">
        <v>234</v>
      </c>
      <c r="AF457" s="6">
        <v>74</v>
      </c>
      <c r="AG457" s="6">
        <v>60</v>
      </c>
      <c r="AH457" s="7">
        <v>0.7241</v>
      </c>
      <c r="AI457" s="4"/>
      <c r="AJ457" s="4">
        <f>=ROUNDDOWN({0},0)</f>
      </c>
      <c r="AK457" s="5"/>
      <c r="AL457" s="2" t="s">
        <v>1898</v>
      </c>
      <c r="AM457" s="4">
        <v>60</v>
      </c>
      <c r="AN457" s="4">
        <v>268</v>
      </c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/>
      <c r="BJ457" s="4">
        <v>105</v>
      </c>
      <c r="BK457" s="8">
        <v>22039.29</v>
      </c>
      <c r="BL457" s="2" t="s">
        <v>1082</v>
      </c>
      <c r="BM457" s="7"/>
      <c r="BN457" s="7"/>
      <c r="BO457" s="4"/>
      <c r="BP457" s="8"/>
      <c r="BQ457" s="4"/>
      <c r="BR457" s="8"/>
      <c r="BS457" s="7"/>
      <c r="BT457" s="7"/>
      <c r="BU457" s="2" t="s">
        <v>645</v>
      </c>
      <c r="BV457" s="2" t="s">
        <v>96</v>
      </c>
      <c r="BW457" s="2" t="s">
        <v>99</v>
      </c>
      <c r="BX457" s="2" t="s">
        <v>99</v>
      </c>
      <c r="BY457" s="2" t="s">
        <v>109</v>
      </c>
      <c r="BZ457" s="2" t="s">
        <v>109</v>
      </c>
      <c r="CA457" s="2" t="s">
        <v>99</v>
      </c>
    </row>
    <row r="458">
      <c r="A458" s="2" t="s">
        <v>2390</v>
      </c>
      <c r="B458" s="2" t="s">
        <v>765</v>
      </c>
      <c r="C458" s="2" t="s">
        <v>89</v>
      </c>
      <c r="D458" s="2" t="s">
        <v>1668</v>
      </c>
      <c r="E458" s="2" t="s">
        <v>1669</v>
      </c>
      <c r="F458" s="2" t="s">
        <v>2391</v>
      </c>
      <c r="G458" s="2" t="s">
        <v>2391</v>
      </c>
      <c r="H458" s="2" t="s">
        <v>2391</v>
      </c>
      <c r="I458" s="2" t="s">
        <v>2392</v>
      </c>
      <c r="J458" s="2" t="s">
        <v>227</v>
      </c>
      <c r="K458" s="2" t="s">
        <v>2332</v>
      </c>
      <c r="L458" s="3">
        <v>218.5</v>
      </c>
      <c r="M458" s="3">
        <v>229.42</v>
      </c>
      <c r="N458" s="3">
        <v>459</v>
      </c>
      <c r="O458" s="2" t="s">
        <v>96</v>
      </c>
      <c r="P458" s="2" t="s">
        <v>131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100</v>
      </c>
      <c r="V458" s="2" t="s">
        <v>157</v>
      </c>
      <c r="W458" s="2" t="s">
        <v>330</v>
      </c>
      <c r="X458" s="2" t="s">
        <v>158</v>
      </c>
      <c r="Y458" s="2" t="s">
        <v>2393</v>
      </c>
      <c r="Z458" s="4">
        <v>65</v>
      </c>
      <c r="AA458" s="4">
        <f>=ROUNDDOWN(5.50847457627119,0)</f>
      </c>
      <c r="AB458" s="5">
        <v>11.8</v>
      </c>
      <c r="AC458" s="2" t="s">
        <v>801</v>
      </c>
      <c r="AD458" s="4">
        <v>150</v>
      </c>
      <c r="AE458" s="4">
        <v>300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29</v>
      </c>
      <c r="BK458" s="8">
        <v>6450.76</v>
      </c>
      <c r="BL458" s="2" t="s">
        <v>2394</v>
      </c>
      <c r="BM458" s="7"/>
      <c r="BN458" s="7"/>
      <c r="BO458" s="4"/>
      <c r="BP458" s="8"/>
      <c r="BQ458" s="4"/>
      <c r="BR458" s="8"/>
      <c r="BS458" s="7"/>
      <c r="BT458" s="7"/>
      <c r="BU458" s="2" t="s">
        <v>645</v>
      </c>
      <c r="BV458" s="2" t="s">
        <v>96</v>
      </c>
      <c r="BW458" s="2" t="s">
        <v>99</v>
      </c>
      <c r="BX458" s="2" t="s">
        <v>99</v>
      </c>
      <c r="BY458" s="2" t="s">
        <v>109</v>
      </c>
      <c r="BZ458" s="2" t="s">
        <v>109</v>
      </c>
      <c r="CA458" s="2" t="s">
        <v>99</v>
      </c>
    </row>
    <row r="459">
      <c r="A459" s="2" t="s">
        <v>2395</v>
      </c>
      <c r="B459" s="2" t="s">
        <v>765</v>
      </c>
      <c r="C459" s="2" t="s">
        <v>89</v>
      </c>
      <c r="D459" s="2" t="s">
        <v>2396</v>
      </c>
      <c r="E459" s="2" t="s">
        <v>2397</v>
      </c>
      <c r="F459" s="2" t="s">
        <v>2398</v>
      </c>
      <c r="G459" s="2" t="s">
        <v>2398</v>
      </c>
      <c r="H459" s="2" t="s">
        <v>2398</v>
      </c>
      <c r="I459" s="2" t="s">
        <v>2399</v>
      </c>
      <c r="J459" s="2" t="s">
        <v>227</v>
      </c>
      <c r="K459" s="2" t="s">
        <v>337</v>
      </c>
      <c r="L459" s="3">
        <v>362.09</v>
      </c>
      <c r="M459" s="3">
        <v>380.19</v>
      </c>
      <c r="N459" s="3">
        <v>759</v>
      </c>
      <c r="O459" s="2" t="s">
        <v>96</v>
      </c>
      <c r="P459" s="2" t="s">
        <v>317</v>
      </c>
      <c r="Q459" s="2" t="s">
        <v>98</v>
      </c>
      <c r="R459" s="2" t="s">
        <v>99</v>
      </c>
      <c r="S459" s="2" t="s">
        <v>2400</v>
      </c>
      <c r="T459" s="2" t="s">
        <v>99</v>
      </c>
      <c r="U459" s="2" t="s">
        <v>99</v>
      </c>
      <c r="V459" s="2" t="s">
        <v>157</v>
      </c>
      <c r="W459" s="2" t="s">
        <v>785</v>
      </c>
      <c r="X459" s="2" t="s">
        <v>99</v>
      </c>
      <c r="Y459" s="2" t="s">
        <v>319</v>
      </c>
      <c r="Z459" s="4">
        <v>62</v>
      </c>
      <c r="AA459" s="4">
        <f>=ROUNDDOWN(20.6666666666667,0)</f>
      </c>
      <c r="AB459" s="5">
        <v>3</v>
      </c>
      <c r="AC459" s="2" t="s">
        <v>99</v>
      </c>
      <c r="AD459" s="4"/>
      <c r="AE459" s="4"/>
      <c r="AF459" s="6">
        <v>74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 t="s">
        <v>99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/>
      <c r="BJ459" s="4">
        <v>21</v>
      </c>
      <c r="BK459" s="8">
        <v>6343.65</v>
      </c>
      <c r="BL459" s="2" t="s">
        <v>1291</v>
      </c>
      <c r="BM459" s="7"/>
      <c r="BN459" s="7"/>
      <c r="BO459" s="4"/>
      <c r="BP459" s="8"/>
      <c r="BQ459" s="4"/>
      <c r="BR459" s="8"/>
      <c r="BS459" s="7"/>
      <c r="BT459" s="7"/>
      <c r="BU459" s="2" t="s">
        <v>645</v>
      </c>
      <c r="BV459" s="2" t="s">
        <v>96</v>
      </c>
      <c r="BW459" s="2" t="s">
        <v>99</v>
      </c>
      <c r="BX459" s="2" t="s">
        <v>99</v>
      </c>
      <c r="BY459" s="2" t="s">
        <v>109</v>
      </c>
      <c r="BZ459" s="2" t="s">
        <v>109</v>
      </c>
      <c r="CA459" s="2" t="s">
        <v>99</v>
      </c>
    </row>
    <row r="460">
      <c r="A460" s="2" t="s">
        <v>2401</v>
      </c>
      <c r="B460" s="2" t="s">
        <v>765</v>
      </c>
      <c r="C460" s="2" t="s">
        <v>89</v>
      </c>
      <c r="D460" s="2" t="s">
        <v>2396</v>
      </c>
      <c r="E460" s="2" t="s">
        <v>2397</v>
      </c>
      <c r="F460" s="2" t="s">
        <v>2398</v>
      </c>
      <c r="G460" s="2" t="s">
        <v>2398</v>
      </c>
      <c r="H460" s="2" t="s">
        <v>2398</v>
      </c>
      <c r="I460" s="2" t="s">
        <v>2402</v>
      </c>
      <c r="J460" s="2" t="s">
        <v>227</v>
      </c>
      <c r="K460" s="2" t="s">
        <v>337</v>
      </c>
      <c r="L460" s="3">
        <v>557.51</v>
      </c>
      <c r="M460" s="3">
        <v>585.39</v>
      </c>
      <c r="N460" s="3">
        <v>1199</v>
      </c>
      <c r="O460" s="2" t="s">
        <v>96</v>
      </c>
      <c r="P460" s="2" t="s">
        <v>317</v>
      </c>
      <c r="Q460" s="2" t="s">
        <v>175</v>
      </c>
      <c r="R460" s="2" t="s">
        <v>99</v>
      </c>
      <c r="S460" s="2" t="s">
        <v>2403</v>
      </c>
      <c r="T460" s="2" t="s">
        <v>99</v>
      </c>
      <c r="U460" s="2" t="s">
        <v>99</v>
      </c>
      <c r="V460" s="2" t="s">
        <v>157</v>
      </c>
      <c r="W460" s="2" t="s">
        <v>785</v>
      </c>
      <c r="X460" s="2" t="s">
        <v>99</v>
      </c>
      <c r="Y460" s="2" t="s">
        <v>319</v>
      </c>
      <c r="Z460" s="4">
        <v>33</v>
      </c>
      <c r="AA460" s="4">
        <f>=ROUNDDOWN(13.2,0)</f>
      </c>
      <c r="AB460" s="5">
        <v>2.5</v>
      </c>
      <c r="AC460" s="2" t="s">
        <v>1894</v>
      </c>
      <c r="AD460" s="4">
        <v>50</v>
      </c>
      <c r="AE460" s="4">
        <v>50</v>
      </c>
      <c r="AF460" s="6">
        <v>74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 t="s">
        <v>99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/>
      <c r="BJ460" s="4">
        <v>10</v>
      </c>
      <c r="BK460" s="8">
        <v>4633.34</v>
      </c>
      <c r="BL460" s="2" t="s">
        <v>200</v>
      </c>
      <c r="BM460" s="7"/>
      <c r="BN460" s="7"/>
      <c r="BO460" s="4"/>
      <c r="BP460" s="8"/>
      <c r="BQ460" s="4"/>
      <c r="BR460" s="8"/>
      <c r="BS460" s="7"/>
      <c r="BT460" s="7"/>
      <c r="BU460" s="2" t="s">
        <v>645</v>
      </c>
      <c r="BV460" s="2" t="s">
        <v>96</v>
      </c>
      <c r="BW460" s="2" t="s">
        <v>99</v>
      </c>
      <c r="BX460" s="2" t="s">
        <v>99</v>
      </c>
      <c r="BY460" s="2" t="s">
        <v>109</v>
      </c>
      <c r="BZ460" s="2" t="s">
        <v>109</v>
      </c>
      <c r="CA460" s="2" t="s">
        <v>99</v>
      </c>
    </row>
    <row r="461">
      <c r="A461" s="2" t="s">
        <v>2404</v>
      </c>
      <c r="B461" s="2" t="s">
        <v>765</v>
      </c>
      <c r="C461" s="2" t="s">
        <v>89</v>
      </c>
      <c r="D461" s="2" t="s">
        <v>2396</v>
      </c>
      <c r="E461" s="2" t="s">
        <v>2397</v>
      </c>
      <c r="F461" s="2" t="s">
        <v>2398</v>
      </c>
      <c r="G461" s="2" t="s">
        <v>2398</v>
      </c>
      <c r="H461" s="2" t="s">
        <v>2398</v>
      </c>
      <c r="I461" s="2" t="s">
        <v>2399</v>
      </c>
      <c r="J461" s="2" t="s">
        <v>227</v>
      </c>
      <c r="K461" s="2" t="s">
        <v>2332</v>
      </c>
      <c r="L461" s="3">
        <v>362.09</v>
      </c>
      <c r="M461" s="3">
        <v>380.19</v>
      </c>
      <c r="N461" s="3">
        <v>759</v>
      </c>
      <c r="O461" s="2" t="s">
        <v>96</v>
      </c>
      <c r="P461" s="2" t="s">
        <v>317</v>
      </c>
      <c r="Q461" s="2" t="s">
        <v>98</v>
      </c>
      <c r="R461" s="2" t="s">
        <v>99</v>
      </c>
      <c r="S461" s="2" t="s">
        <v>2400</v>
      </c>
      <c r="T461" s="2" t="s">
        <v>99</v>
      </c>
      <c r="U461" s="2" t="s">
        <v>99</v>
      </c>
      <c r="V461" s="2" t="s">
        <v>157</v>
      </c>
      <c r="W461" s="2" t="s">
        <v>785</v>
      </c>
      <c r="X461" s="2" t="s">
        <v>99</v>
      </c>
      <c r="Y461" s="2" t="s">
        <v>319</v>
      </c>
      <c r="Z461" s="4">
        <v>197</v>
      </c>
      <c r="AA461" s="4">
        <f>=ROUNDDOWN(197,0)</f>
      </c>
      <c r="AB461" s="5">
        <v>1</v>
      </c>
      <c r="AC461" s="2" t="s">
        <v>99</v>
      </c>
      <c r="AD461" s="4"/>
      <c r="AE461" s="4"/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 t="s">
        <v>99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/>
      <c r="BJ461" s="4">
        <v>5</v>
      </c>
      <c r="BK461" s="8">
        <v>1331.57</v>
      </c>
      <c r="BL461" s="2" t="s">
        <v>751</v>
      </c>
      <c r="BM461" s="7"/>
      <c r="BN461" s="7"/>
      <c r="BO461" s="4"/>
      <c r="BP461" s="8"/>
      <c r="BQ461" s="4"/>
      <c r="BR461" s="8"/>
      <c r="BS461" s="7"/>
      <c r="BT461" s="7"/>
      <c r="BU461" s="2" t="s">
        <v>645</v>
      </c>
      <c r="BV461" s="2" t="s">
        <v>96</v>
      </c>
      <c r="BW461" s="2" t="s">
        <v>99</v>
      </c>
      <c r="BX461" s="2" t="s">
        <v>99</v>
      </c>
      <c r="BY461" s="2" t="s">
        <v>109</v>
      </c>
      <c r="BZ461" s="2" t="s">
        <v>109</v>
      </c>
      <c r="CA461" s="2" t="s">
        <v>99</v>
      </c>
    </row>
    <row r="462">
      <c r="A462" s="2" t="s">
        <v>2405</v>
      </c>
      <c r="B462" s="2" t="s">
        <v>765</v>
      </c>
      <c r="C462" s="2" t="s">
        <v>89</v>
      </c>
      <c r="D462" s="2" t="s">
        <v>2396</v>
      </c>
      <c r="E462" s="2" t="s">
        <v>2397</v>
      </c>
      <c r="F462" s="2" t="s">
        <v>2398</v>
      </c>
      <c r="G462" s="2" t="s">
        <v>2398</v>
      </c>
      <c r="H462" s="2" t="s">
        <v>2398</v>
      </c>
      <c r="I462" s="2" t="s">
        <v>2402</v>
      </c>
      <c r="J462" s="2" t="s">
        <v>227</v>
      </c>
      <c r="K462" s="2" t="s">
        <v>2332</v>
      </c>
      <c r="L462" s="3">
        <v>557.51</v>
      </c>
      <c r="M462" s="3">
        <v>585.39</v>
      </c>
      <c r="N462" s="3">
        <v>1199</v>
      </c>
      <c r="O462" s="2" t="s">
        <v>96</v>
      </c>
      <c r="P462" s="2" t="s">
        <v>317</v>
      </c>
      <c r="Q462" s="2" t="s">
        <v>175</v>
      </c>
      <c r="R462" s="2" t="s">
        <v>99</v>
      </c>
      <c r="S462" s="2" t="s">
        <v>2403</v>
      </c>
      <c r="T462" s="2" t="s">
        <v>99</v>
      </c>
      <c r="U462" s="2" t="s">
        <v>99</v>
      </c>
      <c r="V462" s="2" t="s">
        <v>157</v>
      </c>
      <c r="W462" s="2" t="s">
        <v>785</v>
      </c>
      <c r="X462" s="2" t="s">
        <v>99</v>
      </c>
      <c r="Y462" s="2" t="s">
        <v>872</v>
      </c>
      <c r="Z462" s="4">
        <v>238</v>
      </c>
      <c r="AA462" s="4">
        <f>=ROUNDDOWN(238,0)</f>
      </c>
      <c r="AB462" s="5">
        <v>1</v>
      </c>
      <c r="AC462" s="2" t="s">
        <v>99</v>
      </c>
      <c r="AD462" s="4"/>
      <c r="AE462" s="4"/>
      <c r="AF462" s="6">
        <v>74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 t="s">
        <v>99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/>
      <c r="BJ462" s="4">
        <v>5</v>
      </c>
      <c r="BK462" s="8">
        <v>2040.87</v>
      </c>
      <c r="BL462" s="2" t="s">
        <v>200</v>
      </c>
      <c r="BM462" s="7"/>
      <c r="BN462" s="7"/>
      <c r="BO462" s="4"/>
      <c r="BP462" s="8"/>
      <c r="BQ462" s="4"/>
      <c r="BR462" s="8"/>
      <c r="BS462" s="7"/>
      <c r="BT462" s="7"/>
      <c r="BU462" s="2" t="s">
        <v>645</v>
      </c>
      <c r="BV462" s="2" t="s">
        <v>96</v>
      </c>
      <c r="BW462" s="2" t="s">
        <v>99</v>
      </c>
      <c r="BX462" s="2" t="s">
        <v>99</v>
      </c>
      <c r="BY462" s="2" t="s">
        <v>109</v>
      </c>
      <c r="BZ462" s="2" t="s">
        <v>109</v>
      </c>
      <c r="CA462" s="2" t="s">
        <v>99</v>
      </c>
    </row>
    <row r="463">
      <c r="A463" s="2" t="s">
        <v>2406</v>
      </c>
      <c r="B463" s="2" t="s">
        <v>765</v>
      </c>
      <c r="C463" s="2" t="s">
        <v>89</v>
      </c>
      <c r="D463" s="2" t="s">
        <v>2396</v>
      </c>
      <c r="E463" s="2" t="s">
        <v>2397</v>
      </c>
      <c r="F463" s="2" t="s">
        <v>2398</v>
      </c>
      <c r="G463" s="2" t="s">
        <v>2398</v>
      </c>
      <c r="H463" s="2" t="s">
        <v>2398</v>
      </c>
      <c r="I463" s="2" t="s">
        <v>2399</v>
      </c>
      <c r="J463" s="2" t="s">
        <v>227</v>
      </c>
      <c r="K463" s="2" t="s">
        <v>2407</v>
      </c>
      <c r="L463" s="3">
        <v>362.09</v>
      </c>
      <c r="M463" s="3">
        <v>380.19</v>
      </c>
      <c r="N463" s="3">
        <v>759</v>
      </c>
      <c r="O463" s="2" t="s">
        <v>96</v>
      </c>
      <c r="P463" s="2" t="s">
        <v>97</v>
      </c>
      <c r="Q463" s="2" t="s">
        <v>98</v>
      </c>
      <c r="R463" s="2" t="s">
        <v>99</v>
      </c>
      <c r="S463" s="2" t="s">
        <v>2400</v>
      </c>
      <c r="T463" s="2" t="s">
        <v>99</v>
      </c>
      <c r="U463" s="2" t="s">
        <v>99</v>
      </c>
      <c r="V463" s="2" t="s">
        <v>157</v>
      </c>
      <c r="W463" s="2" t="s">
        <v>158</v>
      </c>
      <c r="X463" s="2" t="s">
        <v>99</v>
      </c>
      <c r="Y463" s="2" t="s">
        <v>504</v>
      </c>
      <c r="Z463" s="4">
        <v>77</v>
      </c>
      <c r="AA463" s="4">
        <f>=ROUNDDOWN(2.96153846153846,0)</f>
      </c>
      <c r="AB463" s="5">
        <v>26</v>
      </c>
      <c r="AC463" s="2" t="s">
        <v>105</v>
      </c>
      <c r="AD463" s="4">
        <v>24</v>
      </c>
      <c r="AE463" s="4">
        <v>490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773</v>
      </c>
      <c r="AM463" s="4">
        <v>126</v>
      </c>
      <c r="AN463" s="4">
        <v>252</v>
      </c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/>
      <c r="BJ463" s="4">
        <v>101</v>
      </c>
      <c r="BK463" s="8">
        <v>37361.07</v>
      </c>
      <c r="BL463" s="2" t="s">
        <v>2408</v>
      </c>
      <c r="BM463" s="7"/>
      <c r="BN463" s="7"/>
      <c r="BO463" s="4"/>
      <c r="BP463" s="8"/>
      <c r="BQ463" s="4"/>
      <c r="BR463" s="8"/>
      <c r="BS463" s="7"/>
      <c r="BT463" s="7"/>
      <c r="BU463" s="2" t="s">
        <v>645</v>
      </c>
      <c r="BV463" s="2" t="s">
        <v>96</v>
      </c>
      <c r="BW463" s="2" t="s">
        <v>99</v>
      </c>
      <c r="BX463" s="2" t="s">
        <v>99</v>
      </c>
      <c r="BY463" s="2" t="s">
        <v>109</v>
      </c>
      <c r="BZ463" s="2" t="s">
        <v>109</v>
      </c>
      <c r="CA463" s="2" t="s">
        <v>99</v>
      </c>
    </row>
    <row r="464">
      <c r="A464" s="2" t="s">
        <v>2409</v>
      </c>
      <c r="B464" s="2" t="s">
        <v>765</v>
      </c>
      <c r="C464" s="2" t="s">
        <v>89</v>
      </c>
      <c r="D464" s="2" t="s">
        <v>2396</v>
      </c>
      <c r="E464" s="2" t="s">
        <v>2397</v>
      </c>
      <c r="F464" s="2" t="s">
        <v>2398</v>
      </c>
      <c r="G464" s="2" t="s">
        <v>2398</v>
      </c>
      <c r="H464" s="2" t="s">
        <v>2398</v>
      </c>
      <c r="I464" s="2" t="s">
        <v>2399</v>
      </c>
      <c r="J464" s="2" t="s">
        <v>227</v>
      </c>
      <c r="K464" s="2" t="s">
        <v>264</v>
      </c>
      <c r="L464" s="3">
        <v>362.09</v>
      </c>
      <c r="M464" s="3">
        <v>380.19</v>
      </c>
      <c r="N464" s="3">
        <v>759</v>
      </c>
      <c r="O464" s="2" t="s">
        <v>96</v>
      </c>
      <c r="P464" s="2" t="s">
        <v>317</v>
      </c>
      <c r="Q464" s="2" t="s">
        <v>98</v>
      </c>
      <c r="R464" s="2" t="s">
        <v>99</v>
      </c>
      <c r="S464" s="2" t="s">
        <v>2400</v>
      </c>
      <c r="T464" s="2" t="s">
        <v>99</v>
      </c>
      <c r="U464" s="2" t="s">
        <v>99</v>
      </c>
      <c r="V464" s="2" t="s">
        <v>157</v>
      </c>
      <c r="W464" s="2" t="s">
        <v>785</v>
      </c>
      <c r="X464" s="2" t="s">
        <v>99</v>
      </c>
      <c r="Y464" s="2" t="s">
        <v>2410</v>
      </c>
      <c r="Z464" s="4">
        <v>156</v>
      </c>
      <c r="AA464" s="4">
        <f>=ROUNDDOWN(78,0)</f>
      </c>
      <c r="AB464" s="5">
        <v>2</v>
      </c>
      <c r="AC464" s="2" t="s">
        <v>99</v>
      </c>
      <c r="AD464" s="4"/>
      <c r="AE464" s="4"/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 t="s">
        <v>99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/>
      <c r="BJ464" s="4">
        <v>6</v>
      </c>
      <c r="BK464" s="8">
        <v>2278.11</v>
      </c>
      <c r="BL464" s="2" t="s">
        <v>1066</v>
      </c>
      <c r="BM464" s="7"/>
      <c r="BN464" s="7"/>
      <c r="BO464" s="4"/>
      <c r="BP464" s="8"/>
      <c r="BQ464" s="4"/>
      <c r="BR464" s="8"/>
      <c r="BS464" s="7"/>
      <c r="BT464" s="7"/>
      <c r="BU464" s="2" t="s">
        <v>645</v>
      </c>
      <c r="BV464" s="2" t="s">
        <v>96</v>
      </c>
      <c r="BW464" s="2" t="s">
        <v>99</v>
      </c>
      <c r="BX464" s="2" t="s">
        <v>99</v>
      </c>
      <c r="BY464" s="2" t="s">
        <v>109</v>
      </c>
      <c r="BZ464" s="2" t="s">
        <v>109</v>
      </c>
      <c r="CA464" s="2" t="s">
        <v>99</v>
      </c>
    </row>
    <row r="465">
      <c r="A465" s="2" t="s">
        <v>2411</v>
      </c>
      <c r="B465" s="2" t="s">
        <v>765</v>
      </c>
      <c r="C465" s="2" t="s">
        <v>89</v>
      </c>
      <c r="D465" s="2" t="s">
        <v>2396</v>
      </c>
      <c r="E465" s="2" t="s">
        <v>2397</v>
      </c>
      <c r="F465" s="2" t="s">
        <v>2398</v>
      </c>
      <c r="G465" s="2" t="s">
        <v>2398</v>
      </c>
      <c r="H465" s="2" t="s">
        <v>2398</v>
      </c>
      <c r="I465" s="2" t="s">
        <v>2402</v>
      </c>
      <c r="J465" s="2" t="s">
        <v>227</v>
      </c>
      <c r="K465" s="2" t="s">
        <v>264</v>
      </c>
      <c r="L465" s="3">
        <v>557.51</v>
      </c>
      <c r="M465" s="3">
        <v>585.39</v>
      </c>
      <c r="N465" s="3">
        <v>1199</v>
      </c>
      <c r="O465" s="2" t="s">
        <v>96</v>
      </c>
      <c r="P465" s="2" t="s">
        <v>317</v>
      </c>
      <c r="Q465" s="2" t="s">
        <v>175</v>
      </c>
      <c r="R465" s="2" t="s">
        <v>99</v>
      </c>
      <c r="S465" s="2" t="s">
        <v>2403</v>
      </c>
      <c r="T465" s="2" t="s">
        <v>99</v>
      </c>
      <c r="U465" s="2" t="s">
        <v>99</v>
      </c>
      <c r="V465" s="2" t="s">
        <v>157</v>
      </c>
      <c r="W465" s="2" t="s">
        <v>785</v>
      </c>
      <c r="X465" s="2" t="s">
        <v>99</v>
      </c>
      <c r="Y465" s="2" t="s">
        <v>2412</v>
      </c>
      <c r="Z465" s="4">
        <v>97</v>
      </c>
      <c r="AA465" s="4">
        <f>=ROUNDDOWN(97,0)</f>
      </c>
      <c r="AB465" s="5">
        <v>1</v>
      </c>
      <c r="AC465" s="2" t="s">
        <v>99</v>
      </c>
      <c r="AD465" s="4"/>
      <c r="AE465" s="4"/>
      <c r="AF465" s="6">
        <v>74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 t="s">
        <v>99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/>
      <c r="BJ465" s="4">
        <v>10</v>
      </c>
      <c r="BK465" s="8">
        <v>3833.52</v>
      </c>
      <c r="BL465" s="2" t="s">
        <v>200</v>
      </c>
      <c r="BM465" s="7"/>
      <c r="BN465" s="7"/>
      <c r="BO465" s="4"/>
      <c r="BP465" s="8"/>
      <c r="BQ465" s="4"/>
      <c r="BR465" s="8"/>
      <c r="BS465" s="7"/>
      <c r="BT465" s="7"/>
      <c r="BU465" s="2" t="s">
        <v>645</v>
      </c>
      <c r="BV465" s="2" t="s">
        <v>96</v>
      </c>
      <c r="BW465" s="2" t="s">
        <v>99</v>
      </c>
      <c r="BX465" s="2" t="s">
        <v>99</v>
      </c>
      <c r="BY465" s="2" t="s">
        <v>109</v>
      </c>
      <c r="BZ465" s="2" t="s">
        <v>109</v>
      </c>
      <c r="CA465" s="2" t="s">
        <v>99</v>
      </c>
    </row>
    <row r="466">
      <c r="A466" s="2" t="s">
        <v>2413</v>
      </c>
      <c r="B466" s="2" t="s">
        <v>765</v>
      </c>
      <c r="C466" s="2" t="s">
        <v>89</v>
      </c>
      <c r="D466" s="2" t="s">
        <v>2396</v>
      </c>
      <c r="E466" s="2" t="s">
        <v>644</v>
      </c>
      <c r="F466" s="2" t="s">
        <v>2330</v>
      </c>
      <c r="G466" s="2" t="s">
        <v>2330</v>
      </c>
      <c r="H466" s="2" t="s">
        <v>2330</v>
      </c>
      <c r="I466" s="2" t="s">
        <v>2414</v>
      </c>
      <c r="J466" s="2" t="s">
        <v>227</v>
      </c>
      <c r="K466" s="2" t="s">
        <v>2332</v>
      </c>
      <c r="L466" s="3">
        <v>580</v>
      </c>
      <c r="M466" s="3">
        <v>609</v>
      </c>
      <c r="N466" s="3">
        <v>1199</v>
      </c>
      <c r="O466" s="2" t="s">
        <v>96</v>
      </c>
      <c r="P466" s="2" t="s">
        <v>317</v>
      </c>
      <c r="Q466" s="2" t="s">
        <v>175</v>
      </c>
      <c r="R466" s="2" t="s">
        <v>99</v>
      </c>
      <c r="S466" s="2" t="s">
        <v>99</v>
      </c>
      <c r="T466" s="2" t="s">
        <v>99</v>
      </c>
      <c r="U466" s="2" t="s">
        <v>100</v>
      </c>
      <c r="V466" s="2" t="s">
        <v>644</v>
      </c>
      <c r="W466" s="2" t="s">
        <v>330</v>
      </c>
      <c r="X466" s="2" t="s">
        <v>2415</v>
      </c>
      <c r="Y466" s="2" t="s">
        <v>2416</v>
      </c>
      <c r="Z466" s="4">
        <v>90</v>
      </c>
      <c r="AA466" s="4">
        <f>=ROUNDDOWN(30,0)</f>
      </c>
      <c r="AB466" s="5">
        <v>3</v>
      </c>
      <c r="AC466" s="2" t="s">
        <v>99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 t="s">
        <v>99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/>
      <c r="BJ466" s="4">
        <v>20</v>
      </c>
      <c r="BK466" s="8">
        <v>9158.13</v>
      </c>
      <c r="BL466" s="2" t="s">
        <v>200</v>
      </c>
      <c r="BM466" s="7"/>
      <c r="BN466" s="7"/>
      <c r="BO466" s="4"/>
      <c r="BP466" s="8"/>
      <c r="BQ466" s="4"/>
      <c r="BR466" s="8"/>
      <c r="BS466" s="7"/>
      <c r="BT466" s="7"/>
      <c r="BU466" s="2" t="s">
        <v>645</v>
      </c>
      <c r="BV466" s="2" t="s">
        <v>96</v>
      </c>
      <c r="BW466" s="2" t="s">
        <v>99</v>
      </c>
      <c r="BX466" s="2" t="s">
        <v>99</v>
      </c>
      <c r="BY466" s="2" t="s">
        <v>109</v>
      </c>
      <c r="BZ466" s="2" t="s">
        <v>109</v>
      </c>
      <c r="CA466" s="2" t="s">
        <v>99</v>
      </c>
    </row>
    <row r="467">
      <c r="A467" s="2" t="s">
        <v>2417</v>
      </c>
      <c r="B467" s="2" t="s">
        <v>765</v>
      </c>
      <c r="C467" s="2" t="s">
        <v>89</v>
      </c>
      <c r="D467" s="2" t="s">
        <v>2396</v>
      </c>
      <c r="E467" s="2" t="s">
        <v>644</v>
      </c>
      <c r="F467" s="2" t="s">
        <v>2330</v>
      </c>
      <c r="G467" s="2" t="s">
        <v>2330</v>
      </c>
      <c r="H467" s="2" t="s">
        <v>2330</v>
      </c>
      <c r="I467" s="2" t="s">
        <v>2418</v>
      </c>
      <c r="J467" s="2" t="s">
        <v>227</v>
      </c>
      <c r="K467" s="2" t="s">
        <v>2332</v>
      </c>
      <c r="L467" s="3">
        <v>450</v>
      </c>
      <c r="M467" s="3">
        <v>472.5</v>
      </c>
      <c r="N467" s="3">
        <v>949</v>
      </c>
      <c r="O467" s="2" t="s">
        <v>96</v>
      </c>
      <c r="P467" s="2" t="s">
        <v>317</v>
      </c>
      <c r="Q467" s="2" t="s">
        <v>98</v>
      </c>
      <c r="R467" s="2" t="s">
        <v>99</v>
      </c>
      <c r="S467" s="2" t="s">
        <v>99</v>
      </c>
      <c r="T467" s="2" t="s">
        <v>99</v>
      </c>
      <c r="U467" s="2" t="s">
        <v>99</v>
      </c>
      <c r="V467" s="2" t="s">
        <v>644</v>
      </c>
      <c r="W467" s="2" t="s">
        <v>330</v>
      </c>
      <c r="X467" s="2" t="s">
        <v>2415</v>
      </c>
      <c r="Y467" s="2" t="s">
        <v>872</v>
      </c>
      <c r="Z467" s="4">
        <v>92</v>
      </c>
      <c r="AA467" s="4">
        <f>=ROUNDDOWN(23.5897435897436,0)</f>
      </c>
      <c r="AB467" s="5">
        <v>3.9</v>
      </c>
      <c r="AC467" s="2" t="s">
        <v>99</v>
      </c>
      <c r="AD467" s="4"/>
      <c r="AE467" s="4"/>
      <c r="AF467" s="6">
        <v>74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99</v>
      </c>
      <c r="AW467" s="8" t="s">
        <v>99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 t="s">
        <v>99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/>
      <c r="BJ467" s="4">
        <v>25</v>
      </c>
      <c r="BK467" s="8">
        <v>11937.25</v>
      </c>
      <c r="BL467" s="2" t="s">
        <v>2419</v>
      </c>
      <c r="BM467" s="7"/>
      <c r="BN467" s="7"/>
      <c r="BO467" s="4"/>
      <c r="BP467" s="8"/>
      <c r="BQ467" s="4"/>
      <c r="BR467" s="8"/>
      <c r="BS467" s="7"/>
      <c r="BT467" s="7"/>
      <c r="BU467" s="2" t="s">
        <v>645</v>
      </c>
      <c r="BV467" s="2" t="s">
        <v>96</v>
      </c>
      <c r="BW467" s="2" t="s">
        <v>99</v>
      </c>
      <c r="BX467" s="2" t="s">
        <v>99</v>
      </c>
      <c r="BY467" s="2" t="s">
        <v>109</v>
      </c>
      <c r="BZ467" s="2" t="s">
        <v>109</v>
      </c>
      <c r="CA467" s="2" t="s">
        <v>99</v>
      </c>
    </row>
    <row r="468">
      <c r="A468" s="2" t="s">
        <v>2420</v>
      </c>
      <c r="B468" s="2" t="s">
        <v>765</v>
      </c>
      <c r="C468" s="2" t="s">
        <v>89</v>
      </c>
      <c r="D468" s="2" t="s">
        <v>2396</v>
      </c>
      <c r="E468" s="2" t="s">
        <v>644</v>
      </c>
      <c r="F468" s="2" t="s">
        <v>2330</v>
      </c>
      <c r="G468" s="2" t="s">
        <v>2330</v>
      </c>
      <c r="H468" s="2" t="s">
        <v>2330</v>
      </c>
      <c r="I468" s="2" t="s">
        <v>2414</v>
      </c>
      <c r="J468" s="2" t="s">
        <v>227</v>
      </c>
      <c r="K468" s="2" t="s">
        <v>2048</v>
      </c>
      <c r="L468" s="3">
        <v>580</v>
      </c>
      <c r="M468" s="3">
        <v>609</v>
      </c>
      <c r="N468" s="3">
        <v>1199</v>
      </c>
      <c r="O468" s="2" t="s">
        <v>96</v>
      </c>
      <c r="P468" s="2" t="s">
        <v>131</v>
      </c>
      <c r="Q468" s="2" t="s">
        <v>175</v>
      </c>
      <c r="R468" s="2" t="s">
        <v>99</v>
      </c>
      <c r="S468" s="2" t="s">
        <v>99</v>
      </c>
      <c r="T468" s="2" t="s">
        <v>99</v>
      </c>
      <c r="U468" s="2" t="s">
        <v>100</v>
      </c>
      <c r="V468" s="2" t="s">
        <v>644</v>
      </c>
      <c r="W468" s="2" t="s">
        <v>330</v>
      </c>
      <c r="X468" s="2" t="s">
        <v>2415</v>
      </c>
      <c r="Y468" s="2" t="s">
        <v>872</v>
      </c>
      <c r="Z468" s="4">
        <v>15</v>
      </c>
      <c r="AA468" s="4">
        <f>=ROUNDDOWN(1.875,0)</f>
      </c>
      <c r="AB468" s="5">
        <v>8</v>
      </c>
      <c r="AC468" s="2" t="s">
        <v>2421</v>
      </c>
      <c r="AD468" s="4">
        <v>28</v>
      </c>
      <c r="AE468" s="4">
        <v>200</v>
      </c>
      <c r="AF468" s="6">
        <v>74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 t="s">
        <v>99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/>
      <c r="BJ468" s="4">
        <v>48</v>
      </c>
      <c r="BK468" s="8">
        <v>30074.98</v>
      </c>
      <c r="BL468" s="2" t="s">
        <v>1180</v>
      </c>
      <c r="BM468" s="7"/>
      <c r="BN468" s="7"/>
      <c r="BO468" s="4"/>
      <c r="BP468" s="8"/>
      <c r="BQ468" s="4"/>
      <c r="BR468" s="8"/>
      <c r="BS468" s="7"/>
      <c r="BT468" s="7"/>
      <c r="BU468" s="2" t="s">
        <v>645</v>
      </c>
      <c r="BV468" s="2" t="s">
        <v>96</v>
      </c>
      <c r="BW468" s="2" t="s">
        <v>99</v>
      </c>
      <c r="BX468" s="2" t="s">
        <v>99</v>
      </c>
      <c r="BY468" s="2" t="s">
        <v>109</v>
      </c>
      <c r="BZ468" s="2" t="s">
        <v>109</v>
      </c>
      <c r="CA468" s="2" t="s">
        <v>99</v>
      </c>
    </row>
    <row r="469">
      <c r="A469" s="2" t="s">
        <v>2422</v>
      </c>
      <c r="B469" s="2" t="s">
        <v>765</v>
      </c>
      <c r="C469" s="2" t="s">
        <v>89</v>
      </c>
      <c r="D469" s="2" t="s">
        <v>2396</v>
      </c>
      <c r="E469" s="2" t="s">
        <v>644</v>
      </c>
      <c r="F469" s="2" t="s">
        <v>2330</v>
      </c>
      <c r="G469" s="2" t="s">
        <v>2330</v>
      </c>
      <c r="H469" s="2" t="s">
        <v>2330</v>
      </c>
      <c r="I469" s="2" t="s">
        <v>2418</v>
      </c>
      <c r="J469" s="2" t="s">
        <v>227</v>
      </c>
      <c r="K469" s="2" t="s">
        <v>2048</v>
      </c>
      <c r="L469" s="3">
        <v>450</v>
      </c>
      <c r="M469" s="3">
        <v>472.5</v>
      </c>
      <c r="N469" s="3">
        <v>949</v>
      </c>
      <c r="O469" s="2" t="s">
        <v>96</v>
      </c>
      <c r="P469" s="2" t="s">
        <v>317</v>
      </c>
      <c r="Q469" s="2" t="s">
        <v>98</v>
      </c>
      <c r="R469" s="2" t="s">
        <v>99</v>
      </c>
      <c r="S469" s="2" t="s">
        <v>99</v>
      </c>
      <c r="T469" s="2" t="s">
        <v>99</v>
      </c>
      <c r="U469" s="2" t="s">
        <v>99</v>
      </c>
      <c r="V469" s="2" t="s">
        <v>644</v>
      </c>
      <c r="W469" s="2" t="s">
        <v>330</v>
      </c>
      <c r="X469" s="2" t="s">
        <v>2415</v>
      </c>
      <c r="Y469" s="2" t="s">
        <v>2423</v>
      </c>
      <c r="Z469" s="4">
        <v>4</v>
      </c>
      <c r="AA469" s="4">
        <f>=ROUNDDOWN(0.285714285714286,0)</f>
      </c>
      <c r="AB469" s="5">
        <v>14</v>
      </c>
      <c r="AC469" s="2" t="s">
        <v>1556</v>
      </c>
      <c r="AD469" s="4">
        <v>100</v>
      </c>
      <c r="AE469" s="4">
        <v>210</v>
      </c>
      <c r="AF469" s="6">
        <v>74</v>
      </c>
      <c r="AG469" s="6">
        <v>60</v>
      </c>
      <c r="AH469" s="7">
        <v>0.931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99</v>
      </c>
      <c r="AW469" s="8" t="s">
        <v>99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 t="s">
        <v>99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/>
      <c r="BJ469" s="4">
        <v>48</v>
      </c>
      <c r="BK469" s="8">
        <v>24721.33</v>
      </c>
      <c r="BL469" s="2" t="s">
        <v>417</v>
      </c>
      <c r="BM469" s="7"/>
      <c r="BN469" s="7"/>
      <c r="BO469" s="4"/>
      <c r="BP469" s="8"/>
      <c r="BQ469" s="4"/>
      <c r="BR469" s="8"/>
      <c r="BS469" s="7"/>
      <c r="BT469" s="7"/>
      <c r="BU469" s="2" t="s">
        <v>645</v>
      </c>
      <c r="BV469" s="2" t="s">
        <v>96</v>
      </c>
      <c r="BW469" s="2" t="s">
        <v>99</v>
      </c>
      <c r="BX469" s="2" t="s">
        <v>99</v>
      </c>
      <c r="BY469" s="2" t="s">
        <v>109</v>
      </c>
      <c r="BZ469" s="2" t="s">
        <v>109</v>
      </c>
      <c r="CA469" s="2" t="s">
        <v>99</v>
      </c>
    </row>
    <row r="470">
      <c r="A470" s="2" t="s">
        <v>2424</v>
      </c>
      <c r="B470" s="2" t="s">
        <v>765</v>
      </c>
      <c r="C470" s="2" t="s">
        <v>89</v>
      </c>
      <c r="D470" s="2" t="s">
        <v>2396</v>
      </c>
      <c r="E470" s="2" t="s">
        <v>644</v>
      </c>
      <c r="F470" s="2" t="s">
        <v>2330</v>
      </c>
      <c r="G470" s="2" t="s">
        <v>2330</v>
      </c>
      <c r="H470" s="2" t="s">
        <v>2330</v>
      </c>
      <c r="I470" s="2" t="s">
        <v>2414</v>
      </c>
      <c r="J470" s="2" t="s">
        <v>227</v>
      </c>
      <c r="K470" s="2" t="s">
        <v>234</v>
      </c>
      <c r="L470" s="3">
        <v>580</v>
      </c>
      <c r="M470" s="3">
        <v>609</v>
      </c>
      <c r="N470" s="3">
        <v>1199</v>
      </c>
      <c r="O470" s="2" t="s">
        <v>96</v>
      </c>
      <c r="P470" s="2" t="s">
        <v>317</v>
      </c>
      <c r="Q470" s="2" t="s">
        <v>175</v>
      </c>
      <c r="R470" s="2" t="s">
        <v>99</v>
      </c>
      <c r="S470" s="2" t="s">
        <v>99</v>
      </c>
      <c r="T470" s="2" t="s">
        <v>99</v>
      </c>
      <c r="U470" s="2" t="s">
        <v>100</v>
      </c>
      <c r="V470" s="2" t="s">
        <v>644</v>
      </c>
      <c r="W470" s="2" t="s">
        <v>330</v>
      </c>
      <c r="X470" s="2" t="s">
        <v>2415</v>
      </c>
      <c r="Y470" s="2" t="s">
        <v>2416</v>
      </c>
      <c r="Z470" s="4">
        <v>45</v>
      </c>
      <c r="AA470" s="4">
        <f>=ROUNDDOWN(45,0)</f>
      </c>
      <c r="AB470" s="5">
        <v>1</v>
      </c>
      <c r="AC470" s="2" t="s">
        <v>99</v>
      </c>
      <c r="AD470" s="4"/>
      <c r="AE470" s="4"/>
      <c r="AF470" s="6">
        <v>74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 t="s">
        <v>99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/>
      <c r="BJ470" s="4">
        <v>6</v>
      </c>
      <c r="BK470" s="8">
        <v>2961.26</v>
      </c>
      <c r="BL470" s="2" t="s">
        <v>1180</v>
      </c>
      <c r="BM470" s="7"/>
      <c r="BN470" s="7"/>
      <c r="BO470" s="4"/>
      <c r="BP470" s="8"/>
      <c r="BQ470" s="4"/>
      <c r="BR470" s="8"/>
      <c r="BS470" s="7"/>
      <c r="BT470" s="7"/>
      <c r="BU470" s="2" t="s">
        <v>645</v>
      </c>
      <c r="BV470" s="2" t="s">
        <v>96</v>
      </c>
      <c r="BW470" s="2" t="s">
        <v>99</v>
      </c>
      <c r="BX470" s="2" t="s">
        <v>99</v>
      </c>
      <c r="BY470" s="2" t="s">
        <v>109</v>
      </c>
      <c r="BZ470" s="2" t="s">
        <v>109</v>
      </c>
      <c r="CA470" s="2" t="s">
        <v>99</v>
      </c>
    </row>
    <row r="471">
      <c r="A471" s="2" t="s">
        <v>2425</v>
      </c>
      <c r="B471" s="2" t="s">
        <v>765</v>
      </c>
      <c r="C471" s="2" t="s">
        <v>89</v>
      </c>
      <c r="D471" s="2" t="s">
        <v>2396</v>
      </c>
      <c r="E471" s="2" t="s">
        <v>644</v>
      </c>
      <c r="F471" s="2" t="s">
        <v>2330</v>
      </c>
      <c r="G471" s="2" t="s">
        <v>2330</v>
      </c>
      <c r="H471" s="2" t="s">
        <v>2330</v>
      </c>
      <c r="I471" s="2" t="s">
        <v>2418</v>
      </c>
      <c r="J471" s="2" t="s">
        <v>227</v>
      </c>
      <c r="K471" s="2" t="s">
        <v>234</v>
      </c>
      <c r="L471" s="3">
        <v>450</v>
      </c>
      <c r="M471" s="3">
        <v>472.5</v>
      </c>
      <c r="N471" s="3">
        <v>949</v>
      </c>
      <c r="O471" s="2" t="s">
        <v>96</v>
      </c>
      <c r="P471" s="2" t="s">
        <v>317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99</v>
      </c>
      <c r="V471" s="2" t="s">
        <v>644</v>
      </c>
      <c r="W471" s="2" t="s">
        <v>330</v>
      </c>
      <c r="X471" s="2" t="s">
        <v>2415</v>
      </c>
      <c r="Y471" s="2" t="s">
        <v>2426</v>
      </c>
      <c r="Z471" s="4">
        <v>30</v>
      </c>
      <c r="AA471" s="4">
        <f>=ROUNDDOWN(10.7142857142857,0)</f>
      </c>
      <c r="AB471" s="5">
        <v>2.8</v>
      </c>
      <c r="AC471" s="2" t="s">
        <v>183</v>
      </c>
      <c r="AD471" s="4">
        <v>50</v>
      </c>
      <c r="AE471" s="4">
        <v>50</v>
      </c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 t="s">
        <v>99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/>
      <c r="BJ471" s="4">
        <v>13</v>
      </c>
      <c r="BK471" s="8">
        <v>6306.72</v>
      </c>
      <c r="BL471" s="2" t="s">
        <v>2427</v>
      </c>
      <c r="BM471" s="7"/>
      <c r="BN471" s="7"/>
      <c r="BO471" s="4"/>
      <c r="BP471" s="8"/>
      <c r="BQ471" s="4"/>
      <c r="BR471" s="8"/>
      <c r="BS471" s="7"/>
      <c r="BT471" s="7"/>
      <c r="BU471" s="2" t="s">
        <v>645</v>
      </c>
      <c r="BV471" s="2" t="s">
        <v>96</v>
      </c>
      <c r="BW471" s="2" t="s">
        <v>99</v>
      </c>
      <c r="BX471" s="2" t="s">
        <v>99</v>
      </c>
      <c r="BY471" s="2" t="s">
        <v>109</v>
      </c>
      <c r="BZ471" s="2" t="s">
        <v>109</v>
      </c>
      <c r="CA471" s="2" t="s">
        <v>99</v>
      </c>
    </row>
    <row r="472">
      <c r="A472" s="2" t="s">
        <v>2428</v>
      </c>
      <c r="B472" s="2" t="s">
        <v>765</v>
      </c>
      <c r="C472" s="2" t="s">
        <v>89</v>
      </c>
      <c r="D472" s="2" t="s">
        <v>1988</v>
      </c>
      <c r="E472" s="2" t="s">
        <v>1536</v>
      </c>
      <c r="F472" s="2" t="s">
        <v>2330</v>
      </c>
      <c r="G472" s="2" t="s">
        <v>2330</v>
      </c>
      <c r="H472" s="2" t="s">
        <v>2330</v>
      </c>
      <c r="I472" s="2" t="s">
        <v>2429</v>
      </c>
      <c r="J472" s="2" t="s">
        <v>227</v>
      </c>
      <c r="K472" s="2" t="s">
        <v>2332</v>
      </c>
      <c r="L472" s="3">
        <v>145</v>
      </c>
      <c r="M472" s="3">
        <v>152.25</v>
      </c>
      <c r="N472" s="3">
        <v>299</v>
      </c>
      <c r="O472" s="2" t="s">
        <v>96</v>
      </c>
      <c r="P472" s="2" t="s">
        <v>317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99</v>
      </c>
      <c r="V472" s="2" t="s">
        <v>644</v>
      </c>
      <c r="W472" s="2" t="s">
        <v>330</v>
      </c>
      <c r="X472" s="2" t="s">
        <v>466</v>
      </c>
      <c r="Y472" s="2" t="s">
        <v>2430</v>
      </c>
      <c r="Z472" s="4">
        <v>407</v>
      </c>
      <c r="AA472" s="4">
        <f>=ROUNDDOWN(40.7,0)</f>
      </c>
      <c r="AB472" s="5">
        <v>10</v>
      </c>
      <c r="AC472" s="2" t="s">
        <v>99</v>
      </c>
      <c r="AD472" s="4"/>
      <c r="AE472" s="4"/>
      <c r="AF472" s="6">
        <v>74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/>
      <c r="BJ472" s="4">
        <v>52</v>
      </c>
      <c r="BK472" s="8">
        <v>6234.7</v>
      </c>
      <c r="BL472" s="2" t="s">
        <v>2431</v>
      </c>
      <c r="BM472" s="7"/>
      <c r="BN472" s="7"/>
      <c r="BO472" s="4"/>
      <c r="BP472" s="8"/>
      <c r="BQ472" s="4"/>
      <c r="BR472" s="8"/>
      <c r="BS472" s="7"/>
      <c r="BT472" s="7"/>
      <c r="BU472" s="2" t="s">
        <v>645</v>
      </c>
      <c r="BV472" s="2" t="s">
        <v>96</v>
      </c>
      <c r="BW472" s="2" t="s">
        <v>99</v>
      </c>
      <c r="BX472" s="2" t="s">
        <v>99</v>
      </c>
      <c r="BY472" s="2" t="s">
        <v>109</v>
      </c>
      <c r="BZ472" s="2" t="s">
        <v>109</v>
      </c>
      <c r="CA472" s="2" t="s">
        <v>99</v>
      </c>
    </row>
    <row r="473">
      <c r="A473" s="2" t="s">
        <v>2432</v>
      </c>
      <c r="B473" s="2" t="s">
        <v>765</v>
      </c>
      <c r="C473" s="2" t="s">
        <v>89</v>
      </c>
      <c r="D473" s="2" t="s">
        <v>1988</v>
      </c>
      <c r="E473" s="2" t="s">
        <v>1536</v>
      </c>
      <c r="F473" s="2" t="s">
        <v>2330</v>
      </c>
      <c r="G473" s="2" t="s">
        <v>2330</v>
      </c>
      <c r="H473" s="2" t="s">
        <v>2330</v>
      </c>
      <c r="I473" s="2" t="s">
        <v>2429</v>
      </c>
      <c r="J473" s="2" t="s">
        <v>227</v>
      </c>
      <c r="K473" s="2" t="s">
        <v>2048</v>
      </c>
      <c r="L473" s="3">
        <v>145</v>
      </c>
      <c r="M473" s="3">
        <v>152.25</v>
      </c>
      <c r="N473" s="3">
        <v>299</v>
      </c>
      <c r="O473" s="2" t="s">
        <v>96</v>
      </c>
      <c r="P473" s="2" t="s">
        <v>317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99</v>
      </c>
      <c r="V473" s="2" t="s">
        <v>644</v>
      </c>
      <c r="W473" s="2" t="s">
        <v>330</v>
      </c>
      <c r="X473" s="2" t="s">
        <v>466</v>
      </c>
      <c r="Y473" s="2" t="s">
        <v>2433</v>
      </c>
      <c r="Z473" s="4">
        <v>539</v>
      </c>
      <c r="AA473" s="4">
        <f>=ROUNDDOWN(25.6666666666667,0)</f>
      </c>
      <c r="AB473" s="5">
        <v>21</v>
      </c>
      <c r="AC473" s="2" t="s">
        <v>99</v>
      </c>
      <c r="AD473" s="4"/>
      <c r="AE473" s="4"/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/>
      <c r="BJ473" s="4">
        <v>159</v>
      </c>
      <c r="BK473" s="8">
        <v>20208.35</v>
      </c>
      <c r="BL473" s="2" t="s">
        <v>2419</v>
      </c>
      <c r="BM473" s="7"/>
      <c r="BN473" s="7"/>
      <c r="BO473" s="4"/>
      <c r="BP473" s="8"/>
      <c r="BQ473" s="4"/>
      <c r="BR473" s="8"/>
      <c r="BS473" s="7"/>
      <c r="BT473" s="7"/>
      <c r="BU473" s="2" t="s">
        <v>645</v>
      </c>
      <c r="BV473" s="2" t="s">
        <v>96</v>
      </c>
      <c r="BW473" s="2" t="s">
        <v>99</v>
      </c>
      <c r="BX473" s="2" t="s">
        <v>99</v>
      </c>
      <c r="BY473" s="2" t="s">
        <v>109</v>
      </c>
      <c r="BZ473" s="2" t="s">
        <v>109</v>
      </c>
      <c r="CA473" s="2" t="s">
        <v>99</v>
      </c>
    </row>
    <row r="474">
      <c r="A474" s="2" t="s">
        <v>2434</v>
      </c>
      <c r="B474" s="2" t="s">
        <v>765</v>
      </c>
      <c r="C474" s="2" t="s">
        <v>89</v>
      </c>
      <c r="D474" s="2" t="s">
        <v>1988</v>
      </c>
      <c r="E474" s="2" t="s">
        <v>1989</v>
      </c>
      <c r="F474" s="2" t="s">
        <v>2330</v>
      </c>
      <c r="G474" s="2" t="s">
        <v>2330</v>
      </c>
      <c r="H474" s="2" t="s">
        <v>2330</v>
      </c>
      <c r="I474" s="2" t="s">
        <v>2435</v>
      </c>
      <c r="J474" s="2" t="s">
        <v>227</v>
      </c>
      <c r="K474" s="2" t="s">
        <v>2332</v>
      </c>
      <c r="L474" s="3">
        <v>109.25</v>
      </c>
      <c r="M474" s="3">
        <v>114.71</v>
      </c>
      <c r="N474" s="3">
        <v>229</v>
      </c>
      <c r="O474" s="2" t="s">
        <v>96</v>
      </c>
      <c r="P474" s="2" t="s">
        <v>135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100</v>
      </c>
      <c r="V474" s="2" t="s">
        <v>157</v>
      </c>
      <c r="W474" s="2" t="s">
        <v>330</v>
      </c>
      <c r="X474" s="2" t="s">
        <v>362</v>
      </c>
      <c r="Y474" s="2" t="s">
        <v>2335</v>
      </c>
      <c r="Z474" s="4">
        <v>862</v>
      </c>
      <c r="AA474" s="4">
        <f>=ROUNDDOWN(8.28846153846154,0)</f>
      </c>
      <c r="AB474" s="5">
        <v>104</v>
      </c>
      <c r="AC474" s="2" t="s">
        <v>990</v>
      </c>
      <c r="AD474" s="4">
        <v>60</v>
      </c>
      <c r="AE474" s="4">
        <v>70</v>
      </c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1765</v>
      </c>
      <c r="AM474" s="4">
        <v>198</v>
      </c>
      <c r="AN474" s="4">
        <v>908</v>
      </c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/>
      <c r="BJ474" s="4">
        <v>266</v>
      </c>
      <c r="BK474" s="8">
        <v>27627.03</v>
      </c>
      <c r="BL474" s="2" t="s">
        <v>2436</v>
      </c>
      <c r="BM474" s="7"/>
      <c r="BN474" s="7"/>
      <c r="BO474" s="4"/>
      <c r="BP474" s="8"/>
      <c r="BQ474" s="4"/>
      <c r="BR474" s="8"/>
      <c r="BS474" s="7"/>
      <c r="BT474" s="7"/>
      <c r="BU474" s="2" t="s">
        <v>645</v>
      </c>
      <c r="BV474" s="2" t="s">
        <v>96</v>
      </c>
      <c r="BW474" s="2" t="s">
        <v>99</v>
      </c>
      <c r="BX474" s="2" t="s">
        <v>99</v>
      </c>
      <c r="BY474" s="2" t="s">
        <v>109</v>
      </c>
      <c r="BZ474" s="2" t="s">
        <v>109</v>
      </c>
      <c r="CA474" s="2" t="s">
        <v>99</v>
      </c>
    </row>
    <row r="475">
      <c r="A475" s="2" t="s">
        <v>2437</v>
      </c>
      <c r="B475" s="2" t="s">
        <v>765</v>
      </c>
      <c r="C475" s="2" t="s">
        <v>89</v>
      </c>
      <c r="D475" s="2" t="s">
        <v>1988</v>
      </c>
      <c r="E475" s="2" t="s">
        <v>1989</v>
      </c>
      <c r="F475" s="2" t="s">
        <v>2330</v>
      </c>
      <c r="G475" s="2" t="s">
        <v>2330</v>
      </c>
      <c r="H475" s="2" t="s">
        <v>2330</v>
      </c>
      <c r="I475" s="2" t="s">
        <v>2435</v>
      </c>
      <c r="J475" s="2" t="s">
        <v>227</v>
      </c>
      <c r="K475" s="2" t="s">
        <v>234</v>
      </c>
      <c r="L475" s="3">
        <v>109.25</v>
      </c>
      <c r="M475" s="3">
        <v>114.71</v>
      </c>
      <c r="N475" s="3">
        <v>229</v>
      </c>
      <c r="O475" s="2" t="s">
        <v>96</v>
      </c>
      <c r="P475" s="2" t="s">
        <v>131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100</v>
      </c>
      <c r="V475" s="2" t="s">
        <v>157</v>
      </c>
      <c r="W475" s="2" t="s">
        <v>330</v>
      </c>
      <c r="X475" s="2" t="s">
        <v>362</v>
      </c>
      <c r="Y475" s="2" t="s">
        <v>1185</v>
      </c>
      <c r="Z475" s="4">
        <v>223</v>
      </c>
      <c r="AA475" s="4">
        <f>=ROUNDDOWN(7.68965517241379,0)</f>
      </c>
      <c r="AB475" s="5">
        <v>29</v>
      </c>
      <c r="AC475" s="2" t="s">
        <v>811</v>
      </c>
      <c r="AD475" s="4">
        <v>66</v>
      </c>
      <c r="AE475" s="4">
        <v>166</v>
      </c>
      <c r="AF475" s="6">
        <v>74</v>
      </c>
      <c r="AG475" s="6">
        <v>60</v>
      </c>
      <c r="AH475" s="7">
        <v>1</v>
      </c>
      <c r="AI475" s="4"/>
      <c r="AJ475" s="4">
        <f>=ROUNDDOWN({0},0)</f>
      </c>
      <c r="AK475" s="5"/>
      <c r="AL475" s="2" t="s">
        <v>411</v>
      </c>
      <c r="AM475" s="4">
        <v>80</v>
      </c>
      <c r="AN475" s="4">
        <v>120</v>
      </c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/>
      <c r="BJ475" s="4">
        <v>90</v>
      </c>
      <c r="BK475" s="8">
        <v>9337.57</v>
      </c>
      <c r="BL475" s="2" t="s">
        <v>2438</v>
      </c>
      <c r="BM475" s="7"/>
      <c r="BN475" s="7"/>
      <c r="BO475" s="4"/>
      <c r="BP475" s="8"/>
      <c r="BQ475" s="4"/>
      <c r="BR475" s="8"/>
      <c r="BS475" s="7"/>
      <c r="BT475" s="7"/>
      <c r="BU475" s="2" t="s">
        <v>645</v>
      </c>
      <c r="BV475" s="2" t="s">
        <v>96</v>
      </c>
      <c r="BW475" s="2" t="s">
        <v>99</v>
      </c>
      <c r="BX475" s="2" t="s">
        <v>99</v>
      </c>
      <c r="BY475" s="2" t="s">
        <v>109</v>
      </c>
      <c r="BZ475" s="2" t="s">
        <v>109</v>
      </c>
      <c r="CA475" s="2" t="s">
        <v>99</v>
      </c>
    </row>
    <row r="476">
      <c r="A476" s="2" t="s">
        <v>2439</v>
      </c>
      <c r="B476" s="2" t="s">
        <v>765</v>
      </c>
      <c r="C476" s="2" t="s">
        <v>89</v>
      </c>
      <c r="D476" s="2" t="s">
        <v>1988</v>
      </c>
      <c r="E476" s="2" t="s">
        <v>1989</v>
      </c>
      <c r="F476" s="2" t="s">
        <v>2398</v>
      </c>
      <c r="G476" s="2" t="s">
        <v>2398</v>
      </c>
      <c r="H476" s="2" t="s">
        <v>2398</v>
      </c>
      <c r="I476" s="2" t="s">
        <v>2440</v>
      </c>
      <c r="J476" s="2" t="s">
        <v>227</v>
      </c>
      <c r="K476" s="2" t="s">
        <v>337</v>
      </c>
      <c r="L476" s="3">
        <v>178.17</v>
      </c>
      <c r="M476" s="3">
        <v>187.08</v>
      </c>
      <c r="N476" s="3">
        <v>379</v>
      </c>
      <c r="O476" s="2" t="s">
        <v>96</v>
      </c>
      <c r="P476" s="2" t="s">
        <v>317</v>
      </c>
      <c r="Q476" s="2" t="s">
        <v>98</v>
      </c>
      <c r="R476" s="2" t="s">
        <v>99</v>
      </c>
      <c r="S476" s="2" t="s">
        <v>2441</v>
      </c>
      <c r="T476" s="2" t="s">
        <v>99</v>
      </c>
      <c r="U476" s="2" t="s">
        <v>99</v>
      </c>
      <c r="V476" s="2" t="s">
        <v>157</v>
      </c>
      <c r="W476" s="2" t="s">
        <v>785</v>
      </c>
      <c r="X476" s="2" t="s">
        <v>99</v>
      </c>
      <c r="Y476" s="2" t="s">
        <v>872</v>
      </c>
      <c r="Z476" s="4">
        <v>50</v>
      </c>
      <c r="AA476" s="4">
        <f>=ROUNDDOWN(25,0)</f>
      </c>
      <c r="AB476" s="5">
        <v>2</v>
      </c>
      <c r="AC476" s="2" t="s">
        <v>99</v>
      </c>
      <c r="AD476" s="4"/>
      <c r="AE476" s="4"/>
      <c r="AF476" s="6">
        <v>74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99</v>
      </c>
      <c r="AW476" s="8" t="s">
        <v>99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 t="s">
        <v>99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/>
      <c r="BJ476" s="4">
        <v>4</v>
      </c>
      <c r="BK476" s="8">
        <v>527.62</v>
      </c>
      <c r="BL476" s="2" t="s">
        <v>200</v>
      </c>
      <c r="BM476" s="7"/>
      <c r="BN476" s="7"/>
      <c r="BO476" s="4"/>
      <c r="BP476" s="8"/>
      <c r="BQ476" s="4"/>
      <c r="BR476" s="8"/>
      <c r="BS476" s="7"/>
      <c r="BT476" s="7"/>
      <c r="BU476" s="2" t="s">
        <v>645</v>
      </c>
      <c r="BV476" s="2" t="s">
        <v>96</v>
      </c>
      <c r="BW476" s="2" t="s">
        <v>99</v>
      </c>
      <c r="BX476" s="2" t="s">
        <v>99</v>
      </c>
      <c r="BY476" s="2" t="s">
        <v>109</v>
      </c>
      <c r="BZ476" s="2" t="s">
        <v>109</v>
      </c>
      <c r="CA476" s="2" t="s">
        <v>99</v>
      </c>
    </row>
    <row r="477">
      <c r="A477" s="2" t="s">
        <v>2442</v>
      </c>
      <c r="B477" s="2" t="s">
        <v>765</v>
      </c>
      <c r="C477" s="2" t="s">
        <v>89</v>
      </c>
      <c r="D477" s="2" t="s">
        <v>1988</v>
      </c>
      <c r="E477" s="2" t="s">
        <v>1989</v>
      </c>
      <c r="F477" s="2" t="s">
        <v>2398</v>
      </c>
      <c r="G477" s="2" t="s">
        <v>2398</v>
      </c>
      <c r="H477" s="2" t="s">
        <v>2398</v>
      </c>
      <c r="I477" s="2" t="s">
        <v>2443</v>
      </c>
      <c r="J477" s="2" t="s">
        <v>227</v>
      </c>
      <c r="K477" s="2" t="s">
        <v>337</v>
      </c>
      <c r="L477" s="3">
        <v>178.17</v>
      </c>
      <c r="M477" s="3">
        <v>187.08</v>
      </c>
      <c r="N477" s="3">
        <v>379</v>
      </c>
      <c r="O477" s="2" t="s">
        <v>96</v>
      </c>
      <c r="P477" s="2" t="s">
        <v>317</v>
      </c>
      <c r="Q477" s="2" t="s">
        <v>98</v>
      </c>
      <c r="R477" s="2" t="s">
        <v>99</v>
      </c>
      <c r="S477" s="2" t="s">
        <v>99</v>
      </c>
      <c r="T477" s="2" t="s">
        <v>99</v>
      </c>
      <c r="U477" s="2" t="s">
        <v>99</v>
      </c>
      <c r="V477" s="2" t="s">
        <v>157</v>
      </c>
      <c r="W477" s="2" t="s">
        <v>785</v>
      </c>
      <c r="X477" s="2" t="s">
        <v>99</v>
      </c>
      <c r="Y477" s="2" t="s">
        <v>319</v>
      </c>
      <c r="Z477" s="4">
        <v>64</v>
      </c>
      <c r="AA477" s="4">
        <f>=ROUNDDOWN(32,0)</f>
      </c>
      <c r="AB477" s="5">
        <v>2</v>
      </c>
      <c r="AC477" s="2" t="s">
        <v>99</v>
      </c>
      <c r="AD477" s="4"/>
      <c r="AE477" s="4"/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 t="s">
        <v>99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/>
      <c r="BJ477" s="4">
        <v>3</v>
      </c>
      <c r="BK477" s="8">
        <v>469.02</v>
      </c>
      <c r="BL477" s="2" t="s">
        <v>751</v>
      </c>
      <c r="BM477" s="7"/>
      <c r="BN477" s="7"/>
      <c r="BO477" s="4"/>
      <c r="BP477" s="8"/>
      <c r="BQ477" s="4"/>
      <c r="BR477" s="8"/>
      <c r="BS477" s="7"/>
      <c r="BT477" s="7"/>
      <c r="BU477" s="2" t="s">
        <v>645</v>
      </c>
      <c r="BV477" s="2" t="s">
        <v>96</v>
      </c>
      <c r="BW477" s="2" t="s">
        <v>99</v>
      </c>
      <c r="BX477" s="2" t="s">
        <v>99</v>
      </c>
      <c r="BY477" s="2" t="s">
        <v>109</v>
      </c>
      <c r="BZ477" s="2" t="s">
        <v>109</v>
      </c>
      <c r="CA477" s="2" t="s">
        <v>99</v>
      </c>
    </row>
    <row r="478">
      <c r="A478" s="2" t="s">
        <v>2444</v>
      </c>
      <c r="B478" s="2" t="s">
        <v>765</v>
      </c>
      <c r="C478" s="2" t="s">
        <v>89</v>
      </c>
      <c r="D478" s="2" t="s">
        <v>1988</v>
      </c>
      <c r="E478" s="2" t="s">
        <v>1989</v>
      </c>
      <c r="F478" s="2" t="s">
        <v>2398</v>
      </c>
      <c r="G478" s="2" t="s">
        <v>2398</v>
      </c>
      <c r="H478" s="2" t="s">
        <v>2398</v>
      </c>
      <c r="I478" s="2" t="s">
        <v>2443</v>
      </c>
      <c r="J478" s="2" t="s">
        <v>227</v>
      </c>
      <c r="K478" s="2" t="s">
        <v>2332</v>
      </c>
      <c r="L478" s="3">
        <v>178.17</v>
      </c>
      <c r="M478" s="3">
        <v>187.08</v>
      </c>
      <c r="N478" s="3">
        <v>379</v>
      </c>
      <c r="O478" s="2" t="s">
        <v>96</v>
      </c>
      <c r="P478" s="2" t="s">
        <v>317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99</v>
      </c>
      <c r="V478" s="2" t="s">
        <v>157</v>
      </c>
      <c r="W478" s="2" t="s">
        <v>785</v>
      </c>
      <c r="X478" s="2" t="s">
        <v>99</v>
      </c>
      <c r="Y478" s="2" t="s">
        <v>319</v>
      </c>
      <c r="Z478" s="4">
        <v>135</v>
      </c>
      <c r="AA478" s="4">
        <f>=ROUNDDOWN(67.5,0)</f>
      </c>
      <c r="AB478" s="5">
        <v>2</v>
      </c>
      <c r="AC478" s="2" t="s">
        <v>99</v>
      </c>
      <c r="AD478" s="4"/>
      <c r="AE478" s="4"/>
      <c r="AF478" s="6">
        <v>74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 t="s">
        <v>99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/>
      <c r="BJ478" s="4">
        <v>7</v>
      </c>
      <c r="BK478" s="8">
        <v>1152.65</v>
      </c>
      <c r="BL478" s="2" t="s">
        <v>1345</v>
      </c>
      <c r="BM478" s="7"/>
      <c r="BN478" s="7"/>
      <c r="BO478" s="4"/>
      <c r="BP478" s="8"/>
      <c r="BQ478" s="4"/>
      <c r="BR478" s="8"/>
      <c r="BS478" s="7"/>
      <c r="BT478" s="7"/>
      <c r="BU478" s="2" t="s">
        <v>645</v>
      </c>
      <c r="BV478" s="2" t="s">
        <v>96</v>
      </c>
      <c r="BW478" s="2" t="s">
        <v>99</v>
      </c>
      <c r="BX478" s="2" t="s">
        <v>99</v>
      </c>
      <c r="BY478" s="2" t="s">
        <v>109</v>
      </c>
      <c r="BZ478" s="2" t="s">
        <v>109</v>
      </c>
      <c r="CA478" s="2" t="s">
        <v>99</v>
      </c>
    </row>
    <row r="479">
      <c r="A479" s="2" t="s">
        <v>2445</v>
      </c>
      <c r="B479" s="2" t="s">
        <v>765</v>
      </c>
      <c r="C479" s="2" t="s">
        <v>89</v>
      </c>
      <c r="D479" s="2" t="s">
        <v>1988</v>
      </c>
      <c r="E479" s="2" t="s">
        <v>1989</v>
      </c>
      <c r="F479" s="2" t="s">
        <v>2398</v>
      </c>
      <c r="G479" s="2" t="s">
        <v>2398</v>
      </c>
      <c r="H479" s="2" t="s">
        <v>2398</v>
      </c>
      <c r="I479" s="2" t="s">
        <v>2440</v>
      </c>
      <c r="J479" s="2" t="s">
        <v>227</v>
      </c>
      <c r="K479" s="2" t="s">
        <v>2332</v>
      </c>
      <c r="L479" s="3">
        <v>178.17</v>
      </c>
      <c r="M479" s="3">
        <v>187.08</v>
      </c>
      <c r="N479" s="3">
        <v>379</v>
      </c>
      <c r="O479" s="2" t="s">
        <v>96</v>
      </c>
      <c r="P479" s="2" t="s">
        <v>317</v>
      </c>
      <c r="Q479" s="2" t="s">
        <v>98</v>
      </c>
      <c r="R479" s="2" t="s">
        <v>99</v>
      </c>
      <c r="S479" s="2" t="s">
        <v>2441</v>
      </c>
      <c r="T479" s="2" t="s">
        <v>99</v>
      </c>
      <c r="U479" s="2" t="s">
        <v>99</v>
      </c>
      <c r="V479" s="2" t="s">
        <v>157</v>
      </c>
      <c r="W479" s="2" t="s">
        <v>785</v>
      </c>
      <c r="X479" s="2" t="s">
        <v>99</v>
      </c>
      <c r="Y479" s="2" t="s">
        <v>872</v>
      </c>
      <c r="Z479" s="4">
        <v>99</v>
      </c>
      <c r="AA479" s="4">
        <f>=ROUNDDOWN(99,0)</f>
      </c>
      <c r="AB479" s="5">
        <v>1</v>
      </c>
      <c r="AC479" s="2" t="s">
        <v>99</v>
      </c>
      <c r="AD479" s="4"/>
      <c r="AE479" s="4"/>
      <c r="AF479" s="6">
        <v>74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99</v>
      </c>
      <c r="AW479" s="8" t="s">
        <v>99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 t="s">
        <v>99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/>
      <c r="BJ479" s="4">
        <v>8</v>
      </c>
      <c r="BK479" s="8">
        <v>1196.58</v>
      </c>
      <c r="BL479" s="2" t="s">
        <v>2446</v>
      </c>
      <c r="BM479" s="7"/>
      <c r="BN479" s="7"/>
      <c r="BO479" s="4"/>
      <c r="BP479" s="8"/>
      <c r="BQ479" s="4"/>
      <c r="BR479" s="8"/>
      <c r="BS479" s="7"/>
      <c r="BT479" s="7"/>
      <c r="BU479" s="2" t="s">
        <v>645</v>
      </c>
      <c r="BV479" s="2" t="s">
        <v>96</v>
      </c>
      <c r="BW479" s="2" t="s">
        <v>99</v>
      </c>
      <c r="BX479" s="2" t="s">
        <v>99</v>
      </c>
      <c r="BY479" s="2" t="s">
        <v>109</v>
      </c>
      <c r="BZ479" s="2" t="s">
        <v>109</v>
      </c>
      <c r="CA479" s="2" t="s">
        <v>99</v>
      </c>
    </row>
    <row r="480">
      <c r="A480" s="2" t="s">
        <v>2447</v>
      </c>
      <c r="B480" s="2" t="s">
        <v>765</v>
      </c>
      <c r="C480" s="2" t="s">
        <v>89</v>
      </c>
      <c r="D480" s="2" t="s">
        <v>1988</v>
      </c>
      <c r="E480" s="2" t="s">
        <v>1989</v>
      </c>
      <c r="F480" s="2" t="s">
        <v>2398</v>
      </c>
      <c r="G480" s="2" t="s">
        <v>2398</v>
      </c>
      <c r="H480" s="2" t="s">
        <v>2398</v>
      </c>
      <c r="I480" s="2" t="s">
        <v>2443</v>
      </c>
      <c r="J480" s="2" t="s">
        <v>227</v>
      </c>
      <c r="K480" s="2" t="s">
        <v>2407</v>
      </c>
      <c r="L480" s="3">
        <v>178.17</v>
      </c>
      <c r="M480" s="3">
        <v>187.08</v>
      </c>
      <c r="N480" s="3">
        <v>379</v>
      </c>
      <c r="O480" s="2" t="s">
        <v>96</v>
      </c>
      <c r="P480" s="2" t="s">
        <v>131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99</v>
      </c>
      <c r="V480" s="2" t="s">
        <v>157</v>
      </c>
      <c r="W480" s="2" t="s">
        <v>158</v>
      </c>
      <c r="X480" s="2" t="s">
        <v>99</v>
      </c>
      <c r="Y480" s="2" t="s">
        <v>688</v>
      </c>
      <c r="Z480" s="4">
        <v>147</v>
      </c>
      <c r="AA480" s="4">
        <f>=ROUNDDOWN(6.39130434782609,0)</f>
      </c>
      <c r="AB480" s="5">
        <v>23</v>
      </c>
      <c r="AC480" s="2" t="s">
        <v>147</v>
      </c>
      <c r="AD480" s="4">
        <v>30</v>
      </c>
      <c r="AE480" s="4">
        <v>100</v>
      </c>
      <c r="AF480" s="6">
        <v>74</v>
      </c>
      <c r="AG480" s="6">
        <v>60</v>
      </c>
      <c r="AH480" s="7">
        <v>0.931</v>
      </c>
      <c r="AI480" s="4"/>
      <c r="AJ480" s="4">
        <f>=ROUNDDOWN({0},0)</f>
      </c>
      <c r="AK480" s="5"/>
      <c r="AL480" s="2" t="s">
        <v>2019</v>
      </c>
      <c r="AM480" s="4">
        <v>60</v>
      </c>
      <c r="AN480" s="4">
        <v>90</v>
      </c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/>
      <c r="BJ480" s="4">
        <v>60</v>
      </c>
      <c r="BK480" s="8">
        <v>10330.58</v>
      </c>
      <c r="BL480" s="2" t="s">
        <v>2448</v>
      </c>
      <c r="BM480" s="7"/>
      <c r="BN480" s="7"/>
      <c r="BO480" s="4"/>
      <c r="BP480" s="8"/>
      <c r="BQ480" s="4"/>
      <c r="BR480" s="8"/>
      <c r="BS480" s="7"/>
      <c r="BT480" s="7"/>
      <c r="BU480" s="2" t="s">
        <v>645</v>
      </c>
      <c r="BV480" s="2" t="s">
        <v>96</v>
      </c>
      <c r="BW480" s="2" t="s">
        <v>99</v>
      </c>
      <c r="BX480" s="2" t="s">
        <v>99</v>
      </c>
      <c r="BY480" s="2" t="s">
        <v>109</v>
      </c>
      <c r="BZ480" s="2" t="s">
        <v>109</v>
      </c>
      <c r="CA480" s="2" t="s">
        <v>99</v>
      </c>
    </row>
    <row r="481">
      <c r="A481" s="2" t="s">
        <v>2449</v>
      </c>
      <c r="B481" s="2" t="s">
        <v>765</v>
      </c>
      <c r="C481" s="2" t="s">
        <v>89</v>
      </c>
      <c r="D481" s="2" t="s">
        <v>1988</v>
      </c>
      <c r="E481" s="2" t="s">
        <v>1989</v>
      </c>
      <c r="F481" s="2" t="s">
        <v>2398</v>
      </c>
      <c r="G481" s="2" t="s">
        <v>2398</v>
      </c>
      <c r="H481" s="2" t="s">
        <v>2398</v>
      </c>
      <c r="I481" s="2" t="s">
        <v>2443</v>
      </c>
      <c r="J481" s="2" t="s">
        <v>227</v>
      </c>
      <c r="K481" s="2" t="s">
        <v>264</v>
      </c>
      <c r="L481" s="3">
        <v>178.17</v>
      </c>
      <c r="M481" s="3">
        <v>187.08</v>
      </c>
      <c r="N481" s="3">
        <v>379</v>
      </c>
      <c r="O481" s="2" t="s">
        <v>96</v>
      </c>
      <c r="P481" s="2" t="s">
        <v>317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99</v>
      </c>
      <c r="V481" s="2" t="s">
        <v>157</v>
      </c>
      <c r="W481" s="2" t="s">
        <v>785</v>
      </c>
      <c r="X481" s="2" t="s">
        <v>99</v>
      </c>
      <c r="Y481" s="2" t="s">
        <v>467</v>
      </c>
      <c r="Z481" s="4">
        <v>85</v>
      </c>
      <c r="AA481" s="4">
        <f>=ROUNDDOWN(26.5625,0)</f>
      </c>
      <c r="AB481" s="5">
        <v>3.2</v>
      </c>
      <c r="AC481" s="2" t="s">
        <v>99</v>
      </c>
      <c r="AD481" s="4"/>
      <c r="AE481" s="4"/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 t="s">
        <v>99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/>
      <c r="BJ481" s="4">
        <v>10</v>
      </c>
      <c r="BK481" s="8">
        <v>1505.81</v>
      </c>
      <c r="BL481" s="2" t="s">
        <v>1066</v>
      </c>
      <c r="BM481" s="7"/>
      <c r="BN481" s="7"/>
      <c r="BO481" s="4"/>
      <c r="BP481" s="8"/>
      <c r="BQ481" s="4"/>
      <c r="BR481" s="8"/>
      <c r="BS481" s="7"/>
      <c r="BT481" s="7"/>
      <c r="BU481" s="2" t="s">
        <v>645</v>
      </c>
      <c r="BV481" s="2" t="s">
        <v>96</v>
      </c>
      <c r="BW481" s="2" t="s">
        <v>99</v>
      </c>
      <c r="BX481" s="2" t="s">
        <v>99</v>
      </c>
      <c r="BY481" s="2" t="s">
        <v>109</v>
      </c>
      <c r="BZ481" s="2" t="s">
        <v>109</v>
      </c>
      <c r="CA481" s="2" t="s">
        <v>99</v>
      </c>
    </row>
    <row r="482">
      <c r="A482" s="2" t="s">
        <v>2450</v>
      </c>
      <c r="B482" s="2" t="s">
        <v>765</v>
      </c>
      <c r="C482" s="2" t="s">
        <v>89</v>
      </c>
      <c r="D482" s="2" t="s">
        <v>1988</v>
      </c>
      <c r="E482" s="2" t="s">
        <v>1989</v>
      </c>
      <c r="F482" s="2" t="s">
        <v>2398</v>
      </c>
      <c r="G482" s="2" t="s">
        <v>2398</v>
      </c>
      <c r="H482" s="2" t="s">
        <v>2398</v>
      </c>
      <c r="I482" s="2" t="s">
        <v>2440</v>
      </c>
      <c r="J482" s="2" t="s">
        <v>227</v>
      </c>
      <c r="K482" s="2" t="s">
        <v>264</v>
      </c>
      <c r="L482" s="3">
        <v>178.17</v>
      </c>
      <c r="M482" s="3">
        <v>187.08</v>
      </c>
      <c r="N482" s="3">
        <v>379</v>
      </c>
      <c r="O482" s="2" t="s">
        <v>96</v>
      </c>
      <c r="P482" s="2" t="s">
        <v>317</v>
      </c>
      <c r="Q482" s="2" t="s">
        <v>98</v>
      </c>
      <c r="R482" s="2" t="s">
        <v>99</v>
      </c>
      <c r="S482" s="2" t="s">
        <v>2441</v>
      </c>
      <c r="T482" s="2" t="s">
        <v>99</v>
      </c>
      <c r="U482" s="2" t="s">
        <v>99</v>
      </c>
      <c r="V482" s="2" t="s">
        <v>157</v>
      </c>
      <c r="W482" s="2" t="s">
        <v>785</v>
      </c>
      <c r="X482" s="2" t="s">
        <v>99</v>
      </c>
      <c r="Y482" s="2" t="s">
        <v>872</v>
      </c>
      <c r="Z482" s="4">
        <v>71</v>
      </c>
      <c r="AA482" s="4">
        <f>=ROUNDDOWN(71,0)</f>
      </c>
      <c r="AB482" s="5">
        <v>1</v>
      </c>
      <c r="AC482" s="2" t="s">
        <v>99</v>
      </c>
      <c r="AD482" s="4"/>
      <c r="AE482" s="4"/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 t="s">
        <v>99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/>
      <c r="BJ482" s="4">
        <v>10</v>
      </c>
      <c r="BK482" s="8">
        <v>1534.48</v>
      </c>
      <c r="BL482" s="2" t="s">
        <v>1501</v>
      </c>
      <c r="BM482" s="7"/>
      <c r="BN482" s="7"/>
      <c r="BO482" s="4"/>
      <c r="BP482" s="8"/>
      <c r="BQ482" s="4"/>
      <c r="BR482" s="8"/>
      <c r="BS482" s="7"/>
      <c r="BT482" s="7"/>
      <c r="BU482" s="2" t="s">
        <v>645</v>
      </c>
      <c r="BV482" s="2" t="s">
        <v>96</v>
      </c>
      <c r="BW482" s="2" t="s">
        <v>99</v>
      </c>
      <c r="BX482" s="2" t="s">
        <v>99</v>
      </c>
      <c r="BY482" s="2" t="s">
        <v>109</v>
      </c>
      <c r="BZ482" s="2" t="s">
        <v>109</v>
      </c>
      <c r="CA482" s="2" t="s">
        <v>99</v>
      </c>
    </row>
    <row r="483">
      <c r="A483" s="2" t="s">
        <v>2451</v>
      </c>
      <c r="B483" s="2" t="s">
        <v>765</v>
      </c>
      <c r="C483" s="2" t="s">
        <v>89</v>
      </c>
      <c r="D483" s="2" t="s">
        <v>1504</v>
      </c>
      <c r="E483" s="2" t="s">
        <v>1505</v>
      </c>
      <c r="F483" s="2" t="s">
        <v>2452</v>
      </c>
      <c r="G483" s="2" t="s">
        <v>2452</v>
      </c>
      <c r="H483" s="2" t="s">
        <v>99</v>
      </c>
      <c r="I483" s="2" t="s">
        <v>1505</v>
      </c>
      <c r="J483" s="2" t="s">
        <v>227</v>
      </c>
      <c r="K483" s="2" t="s">
        <v>2453</v>
      </c>
      <c r="L483" s="3">
        <v>310</v>
      </c>
      <c r="M483" s="3">
        <v>325.5</v>
      </c>
      <c r="N483" s="3">
        <v>649</v>
      </c>
      <c r="O483" s="2" t="s">
        <v>96</v>
      </c>
      <c r="P483" s="2" t="s">
        <v>135</v>
      </c>
      <c r="Q483" s="2" t="s">
        <v>98</v>
      </c>
      <c r="R483" s="2" t="s">
        <v>99</v>
      </c>
      <c r="S483" s="2" t="s">
        <v>2454</v>
      </c>
      <c r="T483" s="2" t="s">
        <v>99</v>
      </c>
      <c r="U483" s="2" t="s">
        <v>99</v>
      </c>
      <c r="V483" s="2" t="s">
        <v>157</v>
      </c>
      <c r="W483" s="2" t="s">
        <v>330</v>
      </c>
      <c r="X483" s="2" t="s">
        <v>99</v>
      </c>
      <c r="Y483" s="2" t="s">
        <v>2455</v>
      </c>
      <c r="Z483" s="4">
        <v>78</v>
      </c>
      <c r="AA483" s="4">
        <f>=ROUNDDOWN(12.7868852459016,0)</f>
      </c>
      <c r="AB483" s="5">
        <v>6.1</v>
      </c>
      <c r="AC483" s="2" t="s">
        <v>801</v>
      </c>
      <c r="AD483" s="4">
        <v>18</v>
      </c>
      <c r="AE483" s="4">
        <v>118</v>
      </c>
      <c r="AF483" s="6">
        <v>74</v>
      </c>
      <c r="AG483" s="6"/>
      <c r="AH483" s="7">
        <v>0.1379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2</v>
      </c>
      <c r="BK483" s="8">
        <v>693.31</v>
      </c>
      <c r="BL483" s="2" t="s">
        <v>2456</v>
      </c>
      <c r="BM483" s="7"/>
      <c r="BN483" s="7"/>
      <c r="BO483" s="4"/>
      <c r="BP483" s="8"/>
      <c r="BQ483" s="4"/>
      <c r="BR483" s="8"/>
      <c r="BS483" s="7"/>
      <c r="BT483" s="7"/>
      <c r="BU483" s="2" t="s">
        <v>645</v>
      </c>
      <c r="BV483" s="2" t="s">
        <v>96</v>
      </c>
      <c r="BW483" s="2" t="s">
        <v>99</v>
      </c>
      <c r="BX483" s="2" t="s">
        <v>99</v>
      </c>
      <c r="BY483" s="2" t="s">
        <v>109</v>
      </c>
      <c r="BZ483" s="2" t="s">
        <v>109</v>
      </c>
      <c r="CA483" s="2" t="s">
        <v>99</v>
      </c>
    </row>
    <row r="484">
      <c r="A484" s="2" t="s">
        <v>2457</v>
      </c>
      <c r="B484" s="2" t="s">
        <v>765</v>
      </c>
      <c r="C484" s="2" t="s">
        <v>89</v>
      </c>
      <c r="D484" s="2" t="s">
        <v>1504</v>
      </c>
      <c r="E484" s="2" t="s">
        <v>1553</v>
      </c>
      <c r="F484" s="2" t="s">
        <v>2452</v>
      </c>
      <c r="G484" s="2" t="s">
        <v>2452</v>
      </c>
      <c r="H484" s="2" t="s">
        <v>99</v>
      </c>
      <c r="I484" s="2" t="s">
        <v>1553</v>
      </c>
      <c r="J484" s="2" t="s">
        <v>227</v>
      </c>
      <c r="K484" s="2" t="s">
        <v>2453</v>
      </c>
      <c r="L484" s="3">
        <v>240</v>
      </c>
      <c r="M484" s="3">
        <v>252</v>
      </c>
      <c r="N484" s="3">
        <v>499</v>
      </c>
      <c r="O484" s="2" t="s">
        <v>96</v>
      </c>
      <c r="P484" s="2" t="s">
        <v>131</v>
      </c>
      <c r="Q484" s="2" t="s">
        <v>98</v>
      </c>
      <c r="R484" s="2" t="s">
        <v>99</v>
      </c>
      <c r="S484" s="2" t="s">
        <v>2458</v>
      </c>
      <c r="T484" s="2" t="s">
        <v>99</v>
      </c>
      <c r="U484" s="2" t="s">
        <v>99</v>
      </c>
      <c r="V484" s="2" t="s">
        <v>157</v>
      </c>
      <c r="W484" s="2" t="s">
        <v>330</v>
      </c>
      <c r="X484" s="2" t="s">
        <v>99</v>
      </c>
      <c r="Y484" s="2" t="s">
        <v>686</v>
      </c>
      <c r="Z484" s="4">
        <v>100</v>
      </c>
      <c r="AA484" s="4">
        <f>=ROUNDDOWN(14.2857142857143,0)</f>
      </c>
      <c r="AB484" s="5">
        <v>7</v>
      </c>
      <c r="AC484" s="2" t="s">
        <v>1778</v>
      </c>
      <c r="AD484" s="4">
        <v>100</v>
      </c>
      <c r="AE484" s="4">
        <v>100</v>
      </c>
      <c r="AF484" s="6">
        <v>74</v>
      </c>
      <c r="AG484" s="6">
        <v>60</v>
      </c>
      <c r="AH484" s="7">
        <v>0.9655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11</v>
      </c>
      <c r="BK484" s="8">
        <v>3233.14</v>
      </c>
      <c r="BL484" s="2" t="s">
        <v>2459</v>
      </c>
      <c r="BM484" s="7"/>
      <c r="BN484" s="7"/>
      <c r="BO484" s="4"/>
      <c r="BP484" s="8"/>
      <c r="BQ484" s="4"/>
      <c r="BR484" s="8"/>
      <c r="BS484" s="7"/>
      <c r="BT484" s="7"/>
      <c r="BU484" s="2" t="s">
        <v>645</v>
      </c>
      <c r="BV484" s="2" t="s">
        <v>96</v>
      </c>
      <c r="BW484" s="2" t="s">
        <v>99</v>
      </c>
      <c r="BX484" s="2" t="s">
        <v>99</v>
      </c>
      <c r="BY484" s="2" t="s">
        <v>109</v>
      </c>
      <c r="BZ484" s="2" t="s">
        <v>109</v>
      </c>
      <c r="CA484" s="2" t="s">
        <v>99</v>
      </c>
    </row>
    <row r="485">
      <c r="A485" s="2" t="s">
        <v>2460</v>
      </c>
      <c r="B485" s="2" t="s">
        <v>765</v>
      </c>
      <c r="C485" s="2" t="s">
        <v>89</v>
      </c>
      <c r="D485" s="2" t="s">
        <v>1504</v>
      </c>
      <c r="E485" s="2" t="s">
        <v>1535</v>
      </c>
      <c r="F485" s="2" t="s">
        <v>2452</v>
      </c>
      <c r="G485" s="2" t="s">
        <v>2452</v>
      </c>
      <c r="H485" s="2" t="s">
        <v>99</v>
      </c>
      <c r="I485" s="2" t="s">
        <v>1536</v>
      </c>
      <c r="J485" s="2" t="s">
        <v>227</v>
      </c>
      <c r="K485" s="2" t="s">
        <v>2453</v>
      </c>
      <c r="L485" s="3">
        <v>190</v>
      </c>
      <c r="M485" s="3">
        <v>199.5</v>
      </c>
      <c r="N485" s="3">
        <v>399</v>
      </c>
      <c r="O485" s="2" t="s">
        <v>96</v>
      </c>
      <c r="P485" s="2" t="s">
        <v>131</v>
      </c>
      <c r="Q485" s="2" t="s">
        <v>98</v>
      </c>
      <c r="R485" s="2" t="s">
        <v>99</v>
      </c>
      <c r="S485" s="2" t="s">
        <v>2461</v>
      </c>
      <c r="T485" s="2" t="s">
        <v>99</v>
      </c>
      <c r="U485" s="2" t="s">
        <v>99</v>
      </c>
      <c r="V485" s="2" t="s">
        <v>157</v>
      </c>
      <c r="W485" s="2" t="s">
        <v>330</v>
      </c>
      <c r="X485" s="2" t="s">
        <v>99</v>
      </c>
      <c r="Y485" s="2" t="s">
        <v>686</v>
      </c>
      <c r="Z485" s="4">
        <v>169</v>
      </c>
      <c r="AA485" s="4">
        <f>=ROUNDDOWN(21.125,0)</f>
      </c>
      <c r="AB485" s="5">
        <v>8</v>
      </c>
      <c r="AC485" s="2" t="s">
        <v>1778</v>
      </c>
      <c r="AD485" s="4">
        <v>100</v>
      </c>
      <c r="AE485" s="4">
        <v>100</v>
      </c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32</v>
      </c>
      <c r="BK485" s="8">
        <v>5751.85</v>
      </c>
      <c r="BL485" s="2" t="s">
        <v>2462</v>
      </c>
      <c r="BM485" s="7"/>
      <c r="BN485" s="7"/>
      <c r="BO485" s="4"/>
      <c r="BP485" s="8"/>
      <c r="BQ485" s="4"/>
      <c r="BR485" s="8"/>
      <c r="BS485" s="7"/>
      <c r="BT485" s="7"/>
      <c r="BU485" s="2" t="s">
        <v>645</v>
      </c>
      <c r="BV485" s="2" t="s">
        <v>96</v>
      </c>
      <c r="BW485" s="2" t="s">
        <v>99</v>
      </c>
      <c r="BX485" s="2" t="s">
        <v>99</v>
      </c>
      <c r="BY485" s="2" t="s">
        <v>109</v>
      </c>
      <c r="BZ485" s="2" t="s">
        <v>109</v>
      </c>
      <c r="CA485" s="2" t="s">
        <v>99</v>
      </c>
    </row>
    <row r="486">
      <c r="A486" s="2" t="s">
        <v>2463</v>
      </c>
      <c r="B486" s="2" t="s">
        <v>765</v>
      </c>
      <c r="C486" s="2" t="s">
        <v>644</v>
      </c>
      <c r="D486" s="2" t="s">
        <v>1296</v>
      </c>
      <c r="E486" s="2" t="s">
        <v>1297</v>
      </c>
      <c r="F486" s="2" t="s">
        <v>1303</v>
      </c>
      <c r="G486" s="2" t="s">
        <v>1304</v>
      </c>
      <c r="H486" s="2" t="s">
        <v>1305</v>
      </c>
      <c r="I486" s="2" t="s">
        <v>1306</v>
      </c>
      <c r="J486" s="2" t="s">
        <v>227</v>
      </c>
      <c r="K486" s="2" t="s">
        <v>813</v>
      </c>
      <c r="L486" s="3">
        <v>0.01</v>
      </c>
      <c r="M486" s="3">
        <v>0.01</v>
      </c>
      <c r="N486" s="3"/>
      <c r="O486" s="2" t="s">
        <v>96</v>
      </c>
      <c r="P486" s="2" t="s">
        <v>814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99</v>
      </c>
      <c r="V486" s="2" t="s">
        <v>310</v>
      </c>
      <c r="W486" s="2" t="s">
        <v>99</v>
      </c>
      <c r="X486" s="2" t="s">
        <v>99</v>
      </c>
      <c r="Y486" s="2" t="s">
        <v>2464</v>
      </c>
      <c r="Z486" s="4">
        <v>5</v>
      </c>
      <c r="AA486" s="4">
        <f>=ROUNDDOWN({0},0)</f>
      </c>
      <c r="AB486" s="5"/>
      <c r="AC486" s="2" t="s">
        <v>99</v>
      </c>
      <c r="AD486" s="4"/>
      <c r="AE486" s="4"/>
      <c r="AF486" s="6"/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/>
      <c r="BK486" s="8"/>
      <c r="BL486" s="2" t="s">
        <v>99</v>
      </c>
      <c r="BM486" s="7"/>
      <c r="BN486" s="7"/>
      <c r="BO486" s="4"/>
      <c r="BP486" s="8"/>
      <c r="BQ486" s="4"/>
      <c r="BR486" s="8"/>
      <c r="BS486" s="7"/>
      <c r="BT486" s="7"/>
      <c r="BU486" s="2" t="s">
        <v>645</v>
      </c>
      <c r="BV486" s="2" t="s">
        <v>96</v>
      </c>
      <c r="BW486" s="2" t="s">
        <v>99</v>
      </c>
      <c r="BX486" s="2" t="s">
        <v>99</v>
      </c>
      <c r="BY486" s="2" t="s">
        <v>109</v>
      </c>
      <c r="BZ486" s="2" t="s">
        <v>109</v>
      </c>
      <c r="CA486" s="2" t="s">
        <v>99</v>
      </c>
    </row>
    <row r="487">
      <c r="A487" s="2" t="s">
        <v>2465</v>
      </c>
      <c r="B487" s="2" t="s">
        <v>765</v>
      </c>
      <c r="C487" s="2" t="s">
        <v>644</v>
      </c>
      <c r="D487" s="2" t="s">
        <v>1504</v>
      </c>
      <c r="E487" s="2" t="s">
        <v>644</v>
      </c>
      <c r="F487" s="2" t="s">
        <v>2028</v>
      </c>
      <c r="G487" s="2" t="s">
        <v>2028</v>
      </c>
      <c r="H487" s="2" t="s">
        <v>2028</v>
      </c>
      <c r="I487" s="2" t="s">
        <v>99</v>
      </c>
      <c r="J487" s="2" t="s">
        <v>644</v>
      </c>
      <c r="K487" s="2" t="s">
        <v>99</v>
      </c>
      <c r="L487" s="3"/>
      <c r="M487" s="3"/>
      <c r="N487" s="3"/>
      <c r="O487" s="2" t="s">
        <v>96</v>
      </c>
      <c r="P487" s="2" t="s">
        <v>99</v>
      </c>
      <c r="Q487" s="2" t="s">
        <v>99</v>
      </c>
      <c r="R487" s="2" t="s">
        <v>99</v>
      </c>
      <c r="S487" s="2" t="s">
        <v>99</v>
      </c>
      <c r="T487" s="2" t="s">
        <v>99</v>
      </c>
      <c r="U487" s="2" t="s">
        <v>99</v>
      </c>
      <c r="V487" s="2" t="s">
        <v>99</v>
      </c>
      <c r="W487" s="2" t="s">
        <v>99</v>
      </c>
      <c r="X487" s="2" t="s">
        <v>99</v>
      </c>
      <c r="Y487" s="2" t="s">
        <v>99</v>
      </c>
      <c r="Z487" s="4">
        <v>39</v>
      </c>
      <c r="AA487" s="4">
        <f>=ROUNDDOWN({0},0)</f>
      </c>
      <c r="AB487" s="5"/>
      <c r="AC487" s="2" t="s">
        <v>99</v>
      </c>
      <c r="AD487" s="4"/>
      <c r="AE487" s="4"/>
      <c r="AF487" s="6"/>
      <c r="AG487" s="6"/>
      <c r="AH487" s="7"/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99</v>
      </c>
      <c r="BM487" s="7"/>
      <c r="BN487" s="7"/>
      <c r="BO487" s="4"/>
      <c r="BP487" s="8"/>
      <c r="BQ487" s="4"/>
      <c r="BR487" s="8"/>
      <c r="BS487" s="7"/>
      <c r="BT487" s="7"/>
      <c r="BU487" s="2" t="s">
        <v>99</v>
      </c>
      <c r="BV487" s="2" t="s">
        <v>99</v>
      </c>
      <c r="BW487" s="2" t="s">
        <v>99</v>
      </c>
      <c r="BX487" s="2" t="s">
        <v>99</v>
      </c>
      <c r="BY487" s="2" t="s">
        <v>99</v>
      </c>
      <c r="BZ487" s="2" t="s">
        <v>99</v>
      </c>
      <c r="CA487" s="2" t="s">
        <v>99</v>
      </c>
    </row>
    <row r="488">
      <c r="A488" s="2" t="s">
        <v>2466</v>
      </c>
      <c r="B488" s="2" t="s">
        <v>765</v>
      </c>
      <c r="C488" s="2" t="s">
        <v>644</v>
      </c>
      <c r="D488" s="2" t="s">
        <v>1504</v>
      </c>
      <c r="E488" s="2" t="s">
        <v>644</v>
      </c>
      <c r="F488" s="2" t="s">
        <v>2011</v>
      </c>
      <c r="G488" s="2" t="s">
        <v>2011</v>
      </c>
      <c r="H488" s="2" t="s">
        <v>2011</v>
      </c>
      <c r="I488" s="2" t="s">
        <v>99</v>
      </c>
      <c r="J488" s="2" t="s">
        <v>644</v>
      </c>
      <c r="K488" s="2" t="s">
        <v>99</v>
      </c>
      <c r="L488" s="3"/>
      <c r="M488" s="3"/>
      <c r="N488" s="3"/>
      <c r="O488" s="2" t="s">
        <v>96</v>
      </c>
      <c r="P488" s="2" t="s">
        <v>99</v>
      </c>
      <c r="Q488" s="2" t="s">
        <v>99</v>
      </c>
      <c r="R488" s="2" t="s">
        <v>99</v>
      </c>
      <c r="S488" s="2" t="s">
        <v>99</v>
      </c>
      <c r="T488" s="2" t="s">
        <v>99</v>
      </c>
      <c r="U488" s="2" t="s">
        <v>99</v>
      </c>
      <c r="V488" s="2" t="s">
        <v>99</v>
      </c>
      <c r="W488" s="2" t="s">
        <v>99</v>
      </c>
      <c r="X488" s="2" t="s">
        <v>99</v>
      </c>
      <c r="Y488" s="2" t="s">
        <v>99</v>
      </c>
      <c r="Z488" s="4">
        <v>39</v>
      </c>
      <c r="AA488" s="4">
        <f>=ROUNDDOWN({0},0)</f>
      </c>
      <c r="AB488" s="5"/>
      <c r="AC488" s="2" t="s">
        <v>99</v>
      </c>
      <c r="AD488" s="4"/>
      <c r="AE488" s="4"/>
      <c r="AF488" s="6"/>
      <c r="AG488" s="6"/>
      <c r="AH488" s="7"/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/>
      <c r="BK488" s="8"/>
      <c r="BL488" s="2" t="s">
        <v>99</v>
      </c>
      <c r="BM488" s="7"/>
      <c r="BN488" s="7"/>
      <c r="BO488" s="4"/>
      <c r="BP488" s="8"/>
      <c r="BQ488" s="4"/>
      <c r="BR488" s="8"/>
      <c r="BS488" s="7"/>
      <c r="BT488" s="7"/>
      <c r="BU488" s="2" t="s">
        <v>99</v>
      </c>
      <c r="BV488" s="2" t="s">
        <v>99</v>
      </c>
      <c r="BW488" s="2" t="s">
        <v>99</v>
      </c>
      <c r="BX488" s="2" t="s">
        <v>99</v>
      </c>
      <c r="BY488" s="2" t="s">
        <v>99</v>
      </c>
      <c r="BZ488" s="2" t="s">
        <v>99</v>
      </c>
      <c r="CA488" s="2" t="s">
        <v>99</v>
      </c>
    </row>
    <row r="489">
      <c r="A489" s="2" t="s">
        <v>2467</v>
      </c>
      <c r="B489" s="2" t="s">
        <v>765</v>
      </c>
      <c r="C489" s="2" t="s">
        <v>644</v>
      </c>
      <c r="D489" s="2" t="s">
        <v>1504</v>
      </c>
      <c r="E489" s="2" t="s">
        <v>644</v>
      </c>
      <c r="F489" s="2" t="s">
        <v>2023</v>
      </c>
      <c r="G489" s="2" t="s">
        <v>2023</v>
      </c>
      <c r="H489" s="2" t="s">
        <v>2023</v>
      </c>
      <c r="I489" s="2" t="s">
        <v>99</v>
      </c>
      <c r="J489" s="2" t="s">
        <v>644</v>
      </c>
      <c r="K489" s="2" t="s">
        <v>99</v>
      </c>
      <c r="L489" s="3"/>
      <c r="M489" s="3"/>
      <c r="N489" s="3"/>
      <c r="O489" s="2" t="s">
        <v>96</v>
      </c>
      <c r="P489" s="2" t="s">
        <v>99</v>
      </c>
      <c r="Q489" s="2" t="s">
        <v>99</v>
      </c>
      <c r="R489" s="2" t="s">
        <v>99</v>
      </c>
      <c r="S489" s="2" t="s">
        <v>99</v>
      </c>
      <c r="T489" s="2" t="s">
        <v>99</v>
      </c>
      <c r="U489" s="2" t="s">
        <v>99</v>
      </c>
      <c r="V489" s="2" t="s">
        <v>99</v>
      </c>
      <c r="W489" s="2" t="s">
        <v>99</v>
      </c>
      <c r="X489" s="2" t="s">
        <v>99</v>
      </c>
      <c r="Y489" s="2" t="s">
        <v>99</v>
      </c>
      <c r="Z489" s="4">
        <v>39</v>
      </c>
      <c r="AA489" s="4">
        <f>=ROUNDDOWN({0},0)</f>
      </c>
      <c r="AB489" s="5"/>
      <c r="AC489" s="2" t="s">
        <v>99</v>
      </c>
      <c r="AD489" s="4"/>
      <c r="AE489" s="4"/>
      <c r="AF489" s="6"/>
      <c r="AG489" s="6"/>
      <c r="AH489" s="7"/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99</v>
      </c>
      <c r="BM489" s="7"/>
      <c r="BN489" s="7"/>
      <c r="BO489" s="4"/>
      <c r="BP489" s="8"/>
      <c r="BQ489" s="4"/>
      <c r="BR489" s="8"/>
      <c r="BS489" s="7"/>
      <c r="BT489" s="7"/>
      <c r="BU489" s="2" t="s">
        <v>99</v>
      </c>
      <c r="BV489" s="2" t="s">
        <v>99</v>
      </c>
      <c r="BW489" s="2" t="s">
        <v>99</v>
      </c>
      <c r="BX489" s="2" t="s">
        <v>99</v>
      </c>
      <c r="BY489" s="2" t="s">
        <v>99</v>
      </c>
      <c r="BZ489" s="2" t="s">
        <v>99</v>
      </c>
      <c r="CA489" s="2" t="s">
        <v>99</v>
      </c>
    </row>
    <row r="490">
      <c r="A490" s="2" t="s">
        <v>2468</v>
      </c>
      <c r="B490" s="2" t="s">
        <v>2469</v>
      </c>
      <c r="C490" s="2" t="s">
        <v>666</v>
      </c>
      <c r="D490" s="2" t="s">
        <v>2470</v>
      </c>
      <c r="E490" s="2" t="s">
        <v>2471</v>
      </c>
      <c r="F490" s="2" t="s">
        <v>2472</v>
      </c>
      <c r="G490" s="2" t="s">
        <v>2472</v>
      </c>
      <c r="H490" s="2" t="s">
        <v>2472</v>
      </c>
      <c r="I490" s="2" t="s">
        <v>2473</v>
      </c>
      <c r="J490" s="2" t="s">
        <v>2474</v>
      </c>
      <c r="K490" s="2" t="s">
        <v>2475</v>
      </c>
      <c r="L490" s="3">
        <v>72</v>
      </c>
      <c r="M490" s="3">
        <v>75.6</v>
      </c>
      <c r="N490" s="3">
        <v>149.99</v>
      </c>
      <c r="O490" s="2" t="s">
        <v>96</v>
      </c>
      <c r="P490" s="2" t="s">
        <v>135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100</v>
      </c>
      <c r="V490" s="2" t="s">
        <v>310</v>
      </c>
      <c r="W490" s="2" t="s">
        <v>158</v>
      </c>
      <c r="X490" s="2" t="s">
        <v>362</v>
      </c>
      <c r="Y490" s="2" t="s">
        <v>996</v>
      </c>
      <c r="Z490" s="4">
        <v>237</v>
      </c>
      <c r="AA490" s="4">
        <f>=ROUNDDOWN(19.75,0)</f>
      </c>
      <c r="AB490" s="5">
        <v>12</v>
      </c>
      <c r="AC490" s="2" t="s">
        <v>2476</v>
      </c>
      <c r="AD490" s="4">
        <v>130</v>
      </c>
      <c r="AE490" s="4">
        <v>130</v>
      </c>
      <c r="AF490" s="6">
        <v>64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>
        <v>15</v>
      </c>
      <c r="AQ490" s="8">
        <v>1242</v>
      </c>
      <c r="AR490" s="4"/>
      <c r="AS490" s="8"/>
      <c r="AT490" s="7"/>
      <c r="AU490" s="7"/>
      <c r="AV490" s="4">
        <v>289</v>
      </c>
      <c r="AW490" s="8">
        <v>15383.14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0.0807</v>
      </c>
      <c r="BC490" s="4">
        <v>337</v>
      </c>
      <c r="BD490" s="8">
        <v>18232.73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0.8437</v>
      </c>
      <c r="BJ490" s="4">
        <v>31</v>
      </c>
      <c r="BK490" s="8">
        <v>2708.19</v>
      </c>
      <c r="BL490" s="2" t="s">
        <v>2477</v>
      </c>
      <c r="BM490" s="7">
        <v>0.4839</v>
      </c>
      <c r="BN490" s="7">
        <v>0.4586</v>
      </c>
      <c r="BO490" s="4">
        <v>15</v>
      </c>
      <c r="BP490" s="8">
        <v>1242</v>
      </c>
      <c r="BQ490" s="4"/>
      <c r="BR490" s="8"/>
      <c r="BS490" s="7"/>
      <c r="BT490" s="7"/>
      <c r="BU490" s="2" t="s">
        <v>107</v>
      </c>
      <c r="BV490" s="2" t="s">
        <v>96</v>
      </c>
      <c r="BW490" s="2" t="s">
        <v>99</v>
      </c>
      <c r="BX490" s="2" t="s">
        <v>2478</v>
      </c>
      <c r="BY490" s="2" t="s">
        <v>109</v>
      </c>
      <c r="BZ490" s="2" t="s">
        <v>109</v>
      </c>
      <c r="CA490" s="2" t="s">
        <v>99</v>
      </c>
    </row>
    <row r="491">
      <c r="A491" s="2" t="s">
        <v>2479</v>
      </c>
      <c r="B491" s="2" t="s">
        <v>2469</v>
      </c>
      <c r="C491" s="2" t="s">
        <v>666</v>
      </c>
      <c r="D491" s="2" t="s">
        <v>2470</v>
      </c>
      <c r="E491" s="2" t="s">
        <v>2471</v>
      </c>
      <c r="F491" s="2" t="s">
        <v>2472</v>
      </c>
      <c r="G491" s="2" t="s">
        <v>2472</v>
      </c>
      <c r="H491" s="2" t="s">
        <v>2472</v>
      </c>
      <c r="I491" s="2" t="s">
        <v>2473</v>
      </c>
      <c r="J491" s="2" t="s">
        <v>2480</v>
      </c>
      <c r="K491" s="2" t="s">
        <v>2475</v>
      </c>
      <c r="L491" s="3">
        <v>47.52</v>
      </c>
      <c r="M491" s="3">
        <v>49.9</v>
      </c>
      <c r="N491" s="3">
        <v>109.99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2481</v>
      </c>
      <c r="T491" s="2" t="s">
        <v>99</v>
      </c>
      <c r="U491" s="2" t="s">
        <v>100</v>
      </c>
      <c r="V491" s="2" t="s">
        <v>157</v>
      </c>
      <c r="W491" s="2" t="s">
        <v>158</v>
      </c>
      <c r="X491" s="2" t="s">
        <v>362</v>
      </c>
      <c r="Y491" s="2" t="s">
        <v>2204</v>
      </c>
      <c r="Z491" s="4">
        <v>459</v>
      </c>
      <c r="AA491" s="4">
        <f>=ROUNDDOWN(12.0789473684211,0)</f>
      </c>
      <c r="AB491" s="5">
        <v>38</v>
      </c>
      <c r="AC491" s="2" t="s">
        <v>1657</v>
      </c>
      <c r="AD491" s="4">
        <v>130</v>
      </c>
      <c r="AE491" s="4">
        <v>130</v>
      </c>
      <c r="AF491" s="6">
        <v>64</v>
      </c>
      <c r="AG491" s="6">
        <v>47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>
        <v>274</v>
      </c>
      <c r="AQ491" s="8">
        <v>14141.14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0.9193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426</v>
      </c>
      <c r="BK491" s="8">
        <v>21452.58</v>
      </c>
      <c r="BL491" s="2" t="s">
        <v>2482</v>
      </c>
      <c r="BM491" s="7">
        <v>0.6432</v>
      </c>
      <c r="BN491" s="7">
        <v>0.6592</v>
      </c>
      <c r="BO491" s="4">
        <v>274</v>
      </c>
      <c r="BP491" s="8">
        <v>14141.14</v>
      </c>
      <c r="BQ491" s="4"/>
      <c r="BR491" s="8"/>
      <c r="BS491" s="7"/>
      <c r="BT491" s="7"/>
      <c r="BU491" s="2" t="s">
        <v>107</v>
      </c>
      <c r="BV491" s="2" t="s">
        <v>96</v>
      </c>
      <c r="BW491" s="2" t="s">
        <v>99</v>
      </c>
      <c r="BX491" s="2" t="s">
        <v>2483</v>
      </c>
      <c r="BY491" s="2" t="s">
        <v>109</v>
      </c>
      <c r="BZ491" s="2" t="s">
        <v>109</v>
      </c>
      <c r="CA491" s="2" t="s">
        <v>99</v>
      </c>
    </row>
    <row r="492">
      <c r="A492" s="2" t="s">
        <v>2484</v>
      </c>
      <c r="B492" s="2" t="s">
        <v>2469</v>
      </c>
      <c r="C492" s="2" t="s">
        <v>666</v>
      </c>
      <c r="D492" s="2" t="s">
        <v>2470</v>
      </c>
      <c r="E492" s="2" t="s">
        <v>2471</v>
      </c>
      <c r="F492" s="2" t="s">
        <v>2472</v>
      </c>
      <c r="G492" s="2" t="s">
        <v>2472</v>
      </c>
      <c r="H492" s="2" t="s">
        <v>2472</v>
      </c>
      <c r="I492" s="2" t="s">
        <v>2473</v>
      </c>
      <c r="J492" s="2" t="s">
        <v>2480</v>
      </c>
      <c r="K492" s="2" t="s">
        <v>2485</v>
      </c>
      <c r="L492" s="3">
        <v>47.52</v>
      </c>
      <c r="M492" s="3">
        <v>49.9</v>
      </c>
      <c r="N492" s="3">
        <v>109.99</v>
      </c>
      <c r="O492" s="2" t="s">
        <v>96</v>
      </c>
      <c r="P492" s="2" t="s">
        <v>135</v>
      </c>
      <c r="Q492" s="2" t="s">
        <v>98</v>
      </c>
      <c r="R492" s="2" t="s">
        <v>99</v>
      </c>
      <c r="S492" s="2" t="s">
        <v>99</v>
      </c>
      <c r="T492" s="2" t="s">
        <v>99</v>
      </c>
      <c r="U492" s="2" t="s">
        <v>100</v>
      </c>
      <c r="V492" s="2" t="s">
        <v>310</v>
      </c>
      <c r="W492" s="2" t="s">
        <v>158</v>
      </c>
      <c r="X492" s="2" t="s">
        <v>362</v>
      </c>
      <c r="Y492" s="2" t="s">
        <v>2486</v>
      </c>
      <c r="Z492" s="4">
        <v>83</v>
      </c>
      <c r="AA492" s="4">
        <f>=ROUNDDOWN(10.6410256410256,0)</f>
      </c>
      <c r="AB492" s="5">
        <v>7.8</v>
      </c>
      <c r="AC492" s="2" t="s">
        <v>2487</v>
      </c>
      <c r="AD492" s="4">
        <v>100</v>
      </c>
      <c r="AE492" s="4">
        <v>200</v>
      </c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>
        <v>31</v>
      </c>
      <c r="AQ492" s="8">
        <v>1882.32</v>
      </c>
      <c r="AR492" s="4"/>
      <c r="AS492" s="8"/>
      <c r="AT492" s="7"/>
      <c r="AU492" s="7"/>
      <c r="AV492" s="4">
        <v>31</v>
      </c>
      <c r="AW492" s="8">
        <v>1882.32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0.1032</v>
      </c>
      <c r="BJ492" s="4">
        <v>95</v>
      </c>
      <c r="BK492" s="8">
        <v>4807.98</v>
      </c>
      <c r="BL492" s="2" t="s">
        <v>1701</v>
      </c>
      <c r="BM492" s="7">
        <v>0.3263</v>
      </c>
      <c r="BN492" s="7">
        <v>0.3915</v>
      </c>
      <c r="BO492" s="4">
        <v>31</v>
      </c>
      <c r="BP492" s="8">
        <v>1882.32</v>
      </c>
      <c r="BQ492" s="4"/>
      <c r="BR492" s="8"/>
      <c r="BS492" s="7"/>
      <c r="BT492" s="7"/>
      <c r="BU492" s="2" t="s">
        <v>107</v>
      </c>
      <c r="BV492" s="2" t="s">
        <v>96</v>
      </c>
      <c r="BW492" s="2" t="s">
        <v>99</v>
      </c>
      <c r="BX492" s="2" t="s">
        <v>99</v>
      </c>
      <c r="BY492" s="2" t="s">
        <v>109</v>
      </c>
      <c r="BZ492" s="2" t="s">
        <v>109</v>
      </c>
      <c r="CA492" s="2" t="s">
        <v>99</v>
      </c>
    </row>
    <row r="493">
      <c r="A493" s="2" t="s">
        <v>2488</v>
      </c>
      <c r="B493" s="2" t="s">
        <v>2469</v>
      </c>
      <c r="C493" s="2" t="s">
        <v>666</v>
      </c>
      <c r="D493" s="2" t="s">
        <v>2470</v>
      </c>
      <c r="E493" s="2" t="s">
        <v>2471</v>
      </c>
      <c r="F493" s="2" t="s">
        <v>2472</v>
      </c>
      <c r="G493" s="2" t="s">
        <v>2472</v>
      </c>
      <c r="H493" s="2" t="s">
        <v>2472</v>
      </c>
      <c r="I493" s="2" t="s">
        <v>2473</v>
      </c>
      <c r="J493" s="2" t="s">
        <v>2480</v>
      </c>
      <c r="K493" s="2" t="s">
        <v>2489</v>
      </c>
      <c r="L493" s="3">
        <v>47.52</v>
      </c>
      <c r="M493" s="3">
        <v>49.9</v>
      </c>
      <c r="N493" s="3">
        <v>109.99</v>
      </c>
      <c r="O493" s="2" t="s">
        <v>96</v>
      </c>
      <c r="P493" s="2" t="s">
        <v>131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100</v>
      </c>
      <c r="V493" s="2" t="s">
        <v>310</v>
      </c>
      <c r="W493" s="2" t="s">
        <v>158</v>
      </c>
      <c r="X493" s="2" t="s">
        <v>362</v>
      </c>
      <c r="Y493" s="2" t="s">
        <v>2486</v>
      </c>
      <c r="Z493" s="4">
        <v>112</v>
      </c>
      <c r="AA493" s="4">
        <f>=ROUNDDOWN(14,0)</f>
      </c>
      <c r="AB493" s="5">
        <v>8</v>
      </c>
      <c r="AC493" s="2" t="s">
        <v>1368</v>
      </c>
      <c r="AD493" s="4">
        <v>100</v>
      </c>
      <c r="AE493" s="4">
        <v>100</v>
      </c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>
        <v>14</v>
      </c>
      <c r="AQ493" s="8">
        <v>803.32</v>
      </c>
      <c r="AR493" s="4"/>
      <c r="AS493" s="8"/>
      <c r="AT493" s="7"/>
      <c r="AU493" s="7"/>
      <c r="AV493" s="4">
        <v>14</v>
      </c>
      <c r="AW493" s="8">
        <v>803.32</v>
      </c>
      <c r="AX493" s="4"/>
      <c r="AY493" s="8"/>
      <c r="AZ493" s="7"/>
      <c r="BA493" s="7"/>
      <c r="BB493" s="7">
        <v>1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0.0441</v>
      </c>
      <c r="BJ493" s="4">
        <v>49</v>
      </c>
      <c r="BK493" s="8">
        <v>2608.24</v>
      </c>
      <c r="BL493" s="2" t="s">
        <v>2490</v>
      </c>
      <c r="BM493" s="7">
        <v>0.2857</v>
      </c>
      <c r="BN493" s="7">
        <v>0.308</v>
      </c>
      <c r="BO493" s="4">
        <v>14</v>
      </c>
      <c r="BP493" s="8">
        <v>803.32</v>
      </c>
      <c r="BQ493" s="4"/>
      <c r="BR493" s="8"/>
      <c r="BS493" s="7"/>
      <c r="BT493" s="7"/>
      <c r="BU493" s="2" t="s">
        <v>107</v>
      </c>
      <c r="BV493" s="2" t="s">
        <v>96</v>
      </c>
      <c r="BW493" s="2" t="s">
        <v>99</v>
      </c>
      <c r="BX493" s="2" t="s">
        <v>99</v>
      </c>
      <c r="BY493" s="2" t="s">
        <v>109</v>
      </c>
      <c r="BZ493" s="2" t="s">
        <v>109</v>
      </c>
      <c r="CA493" s="2" t="s">
        <v>99</v>
      </c>
    </row>
    <row r="494">
      <c r="A494" s="2" t="s">
        <v>2491</v>
      </c>
      <c r="B494" s="2" t="s">
        <v>2469</v>
      </c>
      <c r="C494" s="2" t="s">
        <v>666</v>
      </c>
      <c r="D494" s="2" t="s">
        <v>2470</v>
      </c>
      <c r="E494" s="2" t="s">
        <v>2471</v>
      </c>
      <c r="F494" s="2" t="s">
        <v>2472</v>
      </c>
      <c r="G494" s="2" t="s">
        <v>2472</v>
      </c>
      <c r="H494" s="2" t="s">
        <v>2472</v>
      </c>
      <c r="I494" s="2" t="s">
        <v>2473</v>
      </c>
      <c r="J494" s="2" t="s">
        <v>2480</v>
      </c>
      <c r="K494" s="2" t="s">
        <v>2492</v>
      </c>
      <c r="L494" s="3">
        <v>47.52</v>
      </c>
      <c r="M494" s="3">
        <v>49.9</v>
      </c>
      <c r="N494" s="3">
        <v>109.99</v>
      </c>
      <c r="O494" s="2" t="s">
        <v>96</v>
      </c>
      <c r="P494" s="2" t="s">
        <v>188</v>
      </c>
      <c r="Q494" s="2" t="s">
        <v>98</v>
      </c>
      <c r="R494" s="2" t="s">
        <v>99</v>
      </c>
      <c r="S494" s="2" t="s">
        <v>99</v>
      </c>
      <c r="T494" s="2" t="s">
        <v>99</v>
      </c>
      <c r="U494" s="2" t="s">
        <v>100</v>
      </c>
      <c r="V494" s="2" t="s">
        <v>310</v>
      </c>
      <c r="W494" s="2" t="s">
        <v>158</v>
      </c>
      <c r="X494" s="2" t="s">
        <v>362</v>
      </c>
      <c r="Y494" s="2" t="s">
        <v>1794</v>
      </c>
      <c r="Z494" s="4">
        <v>17</v>
      </c>
      <c r="AA494" s="4">
        <f>=ROUNDDOWN(8.5,0)</f>
      </c>
      <c r="AB494" s="5">
        <v>2</v>
      </c>
      <c r="AC494" s="2" t="s">
        <v>99</v>
      </c>
      <c r="AD494" s="4"/>
      <c r="AE494" s="4"/>
      <c r="AF494" s="6">
        <v>81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>
        <v>3</v>
      </c>
      <c r="AQ494" s="8">
        <v>163.95</v>
      </c>
      <c r="AR494" s="4"/>
      <c r="AS494" s="8"/>
      <c r="AT494" s="7"/>
      <c r="AU494" s="7"/>
      <c r="AV494" s="4">
        <v>3</v>
      </c>
      <c r="AW494" s="8">
        <v>163.95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0.009</v>
      </c>
      <c r="BJ494" s="4">
        <v>19</v>
      </c>
      <c r="BK494" s="8">
        <v>862.03</v>
      </c>
      <c r="BL494" s="2" t="s">
        <v>2493</v>
      </c>
      <c r="BM494" s="7">
        <v>0.1579</v>
      </c>
      <c r="BN494" s="7">
        <v>0.1902</v>
      </c>
      <c r="BO494" s="4">
        <v>3</v>
      </c>
      <c r="BP494" s="8">
        <v>163.95</v>
      </c>
      <c r="BQ494" s="4"/>
      <c r="BR494" s="8"/>
      <c r="BS494" s="7"/>
      <c r="BT494" s="7"/>
      <c r="BU494" s="2" t="s">
        <v>107</v>
      </c>
      <c r="BV494" s="2" t="s">
        <v>96</v>
      </c>
      <c r="BW494" s="2" t="s">
        <v>99</v>
      </c>
      <c r="BX494" s="2" t="s">
        <v>2322</v>
      </c>
      <c r="BY494" s="2" t="s">
        <v>109</v>
      </c>
      <c r="BZ494" s="2" t="s">
        <v>109</v>
      </c>
      <c r="CA494" s="2" t="s">
        <v>99</v>
      </c>
    </row>
    <row r="495">
      <c r="A495" s="2" t="s">
        <v>2494</v>
      </c>
      <c r="B495" s="2" t="s">
        <v>2469</v>
      </c>
      <c r="C495" s="2" t="s">
        <v>666</v>
      </c>
      <c r="D495" s="2" t="s">
        <v>2470</v>
      </c>
      <c r="E495" s="2" t="s">
        <v>2471</v>
      </c>
      <c r="F495" s="2" t="s">
        <v>1176</v>
      </c>
      <c r="G495" s="2" t="s">
        <v>1176</v>
      </c>
      <c r="H495" s="2" t="s">
        <v>1176</v>
      </c>
      <c r="I495" s="2" t="s">
        <v>2495</v>
      </c>
      <c r="J495" s="2" t="s">
        <v>227</v>
      </c>
      <c r="K495" s="2" t="s">
        <v>2496</v>
      </c>
      <c r="L495" s="3">
        <v>22.42</v>
      </c>
      <c r="M495" s="3">
        <v>23.54</v>
      </c>
      <c r="N495" s="3">
        <v>47.99</v>
      </c>
      <c r="O495" s="2" t="s">
        <v>443</v>
      </c>
      <c r="P495" s="2" t="s">
        <v>188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100</v>
      </c>
      <c r="V495" s="2" t="s">
        <v>310</v>
      </c>
      <c r="W495" s="2" t="s">
        <v>102</v>
      </c>
      <c r="X495" s="2" t="s">
        <v>99</v>
      </c>
      <c r="Y495" s="2" t="s">
        <v>2497</v>
      </c>
      <c r="Z495" s="4">
        <v>91</v>
      </c>
      <c r="AA495" s="4">
        <f>=ROUNDDOWN(910,0)</f>
      </c>
      <c r="AB495" s="5">
        <v>0.1</v>
      </c>
      <c r="AC495" s="2" t="s">
        <v>99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2</v>
      </c>
      <c r="BK495" s="8">
        <v>34.96</v>
      </c>
      <c r="BL495" s="2" t="s">
        <v>1289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122</v>
      </c>
      <c r="BW495" s="2" t="s">
        <v>99</v>
      </c>
      <c r="BX495" s="2" t="s">
        <v>99</v>
      </c>
      <c r="BY495" s="2" t="s">
        <v>109</v>
      </c>
      <c r="BZ495" s="2" t="s">
        <v>109</v>
      </c>
      <c r="CA495" s="2" t="s">
        <v>99</v>
      </c>
    </row>
    <row r="496">
      <c r="A496" s="2" t="s">
        <v>2498</v>
      </c>
      <c r="B496" s="2" t="s">
        <v>2469</v>
      </c>
      <c r="C496" s="2" t="s">
        <v>666</v>
      </c>
      <c r="D496" s="2" t="s">
        <v>2470</v>
      </c>
      <c r="E496" s="2" t="s">
        <v>2471</v>
      </c>
      <c r="F496" s="2" t="s">
        <v>1040</v>
      </c>
      <c r="G496" s="2" t="s">
        <v>1040</v>
      </c>
      <c r="H496" s="2" t="s">
        <v>1040</v>
      </c>
      <c r="I496" s="2" t="s">
        <v>2499</v>
      </c>
      <c r="J496" s="2" t="s">
        <v>227</v>
      </c>
      <c r="K496" s="2" t="s">
        <v>234</v>
      </c>
      <c r="L496" s="3">
        <v>33.5</v>
      </c>
      <c r="M496" s="3">
        <v>35.18</v>
      </c>
      <c r="N496" s="3">
        <v>69.99</v>
      </c>
      <c r="O496" s="2" t="s">
        <v>443</v>
      </c>
      <c r="P496" s="2" t="s">
        <v>188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100</v>
      </c>
      <c r="V496" s="2" t="s">
        <v>310</v>
      </c>
      <c r="W496" s="2" t="s">
        <v>102</v>
      </c>
      <c r="X496" s="2" t="s">
        <v>2500</v>
      </c>
      <c r="Y496" s="2" t="s">
        <v>2501</v>
      </c>
      <c r="Z496" s="4">
        <v>1</v>
      </c>
      <c r="AA496" s="4">
        <f>=ROUNDDOWN(5,0)</f>
      </c>
      <c r="AB496" s="5">
        <v>0.2</v>
      </c>
      <c r="AC496" s="2" t="s">
        <v>99</v>
      </c>
      <c r="AD496" s="4"/>
      <c r="AE496" s="4"/>
      <c r="AF496" s="6">
        <v>63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99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122</v>
      </c>
      <c r="BW496" s="2" t="s">
        <v>99</v>
      </c>
      <c r="BX496" s="2" t="s">
        <v>519</v>
      </c>
      <c r="BY496" s="2" t="s">
        <v>109</v>
      </c>
      <c r="BZ496" s="2" t="s">
        <v>109</v>
      </c>
      <c r="CA496" s="2" t="s">
        <v>99</v>
      </c>
    </row>
    <row r="497">
      <c r="A497" s="2" t="s">
        <v>2502</v>
      </c>
      <c r="B497" s="2" t="s">
        <v>2469</v>
      </c>
      <c r="C497" s="2" t="s">
        <v>666</v>
      </c>
      <c r="D497" s="2" t="s">
        <v>2470</v>
      </c>
      <c r="E497" s="2" t="s">
        <v>2471</v>
      </c>
      <c r="F497" s="2" t="s">
        <v>2503</v>
      </c>
      <c r="G497" s="2" t="s">
        <v>2503</v>
      </c>
      <c r="H497" s="2" t="s">
        <v>2503</v>
      </c>
      <c r="I497" s="2" t="s">
        <v>2504</v>
      </c>
      <c r="J497" s="2" t="s">
        <v>227</v>
      </c>
      <c r="K497" s="2" t="s">
        <v>118</v>
      </c>
      <c r="L497" s="3">
        <v>18.18</v>
      </c>
      <c r="M497" s="3">
        <v>19.09</v>
      </c>
      <c r="N497" s="3">
        <v>39.99</v>
      </c>
      <c r="O497" s="2" t="s">
        <v>443</v>
      </c>
      <c r="P497" s="2" t="s">
        <v>188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100</v>
      </c>
      <c r="V497" s="2" t="s">
        <v>310</v>
      </c>
      <c r="W497" s="2" t="s">
        <v>102</v>
      </c>
      <c r="X497" s="2" t="s">
        <v>99</v>
      </c>
      <c r="Y497" s="2" t="s">
        <v>2497</v>
      </c>
      <c r="Z497" s="4">
        <v>82</v>
      </c>
      <c r="AA497" s="4">
        <f>=ROUNDDOWN(58.5714285714286,0)</f>
      </c>
      <c r="AB497" s="5">
        <v>1.4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1</v>
      </c>
      <c r="BK497" s="8">
        <v>13.25</v>
      </c>
      <c r="BL497" s="2" t="s">
        <v>1289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122</v>
      </c>
      <c r="BW497" s="2" t="s">
        <v>99</v>
      </c>
      <c r="BX497" s="2" t="s">
        <v>99</v>
      </c>
      <c r="BY497" s="2" t="s">
        <v>109</v>
      </c>
      <c r="BZ497" s="2" t="s">
        <v>109</v>
      </c>
      <c r="CA497" s="2" t="s">
        <v>99</v>
      </c>
    </row>
    <row r="498">
      <c r="A498" s="2" t="s">
        <v>2505</v>
      </c>
      <c r="B498" s="2" t="s">
        <v>2469</v>
      </c>
      <c r="C498" s="2" t="s">
        <v>666</v>
      </c>
      <c r="D498" s="2" t="s">
        <v>2470</v>
      </c>
      <c r="E498" s="2" t="s">
        <v>2471</v>
      </c>
      <c r="F498" s="2" t="s">
        <v>2506</v>
      </c>
      <c r="G498" s="2" t="s">
        <v>2506</v>
      </c>
      <c r="H498" s="2" t="s">
        <v>2506</v>
      </c>
      <c r="I498" s="2" t="s">
        <v>2507</v>
      </c>
      <c r="J498" s="2" t="s">
        <v>227</v>
      </c>
      <c r="K498" s="2" t="s">
        <v>2508</v>
      </c>
      <c r="L498" s="3">
        <v>24.8</v>
      </c>
      <c r="M498" s="3">
        <v>26.04</v>
      </c>
      <c r="N498" s="3">
        <v>49.99</v>
      </c>
      <c r="O498" s="2" t="s">
        <v>443</v>
      </c>
      <c r="P498" s="2" t="s">
        <v>188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100</v>
      </c>
      <c r="V498" s="2" t="s">
        <v>310</v>
      </c>
      <c r="W498" s="2" t="s">
        <v>102</v>
      </c>
      <c r="X498" s="2" t="s">
        <v>2500</v>
      </c>
      <c r="Y498" s="2" t="s">
        <v>2501</v>
      </c>
      <c r="Z498" s="4">
        <v>72</v>
      </c>
      <c r="AA498" s="4">
        <f>=ROUNDDOWN(360,0)</f>
      </c>
      <c r="AB498" s="5">
        <v>0.2</v>
      </c>
      <c r="AC498" s="2" t="s">
        <v>99</v>
      </c>
      <c r="AD498" s="4"/>
      <c r="AE498" s="4"/>
      <c r="AF498" s="6">
        <v>63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2</v>
      </c>
      <c r="BK498" s="8">
        <v>36.74</v>
      </c>
      <c r="BL498" s="2" t="s">
        <v>1289</v>
      </c>
      <c r="BM498" s="7"/>
      <c r="BN498" s="7"/>
      <c r="BO498" s="4"/>
      <c r="BP498" s="8"/>
      <c r="BQ498" s="4"/>
      <c r="BR498" s="8"/>
      <c r="BS498" s="7"/>
      <c r="BT498" s="7"/>
      <c r="BU498" s="2" t="s">
        <v>306</v>
      </c>
      <c r="BV498" s="2" t="s">
        <v>122</v>
      </c>
      <c r="BW498" s="2" t="s">
        <v>99</v>
      </c>
      <c r="BX498" s="2" t="s">
        <v>99</v>
      </c>
      <c r="BY498" s="2" t="s">
        <v>109</v>
      </c>
      <c r="BZ498" s="2" t="s">
        <v>109</v>
      </c>
      <c r="CA498" s="2" t="s">
        <v>99</v>
      </c>
    </row>
    <row r="499">
      <c r="A499" s="2" t="s">
        <v>2509</v>
      </c>
      <c r="B499" s="2" t="s">
        <v>2469</v>
      </c>
      <c r="C499" s="2" t="s">
        <v>666</v>
      </c>
      <c r="D499" s="2" t="s">
        <v>2470</v>
      </c>
      <c r="E499" s="2" t="s">
        <v>2471</v>
      </c>
      <c r="F499" s="2" t="s">
        <v>2510</v>
      </c>
      <c r="G499" s="2" t="s">
        <v>2510</v>
      </c>
      <c r="H499" s="2" t="s">
        <v>2510</v>
      </c>
      <c r="I499" s="2" t="s">
        <v>2511</v>
      </c>
      <c r="J499" s="2" t="s">
        <v>227</v>
      </c>
      <c r="K499" s="2" t="s">
        <v>2512</v>
      </c>
      <c r="L499" s="3">
        <v>34.32</v>
      </c>
      <c r="M499" s="3">
        <v>36.04</v>
      </c>
      <c r="N499" s="3">
        <v>69.99</v>
      </c>
      <c r="O499" s="2" t="s">
        <v>443</v>
      </c>
      <c r="P499" s="2" t="s">
        <v>188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100</v>
      </c>
      <c r="V499" s="2" t="s">
        <v>310</v>
      </c>
      <c r="W499" s="2" t="s">
        <v>102</v>
      </c>
      <c r="X499" s="2" t="s">
        <v>99</v>
      </c>
      <c r="Y499" s="2" t="s">
        <v>2513</v>
      </c>
      <c r="Z499" s="4">
        <v>133</v>
      </c>
      <c r="AA499" s="4">
        <f>=ROUNDDOWN(70,0)</f>
      </c>
      <c r="AB499" s="5">
        <v>1.9</v>
      </c>
      <c r="AC499" s="2" t="s">
        <v>99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19</v>
      </c>
      <c r="BK499" s="8">
        <v>394.29</v>
      </c>
      <c r="BL499" s="2" t="s">
        <v>751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122</v>
      </c>
      <c r="BW499" s="2" t="s">
        <v>99</v>
      </c>
      <c r="BX499" s="2" t="s">
        <v>99</v>
      </c>
      <c r="BY499" s="2" t="s">
        <v>109</v>
      </c>
      <c r="BZ499" s="2" t="s">
        <v>109</v>
      </c>
      <c r="CA499" s="2" t="s">
        <v>99</v>
      </c>
    </row>
    <row r="500">
      <c r="A500" s="2" t="s">
        <v>2514</v>
      </c>
      <c r="B500" s="2" t="s">
        <v>2469</v>
      </c>
      <c r="C500" s="2" t="s">
        <v>666</v>
      </c>
      <c r="D500" s="2" t="s">
        <v>2470</v>
      </c>
      <c r="E500" s="2" t="s">
        <v>2471</v>
      </c>
      <c r="F500" s="2" t="s">
        <v>2515</v>
      </c>
      <c r="G500" s="2" t="s">
        <v>2515</v>
      </c>
      <c r="H500" s="2" t="s">
        <v>2515</v>
      </c>
      <c r="I500" s="2" t="s">
        <v>2516</v>
      </c>
      <c r="J500" s="2" t="s">
        <v>227</v>
      </c>
      <c r="K500" s="2" t="s">
        <v>2517</v>
      </c>
      <c r="L500" s="3">
        <v>16.43</v>
      </c>
      <c r="M500" s="3">
        <v>17.25</v>
      </c>
      <c r="N500" s="3">
        <v>34.99</v>
      </c>
      <c r="O500" s="2" t="s">
        <v>443</v>
      </c>
      <c r="P500" s="2" t="s">
        <v>188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100</v>
      </c>
      <c r="V500" s="2" t="s">
        <v>310</v>
      </c>
      <c r="W500" s="2" t="s">
        <v>761</v>
      </c>
      <c r="X500" s="2" t="s">
        <v>99</v>
      </c>
      <c r="Y500" s="2" t="s">
        <v>2518</v>
      </c>
      <c r="Z500" s="4">
        <v>85</v>
      </c>
      <c r="AA500" s="4">
        <f>=ROUNDDOWN(42.5,0)</f>
      </c>
      <c r="AB500" s="5">
        <v>2</v>
      </c>
      <c r="AC500" s="2" t="s">
        <v>99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15</v>
      </c>
      <c r="BK500" s="8">
        <v>151.52</v>
      </c>
      <c r="BL500" s="2" t="s">
        <v>2519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122</v>
      </c>
      <c r="BW500" s="2" t="s">
        <v>99</v>
      </c>
      <c r="BX500" s="2" t="s">
        <v>99</v>
      </c>
      <c r="BY500" s="2" t="s">
        <v>109</v>
      </c>
      <c r="BZ500" s="2" t="s">
        <v>109</v>
      </c>
      <c r="CA500" s="2" t="s">
        <v>99</v>
      </c>
    </row>
    <row r="501">
      <c r="A501" s="2" t="s">
        <v>2520</v>
      </c>
      <c r="B501" s="2" t="s">
        <v>2469</v>
      </c>
      <c r="C501" s="2" t="s">
        <v>666</v>
      </c>
      <c r="D501" s="2" t="s">
        <v>2470</v>
      </c>
      <c r="E501" s="2" t="s">
        <v>2471</v>
      </c>
      <c r="F501" s="2" t="s">
        <v>2521</v>
      </c>
      <c r="G501" s="2" t="s">
        <v>2521</v>
      </c>
      <c r="H501" s="2" t="s">
        <v>2521</v>
      </c>
      <c r="I501" s="2" t="s">
        <v>2522</v>
      </c>
      <c r="J501" s="2" t="s">
        <v>227</v>
      </c>
      <c r="K501" s="2" t="s">
        <v>234</v>
      </c>
      <c r="L501" s="3">
        <v>40.5</v>
      </c>
      <c r="M501" s="3">
        <v>42.52</v>
      </c>
      <c r="N501" s="3">
        <v>94.99</v>
      </c>
      <c r="O501" s="2" t="s">
        <v>443</v>
      </c>
      <c r="P501" s="2" t="s">
        <v>188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100</v>
      </c>
      <c r="V501" s="2" t="s">
        <v>310</v>
      </c>
      <c r="W501" s="2" t="s">
        <v>102</v>
      </c>
      <c r="X501" s="2" t="s">
        <v>2500</v>
      </c>
      <c r="Y501" s="2" t="s">
        <v>2501</v>
      </c>
      <c r="Z501" s="4">
        <v>43</v>
      </c>
      <c r="AA501" s="4">
        <f>=ROUNDDOWN(28.6666666666667,0)</f>
      </c>
      <c r="AB501" s="5">
        <v>1.5</v>
      </c>
      <c r="AC501" s="2" t="s">
        <v>99</v>
      </c>
      <c r="AD501" s="4"/>
      <c r="AE501" s="4"/>
      <c r="AF501" s="6">
        <v>63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5</v>
      </c>
      <c r="BK501" s="8">
        <v>190.26</v>
      </c>
      <c r="BL501" s="2" t="s">
        <v>2523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122</v>
      </c>
      <c r="BW501" s="2" t="s">
        <v>99</v>
      </c>
      <c r="BX501" s="2" t="s">
        <v>638</v>
      </c>
      <c r="BY501" s="2" t="s">
        <v>109</v>
      </c>
      <c r="BZ501" s="2" t="s">
        <v>109</v>
      </c>
      <c r="CA501" s="2" t="s">
        <v>99</v>
      </c>
    </row>
    <row r="502">
      <c r="A502" s="2" t="s">
        <v>2524</v>
      </c>
      <c r="B502" s="2" t="s">
        <v>2469</v>
      </c>
      <c r="C502" s="2" t="s">
        <v>666</v>
      </c>
      <c r="D502" s="2" t="s">
        <v>2525</v>
      </c>
      <c r="E502" s="2" t="s">
        <v>2526</v>
      </c>
      <c r="F502" s="2" t="s">
        <v>2527</v>
      </c>
      <c r="G502" s="2" t="s">
        <v>2527</v>
      </c>
      <c r="H502" s="2" t="s">
        <v>2527</v>
      </c>
      <c r="I502" s="2" t="s">
        <v>2528</v>
      </c>
      <c r="J502" s="2" t="s">
        <v>227</v>
      </c>
      <c r="K502" s="2" t="s">
        <v>2529</v>
      </c>
      <c r="L502" s="3">
        <v>67.24</v>
      </c>
      <c r="M502" s="3">
        <v>70.6</v>
      </c>
      <c r="N502" s="3">
        <v>159.99</v>
      </c>
      <c r="O502" s="2" t="s">
        <v>96</v>
      </c>
      <c r="P502" s="2" t="s">
        <v>97</v>
      </c>
      <c r="Q502" s="2" t="s">
        <v>98</v>
      </c>
      <c r="R502" s="2" t="s">
        <v>99</v>
      </c>
      <c r="S502" s="2" t="s">
        <v>2530</v>
      </c>
      <c r="T502" s="2" t="s">
        <v>99</v>
      </c>
      <c r="U502" s="2" t="s">
        <v>99</v>
      </c>
      <c r="V502" s="2" t="s">
        <v>181</v>
      </c>
      <c r="W502" s="2" t="s">
        <v>761</v>
      </c>
      <c r="X502" s="2" t="s">
        <v>102</v>
      </c>
      <c r="Y502" s="2" t="s">
        <v>855</v>
      </c>
      <c r="Z502" s="4">
        <v>285</v>
      </c>
      <c r="AA502" s="4">
        <f>=ROUNDDOWN(12.5550660792952,0)</f>
      </c>
      <c r="AB502" s="5">
        <v>22.7</v>
      </c>
      <c r="AC502" s="2" t="s">
        <v>1368</v>
      </c>
      <c r="AD502" s="4">
        <v>100</v>
      </c>
      <c r="AE502" s="4">
        <v>280</v>
      </c>
      <c r="AF502" s="6">
        <v>64</v>
      </c>
      <c r="AG502" s="6">
        <v>47</v>
      </c>
      <c r="AH502" s="7">
        <v>0.8621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>
        <v>35</v>
      </c>
      <c r="AQ502" s="8">
        <v>2841.65</v>
      </c>
      <c r="AR502" s="4"/>
      <c r="AS502" s="8"/>
      <c r="AT502" s="7"/>
      <c r="AU502" s="7"/>
      <c r="AV502" s="4">
        <v>35</v>
      </c>
      <c r="AW502" s="8">
        <v>2841.65</v>
      </c>
      <c r="AX502" s="4"/>
      <c r="AY502" s="8"/>
      <c r="AZ502" s="7"/>
      <c r="BA502" s="7"/>
      <c r="BB502" s="7">
        <v>1</v>
      </c>
      <c r="BC502" s="4">
        <v>35</v>
      </c>
      <c r="BD502" s="8">
        <v>2841.65</v>
      </c>
      <c r="BE502" s="4"/>
      <c r="BF502" s="8"/>
      <c r="BG502" s="7"/>
      <c r="BH502" s="7"/>
      <c r="BI502" s="7">
        <v>1</v>
      </c>
      <c r="BJ502" s="4">
        <v>99</v>
      </c>
      <c r="BK502" s="8">
        <v>7414.67</v>
      </c>
      <c r="BL502" s="2" t="s">
        <v>2531</v>
      </c>
      <c r="BM502" s="7">
        <v>0.3535</v>
      </c>
      <c r="BN502" s="7">
        <v>0.3832</v>
      </c>
      <c r="BO502" s="4">
        <v>35</v>
      </c>
      <c r="BP502" s="8">
        <v>2841.65</v>
      </c>
      <c r="BQ502" s="4"/>
      <c r="BR502" s="8"/>
      <c r="BS502" s="7"/>
      <c r="BT502" s="7"/>
      <c r="BU502" s="2" t="s">
        <v>107</v>
      </c>
      <c r="BV502" s="2" t="s">
        <v>96</v>
      </c>
      <c r="BW502" s="2" t="s">
        <v>99</v>
      </c>
      <c r="BX502" s="2" t="s">
        <v>2230</v>
      </c>
      <c r="BY502" s="2" t="s">
        <v>109</v>
      </c>
      <c r="BZ502" s="2" t="s">
        <v>109</v>
      </c>
      <c r="CA502" s="2" t="s">
        <v>99</v>
      </c>
    </row>
    <row r="503">
      <c r="A503" s="2" t="s">
        <v>2532</v>
      </c>
      <c r="B503" s="2" t="s">
        <v>2469</v>
      </c>
      <c r="C503" s="2" t="s">
        <v>666</v>
      </c>
      <c r="D503" s="2" t="s">
        <v>2525</v>
      </c>
      <c r="E503" s="2" t="s">
        <v>2526</v>
      </c>
      <c r="F503" s="2" t="s">
        <v>2533</v>
      </c>
      <c r="G503" s="2" t="s">
        <v>2533</v>
      </c>
      <c r="H503" s="2" t="s">
        <v>2533</v>
      </c>
      <c r="I503" s="2" t="s">
        <v>2534</v>
      </c>
      <c r="J503" s="2" t="s">
        <v>227</v>
      </c>
      <c r="K503" s="2" t="s">
        <v>2453</v>
      </c>
      <c r="L503" s="3">
        <v>43.2</v>
      </c>
      <c r="M503" s="3">
        <v>45.36</v>
      </c>
      <c r="N503" s="3">
        <v>99.99</v>
      </c>
      <c r="O503" s="2" t="s">
        <v>96</v>
      </c>
      <c r="P503" s="2" t="s">
        <v>131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100</v>
      </c>
      <c r="V503" s="2" t="s">
        <v>310</v>
      </c>
      <c r="W503" s="2" t="s">
        <v>158</v>
      </c>
      <c r="X503" s="2" t="s">
        <v>99</v>
      </c>
      <c r="Y503" s="2" t="s">
        <v>1946</v>
      </c>
      <c r="Z503" s="4">
        <v>58</v>
      </c>
      <c r="AA503" s="4">
        <f>=ROUNDDOWN(8.92307692307692,0)</f>
      </c>
      <c r="AB503" s="5">
        <v>6.5</v>
      </c>
      <c r="AC503" s="2" t="s">
        <v>2487</v>
      </c>
      <c r="AD503" s="4">
        <v>100</v>
      </c>
      <c r="AE503" s="4">
        <v>100</v>
      </c>
      <c r="AF503" s="6">
        <v>64</v>
      </c>
      <c r="AG503" s="6"/>
      <c r="AH503" s="7">
        <v>0.3448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>
        <v>21</v>
      </c>
      <c r="AQ503" s="8">
        <v>1159.2</v>
      </c>
      <c r="AR503" s="4"/>
      <c r="AS503" s="8"/>
      <c r="AT503" s="7"/>
      <c r="AU503" s="7"/>
      <c r="AV503" s="4">
        <v>21</v>
      </c>
      <c r="AW503" s="8">
        <v>1159.2</v>
      </c>
      <c r="AX503" s="4"/>
      <c r="AY503" s="8"/>
      <c r="AZ503" s="7"/>
      <c r="BA503" s="7"/>
      <c r="BB503" s="7">
        <v>1</v>
      </c>
      <c r="BC503" s="4">
        <v>21</v>
      </c>
      <c r="BD503" s="8">
        <v>1159.2</v>
      </c>
      <c r="BE503" s="4"/>
      <c r="BF503" s="8"/>
      <c r="BG503" s="7"/>
      <c r="BH503" s="7"/>
      <c r="BI503" s="7">
        <v>1</v>
      </c>
      <c r="BJ503" s="4">
        <v>35</v>
      </c>
      <c r="BK503" s="8">
        <v>2069.12</v>
      </c>
      <c r="BL503" s="2" t="s">
        <v>2535</v>
      </c>
      <c r="BM503" s="7">
        <v>0.6</v>
      </c>
      <c r="BN503" s="7">
        <v>0.5602</v>
      </c>
      <c r="BO503" s="4">
        <v>21</v>
      </c>
      <c r="BP503" s="8">
        <v>1159.2</v>
      </c>
      <c r="BQ503" s="4"/>
      <c r="BR503" s="8"/>
      <c r="BS503" s="7"/>
      <c r="BT503" s="7"/>
      <c r="BU503" s="2" t="s">
        <v>107</v>
      </c>
      <c r="BV503" s="2" t="s">
        <v>96</v>
      </c>
      <c r="BW503" s="2" t="s">
        <v>99</v>
      </c>
      <c r="BX503" s="2" t="s">
        <v>2536</v>
      </c>
      <c r="BY503" s="2" t="s">
        <v>109</v>
      </c>
      <c r="BZ503" s="2" t="s">
        <v>109</v>
      </c>
      <c r="CA503" s="2" t="s">
        <v>99</v>
      </c>
    </row>
    <row r="504">
      <c r="A504" s="2" t="s">
        <v>2537</v>
      </c>
      <c r="B504" s="2" t="s">
        <v>2469</v>
      </c>
      <c r="C504" s="2" t="s">
        <v>666</v>
      </c>
      <c r="D504" s="2" t="s">
        <v>2525</v>
      </c>
      <c r="E504" s="2" t="s">
        <v>2526</v>
      </c>
      <c r="F504" s="2" t="s">
        <v>2538</v>
      </c>
      <c r="G504" s="2" t="s">
        <v>2538</v>
      </c>
      <c r="H504" s="2" t="s">
        <v>2538</v>
      </c>
      <c r="I504" s="2" t="s">
        <v>2539</v>
      </c>
      <c r="J504" s="2" t="s">
        <v>227</v>
      </c>
      <c r="K504" s="2" t="s">
        <v>118</v>
      </c>
      <c r="L504" s="3">
        <v>43.99</v>
      </c>
      <c r="M504" s="3">
        <v>46.19</v>
      </c>
      <c r="N504" s="3">
        <v>99.99</v>
      </c>
      <c r="O504" s="2" t="s">
        <v>96</v>
      </c>
      <c r="P504" s="2" t="s">
        <v>386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100</v>
      </c>
      <c r="V504" s="2" t="s">
        <v>310</v>
      </c>
      <c r="W504" s="2" t="s">
        <v>102</v>
      </c>
      <c r="X504" s="2" t="s">
        <v>257</v>
      </c>
      <c r="Y504" s="2" t="s">
        <v>2540</v>
      </c>
      <c r="Z504" s="4">
        <v>2</v>
      </c>
      <c r="AA504" s="4">
        <f>=ROUNDDOWN(0.5,0)</f>
      </c>
      <c r="AB504" s="5">
        <v>4</v>
      </c>
      <c r="AC504" s="2" t="s">
        <v>99</v>
      </c>
      <c r="AD504" s="4"/>
      <c r="AE504" s="4"/>
      <c r="AF504" s="6">
        <v>64</v>
      </c>
      <c r="AG504" s="6"/>
      <c r="AH504" s="7">
        <v>0.7586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>
        <v>7</v>
      </c>
      <c r="AQ504" s="8">
        <v>354.13</v>
      </c>
      <c r="AR504" s="4"/>
      <c r="AS504" s="8"/>
      <c r="AT504" s="7"/>
      <c r="AU504" s="7"/>
      <c r="AV504" s="4">
        <v>7</v>
      </c>
      <c r="AW504" s="8">
        <v>354.13</v>
      </c>
      <c r="AX504" s="4"/>
      <c r="AY504" s="8"/>
      <c r="AZ504" s="7"/>
      <c r="BA504" s="7"/>
      <c r="BB504" s="7">
        <v>1</v>
      </c>
      <c r="BC504" s="4">
        <v>7</v>
      </c>
      <c r="BD504" s="8">
        <v>354.13</v>
      </c>
      <c r="BE504" s="4"/>
      <c r="BF504" s="8"/>
      <c r="BG504" s="7"/>
      <c r="BH504" s="7"/>
      <c r="BI504" s="7">
        <v>1</v>
      </c>
      <c r="BJ504" s="4">
        <v>43</v>
      </c>
      <c r="BK504" s="8">
        <v>1897.21</v>
      </c>
      <c r="BL504" s="2" t="s">
        <v>2541</v>
      </c>
      <c r="BM504" s="7">
        <v>0.1628</v>
      </c>
      <c r="BN504" s="7">
        <v>0.1867</v>
      </c>
      <c r="BO504" s="4">
        <v>7</v>
      </c>
      <c r="BP504" s="8">
        <v>354.13</v>
      </c>
      <c r="BQ504" s="4"/>
      <c r="BR504" s="8"/>
      <c r="BS504" s="7"/>
      <c r="BT504" s="7"/>
      <c r="BU504" s="2" t="s">
        <v>107</v>
      </c>
      <c r="BV504" s="2" t="s">
        <v>96</v>
      </c>
      <c r="BW504" s="2" t="s">
        <v>99</v>
      </c>
      <c r="BX504" s="2" t="s">
        <v>1794</v>
      </c>
      <c r="BY504" s="2" t="s">
        <v>109</v>
      </c>
      <c r="BZ504" s="2" t="s">
        <v>109</v>
      </c>
      <c r="CA504" s="2" t="s">
        <v>99</v>
      </c>
    </row>
    <row r="505">
      <c r="A505" s="2" t="s">
        <v>2542</v>
      </c>
      <c r="B505" s="2" t="s">
        <v>2469</v>
      </c>
      <c r="C505" s="2" t="s">
        <v>666</v>
      </c>
      <c r="D505" s="2" t="s">
        <v>2525</v>
      </c>
      <c r="E505" s="2" t="s">
        <v>2526</v>
      </c>
      <c r="F505" s="2" t="s">
        <v>2543</v>
      </c>
      <c r="G505" s="2" t="s">
        <v>2543</v>
      </c>
      <c r="H505" s="2" t="s">
        <v>2543</v>
      </c>
      <c r="I505" s="2" t="s">
        <v>2544</v>
      </c>
      <c r="J505" s="2" t="s">
        <v>227</v>
      </c>
      <c r="K505" s="2" t="s">
        <v>2529</v>
      </c>
      <c r="L505" s="3">
        <v>38.7</v>
      </c>
      <c r="M505" s="3">
        <v>40.64</v>
      </c>
      <c r="N505" s="3">
        <v>89.99</v>
      </c>
      <c r="O505" s="2" t="s">
        <v>96</v>
      </c>
      <c r="P505" s="2" t="s">
        <v>131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100</v>
      </c>
      <c r="V505" s="2" t="s">
        <v>310</v>
      </c>
      <c r="W505" s="2" t="s">
        <v>761</v>
      </c>
      <c r="X505" s="2" t="s">
        <v>99</v>
      </c>
      <c r="Y505" s="2" t="s">
        <v>1946</v>
      </c>
      <c r="Z505" s="4">
        <v>80</v>
      </c>
      <c r="AA505" s="4">
        <f>=ROUNDDOWN(10.126582278481,0)</f>
      </c>
      <c r="AB505" s="5">
        <v>7.9</v>
      </c>
      <c r="AC505" s="2" t="s">
        <v>1368</v>
      </c>
      <c r="AD505" s="4">
        <v>140</v>
      </c>
      <c r="AE505" s="4">
        <v>140</v>
      </c>
      <c r="AF505" s="6">
        <v>64</v>
      </c>
      <c r="AG505" s="6"/>
      <c r="AH505" s="7">
        <v>0.3448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>
        <v>6</v>
      </c>
      <c r="AQ505" s="8">
        <v>296.7</v>
      </c>
      <c r="AR505" s="4"/>
      <c r="AS505" s="8"/>
      <c r="AT505" s="7"/>
      <c r="AU505" s="7"/>
      <c r="AV505" s="4">
        <v>6</v>
      </c>
      <c r="AW505" s="8">
        <v>296.7</v>
      </c>
      <c r="AX505" s="4"/>
      <c r="AY505" s="8"/>
      <c r="AZ505" s="7"/>
      <c r="BA505" s="7"/>
      <c r="BB505" s="7">
        <v>1</v>
      </c>
      <c r="BC505" s="4">
        <v>6</v>
      </c>
      <c r="BD505" s="8">
        <v>296.7</v>
      </c>
      <c r="BE505" s="4"/>
      <c r="BF505" s="8"/>
      <c r="BG505" s="7"/>
      <c r="BH505" s="7"/>
      <c r="BI505" s="7">
        <v>1</v>
      </c>
      <c r="BJ505" s="4">
        <v>14</v>
      </c>
      <c r="BK505" s="8">
        <v>694.66</v>
      </c>
      <c r="BL505" s="2" t="s">
        <v>2545</v>
      </c>
      <c r="BM505" s="7">
        <v>0.4286</v>
      </c>
      <c r="BN505" s="7">
        <v>0.4271</v>
      </c>
      <c r="BO505" s="4">
        <v>6</v>
      </c>
      <c r="BP505" s="8">
        <v>296.7</v>
      </c>
      <c r="BQ505" s="4"/>
      <c r="BR505" s="8"/>
      <c r="BS505" s="7"/>
      <c r="BT505" s="7"/>
      <c r="BU505" s="2" t="s">
        <v>107</v>
      </c>
      <c r="BV505" s="2" t="s">
        <v>96</v>
      </c>
      <c r="BW505" s="2" t="s">
        <v>99</v>
      </c>
      <c r="BX505" s="2" t="s">
        <v>2536</v>
      </c>
      <c r="BY505" s="2" t="s">
        <v>109</v>
      </c>
      <c r="BZ505" s="2" t="s">
        <v>109</v>
      </c>
      <c r="CA505" s="2" t="s">
        <v>99</v>
      </c>
    </row>
    <row r="506">
      <c r="A506" s="2" t="s">
        <v>2546</v>
      </c>
      <c r="B506" s="2" t="s">
        <v>2469</v>
      </c>
      <c r="C506" s="2" t="s">
        <v>666</v>
      </c>
      <c r="D506" s="2" t="s">
        <v>2525</v>
      </c>
      <c r="E506" s="2" t="s">
        <v>2526</v>
      </c>
      <c r="F506" s="2" t="s">
        <v>2547</v>
      </c>
      <c r="G506" s="2" t="s">
        <v>2547</v>
      </c>
      <c r="H506" s="2" t="s">
        <v>2547</v>
      </c>
      <c r="I506" s="2" t="s">
        <v>2548</v>
      </c>
      <c r="J506" s="2" t="s">
        <v>227</v>
      </c>
      <c r="K506" s="2" t="s">
        <v>2549</v>
      </c>
      <c r="L506" s="3">
        <v>44.37</v>
      </c>
      <c r="M506" s="3">
        <v>46.59</v>
      </c>
      <c r="N506" s="3">
        <v>104.99</v>
      </c>
      <c r="O506" s="2" t="s">
        <v>96</v>
      </c>
      <c r="P506" s="2" t="s">
        <v>131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100</v>
      </c>
      <c r="V506" s="2" t="s">
        <v>310</v>
      </c>
      <c r="W506" s="2" t="s">
        <v>102</v>
      </c>
      <c r="X506" s="2" t="s">
        <v>761</v>
      </c>
      <c r="Y506" s="2" t="s">
        <v>2550</v>
      </c>
      <c r="Z506" s="4">
        <v>118</v>
      </c>
      <c r="AA506" s="4">
        <f>=ROUNDDOWN(29.5,0)</f>
      </c>
      <c r="AB506" s="5">
        <v>4</v>
      </c>
      <c r="AC506" s="2" t="s">
        <v>99</v>
      </c>
      <c r="AD506" s="4"/>
      <c r="AE506" s="4"/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>
        <v>2</v>
      </c>
      <c r="AQ506" s="8">
        <v>133.4</v>
      </c>
      <c r="AR506" s="4"/>
      <c r="AS506" s="8"/>
      <c r="AT506" s="7"/>
      <c r="AU506" s="7"/>
      <c r="AV506" s="4">
        <v>2</v>
      </c>
      <c r="AW506" s="8">
        <v>133.4</v>
      </c>
      <c r="AX506" s="4"/>
      <c r="AY506" s="8"/>
      <c r="AZ506" s="7"/>
      <c r="BA506" s="7"/>
      <c r="BB506" s="7">
        <v>1</v>
      </c>
      <c r="BC506" s="4">
        <v>2</v>
      </c>
      <c r="BD506" s="8">
        <v>133.4</v>
      </c>
      <c r="BE506" s="4"/>
      <c r="BF506" s="8"/>
      <c r="BG506" s="7"/>
      <c r="BH506" s="7"/>
      <c r="BI506" s="7">
        <v>1</v>
      </c>
      <c r="BJ506" s="4">
        <v>23</v>
      </c>
      <c r="BK506" s="8">
        <v>1172.03</v>
      </c>
      <c r="BL506" s="2" t="s">
        <v>2551</v>
      </c>
      <c r="BM506" s="7">
        <v>0.087</v>
      </c>
      <c r="BN506" s="7">
        <v>0.1138</v>
      </c>
      <c r="BO506" s="4">
        <v>2</v>
      </c>
      <c r="BP506" s="8">
        <v>133.4</v>
      </c>
      <c r="BQ506" s="4"/>
      <c r="BR506" s="8"/>
      <c r="BS506" s="7"/>
      <c r="BT506" s="7"/>
      <c r="BU506" s="2" t="s">
        <v>306</v>
      </c>
      <c r="BV506" s="2" t="s">
        <v>96</v>
      </c>
      <c r="BW506" s="2" t="s">
        <v>99</v>
      </c>
      <c r="BX506" s="2" t="s">
        <v>99</v>
      </c>
      <c r="BY506" s="2" t="s">
        <v>109</v>
      </c>
      <c r="BZ506" s="2" t="s">
        <v>109</v>
      </c>
      <c r="CA506" s="2" t="s">
        <v>99</v>
      </c>
    </row>
    <row r="507">
      <c r="A507" s="2" t="s">
        <v>2552</v>
      </c>
      <c r="B507" s="2" t="s">
        <v>2469</v>
      </c>
      <c r="C507" s="2" t="s">
        <v>666</v>
      </c>
      <c r="D507" s="2" t="s">
        <v>2525</v>
      </c>
      <c r="E507" s="2" t="s">
        <v>2526</v>
      </c>
      <c r="F507" s="2" t="s">
        <v>2553</v>
      </c>
      <c r="G507" s="2" t="s">
        <v>2554</v>
      </c>
      <c r="H507" s="2" t="s">
        <v>2553</v>
      </c>
      <c r="I507" s="2" t="s">
        <v>2555</v>
      </c>
      <c r="J507" s="2" t="s">
        <v>227</v>
      </c>
      <c r="K507" s="2" t="s">
        <v>274</v>
      </c>
      <c r="L507" s="3">
        <v>53</v>
      </c>
      <c r="M507" s="3">
        <v>55.65</v>
      </c>
      <c r="N507" s="3">
        <v>109.99</v>
      </c>
      <c r="O507" s="2" t="s">
        <v>96</v>
      </c>
      <c r="P507" s="2" t="s">
        <v>131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100</v>
      </c>
      <c r="V507" s="2" t="s">
        <v>310</v>
      </c>
      <c r="W507" s="2" t="s">
        <v>2556</v>
      </c>
      <c r="X507" s="2" t="s">
        <v>102</v>
      </c>
      <c r="Y507" s="2" t="s">
        <v>2557</v>
      </c>
      <c r="Z507" s="4">
        <v>16</v>
      </c>
      <c r="AA507" s="4">
        <f>=ROUNDDOWN(2.28571428571429,0)</f>
      </c>
      <c r="AB507" s="5">
        <v>7</v>
      </c>
      <c r="AC507" s="2" t="s">
        <v>2476</v>
      </c>
      <c r="AD507" s="4">
        <v>100</v>
      </c>
      <c r="AE507" s="4">
        <v>100</v>
      </c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>
        <v>2</v>
      </c>
      <c r="AQ507" s="8">
        <v>121.9</v>
      </c>
      <c r="AR507" s="4"/>
      <c r="AS507" s="8"/>
      <c r="AT507" s="7"/>
      <c r="AU507" s="7"/>
      <c r="AV507" s="4">
        <v>2</v>
      </c>
      <c r="AW507" s="8">
        <v>121.9</v>
      </c>
      <c r="AX507" s="4"/>
      <c r="AY507" s="8"/>
      <c r="AZ507" s="7"/>
      <c r="BA507" s="7"/>
      <c r="BB507" s="7">
        <v>1</v>
      </c>
      <c r="BC507" s="4">
        <v>2</v>
      </c>
      <c r="BD507" s="8">
        <v>121.9</v>
      </c>
      <c r="BE507" s="4"/>
      <c r="BF507" s="8"/>
      <c r="BG507" s="7"/>
      <c r="BH507" s="7"/>
      <c r="BI507" s="7">
        <v>1</v>
      </c>
      <c r="BJ507" s="4">
        <v>48</v>
      </c>
      <c r="BK507" s="8">
        <v>2850.57</v>
      </c>
      <c r="BL507" s="2" t="s">
        <v>2558</v>
      </c>
      <c r="BM507" s="7">
        <v>0.0417</v>
      </c>
      <c r="BN507" s="7">
        <v>0.0428</v>
      </c>
      <c r="BO507" s="4">
        <v>2</v>
      </c>
      <c r="BP507" s="8">
        <v>121.9</v>
      </c>
      <c r="BQ507" s="4"/>
      <c r="BR507" s="8"/>
      <c r="BS507" s="7"/>
      <c r="BT507" s="7"/>
      <c r="BU507" s="2" t="s">
        <v>306</v>
      </c>
      <c r="BV507" s="2" t="s">
        <v>96</v>
      </c>
      <c r="BW507" s="2" t="s">
        <v>99</v>
      </c>
      <c r="BX507" s="2" t="s">
        <v>99</v>
      </c>
      <c r="BY507" s="2" t="s">
        <v>109</v>
      </c>
      <c r="BZ507" s="2" t="s">
        <v>109</v>
      </c>
      <c r="CA507" s="2" t="s">
        <v>99</v>
      </c>
    </row>
    <row r="508">
      <c r="A508" s="2" t="s">
        <v>2559</v>
      </c>
      <c r="B508" s="2" t="s">
        <v>2469</v>
      </c>
      <c r="C508" s="2" t="s">
        <v>666</v>
      </c>
      <c r="D508" s="2" t="s">
        <v>2525</v>
      </c>
      <c r="E508" s="2" t="s">
        <v>2526</v>
      </c>
      <c r="F508" s="2" t="s">
        <v>2560</v>
      </c>
      <c r="G508" s="2" t="s">
        <v>2560</v>
      </c>
      <c r="H508" s="2" t="s">
        <v>2560</v>
      </c>
      <c r="I508" s="2" t="s">
        <v>2561</v>
      </c>
      <c r="J508" s="2" t="s">
        <v>227</v>
      </c>
      <c r="K508" s="2" t="s">
        <v>784</v>
      </c>
      <c r="L508" s="3">
        <v>24.5</v>
      </c>
      <c r="M508" s="3">
        <v>25.73</v>
      </c>
      <c r="N508" s="3">
        <v>49.99</v>
      </c>
      <c r="O508" s="2" t="s">
        <v>443</v>
      </c>
      <c r="P508" s="2" t="s">
        <v>188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100</v>
      </c>
      <c r="V508" s="2" t="s">
        <v>310</v>
      </c>
      <c r="W508" s="2" t="s">
        <v>291</v>
      </c>
      <c r="X508" s="2" t="s">
        <v>102</v>
      </c>
      <c r="Y508" s="2" t="s">
        <v>2557</v>
      </c>
      <c r="Z508" s="4"/>
      <c r="AA508" s="4">
        <f>=ROUNDDOWN({0},0)</f>
      </c>
      <c r="AB508" s="5">
        <v>3.3</v>
      </c>
      <c r="AC508" s="2" t="s">
        <v>99</v>
      </c>
      <c r="AD508" s="4"/>
      <c r="AE508" s="4"/>
      <c r="AF508" s="6">
        <v>81</v>
      </c>
      <c r="AG508" s="6"/>
      <c r="AH508" s="7">
        <v>0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99</v>
      </c>
      <c r="BM508" s="7"/>
      <c r="BN508" s="7"/>
      <c r="BO508" s="4"/>
      <c r="BP508" s="8"/>
      <c r="BQ508" s="4"/>
      <c r="BR508" s="8"/>
      <c r="BS508" s="7"/>
      <c r="BT508" s="7"/>
      <c r="BU508" s="2" t="s">
        <v>306</v>
      </c>
      <c r="BV508" s="2" t="s">
        <v>96</v>
      </c>
      <c r="BW508" s="2" t="s">
        <v>99</v>
      </c>
      <c r="BX508" s="2" t="s">
        <v>99</v>
      </c>
      <c r="BY508" s="2" t="s">
        <v>109</v>
      </c>
      <c r="BZ508" s="2" t="s">
        <v>109</v>
      </c>
      <c r="CA508" s="2" t="s">
        <v>99</v>
      </c>
    </row>
    <row r="509">
      <c r="A509" s="2" t="s">
        <v>2562</v>
      </c>
      <c r="B509" s="2" t="s">
        <v>2469</v>
      </c>
      <c r="C509" s="2" t="s">
        <v>666</v>
      </c>
      <c r="D509" s="2" t="s">
        <v>2525</v>
      </c>
      <c r="E509" s="2" t="s">
        <v>2526</v>
      </c>
      <c r="F509" s="2" t="s">
        <v>2563</v>
      </c>
      <c r="G509" s="2" t="s">
        <v>2563</v>
      </c>
      <c r="H509" s="2" t="s">
        <v>2563</v>
      </c>
      <c r="I509" s="2" t="s">
        <v>2564</v>
      </c>
      <c r="J509" s="2" t="s">
        <v>227</v>
      </c>
      <c r="K509" s="2" t="s">
        <v>1099</v>
      </c>
      <c r="L509" s="3">
        <v>46.72</v>
      </c>
      <c r="M509" s="3">
        <v>49.06</v>
      </c>
      <c r="N509" s="3">
        <v>109.99</v>
      </c>
      <c r="O509" s="2" t="s">
        <v>304</v>
      </c>
      <c r="P509" s="2" t="s">
        <v>188</v>
      </c>
      <c r="Q509" s="2" t="s">
        <v>98</v>
      </c>
      <c r="R509" s="2" t="s">
        <v>99</v>
      </c>
      <c r="S509" s="2" t="s">
        <v>2565</v>
      </c>
      <c r="T509" s="2" t="s">
        <v>99</v>
      </c>
      <c r="U509" s="2" t="s">
        <v>99</v>
      </c>
      <c r="V509" s="2" t="s">
        <v>157</v>
      </c>
      <c r="W509" s="2" t="s">
        <v>102</v>
      </c>
      <c r="X509" s="2" t="s">
        <v>99</v>
      </c>
      <c r="Y509" s="2" t="s">
        <v>164</v>
      </c>
      <c r="Z509" s="4"/>
      <c r="AA509" s="4">
        <f>=ROUNDDOWN({0},0)</f>
      </c>
      <c r="AB509" s="5">
        <v>5.5</v>
      </c>
      <c r="AC509" s="2" t="s">
        <v>99</v>
      </c>
      <c r="AD509" s="4"/>
      <c r="AE509" s="4"/>
      <c r="AF509" s="6">
        <v>69</v>
      </c>
      <c r="AG509" s="6"/>
      <c r="AH509" s="7">
        <v>0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/>
      <c r="BK509" s="8"/>
      <c r="BL509" s="2" t="s">
        <v>99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96</v>
      </c>
      <c r="BW509" s="2" t="s">
        <v>423</v>
      </c>
      <c r="BX509" s="2" t="s">
        <v>2566</v>
      </c>
      <c r="BY509" s="2" t="s">
        <v>109</v>
      </c>
      <c r="BZ509" s="2" t="s">
        <v>109</v>
      </c>
      <c r="CA509" s="2" t="s">
        <v>99</v>
      </c>
    </row>
    <row r="510">
      <c r="A510" s="2" t="s">
        <v>2567</v>
      </c>
      <c r="B510" s="2" t="s">
        <v>2469</v>
      </c>
      <c r="C510" s="2" t="s">
        <v>666</v>
      </c>
      <c r="D510" s="2" t="s">
        <v>2525</v>
      </c>
      <c r="E510" s="2" t="s">
        <v>2526</v>
      </c>
      <c r="F510" s="2" t="s">
        <v>2568</v>
      </c>
      <c r="G510" s="2" t="s">
        <v>2568</v>
      </c>
      <c r="H510" s="2" t="s">
        <v>2568</v>
      </c>
      <c r="I510" s="2" t="s">
        <v>2569</v>
      </c>
      <c r="J510" s="2" t="s">
        <v>227</v>
      </c>
      <c r="K510" s="2" t="s">
        <v>2570</v>
      </c>
      <c r="L510" s="3">
        <v>108.45</v>
      </c>
      <c r="M510" s="3">
        <v>113.87</v>
      </c>
      <c r="N510" s="3">
        <v>249.99</v>
      </c>
      <c r="O510" s="2" t="s">
        <v>96</v>
      </c>
      <c r="P510" s="2" t="s">
        <v>97</v>
      </c>
      <c r="Q510" s="2" t="s">
        <v>98</v>
      </c>
      <c r="R510" s="2" t="s">
        <v>99</v>
      </c>
      <c r="S510" s="2" t="s">
        <v>2571</v>
      </c>
      <c r="T510" s="2" t="s">
        <v>99</v>
      </c>
      <c r="U510" s="2" t="s">
        <v>99</v>
      </c>
      <c r="V510" s="2" t="s">
        <v>157</v>
      </c>
      <c r="W510" s="2" t="s">
        <v>158</v>
      </c>
      <c r="X510" s="2" t="s">
        <v>99</v>
      </c>
      <c r="Y510" s="2" t="s">
        <v>2572</v>
      </c>
      <c r="Z510" s="4">
        <v>130</v>
      </c>
      <c r="AA510" s="4">
        <f>=ROUNDDOWN(8.125,0)</f>
      </c>
      <c r="AB510" s="5">
        <v>16</v>
      </c>
      <c r="AC510" s="2" t="s">
        <v>2487</v>
      </c>
      <c r="AD510" s="4">
        <v>100</v>
      </c>
      <c r="AE510" s="4">
        <v>260</v>
      </c>
      <c r="AF510" s="6">
        <v>64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91</v>
      </c>
      <c r="BK510" s="8">
        <v>9795.67</v>
      </c>
      <c r="BL510" s="2" t="s">
        <v>1979</v>
      </c>
      <c r="BM510" s="7"/>
      <c r="BN510" s="7"/>
      <c r="BO510" s="4"/>
      <c r="BP510" s="8"/>
      <c r="BQ510" s="4"/>
      <c r="BR510" s="8"/>
      <c r="BS510" s="7"/>
      <c r="BT510" s="7"/>
      <c r="BU510" s="2" t="s">
        <v>107</v>
      </c>
      <c r="BV510" s="2" t="s">
        <v>96</v>
      </c>
      <c r="BW510" s="2" t="s">
        <v>99</v>
      </c>
      <c r="BX510" s="2" t="s">
        <v>2573</v>
      </c>
      <c r="BY510" s="2" t="s">
        <v>109</v>
      </c>
      <c r="BZ510" s="2" t="s">
        <v>109</v>
      </c>
      <c r="CA510" s="2" t="s">
        <v>99</v>
      </c>
    </row>
    <row r="511">
      <c r="A511" s="2" t="s">
        <v>2574</v>
      </c>
      <c r="B511" s="2" t="s">
        <v>2469</v>
      </c>
      <c r="C511" s="2" t="s">
        <v>666</v>
      </c>
      <c r="D511" s="2" t="s">
        <v>2525</v>
      </c>
      <c r="E511" s="2" t="s">
        <v>2526</v>
      </c>
      <c r="F511" s="2" t="s">
        <v>2575</v>
      </c>
      <c r="G511" s="2" t="s">
        <v>2575</v>
      </c>
      <c r="H511" s="2" t="s">
        <v>2575</v>
      </c>
      <c r="I511" s="2" t="s">
        <v>2576</v>
      </c>
      <c r="J511" s="2" t="s">
        <v>227</v>
      </c>
      <c r="K511" s="2" t="s">
        <v>228</v>
      </c>
      <c r="L511" s="3">
        <v>41.94</v>
      </c>
      <c r="M511" s="3">
        <v>44.04</v>
      </c>
      <c r="N511" s="3">
        <v>89.99</v>
      </c>
      <c r="O511" s="2" t="s">
        <v>96</v>
      </c>
      <c r="P511" s="2" t="s">
        <v>131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100</v>
      </c>
      <c r="V511" s="2" t="s">
        <v>310</v>
      </c>
      <c r="W511" s="2" t="s">
        <v>102</v>
      </c>
      <c r="X511" s="2" t="s">
        <v>257</v>
      </c>
      <c r="Y511" s="2" t="s">
        <v>2577</v>
      </c>
      <c r="Z511" s="4">
        <v>156</v>
      </c>
      <c r="AA511" s="4">
        <f>=ROUNDDOWN(39,0)</f>
      </c>
      <c r="AB511" s="5">
        <v>4</v>
      </c>
      <c r="AC511" s="2" t="s">
        <v>99</v>
      </c>
      <c r="AD511" s="4"/>
      <c r="AE511" s="4"/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17</v>
      </c>
      <c r="BK511" s="8">
        <v>635.8</v>
      </c>
      <c r="BL511" s="2" t="s">
        <v>2578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96</v>
      </c>
      <c r="BW511" s="2" t="s">
        <v>99</v>
      </c>
      <c r="BX511" s="2" t="s">
        <v>2579</v>
      </c>
      <c r="BY511" s="2" t="s">
        <v>109</v>
      </c>
      <c r="BZ511" s="2" t="s">
        <v>109</v>
      </c>
      <c r="CA511" s="2" t="s">
        <v>99</v>
      </c>
    </row>
    <row r="512">
      <c r="A512" s="2" t="s">
        <v>2580</v>
      </c>
      <c r="B512" s="2" t="s">
        <v>2469</v>
      </c>
      <c r="C512" s="2" t="s">
        <v>666</v>
      </c>
      <c r="D512" s="2" t="s">
        <v>2525</v>
      </c>
      <c r="E512" s="2" t="s">
        <v>2526</v>
      </c>
      <c r="F512" s="2" t="s">
        <v>2581</v>
      </c>
      <c r="G512" s="2" t="s">
        <v>2581</v>
      </c>
      <c r="H512" s="2" t="s">
        <v>2581</v>
      </c>
      <c r="I512" s="2" t="s">
        <v>2582</v>
      </c>
      <c r="J512" s="2" t="s">
        <v>227</v>
      </c>
      <c r="K512" s="2" t="s">
        <v>2583</v>
      </c>
      <c r="L512" s="3">
        <v>55</v>
      </c>
      <c r="M512" s="3">
        <v>57.75</v>
      </c>
      <c r="N512" s="3">
        <v>114.99</v>
      </c>
      <c r="O512" s="2" t="s">
        <v>96</v>
      </c>
      <c r="P512" s="2" t="s">
        <v>386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100</v>
      </c>
      <c r="V512" s="2" t="s">
        <v>310</v>
      </c>
      <c r="W512" s="2" t="s">
        <v>291</v>
      </c>
      <c r="X512" s="2" t="s">
        <v>102</v>
      </c>
      <c r="Y512" s="2" t="s">
        <v>2584</v>
      </c>
      <c r="Z512" s="4"/>
      <c r="AA512" s="4">
        <f>=ROUNDDOWN({0},0)</f>
      </c>
      <c r="AB512" s="5">
        <v>4</v>
      </c>
      <c r="AC512" s="2" t="s">
        <v>99</v>
      </c>
      <c r="AD512" s="4"/>
      <c r="AE512" s="4"/>
      <c r="AF512" s="6">
        <v>64</v>
      </c>
      <c r="AG512" s="6"/>
      <c r="AH512" s="7">
        <v>0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99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96</v>
      </c>
      <c r="BW512" s="2" t="s">
        <v>99</v>
      </c>
      <c r="BX512" s="2" t="s">
        <v>1841</v>
      </c>
      <c r="BY512" s="2" t="s">
        <v>109</v>
      </c>
      <c r="BZ512" s="2" t="s">
        <v>109</v>
      </c>
      <c r="CA512" s="2" t="s">
        <v>99</v>
      </c>
    </row>
    <row r="513">
      <c r="A513" s="2" t="s">
        <v>2585</v>
      </c>
      <c r="B513" s="2" t="s">
        <v>2469</v>
      </c>
      <c r="C513" s="2" t="s">
        <v>666</v>
      </c>
      <c r="D513" s="2" t="s">
        <v>2525</v>
      </c>
      <c r="E513" s="2" t="s">
        <v>2526</v>
      </c>
      <c r="F513" s="2" t="s">
        <v>2586</v>
      </c>
      <c r="G513" s="2" t="s">
        <v>2586</v>
      </c>
      <c r="H513" s="2" t="s">
        <v>2586</v>
      </c>
      <c r="I513" s="2" t="s">
        <v>2587</v>
      </c>
      <c r="J513" s="2" t="s">
        <v>227</v>
      </c>
      <c r="K513" s="2" t="s">
        <v>95</v>
      </c>
      <c r="L513" s="3">
        <v>33</v>
      </c>
      <c r="M513" s="3">
        <v>34.65</v>
      </c>
      <c r="N513" s="3">
        <v>69.99</v>
      </c>
      <c r="O513" s="2" t="s">
        <v>96</v>
      </c>
      <c r="P513" s="2" t="s">
        <v>131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100</v>
      </c>
      <c r="V513" s="2" t="s">
        <v>310</v>
      </c>
      <c r="W513" s="2" t="s">
        <v>102</v>
      </c>
      <c r="X513" s="2" t="s">
        <v>103</v>
      </c>
      <c r="Y513" s="2" t="s">
        <v>2584</v>
      </c>
      <c r="Z513" s="4">
        <v>93</v>
      </c>
      <c r="AA513" s="4">
        <f>=ROUNDDOWN(13.2857142857143,0)</f>
      </c>
      <c r="AB513" s="5">
        <v>7</v>
      </c>
      <c r="AC513" s="2" t="s">
        <v>1657</v>
      </c>
      <c r="AD513" s="4">
        <v>50</v>
      </c>
      <c r="AE513" s="4">
        <v>50</v>
      </c>
      <c r="AF513" s="6">
        <v>64</v>
      </c>
      <c r="AG513" s="6"/>
      <c r="AH513" s="7">
        <v>0.1724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12</v>
      </c>
      <c r="BK513" s="8">
        <v>544.72</v>
      </c>
      <c r="BL513" s="2" t="s">
        <v>2588</v>
      </c>
      <c r="BM513" s="7"/>
      <c r="BN513" s="7"/>
      <c r="BO513" s="4"/>
      <c r="BP513" s="8"/>
      <c r="BQ513" s="4"/>
      <c r="BR513" s="8"/>
      <c r="BS513" s="7"/>
      <c r="BT513" s="7"/>
      <c r="BU513" s="2" t="s">
        <v>306</v>
      </c>
      <c r="BV513" s="2" t="s">
        <v>96</v>
      </c>
      <c r="BW513" s="2" t="s">
        <v>99</v>
      </c>
      <c r="BX513" s="2" t="s">
        <v>99</v>
      </c>
      <c r="BY513" s="2" t="s">
        <v>109</v>
      </c>
      <c r="BZ513" s="2" t="s">
        <v>109</v>
      </c>
      <c r="CA513" s="2" t="s">
        <v>99</v>
      </c>
    </row>
    <row r="514">
      <c r="A514" s="2" t="s">
        <v>2589</v>
      </c>
      <c r="B514" s="2" t="s">
        <v>2469</v>
      </c>
      <c r="C514" s="2" t="s">
        <v>666</v>
      </c>
      <c r="D514" s="2" t="s">
        <v>2525</v>
      </c>
      <c r="E514" s="2" t="s">
        <v>2526</v>
      </c>
      <c r="F514" s="2" t="s">
        <v>2590</v>
      </c>
      <c r="G514" s="2" t="s">
        <v>2590</v>
      </c>
      <c r="H514" s="2" t="s">
        <v>2590</v>
      </c>
      <c r="I514" s="2" t="s">
        <v>2591</v>
      </c>
      <c r="J514" s="2" t="s">
        <v>227</v>
      </c>
      <c r="K514" s="2" t="s">
        <v>141</v>
      </c>
      <c r="L514" s="3">
        <v>52.8</v>
      </c>
      <c r="M514" s="3">
        <v>55.44</v>
      </c>
      <c r="N514" s="3">
        <v>92.49</v>
      </c>
      <c r="O514" s="2" t="s">
        <v>96</v>
      </c>
      <c r="P514" s="2" t="s">
        <v>135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100</v>
      </c>
      <c r="V514" s="2" t="s">
        <v>310</v>
      </c>
      <c r="W514" s="2" t="s">
        <v>102</v>
      </c>
      <c r="X514" s="2" t="s">
        <v>291</v>
      </c>
      <c r="Y514" s="2" t="s">
        <v>2068</v>
      </c>
      <c r="Z514" s="4">
        <v>244</v>
      </c>
      <c r="AA514" s="4">
        <f>=ROUNDDOWN(30.5,0)</f>
      </c>
      <c r="AB514" s="5">
        <v>8</v>
      </c>
      <c r="AC514" s="2" t="s">
        <v>99</v>
      </c>
      <c r="AD514" s="4"/>
      <c r="AE514" s="4"/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34</v>
      </c>
      <c r="BK514" s="8">
        <v>1718.91</v>
      </c>
      <c r="BL514" s="2" t="s">
        <v>2592</v>
      </c>
      <c r="BM514" s="7"/>
      <c r="BN514" s="7"/>
      <c r="BO514" s="4"/>
      <c r="BP514" s="8"/>
      <c r="BQ514" s="4"/>
      <c r="BR514" s="8"/>
      <c r="BS514" s="7"/>
      <c r="BT514" s="7"/>
      <c r="BU514" s="2" t="s">
        <v>306</v>
      </c>
      <c r="BV514" s="2" t="s">
        <v>96</v>
      </c>
      <c r="BW514" s="2" t="s">
        <v>99</v>
      </c>
      <c r="BX514" s="2" t="s">
        <v>99</v>
      </c>
      <c r="BY514" s="2" t="s">
        <v>109</v>
      </c>
      <c r="BZ514" s="2" t="s">
        <v>109</v>
      </c>
      <c r="CA514" s="2" t="s">
        <v>99</v>
      </c>
    </row>
    <row r="515">
      <c r="A515" s="2" t="s">
        <v>2593</v>
      </c>
      <c r="B515" s="2" t="s">
        <v>2469</v>
      </c>
      <c r="C515" s="2" t="s">
        <v>666</v>
      </c>
      <c r="D515" s="2" t="s">
        <v>2594</v>
      </c>
      <c r="E515" s="2" t="s">
        <v>2595</v>
      </c>
      <c r="F515" s="2" t="s">
        <v>2472</v>
      </c>
      <c r="G515" s="2" t="s">
        <v>2472</v>
      </c>
      <c r="H515" s="2" t="s">
        <v>2472</v>
      </c>
      <c r="I515" s="2" t="s">
        <v>2596</v>
      </c>
      <c r="J515" s="2" t="s">
        <v>227</v>
      </c>
      <c r="K515" s="2" t="s">
        <v>95</v>
      </c>
      <c r="L515" s="3">
        <v>86.4</v>
      </c>
      <c r="M515" s="3">
        <v>90.72</v>
      </c>
      <c r="N515" s="3">
        <v>179.99</v>
      </c>
      <c r="O515" s="2" t="s">
        <v>96</v>
      </c>
      <c r="P515" s="2" t="s">
        <v>188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100</v>
      </c>
      <c r="V515" s="2" t="s">
        <v>310</v>
      </c>
      <c r="W515" s="2" t="s">
        <v>158</v>
      </c>
      <c r="X515" s="2" t="s">
        <v>99</v>
      </c>
      <c r="Y515" s="2" t="s">
        <v>2486</v>
      </c>
      <c r="Z515" s="4">
        <v>103</v>
      </c>
      <c r="AA515" s="4">
        <f>=ROUNDDOWN(44.7826086956522,0)</f>
      </c>
      <c r="AB515" s="5">
        <v>2.3</v>
      </c>
      <c r="AC515" s="2" t="s">
        <v>99</v>
      </c>
      <c r="AD515" s="4"/>
      <c r="AE515" s="4"/>
      <c r="AF515" s="6">
        <v>81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>
        <v>3</v>
      </c>
      <c r="AQ515" s="8">
        <v>331.2</v>
      </c>
      <c r="AR515" s="4"/>
      <c r="AS515" s="8"/>
      <c r="AT515" s="7"/>
      <c r="AU515" s="7"/>
      <c r="AV515" s="4">
        <v>3</v>
      </c>
      <c r="AW515" s="8">
        <v>331.2</v>
      </c>
      <c r="AX515" s="4"/>
      <c r="AY515" s="8"/>
      <c r="AZ515" s="7"/>
      <c r="BA515" s="7"/>
      <c r="BB515" s="7">
        <v>1</v>
      </c>
      <c r="BC515" s="4">
        <v>3</v>
      </c>
      <c r="BD515" s="8">
        <v>331.2</v>
      </c>
      <c r="BE515" s="4"/>
      <c r="BF515" s="8"/>
      <c r="BG515" s="7"/>
      <c r="BH515" s="7"/>
      <c r="BI515" s="7">
        <v>1</v>
      </c>
      <c r="BJ515" s="4">
        <v>38</v>
      </c>
      <c r="BK515" s="8">
        <v>3423.23</v>
      </c>
      <c r="BL515" s="2" t="s">
        <v>1779</v>
      </c>
      <c r="BM515" s="7">
        <v>0.0789</v>
      </c>
      <c r="BN515" s="7">
        <v>0.0968</v>
      </c>
      <c r="BO515" s="4">
        <v>3</v>
      </c>
      <c r="BP515" s="8">
        <v>331.2</v>
      </c>
      <c r="BQ515" s="4"/>
      <c r="BR515" s="8"/>
      <c r="BS515" s="7"/>
      <c r="BT515" s="7"/>
      <c r="BU515" s="2" t="s">
        <v>107</v>
      </c>
      <c r="BV515" s="2" t="s">
        <v>96</v>
      </c>
      <c r="BW515" s="2" t="s">
        <v>99</v>
      </c>
      <c r="BX515" s="2" t="s">
        <v>99</v>
      </c>
      <c r="BY515" s="2" t="s">
        <v>109</v>
      </c>
      <c r="BZ515" s="2" t="s">
        <v>109</v>
      </c>
      <c r="CA515" s="2" t="s">
        <v>99</v>
      </c>
    </row>
    <row r="516">
      <c r="A516" s="2" t="s">
        <v>2597</v>
      </c>
      <c r="B516" s="2" t="s">
        <v>2469</v>
      </c>
      <c r="C516" s="2" t="s">
        <v>666</v>
      </c>
      <c r="D516" s="2" t="s">
        <v>2594</v>
      </c>
      <c r="E516" s="2" t="s">
        <v>2595</v>
      </c>
      <c r="F516" s="2" t="s">
        <v>2598</v>
      </c>
      <c r="G516" s="2" t="s">
        <v>2598</v>
      </c>
      <c r="H516" s="2" t="s">
        <v>2598</v>
      </c>
      <c r="I516" s="2" t="s">
        <v>2599</v>
      </c>
      <c r="J516" s="2" t="s">
        <v>227</v>
      </c>
      <c r="K516" s="2" t="s">
        <v>2453</v>
      </c>
      <c r="L516" s="3">
        <v>129.06</v>
      </c>
      <c r="M516" s="3">
        <v>135.51</v>
      </c>
      <c r="N516" s="3">
        <v>284.99</v>
      </c>
      <c r="O516" s="2" t="s">
        <v>96</v>
      </c>
      <c r="P516" s="2" t="s">
        <v>188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99</v>
      </c>
      <c r="V516" s="2" t="s">
        <v>310</v>
      </c>
      <c r="W516" s="2" t="s">
        <v>158</v>
      </c>
      <c r="X516" s="2" t="s">
        <v>99</v>
      </c>
      <c r="Y516" s="2" t="s">
        <v>2600</v>
      </c>
      <c r="Z516" s="4">
        <v>24</v>
      </c>
      <c r="AA516" s="4">
        <f>=ROUNDDOWN(12,0)</f>
      </c>
      <c r="AB516" s="5">
        <v>2</v>
      </c>
      <c r="AC516" s="2" t="s">
        <v>99</v>
      </c>
      <c r="AD516" s="4"/>
      <c r="AE516" s="4"/>
      <c r="AF516" s="6">
        <v>81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>
        <v>1</v>
      </c>
      <c r="AQ516" s="8">
        <v>155.84</v>
      </c>
      <c r="AR516" s="4"/>
      <c r="AS516" s="8"/>
      <c r="AT516" s="7"/>
      <c r="AU516" s="7"/>
      <c r="AV516" s="4">
        <v>1</v>
      </c>
      <c r="AW516" s="8">
        <v>155.84</v>
      </c>
      <c r="AX516" s="4"/>
      <c r="AY516" s="8"/>
      <c r="AZ516" s="7"/>
      <c r="BA516" s="7"/>
      <c r="BB516" s="7">
        <v>1</v>
      </c>
      <c r="BC516" s="4">
        <v>1</v>
      </c>
      <c r="BD516" s="8">
        <v>155.84</v>
      </c>
      <c r="BE516" s="4"/>
      <c r="BF516" s="8"/>
      <c r="BG516" s="7"/>
      <c r="BH516" s="7"/>
      <c r="BI516" s="7">
        <v>1</v>
      </c>
      <c r="BJ516" s="4">
        <v>13</v>
      </c>
      <c r="BK516" s="8">
        <v>1757.88</v>
      </c>
      <c r="BL516" s="2" t="s">
        <v>2601</v>
      </c>
      <c r="BM516" s="7">
        <v>0.0769</v>
      </c>
      <c r="BN516" s="7">
        <v>0.0887</v>
      </c>
      <c r="BO516" s="4">
        <v>1</v>
      </c>
      <c r="BP516" s="8">
        <v>155.84</v>
      </c>
      <c r="BQ516" s="4"/>
      <c r="BR516" s="8"/>
      <c r="BS516" s="7"/>
      <c r="BT516" s="7"/>
      <c r="BU516" s="2" t="s">
        <v>107</v>
      </c>
      <c r="BV516" s="2" t="s">
        <v>96</v>
      </c>
      <c r="BW516" s="2" t="s">
        <v>99</v>
      </c>
      <c r="BX516" s="2" t="s">
        <v>2573</v>
      </c>
      <c r="BY516" s="2" t="s">
        <v>109</v>
      </c>
      <c r="BZ516" s="2" t="s">
        <v>109</v>
      </c>
      <c r="CA516" s="2" t="s">
        <v>99</v>
      </c>
    </row>
    <row r="517">
      <c r="A517" s="2" t="s">
        <v>2602</v>
      </c>
      <c r="B517" s="2" t="s">
        <v>2469</v>
      </c>
      <c r="C517" s="2" t="s">
        <v>666</v>
      </c>
      <c r="D517" s="2" t="s">
        <v>2594</v>
      </c>
      <c r="E517" s="2" t="s">
        <v>2595</v>
      </c>
      <c r="F517" s="2" t="s">
        <v>2603</v>
      </c>
      <c r="G517" s="2" t="s">
        <v>2603</v>
      </c>
      <c r="H517" s="2" t="s">
        <v>2603</v>
      </c>
      <c r="I517" s="2" t="s">
        <v>2604</v>
      </c>
      <c r="J517" s="2" t="s">
        <v>227</v>
      </c>
      <c r="K517" s="2" t="s">
        <v>2605</v>
      </c>
      <c r="L517" s="3">
        <v>54.27</v>
      </c>
      <c r="M517" s="3">
        <v>56.98</v>
      </c>
      <c r="N517" s="3">
        <v>129.99</v>
      </c>
      <c r="O517" s="2" t="s">
        <v>96</v>
      </c>
      <c r="P517" s="2" t="s">
        <v>131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100</v>
      </c>
      <c r="V517" s="2" t="s">
        <v>310</v>
      </c>
      <c r="W517" s="2" t="s">
        <v>158</v>
      </c>
      <c r="X517" s="2" t="s">
        <v>99</v>
      </c>
      <c r="Y517" s="2" t="s">
        <v>2606</v>
      </c>
      <c r="Z517" s="4">
        <v>92</v>
      </c>
      <c r="AA517" s="4">
        <f>=ROUNDDOWN(10.8235294117647,0)</f>
      </c>
      <c r="AB517" s="5">
        <v>8.5</v>
      </c>
      <c r="AC517" s="2" t="s">
        <v>1368</v>
      </c>
      <c r="AD517" s="4">
        <v>100</v>
      </c>
      <c r="AE517" s="4">
        <v>100</v>
      </c>
      <c r="AF517" s="6">
        <v>64</v>
      </c>
      <c r="AG517" s="6"/>
      <c r="AH517" s="7">
        <v>0.6552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>
        <v>1</v>
      </c>
      <c r="AQ517" s="8">
        <v>77.05</v>
      </c>
      <c r="AR517" s="4"/>
      <c r="AS517" s="8"/>
      <c r="AT517" s="7"/>
      <c r="AU517" s="7"/>
      <c r="AV517" s="4">
        <v>1</v>
      </c>
      <c r="AW517" s="8">
        <v>77.05</v>
      </c>
      <c r="AX517" s="4"/>
      <c r="AY517" s="8"/>
      <c r="AZ517" s="7"/>
      <c r="BA517" s="7"/>
      <c r="BB517" s="7">
        <v>1</v>
      </c>
      <c r="BC517" s="4">
        <v>1</v>
      </c>
      <c r="BD517" s="8">
        <v>77.05</v>
      </c>
      <c r="BE517" s="4"/>
      <c r="BF517" s="8"/>
      <c r="BG517" s="7"/>
      <c r="BH517" s="7"/>
      <c r="BI517" s="7">
        <v>1</v>
      </c>
      <c r="BJ517" s="4">
        <v>25</v>
      </c>
      <c r="BK517" s="8">
        <v>1600.83</v>
      </c>
      <c r="BL517" s="2" t="s">
        <v>2607</v>
      </c>
      <c r="BM517" s="7">
        <v>0.04</v>
      </c>
      <c r="BN517" s="7">
        <v>0.0481</v>
      </c>
      <c r="BO517" s="4">
        <v>1</v>
      </c>
      <c r="BP517" s="8">
        <v>77.05</v>
      </c>
      <c r="BQ517" s="4"/>
      <c r="BR517" s="8"/>
      <c r="BS517" s="7"/>
      <c r="BT517" s="7"/>
      <c r="BU517" s="2" t="s">
        <v>107</v>
      </c>
      <c r="BV517" s="2" t="s">
        <v>96</v>
      </c>
      <c r="BW517" s="2" t="s">
        <v>99</v>
      </c>
      <c r="BX517" s="2" t="s">
        <v>338</v>
      </c>
      <c r="BY517" s="2" t="s">
        <v>109</v>
      </c>
      <c r="BZ517" s="2" t="s">
        <v>109</v>
      </c>
      <c r="CA517" s="2" t="s">
        <v>99</v>
      </c>
    </row>
    <row r="518">
      <c r="A518" s="2" t="s">
        <v>2608</v>
      </c>
      <c r="B518" s="2" t="s">
        <v>2469</v>
      </c>
      <c r="C518" s="2" t="s">
        <v>666</v>
      </c>
      <c r="D518" s="2" t="s">
        <v>2594</v>
      </c>
      <c r="E518" s="2" t="s">
        <v>2595</v>
      </c>
      <c r="F518" s="2" t="s">
        <v>2609</v>
      </c>
      <c r="G518" s="2" t="s">
        <v>2609</v>
      </c>
      <c r="H518" s="2" t="s">
        <v>2609</v>
      </c>
      <c r="I518" s="2" t="s">
        <v>2610</v>
      </c>
      <c r="J518" s="2" t="s">
        <v>227</v>
      </c>
      <c r="K518" s="2" t="s">
        <v>2611</v>
      </c>
      <c r="L518" s="3">
        <v>79.49</v>
      </c>
      <c r="M518" s="3">
        <v>83.46</v>
      </c>
      <c r="N518" s="3">
        <v>184.99</v>
      </c>
      <c r="O518" s="2" t="s">
        <v>96</v>
      </c>
      <c r="P518" s="2" t="s">
        <v>131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99</v>
      </c>
      <c r="V518" s="2" t="s">
        <v>310</v>
      </c>
      <c r="W518" s="2" t="s">
        <v>102</v>
      </c>
      <c r="X518" s="2" t="s">
        <v>257</v>
      </c>
      <c r="Y518" s="2" t="s">
        <v>2612</v>
      </c>
      <c r="Z518" s="4">
        <v>94</v>
      </c>
      <c r="AA518" s="4">
        <f>=ROUNDDOWN(10.4444444444444,0)</f>
      </c>
      <c r="AB518" s="5">
        <v>9</v>
      </c>
      <c r="AC518" s="2" t="s">
        <v>1368</v>
      </c>
      <c r="AD518" s="4">
        <v>114</v>
      </c>
      <c r="AE518" s="4">
        <v>180</v>
      </c>
      <c r="AF518" s="6">
        <v>64</v>
      </c>
      <c r="AG518" s="6"/>
      <c r="AH518" s="7">
        <v>0.3448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3</v>
      </c>
      <c r="BK518" s="8">
        <v>297.97</v>
      </c>
      <c r="BL518" s="2" t="s">
        <v>2613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96</v>
      </c>
      <c r="BW518" s="2" t="s">
        <v>99</v>
      </c>
      <c r="BX518" s="2" t="s">
        <v>2614</v>
      </c>
      <c r="BY518" s="2" t="s">
        <v>109</v>
      </c>
      <c r="BZ518" s="2" t="s">
        <v>109</v>
      </c>
      <c r="CA518" s="2" t="s">
        <v>99</v>
      </c>
    </row>
    <row r="519">
      <c r="A519" s="2" t="s">
        <v>2615</v>
      </c>
      <c r="B519" s="2" t="s">
        <v>2469</v>
      </c>
      <c r="C519" s="2" t="s">
        <v>666</v>
      </c>
      <c r="D519" s="2" t="s">
        <v>2594</v>
      </c>
      <c r="E519" s="2" t="s">
        <v>2595</v>
      </c>
      <c r="F519" s="2" t="s">
        <v>2581</v>
      </c>
      <c r="G519" s="2" t="s">
        <v>2581</v>
      </c>
      <c r="H519" s="2" t="s">
        <v>2581</v>
      </c>
      <c r="I519" s="2" t="s">
        <v>2616</v>
      </c>
      <c r="J519" s="2" t="s">
        <v>227</v>
      </c>
      <c r="K519" s="2" t="s">
        <v>2583</v>
      </c>
      <c r="L519" s="3">
        <v>76</v>
      </c>
      <c r="M519" s="3">
        <v>79.8</v>
      </c>
      <c r="N519" s="3">
        <v>159.99</v>
      </c>
      <c r="O519" s="2" t="s">
        <v>96</v>
      </c>
      <c r="P519" s="2" t="s">
        <v>386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100</v>
      </c>
      <c r="V519" s="2" t="s">
        <v>310</v>
      </c>
      <c r="W519" s="2" t="s">
        <v>291</v>
      </c>
      <c r="X519" s="2" t="s">
        <v>102</v>
      </c>
      <c r="Y519" s="2" t="s">
        <v>1686</v>
      </c>
      <c r="Z519" s="4">
        <v>83</v>
      </c>
      <c r="AA519" s="4">
        <f>=ROUNDDOWN(41.5,0)</f>
      </c>
      <c r="AB519" s="5">
        <v>2</v>
      </c>
      <c r="AC519" s="2" t="s">
        <v>99</v>
      </c>
      <c r="AD519" s="4"/>
      <c r="AE519" s="4"/>
      <c r="AF519" s="6">
        <v>64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7</v>
      </c>
      <c r="BK519" s="8">
        <v>530.67</v>
      </c>
      <c r="BL519" s="2" t="s">
        <v>2617</v>
      </c>
      <c r="BM519" s="7"/>
      <c r="BN519" s="7"/>
      <c r="BO519" s="4"/>
      <c r="BP519" s="8"/>
      <c r="BQ519" s="4"/>
      <c r="BR519" s="8"/>
      <c r="BS519" s="7"/>
      <c r="BT519" s="7"/>
      <c r="BU519" s="2" t="s">
        <v>306</v>
      </c>
      <c r="BV519" s="2" t="s">
        <v>96</v>
      </c>
      <c r="BW519" s="2" t="s">
        <v>99</v>
      </c>
      <c r="BX519" s="2" t="s">
        <v>99</v>
      </c>
      <c r="BY519" s="2" t="s">
        <v>109</v>
      </c>
      <c r="BZ519" s="2" t="s">
        <v>109</v>
      </c>
      <c r="CA519" s="2" t="s">
        <v>99</v>
      </c>
    </row>
    <row r="520">
      <c r="A520" s="2" t="s">
        <v>2618</v>
      </c>
      <c r="B520" s="2" t="s">
        <v>2469</v>
      </c>
      <c r="C520" s="2" t="s">
        <v>666</v>
      </c>
      <c r="D520" s="2" t="s">
        <v>2619</v>
      </c>
      <c r="E520" s="2" t="s">
        <v>2620</v>
      </c>
      <c r="F520" s="2" t="s">
        <v>1869</v>
      </c>
      <c r="G520" s="2" t="s">
        <v>1869</v>
      </c>
      <c r="H520" s="2" t="s">
        <v>1869</v>
      </c>
      <c r="I520" s="2" t="s">
        <v>2621</v>
      </c>
      <c r="J520" s="2" t="s">
        <v>227</v>
      </c>
      <c r="K520" s="2" t="s">
        <v>141</v>
      </c>
      <c r="L520" s="3">
        <v>125.15</v>
      </c>
      <c r="M520" s="3">
        <v>131.41</v>
      </c>
      <c r="N520" s="3">
        <v>279.99</v>
      </c>
      <c r="O520" s="2" t="s">
        <v>96</v>
      </c>
      <c r="P520" s="2" t="s">
        <v>97</v>
      </c>
      <c r="Q520" s="2" t="s">
        <v>98</v>
      </c>
      <c r="R520" s="2" t="s">
        <v>99</v>
      </c>
      <c r="S520" s="2" t="s">
        <v>99</v>
      </c>
      <c r="T520" s="2" t="s">
        <v>99</v>
      </c>
      <c r="U520" s="2" t="s">
        <v>99</v>
      </c>
      <c r="V520" s="2" t="s">
        <v>310</v>
      </c>
      <c r="W520" s="2" t="s">
        <v>158</v>
      </c>
      <c r="X520" s="2" t="s">
        <v>99</v>
      </c>
      <c r="Y520" s="2" t="s">
        <v>881</v>
      </c>
      <c r="Z520" s="4">
        <v>166</v>
      </c>
      <c r="AA520" s="4">
        <f>=ROUNDDOWN(17.8494623655914,0)</f>
      </c>
      <c r="AB520" s="5">
        <v>9.3</v>
      </c>
      <c r="AC520" s="2" t="s">
        <v>1368</v>
      </c>
      <c r="AD520" s="4">
        <v>100</v>
      </c>
      <c r="AE520" s="4">
        <v>100</v>
      </c>
      <c r="AF520" s="6">
        <v>64</v>
      </c>
      <c r="AG520" s="6">
        <v>47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>
        <v>2</v>
      </c>
      <c r="AQ520" s="8">
        <v>302.24</v>
      </c>
      <c r="AR520" s="4"/>
      <c r="AS520" s="8"/>
      <c r="AT520" s="7"/>
      <c r="AU520" s="7"/>
      <c r="AV520" s="4">
        <v>2</v>
      </c>
      <c r="AW520" s="8">
        <v>302.24</v>
      </c>
      <c r="AX520" s="4"/>
      <c r="AY520" s="8"/>
      <c r="AZ520" s="7"/>
      <c r="BA520" s="7"/>
      <c r="BB520" s="7">
        <v>1</v>
      </c>
      <c r="BC520" s="4">
        <v>2</v>
      </c>
      <c r="BD520" s="8">
        <v>302.24</v>
      </c>
      <c r="BE520" s="4"/>
      <c r="BF520" s="8"/>
      <c r="BG520" s="7"/>
      <c r="BH520" s="7"/>
      <c r="BI520" s="7">
        <v>1</v>
      </c>
      <c r="BJ520" s="4">
        <v>50</v>
      </c>
      <c r="BK520" s="8">
        <v>6024.51</v>
      </c>
      <c r="BL520" s="2" t="s">
        <v>1441</v>
      </c>
      <c r="BM520" s="7">
        <v>0.04</v>
      </c>
      <c r="BN520" s="7">
        <v>0.0502</v>
      </c>
      <c r="BO520" s="4">
        <v>2</v>
      </c>
      <c r="BP520" s="8">
        <v>302.24</v>
      </c>
      <c r="BQ520" s="4"/>
      <c r="BR520" s="8"/>
      <c r="BS520" s="7"/>
      <c r="BT520" s="7"/>
      <c r="BU520" s="2" t="s">
        <v>107</v>
      </c>
      <c r="BV520" s="2" t="s">
        <v>96</v>
      </c>
      <c r="BW520" s="2" t="s">
        <v>99</v>
      </c>
      <c r="BX520" s="2" t="s">
        <v>2622</v>
      </c>
      <c r="BY520" s="2" t="s">
        <v>109</v>
      </c>
      <c r="BZ520" s="2" t="s">
        <v>109</v>
      </c>
      <c r="CA520" s="2" t="s">
        <v>99</v>
      </c>
    </row>
    <row r="521">
      <c r="A521" s="2" t="s">
        <v>2623</v>
      </c>
      <c r="B521" s="2" t="s">
        <v>2469</v>
      </c>
      <c r="C521" s="2" t="s">
        <v>666</v>
      </c>
      <c r="D521" s="2" t="s">
        <v>2619</v>
      </c>
      <c r="E521" s="2" t="s">
        <v>2620</v>
      </c>
      <c r="F521" s="2" t="s">
        <v>2391</v>
      </c>
      <c r="G521" s="2" t="s">
        <v>2391</v>
      </c>
      <c r="H521" s="2" t="s">
        <v>2391</v>
      </c>
      <c r="I521" s="2" t="s">
        <v>2624</v>
      </c>
      <c r="J521" s="2" t="s">
        <v>227</v>
      </c>
      <c r="K521" s="2" t="s">
        <v>2625</v>
      </c>
      <c r="L521" s="3">
        <v>116.24</v>
      </c>
      <c r="M521" s="3">
        <v>122.05</v>
      </c>
      <c r="N521" s="3">
        <v>264.99</v>
      </c>
      <c r="O521" s="2" t="s">
        <v>304</v>
      </c>
      <c r="P521" s="2" t="s">
        <v>188</v>
      </c>
      <c r="Q521" s="2" t="s">
        <v>98</v>
      </c>
      <c r="R521" s="2" t="s">
        <v>99</v>
      </c>
      <c r="S521" s="2" t="s">
        <v>99</v>
      </c>
      <c r="T521" s="2" t="s">
        <v>99</v>
      </c>
      <c r="U521" s="2" t="s">
        <v>100</v>
      </c>
      <c r="V521" s="2" t="s">
        <v>310</v>
      </c>
      <c r="W521" s="2" t="s">
        <v>685</v>
      </c>
      <c r="X521" s="2" t="s">
        <v>99</v>
      </c>
      <c r="Y521" s="2" t="s">
        <v>2518</v>
      </c>
      <c r="Z521" s="4">
        <v>62</v>
      </c>
      <c r="AA521" s="4">
        <f>=ROUNDDOWN(38.75,0)</f>
      </c>
      <c r="AB521" s="5">
        <v>1.6</v>
      </c>
      <c r="AC521" s="2" t="s">
        <v>99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>
        <v>1</v>
      </c>
      <c r="AQ521" s="8">
        <v>145.3</v>
      </c>
      <c r="AR521" s="4"/>
      <c r="AS521" s="8"/>
      <c r="AT521" s="7"/>
      <c r="AU521" s="7"/>
      <c r="AV521" s="4">
        <v>1</v>
      </c>
      <c r="AW521" s="8">
        <v>145.3</v>
      </c>
      <c r="AX521" s="4"/>
      <c r="AY521" s="8"/>
      <c r="AZ521" s="7"/>
      <c r="BA521" s="7"/>
      <c r="BB521" s="7">
        <v>1</v>
      </c>
      <c r="BC521" s="4">
        <v>1</v>
      </c>
      <c r="BD521" s="8">
        <v>145.3</v>
      </c>
      <c r="BE521" s="4"/>
      <c r="BF521" s="8"/>
      <c r="BG521" s="7"/>
      <c r="BH521" s="7"/>
      <c r="BI521" s="7">
        <v>1</v>
      </c>
      <c r="BJ521" s="4">
        <v>8</v>
      </c>
      <c r="BK521" s="8">
        <v>925.4</v>
      </c>
      <c r="BL521" s="2" t="s">
        <v>1797</v>
      </c>
      <c r="BM521" s="7">
        <v>0.125</v>
      </c>
      <c r="BN521" s="7">
        <v>0.157</v>
      </c>
      <c r="BO521" s="4">
        <v>1</v>
      </c>
      <c r="BP521" s="8">
        <v>145.3</v>
      </c>
      <c r="BQ521" s="4"/>
      <c r="BR521" s="8"/>
      <c r="BS521" s="7"/>
      <c r="BT521" s="7"/>
      <c r="BU521" s="2" t="s">
        <v>107</v>
      </c>
      <c r="BV521" s="2" t="s">
        <v>96</v>
      </c>
      <c r="BW521" s="2" t="s">
        <v>99</v>
      </c>
      <c r="BX521" s="2" t="s">
        <v>99</v>
      </c>
      <c r="BY521" s="2" t="s">
        <v>109</v>
      </c>
      <c r="BZ521" s="2" t="s">
        <v>109</v>
      </c>
      <c r="CA521" s="2" t="s">
        <v>99</v>
      </c>
    </row>
    <row r="522">
      <c r="A522" s="2" t="s">
        <v>2626</v>
      </c>
      <c r="B522" s="2" t="s">
        <v>2469</v>
      </c>
      <c r="C522" s="2" t="s">
        <v>666</v>
      </c>
      <c r="D522" s="2" t="s">
        <v>2619</v>
      </c>
      <c r="E522" s="2" t="s">
        <v>2620</v>
      </c>
      <c r="F522" s="2" t="s">
        <v>2627</v>
      </c>
      <c r="G522" s="2" t="s">
        <v>2627</v>
      </c>
      <c r="H522" s="2" t="s">
        <v>2627</v>
      </c>
      <c r="I522" s="2" t="s">
        <v>2628</v>
      </c>
      <c r="J522" s="2" t="s">
        <v>227</v>
      </c>
      <c r="K522" s="2" t="s">
        <v>2629</v>
      </c>
      <c r="L522" s="3">
        <v>54.72</v>
      </c>
      <c r="M522" s="3">
        <v>57.46</v>
      </c>
      <c r="N522" s="3">
        <v>127.99</v>
      </c>
      <c r="O522" s="2" t="s">
        <v>443</v>
      </c>
      <c r="P522" s="2" t="s">
        <v>188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100</v>
      </c>
      <c r="V522" s="2" t="s">
        <v>310</v>
      </c>
      <c r="W522" s="2" t="s">
        <v>102</v>
      </c>
      <c r="X522" s="2" t="s">
        <v>761</v>
      </c>
      <c r="Y522" s="2" t="s">
        <v>2630</v>
      </c>
      <c r="Z522" s="4">
        <v>54</v>
      </c>
      <c r="AA522" s="4">
        <f>=ROUNDDOWN(60,0)</f>
      </c>
      <c r="AB522" s="5">
        <v>0.9</v>
      </c>
      <c r="AC522" s="2" t="s">
        <v>99</v>
      </c>
      <c r="AD522" s="4"/>
      <c r="AE522" s="4"/>
      <c r="AF522" s="6">
        <v>63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4</v>
      </c>
      <c r="BK522" s="8">
        <v>83.4</v>
      </c>
      <c r="BL522" s="2" t="s">
        <v>751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122</v>
      </c>
      <c r="BW522" s="2" t="s">
        <v>99</v>
      </c>
      <c r="BX522" s="2" t="s">
        <v>99</v>
      </c>
      <c r="BY522" s="2" t="s">
        <v>109</v>
      </c>
      <c r="BZ522" s="2" t="s">
        <v>109</v>
      </c>
      <c r="CA522" s="2" t="s">
        <v>99</v>
      </c>
    </row>
    <row r="523">
      <c r="A523" s="2" t="s">
        <v>2631</v>
      </c>
      <c r="B523" s="2" t="s">
        <v>2469</v>
      </c>
      <c r="C523" s="2" t="s">
        <v>666</v>
      </c>
      <c r="D523" s="2" t="s">
        <v>2619</v>
      </c>
      <c r="E523" s="2" t="s">
        <v>2620</v>
      </c>
      <c r="F523" s="2" t="s">
        <v>634</v>
      </c>
      <c r="G523" s="2" t="s">
        <v>634</v>
      </c>
      <c r="H523" s="2" t="s">
        <v>634</v>
      </c>
      <c r="I523" s="2" t="s">
        <v>2632</v>
      </c>
      <c r="J523" s="2" t="s">
        <v>2633</v>
      </c>
      <c r="K523" s="2" t="s">
        <v>95</v>
      </c>
      <c r="L523" s="3">
        <v>31.95</v>
      </c>
      <c r="M523" s="3">
        <v>33.55</v>
      </c>
      <c r="N523" s="3">
        <v>74.99</v>
      </c>
      <c r="O523" s="2" t="s">
        <v>443</v>
      </c>
      <c r="P523" s="2" t="s">
        <v>188</v>
      </c>
      <c r="Q523" s="2" t="s">
        <v>98</v>
      </c>
      <c r="R523" s="2" t="s">
        <v>99</v>
      </c>
      <c r="S523" s="2" t="s">
        <v>99</v>
      </c>
      <c r="T523" s="2" t="s">
        <v>99</v>
      </c>
      <c r="U523" s="2" t="s">
        <v>99</v>
      </c>
      <c r="V523" s="2" t="s">
        <v>310</v>
      </c>
      <c r="W523" s="2" t="s">
        <v>102</v>
      </c>
      <c r="X523" s="2" t="s">
        <v>158</v>
      </c>
      <c r="Y523" s="2" t="s">
        <v>2634</v>
      </c>
      <c r="Z523" s="4">
        <v>37</v>
      </c>
      <c r="AA523" s="4">
        <f>=ROUNDDOWN(30.8333333333333,0)</f>
      </c>
      <c r="AB523" s="5">
        <v>1.2</v>
      </c>
      <c r="AC523" s="2" t="s">
        <v>99</v>
      </c>
      <c r="AD523" s="4"/>
      <c r="AE523" s="4"/>
      <c r="AF523" s="6">
        <v>63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99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122</v>
      </c>
      <c r="BW523" s="2" t="s">
        <v>99</v>
      </c>
      <c r="BX523" s="2" t="s">
        <v>519</v>
      </c>
      <c r="BY523" s="2" t="s">
        <v>109</v>
      </c>
      <c r="BZ523" s="2" t="s">
        <v>109</v>
      </c>
      <c r="CA523" s="2" t="s">
        <v>99</v>
      </c>
    </row>
    <row r="524">
      <c r="A524" s="2" t="s">
        <v>2635</v>
      </c>
      <c r="B524" s="2" t="s">
        <v>2469</v>
      </c>
      <c r="C524" s="2" t="s">
        <v>666</v>
      </c>
      <c r="D524" s="2" t="s">
        <v>2619</v>
      </c>
      <c r="E524" s="2" t="s">
        <v>2620</v>
      </c>
      <c r="F524" s="2" t="s">
        <v>2636</v>
      </c>
      <c r="G524" s="2" t="s">
        <v>2636</v>
      </c>
      <c r="H524" s="2" t="s">
        <v>2636</v>
      </c>
      <c r="I524" s="2" t="s">
        <v>2637</v>
      </c>
      <c r="J524" s="2" t="s">
        <v>227</v>
      </c>
      <c r="K524" s="2" t="s">
        <v>2638</v>
      </c>
      <c r="L524" s="3">
        <v>130.68</v>
      </c>
      <c r="M524" s="3">
        <v>137.21</v>
      </c>
      <c r="N524" s="3">
        <v>299.99</v>
      </c>
      <c r="O524" s="2" t="s">
        <v>96</v>
      </c>
      <c r="P524" s="2" t="s">
        <v>131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100</v>
      </c>
      <c r="V524" s="2" t="s">
        <v>157</v>
      </c>
      <c r="W524" s="2" t="s">
        <v>158</v>
      </c>
      <c r="X524" s="2" t="s">
        <v>99</v>
      </c>
      <c r="Y524" s="2" t="s">
        <v>2639</v>
      </c>
      <c r="Z524" s="4">
        <v>123</v>
      </c>
      <c r="AA524" s="4">
        <f>=ROUNDDOWN(24.6,0)</f>
      </c>
      <c r="AB524" s="5">
        <v>5</v>
      </c>
      <c r="AC524" s="2" t="s">
        <v>1657</v>
      </c>
      <c r="AD524" s="4">
        <v>50</v>
      </c>
      <c r="AE524" s="4">
        <v>50</v>
      </c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12</v>
      </c>
      <c r="BK524" s="8">
        <v>1594.57</v>
      </c>
      <c r="BL524" s="2" t="s">
        <v>2640</v>
      </c>
      <c r="BM524" s="7"/>
      <c r="BN524" s="7"/>
      <c r="BO524" s="4"/>
      <c r="BP524" s="8"/>
      <c r="BQ524" s="4"/>
      <c r="BR524" s="8"/>
      <c r="BS524" s="7"/>
      <c r="BT524" s="7"/>
      <c r="BU524" s="2" t="s">
        <v>107</v>
      </c>
      <c r="BV524" s="2" t="s">
        <v>96</v>
      </c>
      <c r="BW524" s="2" t="s">
        <v>99</v>
      </c>
      <c r="BX524" s="2" t="s">
        <v>2641</v>
      </c>
      <c r="BY524" s="2" t="s">
        <v>109</v>
      </c>
      <c r="BZ524" s="2" t="s">
        <v>109</v>
      </c>
      <c r="CA524" s="2" t="s">
        <v>99</v>
      </c>
    </row>
    <row r="525">
      <c r="A525" s="2" t="s">
        <v>2642</v>
      </c>
      <c r="B525" s="2" t="s">
        <v>2469</v>
      </c>
      <c r="C525" s="2" t="s">
        <v>666</v>
      </c>
      <c r="D525" s="2" t="s">
        <v>2619</v>
      </c>
      <c r="E525" s="2" t="s">
        <v>2620</v>
      </c>
      <c r="F525" s="2" t="s">
        <v>2643</v>
      </c>
      <c r="G525" s="2" t="s">
        <v>2643</v>
      </c>
      <c r="H525" s="2" t="s">
        <v>2643</v>
      </c>
      <c r="I525" s="2" t="s">
        <v>2644</v>
      </c>
      <c r="J525" s="2" t="s">
        <v>227</v>
      </c>
      <c r="K525" s="2" t="s">
        <v>2475</v>
      </c>
      <c r="L525" s="3">
        <v>145</v>
      </c>
      <c r="M525" s="3">
        <v>152.25</v>
      </c>
      <c r="N525" s="3">
        <v>299</v>
      </c>
      <c r="O525" s="2" t="s">
        <v>304</v>
      </c>
      <c r="P525" s="2" t="s">
        <v>188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100</v>
      </c>
      <c r="V525" s="2" t="s">
        <v>310</v>
      </c>
      <c r="W525" s="2" t="s">
        <v>102</v>
      </c>
      <c r="X525" s="2" t="s">
        <v>761</v>
      </c>
      <c r="Y525" s="2" t="s">
        <v>996</v>
      </c>
      <c r="Z525" s="4">
        <v>59</v>
      </c>
      <c r="AA525" s="4">
        <f>=ROUNDDOWN(98.3333333333333,0)</f>
      </c>
      <c r="AB525" s="5">
        <v>0.6</v>
      </c>
      <c r="AC525" s="2" t="s">
        <v>99</v>
      </c>
      <c r="AD525" s="4"/>
      <c r="AE525" s="4"/>
      <c r="AF525" s="6">
        <v>63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3</v>
      </c>
      <c r="BK525" s="8">
        <v>493.29</v>
      </c>
      <c r="BL525" s="2" t="s">
        <v>2645</v>
      </c>
      <c r="BM525" s="7"/>
      <c r="BN525" s="7"/>
      <c r="BO525" s="4"/>
      <c r="BP525" s="8"/>
      <c r="BQ525" s="4"/>
      <c r="BR525" s="8"/>
      <c r="BS525" s="7"/>
      <c r="BT525" s="7"/>
      <c r="BU525" s="2" t="s">
        <v>306</v>
      </c>
      <c r="BV525" s="2" t="s">
        <v>96</v>
      </c>
      <c r="BW525" s="2" t="s">
        <v>99</v>
      </c>
      <c r="BX525" s="2" t="s">
        <v>99</v>
      </c>
      <c r="BY525" s="2" t="s">
        <v>109</v>
      </c>
      <c r="BZ525" s="2" t="s">
        <v>109</v>
      </c>
      <c r="CA525" s="2" t="s">
        <v>99</v>
      </c>
    </row>
    <row r="526">
      <c r="A526" s="2" t="s">
        <v>2646</v>
      </c>
      <c r="B526" s="2" t="s">
        <v>2469</v>
      </c>
      <c r="C526" s="2" t="s">
        <v>666</v>
      </c>
      <c r="D526" s="2" t="s">
        <v>2619</v>
      </c>
      <c r="E526" s="2" t="s">
        <v>2620</v>
      </c>
      <c r="F526" s="2" t="s">
        <v>2647</v>
      </c>
      <c r="G526" s="2" t="s">
        <v>2647</v>
      </c>
      <c r="H526" s="2" t="s">
        <v>2647</v>
      </c>
      <c r="I526" s="2" t="s">
        <v>2648</v>
      </c>
      <c r="J526" s="2" t="s">
        <v>227</v>
      </c>
      <c r="K526" s="2" t="s">
        <v>2605</v>
      </c>
      <c r="L526" s="3">
        <v>136</v>
      </c>
      <c r="M526" s="3">
        <v>142.8</v>
      </c>
      <c r="N526" s="3">
        <v>279.99</v>
      </c>
      <c r="O526" s="2" t="s">
        <v>96</v>
      </c>
      <c r="P526" s="2" t="s">
        <v>386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100</v>
      </c>
      <c r="V526" s="2" t="s">
        <v>310</v>
      </c>
      <c r="W526" s="2" t="s">
        <v>158</v>
      </c>
      <c r="X526" s="2" t="s">
        <v>102</v>
      </c>
      <c r="Y526" s="2" t="s">
        <v>2649</v>
      </c>
      <c r="Z526" s="4">
        <v>88</v>
      </c>
      <c r="AA526" s="4">
        <f>=ROUNDDOWN(88,0)</f>
      </c>
      <c r="AB526" s="5">
        <v>1</v>
      </c>
      <c r="AC526" s="2" t="s">
        <v>99</v>
      </c>
      <c r="AD526" s="4"/>
      <c r="AE526" s="4"/>
      <c r="AF526" s="6">
        <v>72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8</v>
      </c>
      <c r="BK526" s="8">
        <v>1096.72</v>
      </c>
      <c r="BL526" s="2" t="s">
        <v>1240</v>
      </c>
      <c r="BM526" s="7"/>
      <c r="BN526" s="7"/>
      <c r="BO526" s="4"/>
      <c r="BP526" s="8"/>
      <c r="BQ526" s="4"/>
      <c r="BR526" s="8"/>
      <c r="BS526" s="7"/>
      <c r="BT526" s="7"/>
      <c r="BU526" s="2" t="s">
        <v>306</v>
      </c>
      <c r="BV526" s="2" t="s">
        <v>96</v>
      </c>
      <c r="BW526" s="2" t="s">
        <v>99</v>
      </c>
      <c r="BX526" s="2" t="s">
        <v>99</v>
      </c>
      <c r="BY526" s="2" t="s">
        <v>109</v>
      </c>
      <c r="BZ526" s="2" t="s">
        <v>109</v>
      </c>
      <c r="CA526" s="2" t="s">
        <v>99</v>
      </c>
    </row>
    <row r="527">
      <c r="A527" s="2" t="s">
        <v>2650</v>
      </c>
      <c r="B527" s="2" t="s">
        <v>2469</v>
      </c>
      <c r="C527" s="2" t="s">
        <v>666</v>
      </c>
      <c r="D527" s="2" t="s">
        <v>2619</v>
      </c>
      <c r="E527" s="2" t="s">
        <v>2620</v>
      </c>
      <c r="F527" s="2" t="s">
        <v>2651</v>
      </c>
      <c r="G527" s="2" t="s">
        <v>2651</v>
      </c>
      <c r="H527" s="2" t="s">
        <v>2651</v>
      </c>
      <c r="I527" s="2" t="s">
        <v>2652</v>
      </c>
      <c r="J527" s="2" t="s">
        <v>227</v>
      </c>
      <c r="K527" s="2" t="s">
        <v>2653</v>
      </c>
      <c r="L527" s="3">
        <v>44.39</v>
      </c>
      <c r="M527" s="3">
        <v>46.61</v>
      </c>
      <c r="N527" s="3">
        <v>99.99</v>
      </c>
      <c r="O527" s="2" t="s">
        <v>443</v>
      </c>
      <c r="P527" s="2" t="s">
        <v>188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100</v>
      </c>
      <c r="V527" s="2" t="s">
        <v>310</v>
      </c>
      <c r="W527" s="2" t="s">
        <v>102</v>
      </c>
      <c r="X527" s="2" t="s">
        <v>2654</v>
      </c>
      <c r="Y527" s="2" t="s">
        <v>2634</v>
      </c>
      <c r="Z527" s="4">
        <v>64</v>
      </c>
      <c r="AA527" s="4">
        <f>=ROUNDDOWN(64,0)</f>
      </c>
      <c r="AB527" s="5">
        <v>1</v>
      </c>
      <c r="AC527" s="2" t="s">
        <v>99</v>
      </c>
      <c r="AD527" s="4"/>
      <c r="AE527" s="4"/>
      <c r="AF527" s="6">
        <v>63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7</v>
      </c>
      <c r="BK527" s="8">
        <v>236.32</v>
      </c>
      <c r="BL527" s="2" t="s">
        <v>1289</v>
      </c>
      <c r="BM527" s="7"/>
      <c r="BN527" s="7"/>
      <c r="BO527" s="4"/>
      <c r="BP527" s="8"/>
      <c r="BQ527" s="4"/>
      <c r="BR527" s="8"/>
      <c r="BS527" s="7"/>
      <c r="BT527" s="7"/>
      <c r="BU527" s="2" t="s">
        <v>107</v>
      </c>
      <c r="BV527" s="2" t="s">
        <v>122</v>
      </c>
      <c r="BW527" s="2" t="s">
        <v>99</v>
      </c>
      <c r="BX527" s="2" t="s">
        <v>519</v>
      </c>
      <c r="BY527" s="2" t="s">
        <v>109</v>
      </c>
      <c r="BZ527" s="2" t="s">
        <v>109</v>
      </c>
      <c r="CA527" s="2" t="s">
        <v>99</v>
      </c>
    </row>
    <row r="528">
      <c r="A528" s="2" t="s">
        <v>2655</v>
      </c>
      <c r="B528" s="2" t="s">
        <v>2469</v>
      </c>
      <c r="C528" s="2" t="s">
        <v>666</v>
      </c>
      <c r="D528" s="2" t="s">
        <v>2619</v>
      </c>
      <c r="E528" s="2" t="s">
        <v>2620</v>
      </c>
      <c r="F528" s="2" t="s">
        <v>1607</v>
      </c>
      <c r="G528" s="2" t="s">
        <v>1607</v>
      </c>
      <c r="H528" s="2" t="s">
        <v>1607</v>
      </c>
      <c r="I528" s="2" t="s">
        <v>2656</v>
      </c>
      <c r="J528" s="2" t="s">
        <v>227</v>
      </c>
      <c r="K528" s="2" t="s">
        <v>95</v>
      </c>
      <c r="L528" s="3">
        <v>267.67</v>
      </c>
      <c r="M528" s="3">
        <v>281.05</v>
      </c>
      <c r="N528" s="3">
        <v>609.99</v>
      </c>
      <c r="O528" s="2" t="s">
        <v>443</v>
      </c>
      <c r="P528" s="2" t="s">
        <v>188</v>
      </c>
      <c r="Q528" s="2" t="s">
        <v>98</v>
      </c>
      <c r="R528" s="2" t="s">
        <v>99</v>
      </c>
      <c r="S528" s="2" t="s">
        <v>2657</v>
      </c>
      <c r="T528" s="2" t="s">
        <v>99</v>
      </c>
      <c r="U528" s="2" t="s">
        <v>99</v>
      </c>
      <c r="V528" s="2" t="s">
        <v>181</v>
      </c>
      <c r="W528" s="2" t="s">
        <v>102</v>
      </c>
      <c r="X528" s="2" t="s">
        <v>99</v>
      </c>
      <c r="Y528" s="2" t="s">
        <v>2658</v>
      </c>
      <c r="Z528" s="4">
        <v>7</v>
      </c>
      <c r="AA528" s="4">
        <f>=ROUNDDOWN(3.5,0)</f>
      </c>
      <c r="AB528" s="5">
        <v>2</v>
      </c>
      <c r="AC528" s="2" t="s">
        <v>99</v>
      </c>
      <c r="AD528" s="4"/>
      <c r="AE528" s="4"/>
      <c r="AF528" s="6">
        <v>63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6</v>
      </c>
      <c r="BK528" s="8">
        <v>1492.08</v>
      </c>
      <c r="BL528" s="2" t="s">
        <v>1677</v>
      </c>
      <c r="BM528" s="7"/>
      <c r="BN528" s="7"/>
      <c r="BO528" s="4"/>
      <c r="BP528" s="8"/>
      <c r="BQ528" s="4"/>
      <c r="BR528" s="8"/>
      <c r="BS528" s="7"/>
      <c r="BT528" s="7"/>
      <c r="BU528" s="2" t="s">
        <v>1019</v>
      </c>
      <c r="BV528" s="2" t="s">
        <v>122</v>
      </c>
      <c r="BW528" s="2" t="s">
        <v>99</v>
      </c>
      <c r="BX528" s="2" t="s">
        <v>2659</v>
      </c>
      <c r="BY528" s="2" t="s">
        <v>175</v>
      </c>
      <c r="BZ528" s="2" t="s">
        <v>109</v>
      </c>
      <c r="CA528" s="2" t="s">
        <v>99</v>
      </c>
    </row>
    <row r="529">
      <c r="A529" s="2" t="s">
        <v>2660</v>
      </c>
      <c r="B529" s="2" t="s">
        <v>2469</v>
      </c>
      <c r="C529" s="2" t="s">
        <v>666</v>
      </c>
      <c r="D529" s="2" t="s">
        <v>2619</v>
      </c>
      <c r="E529" s="2" t="s">
        <v>2620</v>
      </c>
      <c r="F529" s="2" t="s">
        <v>2661</v>
      </c>
      <c r="G529" s="2" t="s">
        <v>2661</v>
      </c>
      <c r="H529" s="2" t="s">
        <v>2661</v>
      </c>
      <c r="I529" s="2" t="s">
        <v>2662</v>
      </c>
      <c r="J529" s="2" t="s">
        <v>227</v>
      </c>
      <c r="K529" s="2" t="s">
        <v>130</v>
      </c>
      <c r="L529" s="3">
        <v>42.75</v>
      </c>
      <c r="M529" s="3">
        <v>44.89</v>
      </c>
      <c r="N529" s="3">
        <v>99.99</v>
      </c>
      <c r="O529" s="2" t="s">
        <v>443</v>
      </c>
      <c r="P529" s="2" t="s">
        <v>188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100</v>
      </c>
      <c r="V529" s="2" t="s">
        <v>310</v>
      </c>
      <c r="W529" s="2" t="s">
        <v>330</v>
      </c>
      <c r="X529" s="2" t="s">
        <v>102</v>
      </c>
      <c r="Y529" s="2" t="s">
        <v>2630</v>
      </c>
      <c r="Z529" s="4">
        <v>52</v>
      </c>
      <c r="AA529" s="4">
        <f>=ROUNDDOWN(86.6666666666667,0)</f>
      </c>
      <c r="AB529" s="5">
        <v>0.6</v>
      </c>
      <c r="AC529" s="2" t="s">
        <v>99</v>
      </c>
      <c r="AD529" s="4"/>
      <c r="AE529" s="4"/>
      <c r="AF529" s="6">
        <v>63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2</v>
      </c>
      <c r="BK529" s="8">
        <v>60.93</v>
      </c>
      <c r="BL529" s="2" t="s">
        <v>751</v>
      </c>
      <c r="BM529" s="7"/>
      <c r="BN529" s="7"/>
      <c r="BO529" s="4"/>
      <c r="BP529" s="8"/>
      <c r="BQ529" s="4"/>
      <c r="BR529" s="8"/>
      <c r="BS529" s="7"/>
      <c r="BT529" s="7"/>
      <c r="BU529" s="2" t="s">
        <v>107</v>
      </c>
      <c r="BV529" s="2" t="s">
        <v>122</v>
      </c>
      <c r="BW529" s="2" t="s">
        <v>99</v>
      </c>
      <c r="BX529" s="2" t="s">
        <v>519</v>
      </c>
      <c r="BY529" s="2" t="s">
        <v>109</v>
      </c>
      <c r="BZ529" s="2" t="s">
        <v>109</v>
      </c>
      <c r="CA529" s="2" t="s">
        <v>99</v>
      </c>
    </row>
    <row r="530">
      <c r="A530" s="2" t="s">
        <v>2663</v>
      </c>
      <c r="B530" s="2" t="s">
        <v>2469</v>
      </c>
      <c r="C530" s="2" t="s">
        <v>666</v>
      </c>
      <c r="D530" s="2" t="s">
        <v>2619</v>
      </c>
      <c r="E530" s="2" t="s">
        <v>2620</v>
      </c>
      <c r="F530" s="2" t="s">
        <v>2664</v>
      </c>
      <c r="G530" s="2" t="s">
        <v>2664</v>
      </c>
      <c r="H530" s="2" t="s">
        <v>2664</v>
      </c>
      <c r="I530" s="2" t="s">
        <v>2665</v>
      </c>
      <c r="J530" s="2" t="s">
        <v>227</v>
      </c>
      <c r="K530" s="2" t="s">
        <v>162</v>
      </c>
      <c r="L530" s="3">
        <v>132</v>
      </c>
      <c r="M530" s="3">
        <v>138.6</v>
      </c>
      <c r="N530" s="3">
        <v>279.99</v>
      </c>
      <c r="O530" s="2" t="s">
        <v>304</v>
      </c>
      <c r="P530" s="2" t="s">
        <v>188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100</v>
      </c>
      <c r="V530" s="2" t="s">
        <v>310</v>
      </c>
      <c r="W530" s="2" t="s">
        <v>362</v>
      </c>
      <c r="X530" s="2" t="s">
        <v>291</v>
      </c>
      <c r="Y530" s="2" t="s">
        <v>2666</v>
      </c>
      <c r="Z530" s="4">
        <v>29</v>
      </c>
      <c r="AA530" s="4">
        <f>=ROUNDDOWN(24.1666666666667,0)</f>
      </c>
      <c r="AB530" s="5">
        <v>1.2</v>
      </c>
      <c r="AC530" s="2" t="s">
        <v>99</v>
      </c>
      <c r="AD530" s="4"/>
      <c r="AE530" s="4"/>
      <c r="AF530" s="6">
        <v>63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6</v>
      </c>
      <c r="BK530" s="8">
        <v>873.61</v>
      </c>
      <c r="BL530" s="2" t="s">
        <v>2667</v>
      </c>
      <c r="BM530" s="7"/>
      <c r="BN530" s="7"/>
      <c r="BO530" s="4"/>
      <c r="BP530" s="8"/>
      <c r="BQ530" s="4"/>
      <c r="BR530" s="8"/>
      <c r="BS530" s="7"/>
      <c r="BT530" s="7"/>
      <c r="BU530" s="2" t="s">
        <v>306</v>
      </c>
      <c r="BV530" s="2" t="s">
        <v>96</v>
      </c>
      <c r="BW530" s="2" t="s">
        <v>99</v>
      </c>
      <c r="BX530" s="2" t="s">
        <v>99</v>
      </c>
      <c r="BY530" s="2" t="s">
        <v>109</v>
      </c>
      <c r="BZ530" s="2" t="s">
        <v>109</v>
      </c>
      <c r="CA530" s="2" t="s">
        <v>99</v>
      </c>
    </row>
    <row r="531">
      <c r="A531" s="2" t="s">
        <v>2668</v>
      </c>
      <c r="B531" s="2" t="s">
        <v>2469</v>
      </c>
      <c r="C531" s="2" t="s">
        <v>666</v>
      </c>
      <c r="D531" s="2" t="s">
        <v>2669</v>
      </c>
      <c r="E531" s="2" t="s">
        <v>2670</v>
      </c>
      <c r="F531" s="2" t="s">
        <v>2581</v>
      </c>
      <c r="G531" s="2" t="s">
        <v>2581</v>
      </c>
      <c r="H531" s="2" t="s">
        <v>2581</v>
      </c>
      <c r="I531" s="2" t="s">
        <v>2671</v>
      </c>
      <c r="J531" s="2" t="s">
        <v>227</v>
      </c>
      <c r="K531" s="2" t="s">
        <v>95</v>
      </c>
      <c r="L531" s="3">
        <v>51.3</v>
      </c>
      <c r="M531" s="3">
        <v>53.86</v>
      </c>
      <c r="N531" s="3">
        <v>119.99</v>
      </c>
      <c r="O531" s="2" t="s">
        <v>96</v>
      </c>
      <c r="P531" s="2" t="s">
        <v>135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100</v>
      </c>
      <c r="V531" s="2" t="s">
        <v>310</v>
      </c>
      <c r="W531" s="2" t="s">
        <v>291</v>
      </c>
      <c r="X531" s="2" t="s">
        <v>102</v>
      </c>
      <c r="Y531" s="2" t="s">
        <v>1946</v>
      </c>
      <c r="Z531" s="4">
        <v>225</v>
      </c>
      <c r="AA531" s="4">
        <f>=ROUNDDOWN(20.4545454545455,0)</f>
      </c>
      <c r="AB531" s="5">
        <v>11</v>
      </c>
      <c r="AC531" s="2" t="s">
        <v>2487</v>
      </c>
      <c r="AD531" s="4">
        <v>100</v>
      </c>
      <c r="AE531" s="4">
        <v>100</v>
      </c>
      <c r="AF531" s="6">
        <v>64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>
        <v>3</v>
      </c>
      <c r="AQ531" s="8">
        <v>196.65</v>
      </c>
      <c r="AR531" s="4"/>
      <c r="AS531" s="8"/>
      <c r="AT531" s="7"/>
      <c r="AU531" s="7"/>
      <c r="AV531" s="4">
        <v>3</v>
      </c>
      <c r="AW531" s="8">
        <v>196.65</v>
      </c>
      <c r="AX531" s="4"/>
      <c r="AY531" s="8"/>
      <c r="AZ531" s="7"/>
      <c r="BA531" s="7"/>
      <c r="BB531" s="7">
        <v>1</v>
      </c>
      <c r="BC531" s="4">
        <v>3</v>
      </c>
      <c r="BD531" s="8">
        <v>196.65</v>
      </c>
      <c r="BE531" s="4"/>
      <c r="BF531" s="8"/>
      <c r="BG531" s="7"/>
      <c r="BH531" s="7"/>
      <c r="BI531" s="7">
        <v>1</v>
      </c>
      <c r="BJ531" s="4">
        <v>35</v>
      </c>
      <c r="BK531" s="8">
        <v>2016.49</v>
      </c>
      <c r="BL531" s="2" t="s">
        <v>2672</v>
      </c>
      <c r="BM531" s="7">
        <v>0.0857</v>
      </c>
      <c r="BN531" s="7">
        <v>0.0975</v>
      </c>
      <c r="BO531" s="4">
        <v>3</v>
      </c>
      <c r="BP531" s="8">
        <v>196.65</v>
      </c>
      <c r="BQ531" s="4"/>
      <c r="BR531" s="8"/>
      <c r="BS531" s="7"/>
      <c r="BT531" s="7"/>
      <c r="BU531" s="2" t="s">
        <v>107</v>
      </c>
      <c r="BV531" s="2" t="s">
        <v>96</v>
      </c>
      <c r="BW531" s="2" t="s">
        <v>99</v>
      </c>
      <c r="BX531" s="2" t="s">
        <v>2536</v>
      </c>
      <c r="BY531" s="2" t="s">
        <v>109</v>
      </c>
      <c r="BZ531" s="2" t="s">
        <v>109</v>
      </c>
      <c r="CA531" s="2" t="s">
        <v>99</v>
      </c>
    </row>
    <row r="532">
      <c r="A532" s="2" t="s">
        <v>2673</v>
      </c>
      <c r="B532" s="2" t="s">
        <v>2469</v>
      </c>
      <c r="C532" s="2" t="s">
        <v>666</v>
      </c>
      <c r="D532" s="2" t="s">
        <v>2669</v>
      </c>
      <c r="E532" s="2" t="s">
        <v>2670</v>
      </c>
      <c r="F532" s="2" t="s">
        <v>2674</v>
      </c>
      <c r="G532" s="2" t="s">
        <v>2674</v>
      </c>
      <c r="H532" s="2" t="s">
        <v>2674</v>
      </c>
      <c r="I532" s="2" t="s">
        <v>2675</v>
      </c>
      <c r="J532" s="2" t="s">
        <v>227</v>
      </c>
      <c r="K532" s="2" t="s">
        <v>2517</v>
      </c>
      <c r="L532" s="3">
        <v>45</v>
      </c>
      <c r="M532" s="3">
        <v>47.25</v>
      </c>
      <c r="N532" s="3">
        <v>94.99</v>
      </c>
      <c r="O532" s="2" t="s">
        <v>443</v>
      </c>
      <c r="P532" s="2" t="s">
        <v>188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100</v>
      </c>
      <c r="V532" s="2" t="s">
        <v>310</v>
      </c>
      <c r="W532" s="2" t="s">
        <v>330</v>
      </c>
      <c r="X532" s="2" t="s">
        <v>103</v>
      </c>
      <c r="Y532" s="2" t="s">
        <v>2676</v>
      </c>
      <c r="Z532" s="4">
        <v>5</v>
      </c>
      <c r="AA532" s="4">
        <f>=ROUNDDOWN(1.42857142857143,0)</f>
      </c>
      <c r="AB532" s="5">
        <v>3.5</v>
      </c>
      <c r="AC532" s="2" t="s">
        <v>99</v>
      </c>
      <c r="AD532" s="4"/>
      <c r="AE532" s="4"/>
      <c r="AF532" s="6">
        <v>69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21</v>
      </c>
      <c r="BK532" s="8">
        <v>1046.14</v>
      </c>
      <c r="BL532" s="2" t="s">
        <v>343</v>
      </c>
      <c r="BM532" s="7"/>
      <c r="BN532" s="7"/>
      <c r="BO532" s="4"/>
      <c r="BP532" s="8"/>
      <c r="BQ532" s="4"/>
      <c r="BR532" s="8"/>
      <c r="BS532" s="7"/>
      <c r="BT532" s="7"/>
      <c r="BU532" s="2" t="s">
        <v>306</v>
      </c>
      <c r="BV532" s="2" t="s">
        <v>96</v>
      </c>
      <c r="BW532" s="2" t="s">
        <v>99</v>
      </c>
      <c r="BX532" s="2" t="s">
        <v>99</v>
      </c>
      <c r="BY532" s="2" t="s">
        <v>109</v>
      </c>
      <c r="BZ532" s="2" t="s">
        <v>109</v>
      </c>
      <c r="CA532" s="2" t="s">
        <v>99</v>
      </c>
    </row>
    <row r="533">
      <c r="A533" s="2" t="s">
        <v>2677</v>
      </c>
      <c r="B533" s="2" t="s">
        <v>2469</v>
      </c>
      <c r="C533" s="2" t="s">
        <v>666</v>
      </c>
      <c r="D533" s="2" t="s">
        <v>2678</v>
      </c>
      <c r="E533" s="2" t="s">
        <v>2679</v>
      </c>
      <c r="F533" s="2" t="s">
        <v>2680</v>
      </c>
      <c r="G533" s="2" t="s">
        <v>2680</v>
      </c>
      <c r="H533" s="2" t="s">
        <v>2680</v>
      </c>
      <c r="I533" s="2" t="s">
        <v>2681</v>
      </c>
      <c r="J533" s="2" t="s">
        <v>227</v>
      </c>
      <c r="K533" s="2" t="s">
        <v>234</v>
      </c>
      <c r="L533" s="3">
        <v>68.4</v>
      </c>
      <c r="M533" s="3">
        <v>71.82</v>
      </c>
      <c r="N533" s="3">
        <v>149.99</v>
      </c>
      <c r="O533" s="2" t="s">
        <v>96</v>
      </c>
      <c r="P533" s="2" t="s">
        <v>188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100</v>
      </c>
      <c r="V533" s="2" t="s">
        <v>310</v>
      </c>
      <c r="W533" s="2" t="s">
        <v>212</v>
      </c>
      <c r="X533" s="2" t="s">
        <v>291</v>
      </c>
      <c r="Y533" s="2" t="s">
        <v>2634</v>
      </c>
      <c r="Z533" s="4">
        <v>39</v>
      </c>
      <c r="AA533" s="4">
        <f>=ROUNDDOWN(13,0)</f>
      </c>
      <c r="AB533" s="5">
        <v>3</v>
      </c>
      <c r="AC533" s="2" t="s">
        <v>99</v>
      </c>
      <c r="AD533" s="4"/>
      <c r="AE533" s="4"/>
      <c r="AF533" s="6">
        <v>81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6</v>
      </c>
      <c r="BK533" s="8">
        <v>287.28</v>
      </c>
      <c r="BL533" s="2" t="s">
        <v>200</v>
      </c>
      <c r="BM533" s="7"/>
      <c r="BN533" s="7"/>
      <c r="BO533" s="4"/>
      <c r="BP533" s="8"/>
      <c r="BQ533" s="4"/>
      <c r="BR533" s="8"/>
      <c r="BS533" s="7"/>
      <c r="BT533" s="7"/>
      <c r="BU533" s="2" t="s">
        <v>306</v>
      </c>
      <c r="BV533" s="2" t="s">
        <v>96</v>
      </c>
      <c r="BW533" s="2" t="s">
        <v>99</v>
      </c>
      <c r="BX533" s="2" t="s">
        <v>99</v>
      </c>
      <c r="BY533" s="2" t="s">
        <v>109</v>
      </c>
      <c r="BZ533" s="2" t="s">
        <v>109</v>
      </c>
      <c r="CA533" s="2" t="s">
        <v>99</v>
      </c>
    </row>
    <row r="534">
      <c r="A534" s="2" t="s">
        <v>2682</v>
      </c>
      <c r="B534" s="2" t="s">
        <v>2469</v>
      </c>
      <c r="C534" s="2" t="s">
        <v>2683</v>
      </c>
      <c r="D534" s="2" t="s">
        <v>2619</v>
      </c>
      <c r="E534" s="2" t="s">
        <v>2620</v>
      </c>
      <c r="F534" s="2" t="s">
        <v>2684</v>
      </c>
      <c r="G534" s="2" t="s">
        <v>2684</v>
      </c>
      <c r="H534" s="2" t="s">
        <v>2684</v>
      </c>
      <c r="I534" s="2" t="s">
        <v>2685</v>
      </c>
      <c r="J534" s="2" t="s">
        <v>227</v>
      </c>
      <c r="K534" s="2" t="s">
        <v>2517</v>
      </c>
      <c r="L534" s="3">
        <v>123.35</v>
      </c>
      <c r="M534" s="3">
        <v>129.52</v>
      </c>
      <c r="N534" s="3">
        <v>259.99</v>
      </c>
      <c r="O534" s="2" t="s">
        <v>96</v>
      </c>
      <c r="P534" s="2" t="s">
        <v>135</v>
      </c>
      <c r="Q534" s="2" t="s">
        <v>98</v>
      </c>
      <c r="R534" s="2" t="s">
        <v>99</v>
      </c>
      <c r="S534" s="2" t="s">
        <v>2686</v>
      </c>
      <c r="T534" s="2" t="s">
        <v>99</v>
      </c>
      <c r="U534" s="2" t="s">
        <v>99</v>
      </c>
      <c r="V534" s="2" t="s">
        <v>157</v>
      </c>
      <c r="W534" s="2" t="s">
        <v>158</v>
      </c>
      <c r="X534" s="2" t="s">
        <v>99</v>
      </c>
      <c r="Y534" s="2" t="s">
        <v>2687</v>
      </c>
      <c r="Z534" s="4">
        <v>191</v>
      </c>
      <c r="AA534" s="4">
        <f>=ROUNDDOWN(28.0882352941176,0)</f>
      </c>
      <c r="AB534" s="5">
        <v>6.8</v>
      </c>
      <c r="AC534" s="2" t="s">
        <v>1657</v>
      </c>
      <c r="AD534" s="4">
        <v>50</v>
      </c>
      <c r="AE534" s="4">
        <v>50</v>
      </c>
      <c r="AF534" s="6">
        <v>64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>
        <v>11</v>
      </c>
      <c r="AQ534" s="8">
        <v>1638.45</v>
      </c>
      <c r="AR534" s="4"/>
      <c r="AS534" s="8"/>
      <c r="AT534" s="7"/>
      <c r="AU534" s="7"/>
      <c r="AV534" s="4">
        <v>11</v>
      </c>
      <c r="AW534" s="8">
        <v>1638.45</v>
      </c>
      <c r="AX534" s="4"/>
      <c r="AY534" s="8"/>
      <c r="AZ534" s="7"/>
      <c r="BA534" s="7"/>
      <c r="BB534" s="7">
        <v>1</v>
      </c>
      <c r="BC534" s="4">
        <v>14</v>
      </c>
      <c r="BD534" s="8">
        <v>2086.41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0.7853</v>
      </c>
      <c r="BJ534" s="4">
        <v>27</v>
      </c>
      <c r="BK534" s="8">
        <v>3438.74</v>
      </c>
      <c r="BL534" s="2" t="s">
        <v>1899</v>
      </c>
      <c r="BM534" s="7">
        <v>0.4074</v>
      </c>
      <c r="BN534" s="7">
        <v>0.4765</v>
      </c>
      <c r="BO534" s="4">
        <v>11</v>
      </c>
      <c r="BP534" s="8">
        <v>1638.45</v>
      </c>
      <c r="BQ534" s="4"/>
      <c r="BR534" s="8"/>
      <c r="BS534" s="7"/>
      <c r="BT534" s="7"/>
      <c r="BU534" s="2" t="s">
        <v>107</v>
      </c>
      <c r="BV534" s="2" t="s">
        <v>96</v>
      </c>
      <c r="BW534" s="2" t="s">
        <v>99</v>
      </c>
      <c r="BX534" s="2" t="s">
        <v>2622</v>
      </c>
      <c r="BY534" s="2" t="s">
        <v>109</v>
      </c>
      <c r="BZ534" s="2" t="s">
        <v>109</v>
      </c>
      <c r="CA534" s="2" t="s">
        <v>99</v>
      </c>
    </row>
    <row r="535">
      <c r="A535" s="2" t="s">
        <v>2688</v>
      </c>
      <c r="B535" s="2" t="s">
        <v>2469</v>
      </c>
      <c r="C535" s="2" t="s">
        <v>2683</v>
      </c>
      <c r="D535" s="2" t="s">
        <v>2619</v>
      </c>
      <c r="E535" s="2" t="s">
        <v>2620</v>
      </c>
      <c r="F535" s="2" t="s">
        <v>2684</v>
      </c>
      <c r="G535" s="2" t="s">
        <v>2684</v>
      </c>
      <c r="H535" s="2" t="s">
        <v>2684</v>
      </c>
      <c r="I535" s="2" t="s">
        <v>2685</v>
      </c>
      <c r="J535" s="2" t="s">
        <v>227</v>
      </c>
      <c r="K535" s="2" t="s">
        <v>2689</v>
      </c>
      <c r="L535" s="3">
        <v>123.35</v>
      </c>
      <c r="M535" s="3">
        <v>129.52</v>
      </c>
      <c r="N535" s="3">
        <v>259.99</v>
      </c>
      <c r="O535" s="2" t="s">
        <v>96</v>
      </c>
      <c r="P535" s="2" t="s">
        <v>131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99</v>
      </c>
      <c r="V535" s="2" t="s">
        <v>310</v>
      </c>
      <c r="W535" s="2" t="s">
        <v>158</v>
      </c>
      <c r="X535" s="2" t="s">
        <v>99</v>
      </c>
      <c r="Y535" s="2" t="s">
        <v>2690</v>
      </c>
      <c r="Z535" s="4">
        <v>105</v>
      </c>
      <c r="AA535" s="4">
        <f>=ROUNDDOWN(26.25,0)</f>
      </c>
      <c r="AB535" s="5">
        <v>4</v>
      </c>
      <c r="AC535" s="2" t="s">
        <v>99</v>
      </c>
      <c r="AD535" s="4"/>
      <c r="AE535" s="4"/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>
        <v>2</v>
      </c>
      <c r="AQ535" s="8">
        <v>298.64</v>
      </c>
      <c r="AR535" s="4"/>
      <c r="AS535" s="8"/>
      <c r="AT535" s="7"/>
      <c r="AU535" s="7"/>
      <c r="AV535" s="4">
        <v>2</v>
      </c>
      <c r="AW535" s="8">
        <v>298.64</v>
      </c>
      <c r="AX535" s="4"/>
      <c r="AY535" s="8"/>
      <c r="AZ535" s="7"/>
      <c r="BA535" s="7"/>
      <c r="BB535" s="7">
        <v>1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0.1431</v>
      </c>
      <c r="BJ535" s="4">
        <v>19</v>
      </c>
      <c r="BK535" s="8">
        <v>2201.15</v>
      </c>
      <c r="BL535" s="2" t="s">
        <v>1888</v>
      </c>
      <c r="BM535" s="7">
        <v>0.1053</v>
      </c>
      <c r="BN535" s="7">
        <v>0.1357</v>
      </c>
      <c r="BO535" s="4">
        <v>2</v>
      </c>
      <c r="BP535" s="8">
        <v>298.64</v>
      </c>
      <c r="BQ535" s="4"/>
      <c r="BR535" s="8"/>
      <c r="BS535" s="7"/>
      <c r="BT535" s="7"/>
      <c r="BU535" s="2" t="s">
        <v>107</v>
      </c>
      <c r="BV535" s="2" t="s">
        <v>96</v>
      </c>
      <c r="BW535" s="2" t="s">
        <v>99</v>
      </c>
      <c r="BX535" s="2" t="s">
        <v>99</v>
      </c>
      <c r="BY535" s="2" t="s">
        <v>109</v>
      </c>
      <c r="BZ535" s="2" t="s">
        <v>109</v>
      </c>
      <c r="CA535" s="2" t="s">
        <v>99</v>
      </c>
    </row>
    <row r="536">
      <c r="A536" s="2" t="s">
        <v>2691</v>
      </c>
      <c r="B536" s="2" t="s">
        <v>2469</v>
      </c>
      <c r="C536" s="2" t="s">
        <v>2683</v>
      </c>
      <c r="D536" s="2" t="s">
        <v>2619</v>
      </c>
      <c r="E536" s="2" t="s">
        <v>2620</v>
      </c>
      <c r="F536" s="2" t="s">
        <v>2684</v>
      </c>
      <c r="G536" s="2" t="s">
        <v>2684</v>
      </c>
      <c r="H536" s="2" t="s">
        <v>2684</v>
      </c>
      <c r="I536" s="2" t="s">
        <v>2685</v>
      </c>
      <c r="J536" s="2" t="s">
        <v>227</v>
      </c>
      <c r="K536" s="2" t="s">
        <v>2611</v>
      </c>
      <c r="L536" s="3">
        <v>123.35</v>
      </c>
      <c r="M536" s="3">
        <v>129.52</v>
      </c>
      <c r="N536" s="3">
        <v>259.99</v>
      </c>
      <c r="O536" s="2" t="s">
        <v>96</v>
      </c>
      <c r="P536" s="2" t="s">
        <v>131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100</v>
      </c>
      <c r="V536" s="2" t="s">
        <v>310</v>
      </c>
      <c r="W536" s="2" t="s">
        <v>158</v>
      </c>
      <c r="X536" s="2" t="s">
        <v>99</v>
      </c>
      <c r="Y536" s="2" t="s">
        <v>2513</v>
      </c>
      <c r="Z536" s="4">
        <v>77</v>
      </c>
      <c r="AA536" s="4">
        <f>=ROUNDDOWN(25.6666666666667,0)</f>
      </c>
      <c r="AB536" s="5">
        <v>3</v>
      </c>
      <c r="AC536" s="2" t="s">
        <v>99</v>
      </c>
      <c r="AD536" s="4"/>
      <c r="AE536" s="4"/>
      <c r="AF536" s="6">
        <v>64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>
        <v>1</v>
      </c>
      <c r="AQ536" s="8">
        <v>149.32</v>
      </c>
      <c r="AR536" s="4"/>
      <c r="AS536" s="8"/>
      <c r="AT536" s="7"/>
      <c r="AU536" s="7"/>
      <c r="AV536" s="4">
        <v>1</v>
      </c>
      <c r="AW536" s="8">
        <v>149.32</v>
      </c>
      <c r="AX536" s="4"/>
      <c r="AY536" s="8"/>
      <c r="AZ536" s="7"/>
      <c r="BA536" s="7"/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0.0716</v>
      </c>
      <c r="BJ536" s="4">
        <v>13</v>
      </c>
      <c r="BK536" s="8">
        <v>1610.86</v>
      </c>
      <c r="BL536" s="2" t="s">
        <v>1701</v>
      </c>
      <c r="BM536" s="7">
        <v>0.0769</v>
      </c>
      <c r="BN536" s="7">
        <v>0.0927</v>
      </c>
      <c r="BO536" s="4">
        <v>1</v>
      </c>
      <c r="BP536" s="8">
        <v>149.32</v>
      </c>
      <c r="BQ536" s="4"/>
      <c r="BR536" s="8"/>
      <c r="BS536" s="7"/>
      <c r="BT536" s="7"/>
      <c r="BU536" s="2" t="s">
        <v>107</v>
      </c>
      <c r="BV536" s="2" t="s">
        <v>96</v>
      </c>
      <c r="BW536" s="2" t="s">
        <v>99</v>
      </c>
      <c r="BX536" s="2" t="s">
        <v>99</v>
      </c>
      <c r="BY536" s="2" t="s">
        <v>109</v>
      </c>
      <c r="BZ536" s="2" t="s">
        <v>109</v>
      </c>
      <c r="CA536" s="2" t="s">
        <v>99</v>
      </c>
    </row>
    <row r="537">
      <c r="A537" s="2" t="s">
        <v>2692</v>
      </c>
      <c r="B537" s="2" t="s">
        <v>2469</v>
      </c>
      <c r="C537" s="2" t="s">
        <v>2683</v>
      </c>
      <c r="D537" s="2" t="s">
        <v>2619</v>
      </c>
      <c r="E537" s="2" t="s">
        <v>2620</v>
      </c>
      <c r="F537" s="2" t="s">
        <v>2693</v>
      </c>
      <c r="G537" s="2" t="s">
        <v>2693</v>
      </c>
      <c r="H537" s="2" t="s">
        <v>2693</v>
      </c>
      <c r="I537" s="2" t="s">
        <v>2694</v>
      </c>
      <c r="J537" s="2" t="s">
        <v>227</v>
      </c>
      <c r="K537" s="2" t="s">
        <v>141</v>
      </c>
      <c r="L537" s="3">
        <v>54.68</v>
      </c>
      <c r="M537" s="3">
        <v>57.41</v>
      </c>
      <c r="N537" s="3">
        <v>127.99</v>
      </c>
      <c r="O537" s="2" t="s">
        <v>443</v>
      </c>
      <c r="P537" s="2" t="s">
        <v>188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100</v>
      </c>
      <c r="V537" s="2" t="s">
        <v>310</v>
      </c>
      <c r="W537" s="2" t="s">
        <v>761</v>
      </c>
      <c r="X537" s="2" t="s">
        <v>99</v>
      </c>
      <c r="Y537" s="2" t="s">
        <v>2695</v>
      </c>
      <c r="Z537" s="4">
        <v>33</v>
      </c>
      <c r="AA537" s="4">
        <f>=ROUNDDOWN(30,0)</f>
      </c>
      <c r="AB537" s="5">
        <v>1.1</v>
      </c>
      <c r="AC537" s="2" t="s">
        <v>99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2</v>
      </c>
      <c r="BK537" s="8">
        <v>87.86</v>
      </c>
      <c r="BL537" s="2" t="s">
        <v>751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122</v>
      </c>
      <c r="BW537" s="2" t="s">
        <v>99</v>
      </c>
      <c r="BX537" s="2" t="s">
        <v>99</v>
      </c>
      <c r="BY537" s="2" t="s">
        <v>109</v>
      </c>
      <c r="BZ537" s="2" t="s">
        <v>109</v>
      </c>
      <c r="CA537" s="2" t="s">
        <v>99</v>
      </c>
    </row>
    <row r="538">
      <c r="A538" s="2" t="s">
        <v>2696</v>
      </c>
      <c r="B538" s="2" t="s">
        <v>2469</v>
      </c>
      <c r="C538" s="2" t="s">
        <v>2683</v>
      </c>
      <c r="D538" s="2" t="s">
        <v>2619</v>
      </c>
      <c r="E538" s="2" t="s">
        <v>2620</v>
      </c>
      <c r="F538" s="2" t="s">
        <v>2697</v>
      </c>
      <c r="G538" s="2" t="s">
        <v>2697</v>
      </c>
      <c r="H538" s="2" t="s">
        <v>2697</v>
      </c>
      <c r="I538" s="2" t="s">
        <v>2698</v>
      </c>
      <c r="J538" s="2" t="s">
        <v>227</v>
      </c>
      <c r="K538" s="2" t="s">
        <v>2625</v>
      </c>
      <c r="L538" s="3">
        <v>56.7</v>
      </c>
      <c r="M538" s="3">
        <v>59.54</v>
      </c>
      <c r="N538" s="3">
        <v>134.99</v>
      </c>
      <c r="O538" s="2" t="s">
        <v>443</v>
      </c>
      <c r="P538" s="2" t="s">
        <v>188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100</v>
      </c>
      <c r="V538" s="2" t="s">
        <v>310</v>
      </c>
      <c r="W538" s="2" t="s">
        <v>102</v>
      </c>
      <c r="X538" s="2" t="s">
        <v>99</v>
      </c>
      <c r="Y538" s="2" t="s">
        <v>2518</v>
      </c>
      <c r="Z538" s="4">
        <v>57</v>
      </c>
      <c r="AA538" s="4">
        <f>=ROUNDDOWN(95,0)</f>
      </c>
      <c r="AB538" s="5">
        <v>0.6</v>
      </c>
      <c r="AC538" s="2" t="s">
        <v>99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99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122</v>
      </c>
      <c r="BW538" s="2" t="s">
        <v>99</v>
      </c>
      <c r="BX538" s="2" t="s">
        <v>99</v>
      </c>
      <c r="BY538" s="2" t="s">
        <v>109</v>
      </c>
      <c r="BZ538" s="2" t="s">
        <v>109</v>
      </c>
      <c r="CA538" s="2" t="s">
        <v>99</v>
      </c>
    </row>
    <row r="539">
      <c r="A539" s="2" t="s">
        <v>2699</v>
      </c>
      <c r="B539" s="2" t="s">
        <v>2469</v>
      </c>
      <c r="C539" s="2" t="s">
        <v>2683</v>
      </c>
      <c r="D539" s="2" t="s">
        <v>2619</v>
      </c>
      <c r="E539" s="2" t="s">
        <v>2620</v>
      </c>
      <c r="F539" s="2" t="s">
        <v>2700</v>
      </c>
      <c r="G539" s="2" t="s">
        <v>2700</v>
      </c>
      <c r="H539" s="2" t="s">
        <v>2700</v>
      </c>
      <c r="I539" s="2" t="s">
        <v>2701</v>
      </c>
      <c r="J539" s="2" t="s">
        <v>227</v>
      </c>
      <c r="K539" s="2" t="s">
        <v>2702</v>
      </c>
      <c r="L539" s="3">
        <v>200.2</v>
      </c>
      <c r="M539" s="3">
        <v>210.21</v>
      </c>
      <c r="N539" s="3">
        <v>369.99</v>
      </c>
      <c r="O539" s="2" t="s">
        <v>96</v>
      </c>
      <c r="P539" s="2" t="s">
        <v>135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100</v>
      </c>
      <c r="V539" s="2" t="s">
        <v>318</v>
      </c>
      <c r="W539" s="2" t="s">
        <v>158</v>
      </c>
      <c r="X539" s="2" t="s">
        <v>522</v>
      </c>
      <c r="Y539" s="2" t="s">
        <v>1933</v>
      </c>
      <c r="Z539" s="4">
        <v>92</v>
      </c>
      <c r="AA539" s="4">
        <f>=ROUNDDOWN(13.1428571428571,0)</f>
      </c>
      <c r="AB539" s="5">
        <v>7</v>
      </c>
      <c r="AC539" s="2" t="s">
        <v>2476</v>
      </c>
      <c r="AD539" s="4">
        <v>90</v>
      </c>
      <c r="AE539" s="4">
        <v>90</v>
      </c>
      <c r="AF539" s="6">
        <v>64</v>
      </c>
      <c r="AG539" s="6"/>
      <c r="AH539" s="7">
        <v>0.1724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/>
      <c r="BJ539" s="4">
        <v>3</v>
      </c>
      <c r="BK539" s="8">
        <v>590.5</v>
      </c>
      <c r="BL539" s="2" t="s">
        <v>1200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96</v>
      </c>
      <c r="BW539" s="2" t="s">
        <v>99</v>
      </c>
      <c r="BX539" s="2" t="s">
        <v>497</v>
      </c>
      <c r="BY539" s="2" t="s">
        <v>109</v>
      </c>
      <c r="BZ539" s="2" t="s">
        <v>109</v>
      </c>
      <c r="CA539" s="2" t="s">
        <v>99</v>
      </c>
    </row>
    <row r="540">
      <c r="A540" s="2" t="s">
        <v>2703</v>
      </c>
      <c r="B540" s="2" t="s">
        <v>2469</v>
      </c>
      <c r="C540" s="2" t="s">
        <v>2683</v>
      </c>
      <c r="D540" s="2" t="s">
        <v>2619</v>
      </c>
      <c r="E540" s="2" t="s">
        <v>2620</v>
      </c>
      <c r="F540" s="2" t="s">
        <v>2700</v>
      </c>
      <c r="G540" s="2" t="s">
        <v>2700</v>
      </c>
      <c r="H540" s="2" t="s">
        <v>2700</v>
      </c>
      <c r="I540" s="2" t="s">
        <v>2701</v>
      </c>
      <c r="J540" s="2" t="s">
        <v>227</v>
      </c>
      <c r="K540" s="2" t="s">
        <v>2704</v>
      </c>
      <c r="L540" s="3">
        <v>182</v>
      </c>
      <c r="M540" s="3">
        <v>191.1</v>
      </c>
      <c r="N540" s="3">
        <v>369.99</v>
      </c>
      <c r="O540" s="2" t="s">
        <v>96</v>
      </c>
      <c r="P540" s="2" t="s">
        <v>188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100</v>
      </c>
      <c r="V540" s="2" t="s">
        <v>318</v>
      </c>
      <c r="W540" s="2" t="s">
        <v>158</v>
      </c>
      <c r="X540" s="2" t="s">
        <v>522</v>
      </c>
      <c r="Y540" s="2" t="s">
        <v>1933</v>
      </c>
      <c r="Z540" s="4">
        <v>67</v>
      </c>
      <c r="AA540" s="4">
        <f>=ROUNDDOWN(39.4117647058823,0)</f>
      </c>
      <c r="AB540" s="5">
        <v>1.7</v>
      </c>
      <c r="AC540" s="2" t="s">
        <v>99</v>
      </c>
      <c r="AD540" s="4"/>
      <c r="AE540" s="4"/>
      <c r="AF540" s="6">
        <v>72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/>
      <c r="BJ540" s="4">
        <v>5</v>
      </c>
      <c r="BK540" s="8">
        <v>856.12</v>
      </c>
      <c r="BL540" s="2" t="s">
        <v>1066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96</v>
      </c>
      <c r="BW540" s="2" t="s">
        <v>99</v>
      </c>
      <c r="BX540" s="2" t="s">
        <v>2705</v>
      </c>
      <c r="BY540" s="2" t="s">
        <v>109</v>
      </c>
      <c r="BZ540" s="2" t="s">
        <v>109</v>
      </c>
      <c r="CA540" s="2" t="s">
        <v>99</v>
      </c>
    </row>
    <row r="541">
      <c r="A541" s="2" t="s">
        <v>2706</v>
      </c>
      <c r="B541" s="2" t="s">
        <v>2469</v>
      </c>
      <c r="C541" s="2" t="s">
        <v>2683</v>
      </c>
      <c r="D541" s="2" t="s">
        <v>2619</v>
      </c>
      <c r="E541" s="2" t="s">
        <v>2620</v>
      </c>
      <c r="F541" s="2" t="s">
        <v>2707</v>
      </c>
      <c r="G541" s="2" t="s">
        <v>2707</v>
      </c>
      <c r="H541" s="2" t="s">
        <v>2707</v>
      </c>
      <c r="I541" s="2" t="s">
        <v>2708</v>
      </c>
      <c r="J541" s="2" t="s">
        <v>227</v>
      </c>
      <c r="K541" s="2" t="s">
        <v>2709</v>
      </c>
      <c r="L541" s="3">
        <v>83.03</v>
      </c>
      <c r="M541" s="3">
        <v>87.18</v>
      </c>
      <c r="N541" s="3">
        <v>189.99</v>
      </c>
      <c r="O541" s="2" t="s">
        <v>443</v>
      </c>
      <c r="P541" s="2" t="s">
        <v>188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100</v>
      </c>
      <c r="V541" s="2" t="s">
        <v>310</v>
      </c>
      <c r="W541" s="2" t="s">
        <v>330</v>
      </c>
      <c r="X541" s="2" t="s">
        <v>362</v>
      </c>
      <c r="Y541" s="2" t="s">
        <v>2630</v>
      </c>
      <c r="Z541" s="4">
        <v>81</v>
      </c>
      <c r="AA541" s="4">
        <f>=ROUNDDOWN(135,0)</f>
      </c>
      <c r="AB541" s="5">
        <v>0.6</v>
      </c>
      <c r="AC541" s="2" t="s">
        <v>99</v>
      </c>
      <c r="AD541" s="4"/>
      <c r="AE541" s="4"/>
      <c r="AF541" s="6">
        <v>63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2</v>
      </c>
      <c r="BK541" s="8">
        <v>236</v>
      </c>
      <c r="BL541" s="2" t="s">
        <v>2523</v>
      </c>
      <c r="BM541" s="7"/>
      <c r="BN541" s="7"/>
      <c r="BO541" s="4"/>
      <c r="BP541" s="8"/>
      <c r="BQ541" s="4"/>
      <c r="BR541" s="8"/>
      <c r="BS541" s="7"/>
      <c r="BT541" s="7"/>
      <c r="BU541" s="2" t="s">
        <v>306</v>
      </c>
      <c r="BV541" s="2" t="s">
        <v>122</v>
      </c>
      <c r="BW541" s="2" t="s">
        <v>99</v>
      </c>
      <c r="BX541" s="2" t="s">
        <v>99</v>
      </c>
      <c r="BY541" s="2" t="s">
        <v>109</v>
      </c>
      <c r="BZ541" s="2" t="s">
        <v>109</v>
      </c>
      <c r="CA541" s="2" t="s">
        <v>99</v>
      </c>
    </row>
    <row r="542">
      <c r="A542" s="2" t="s">
        <v>2710</v>
      </c>
      <c r="B542" s="2" t="s">
        <v>2469</v>
      </c>
      <c r="C542" s="2" t="s">
        <v>2683</v>
      </c>
      <c r="D542" s="2" t="s">
        <v>2619</v>
      </c>
      <c r="E542" s="2" t="s">
        <v>2620</v>
      </c>
      <c r="F542" s="2" t="s">
        <v>2711</v>
      </c>
      <c r="G542" s="2" t="s">
        <v>2711</v>
      </c>
      <c r="H542" s="2" t="s">
        <v>2711</v>
      </c>
      <c r="I542" s="2" t="s">
        <v>2712</v>
      </c>
      <c r="J542" s="2" t="s">
        <v>227</v>
      </c>
      <c r="K542" s="2" t="s">
        <v>2713</v>
      </c>
      <c r="L542" s="3">
        <v>26.5</v>
      </c>
      <c r="M542" s="3">
        <v>27.82</v>
      </c>
      <c r="N542" s="3">
        <v>59.99</v>
      </c>
      <c r="O542" s="2" t="s">
        <v>443</v>
      </c>
      <c r="P542" s="2" t="s">
        <v>188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100</v>
      </c>
      <c r="V542" s="2" t="s">
        <v>310</v>
      </c>
      <c r="W542" s="2" t="s">
        <v>102</v>
      </c>
      <c r="X542" s="2" t="s">
        <v>99</v>
      </c>
      <c r="Y542" s="2" t="s">
        <v>1081</v>
      </c>
      <c r="Z542" s="4">
        <v>62</v>
      </c>
      <c r="AA542" s="4">
        <f>=ROUNDDOWN(88.5714285714286,0)</f>
      </c>
      <c r="AB542" s="5">
        <v>0.7</v>
      </c>
      <c r="AC542" s="2" t="s">
        <v>99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</v>
      </c>
      <c r="BK542" s="8">
        <v>29.22</v>
      </c>
      <c r="BL542" s="2" t="s">
        <v>2714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122</v>
      </c>
      <c r="BW542" s="2" t="s">
        <v>99</v>
      </c>
      <c r="BX542" s="2" t="s">
        <v>99</v>
      </c>
      <c r="BY542" s="2" t="s">
        <v>109</v>
      </c>
      <c r="BZ542" s="2" t="s">
        <v>109</v>
      </c>
      <c r="CA542" s="2" t="s">
        <v>99</v>
      </c>
    </row>
    <row r="543">
      <c r="A543" s="2" t="s">
        <v>2715</v>
      </c>
      <c r="B543" s="2" t="s">
        <v>2469</v>
      </c>
      <c r="C543" s="2" t="s">
        <v>2683</v>
      </c>
      <c r="D543" s="2" t="s">
        <v>2619</v>
      </c>
      <c r="E543" s="2" t="s">
        <v>2620</v>
      </c>
      <c r="F543" s="2" t="s">
        <v>2716</v>
      </c>
      <c r="G543" s="2" t="s">
        <v>2716</v>
      </c>
      <c r="H543" s="2" t="s">
        <v>2716</v>
      </c>
      <c r="I543" s="2" t="s">
        <v>2717</v>
      </c>
      <c r="J543" s="2" t="s">
        <v>227</v>
      </c>
      <c r="K543" s="2" t="s">
        <v>2605</v>
      </c>
      <c r="L543" s="3">
        <v>180</v>
      </c>
      <c r="M543" s="3">
        <v>189</v>
      </c>
      <c r="N543" s="3">
        <v>379.99</v>
      </c>
      <c r="O543" s="2" t="s">
        <v>96</v>
      </c>
      <c r="P543" s="2" t="s">
        <v>188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100</v>
      </c>
      <c r="V543" s="2" t="s">
        <v>310</v>
      </c>
      <c r="W543" s="2" t="s">
        <v>102</v>
      </c>
      <c r="X543" s="2" t="s">
        <v>158</v>
      </c>
      <c r="Y543" s="2" t="s">
        <v>2649</v>
      </c>
      <c r="Z543" s="4">
        <v>78</v>
      </c>
      <c r="AA543" s="4">
        <f>=ROUNDDOWN(86.6666666666667,0)</f>
      </c>
      <c r="AB543" s="5">
        <v>0.9</v>
      </c>
      <c r="AC543" s="2" t="s">
        <v>99</v>
      </c>
      <c r="AD543" s="4"/>
      <c r="AE543" s="4"/>
      <c r="AF543" s="6">
        <v>72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11</v>
      </c>
      <c r="BK543" s="8">
        <v>2164.05</v>
      </c>
      <c r="BL543" s="2" t="s">
        <v>2718</v>
      </c>
      <c r="BM543" s="7"/>
      <c r="BN543" s="7"/>
      <c r="BO543" s="4"/>
      <c r="BP543" s="8"/>
      <c r="BQ543" s="4"/>
      <c r="BR543" s="8"/>
      <c r="BS543" s="7"/>
      <c r="BT543" s="7"/>
      <c r="BU543" s="2" t="s">
        <v>306</v>
      </c>
      <c r="BV543" s="2" t="s">
        <v>96</v>
      </c>
      <c r="BW543" s="2" t="s">
        <v>99</v>
      </c>
      <c r="BX543" s="2" t="s">
        <v>99</v>
      </c>
      <c r="BY543" s="2" t="s">
        <v>109</v>
      </c>
      <c r="BZ543" s="2" t="s">
        <v>109</v>
      </c>
      <c r="CA543" s="2" t="s">
        <v>99</v>
      </c>
    </row>
    <row r="544">
      <c r="A544" s="2" t="s">
        <v>2719</v>
      </c>
      <c r="B544" s="2" t="s">
        <v>2469</v>
      </c>
      <c r="C544" s="2" t="s">
        <v>2683</v>
      </c>
      <c r="D544" s="2" t="s">
        <v>2619</v>
      </c>
      <c r="E544" s="2" t="s">
        <v>2620</v>
      </c>
      <c r="F544" s="2" t="s">
        <v>2720</v>
      </c>
      <c r="G544" s="2" t="s">
        <v>2720</v>
      </c>
      <c r="H544" s="2" t="s">
        <v>2720</v>
      </c>
      <c r="I544" s="2" t="s">
        <v>2721</v>
      </c>
      <c r="J544" s="2" t="s">
        <v>227</v>
      </c>
      <c r="K544" s="2" t="s">
        <v>95</v>
      </c>
      <c r="L544" s="3">
        <v>52.65</v>
      </c>
      <c r="M544" s="3">
        <v>55.28</v>
      </c>
      <c r="N544" s="3">
        <v>104.99</v>
      </c>
      <c r="O544" s="2" t="s">
        <v>443</v>
      </c>
      <c r="P544" s="2" t="s">
        <v>188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100</v>
      </c>
      <c r="V544" s="2" t="s">
        <v>310</v>
      </c>
      <c r="W544" s="2" t="s">
        <v>330</v>
      </c>
      <c r="X544" s="2" t="s">
        <v>99</v>
      </c>
      <c r="Y544" s="2" t="s">
        <v>2606</v>
      </c>
      <c r="Z544" s="4">
        <v>2</v>
      </c>
      <c r="AA544" s="4">
        <f>=ROUNDDOWN(2.22222222222222,0)</f>
      </c>
      <c r="AB544" s="5">
        <v>0.9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6</v>
      </c>
      <c r="BK544" s="8">
        <v>716.59</v>
      </c>
      <c r="BL544" s="2" t="s">
        <v>2722</v>
      </c>
      <c r="BM544" s="7"/>
      <c r="BN544" s="7"/>
      <c r="BO544" s="4"/>
      <c r="BP544" s="8"/>
      <c r="BQ544" s="4"/>
      <c r="BR544" s="8"/>
      <c r="BS544" s="7"/>
      <c r="BT544" s="7"/>
      <c r="BU544" s="2" t="s">
        <v>107</v>
      </c>
      <c r="BV544" s="2" t="s">
        <v>122</v>
      </c>
      <c r="BW544" s="2" t="s">
        <v>99</v>
      </c>
      <c r="BX544" s="2" t="s">
        <v>99</v>
      </c>
      <c r="BY544" s="2" t="s">
        <v>109</v>
      </c>
      <c r="BZ544" s="2" t="s">
        <v>109</v>
      </c>
      <c r="CA544" s="2" t="s">
        <v>99</v>
      </c>
    </row>
    <row r="545">
      <c r="A545" s="2" t="s">
        <v>2723</v>
      </c>
      <c r="B545" s="2" t="s">
        <v>2469</v>
      </c>
      <c r="C545" s="2" t="s">
        <v>2683</v>
      </c>
      <c r="D545" s="2" t="s">
        <v>2594</v>
      </c>
      <c r="E545" s="2" t="s">
        <v>2595</v>
      </c>
      <c r="F545" s="2" t="s">
        <v>2724</v>
      </c>
      <c r="G545" s="2" t="s">
        <v>2724</v>
      </c>
      <c r="H545" s="2" t="s">
        <v>2724</v>
      </c>
      <c r="I545" s="2" t="s">
        <v>2725</v>
      </c>
      <c r="J545" s="2" t="s">
        <v>227</v>
      </c>
      <c r="K545" s="2" t="s">
        <v>2605</v>
      </c>
      <c r="L545" s="3">
        <v>57.5</v>
      </c>
      <c r="M545" s="3">
        <v>60.38</v>
      </c>
      <c r="N545" s="3">
        <v>119.99</v>
      </c>
      <c r="O545" s="2" t="s">
        <v>96</v>
      </c>
      <c r="P545" s="2" t="s">
        <v>97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100</v>
      </c>
      <c r="V545" s="2" t="s">
        <v>310</v>
      </c>
      <c r="W545" s="2" t="s">
        <v>330</v>
      </c>
      <c r="X545" s="2" t="s">
        <v>522</v>
      </c>
      <c r="Y545" s="2" t="s">
        <v>2726</v>
      </c>
      <c r="Z545" s="4">
        <v>157</v>
      </c>
      <c r="AA545" s="4">
        <f>=ROUNDDOWN(7.47619047619048,0)</f>
      </c>
      <c r="AB545" s="5">
        <v>21</v>
      </c>
      <c r="AC545" s="2" t="s">
        <v>2487</v>
      </c>
      <c r="AD545" s="4">
        <v>130</v>
      </c>
      <c r="AE545" s="4">
        <v>310</v>
      </c>
      <c r="AF545" s="6">
        <v>64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>
        <v>7</v>
      </c>
      <c r="AQ545" s="8">
        <v>462.84</v>
      </c>
      <c r="AR545" s="4"/>
      <c r="AS545" s="8"/>
      <c r="AT545" s="7"/>
      <c r="AU545" s="7"/>
      <c r="AV545" s="4">
        <v>7</v>
      </c>
      <c r="AW545" s="8">
        <v>462.84</v>
      </c>
      <c r="AX545" s="4"/>
      <c r="AY545" s="8"/>
      <c r="AZ545" s="7"/>
      <c r="BA545" s="7"/>
      <c r="BB545" s="7">
        <v>1</v>
      </c>
      <c r="BC545" s="4">
        <v>7</v>
      </c>
      <c r="BD545" s="8">
        <v>462.84</v>
      </c>
      <c r="BE545" s="4"/>
      <c r="BF545" s="8"/>
      <c r="BG545" s="7"/>
      <c r="BH545" s="7"/>
      <c r="BI545" s="7">
        <v>1</v>
      </c>
      <c r="BJ545" s="4">
        <v>124</v>
      </c>
      <c r="BK545" s="8">
        <v>7354.88</v>
      </c>
      <c r="BL545" s="2" t="s">
        <v>2727</v>
      </c>
      <c r="BM545" s="7">
        <v>0.0565</v>
      </c>
      <c r="BN545" s="7">
        <v>0.0629</v>
      </c>
      <c r="BO545" s="4">
        <v>7</v>
      </c>
      <c r="BP545" s="8">
        <v>462.84</v>
      </c>
      <c r="BQ545" s="4"/>
      <c r="BR545" s="8"/>
      <c r="BS545" s="7"/>
      <c r="BT545" s="7"/>
      <c r="BU545" s="2" t="s">
        <v>107</v>
      </c>
      <c r="BV545" s="2" t="s">
        <v>96</v>
      </c>
      <c r="BW545" s="2" t="s">
        <v>99</v>
      </c>
      <c r="BX545" s="2" t="s">
        <v>2728</v>
      </c>
      <c r="BY545" s="2" t="s">
        <v>109</v>
      </c>
      <c r="BZ545" s="2" t="s">
        <v>109</v>
      </c>
      <c r="CA545" s="2" t="s">
        <v>99</v>
      </c>
    </row>
    <row r="546">
      <c r="A546" s="2" t="s">
        <v>2729</v>
      </c>
      <c r="B546" s="2" t="s">
        <v>2469</v>
      </c>
      <c r="C546" s="2" t="s">
        <v>2683</v>
      </c>
      <c r="D546" s="2" t="s">
        <v>2525</v>
      </c>
      <c r="E546" s="2" t="s">
        <v>2526</v>
      </c>
      <c r="F546" s="2" t="s">
        <v>2724</v>
      </c>
      <c r="G546" s="2" t="s">
        <v>2724</v>
      </c>
      <c r="H546" s="2" t="s">
        <v>2724</v>
      </c>
      <c r="I546" s="2" t="s">
        <v>2730</v>
      </c>
      <c r="J546" s="2" t="s">
        <v>227</v>
      </c>
      <c r="K546" s="2" t="s">
        <v>2605</v>
      </c>
      <c r="L546" s="3">
        <v>39.85</v>
      </c>
      <c r="M546" s="3">
        <v>41.84</v>
      </c>
      <c r="N546" s="3">
        <v>79.99</v>
      </c>
      <c r="O546" s="2" t="s">
        <v>96</v>
      </c>
      <c r="P546" s="2" t="s">
        <v>386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100</v>
      </c>
      <c r="V546" s="2" t="s">
        <v>310</v>
      </c>
      <c r="W546" s="2" t="s">
        <v>330</v>
      </c>
      <c r="X546" s="2" t="s">
        <v>522</v>
      </c>
      <c r="Y546" s="2" t="s">
        <v>1794</v>
      </c>
      <c r="Z546" s="4">
        <v>65</v>
      </c>
      <c r="AA546" s="4">
        <f>=ROUNDDOWN(21.6666666666667,0)</f>
      </c>
      <c r="AB546" s="5">
        <v>3</v>
      </c>
      <c r="AC546" s="2" t="s">
        <v>99</v>
      </c>
      <c r="AD546" s="4"/>
      <c r="AE546" s="4"/>
      <c r="AF546" s="6">
        <v>64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>
        <v>2</v>
      </c>
      <c r="AQ546" s="8">
        <v>91.66</v>
      </c>
      <c r="AR546" s="4"/>
      <c r="AS546" s="8"/>
      <c r="AT546" s="7"/>
      <c r="AU546" s="7"/>
      <c r="AV546" s="4">
        <v>2</v>
      </c>
      <c r="AW546" s="8">
        <v>91.66</v>
      </c>
      <c r="AX546" s="4"/>
      <c r="AY546" s="8"/>
      <c r="AZ546" s="7"/>
      <c r="BA546" s="7"/>
      <c r="BB546" s="7">
        <v>1</v>
      </c>
      <c r="BC546" s="4">
        <v>2</v>
      </c>
      <c r="BD546" s="8">
        <v>91.66</v>
      </c>
      <c r="BE546" s="4"/>
      <c r="BF546" s="8"/>
      <c r="BG546" s="7"/>
      <c r="BH546" s="7"/>
      <c r="BI546" s="7">
        <v>1</v>
      </c>
      <c r="BJ546" s="4">
        <v>27</v>
      </c>
      <c r="BK546" s="8">
        <v>1061.55</v>
      </c>
      <c r="BL546" s="2" t="s">
        <v>2731</v>
      </c>
      <c r="BM546" s="7">
        <v>0.0741</v>
      </c>
      <c r="BN546" s="7">
        <v>0.0863</v>
      </c>
      <c r="BO546" s="4">
        <v>2</v>
      </c>
      <c r="BP546" s="8">
        <v>91.66</v>
      </c>
      <c r="BQ546" s="4"/>
      <c r="BR546" s="8"/>
      <c r="BS546" s="7"/>
      <c r="BT546" s="7"/>
      <c r="BU546" s="2" t="s">
        <v>107</v>
      </c>
      <c r="BV546" s="2" t="s">
        <v>96</v>
      </c>
      <c r="BW546" s="2" t="s">
        <v>99</v>
      </c>
      <c r="BX546" s="2" t="s">
        <v>1841</v>
      </c>
      <c r="BY546" s="2" t="s">
        <v>109</v>
      </c>
      <c r="BZ546" s="2" t="s">
        <v>109</v>
      </c>
      <c r="CA546" s="2" t="s">
        <v>99</v>
      </c>
    </row>
    <row r="547">
      <c r="A547" s="2" t="s">
        <v>2732</v>
      </c>
      <c r="B547" s="2" t="s">
        <v>2469</v>
      </c>
      <c r="C547" s="2" t="s">
        <v>2683</v>
      </c>
      <c r="D547" s="2" t="s">
        <v>2525</v>
      </c>
      <c r="E547" s="2" t="s">
        <v>2526</v>
      </c>
      <c r="F547" s="2" t="s">
        <v>1070</v>
      </c>
      <c r="G547" s="2" t="s">
        <v>1070</v>
      </c>
      <c r="H547" s="2" t="s">
        <v>1070</v>
      </c>
      <c r="I547" s="2" t="s">
        <v>2733</v>
      </c>
      <c r="J547" s="2" t="s">
        <v>227</v>
      </c>
      <c r="K547" s="2" t="s">
        <v>1099</v>
      </c>
      <c r="L547" s="3">
        <v>81.97</v>
      </c>
      <c r="M547" s="3">
        <v>86.07</v>
      </c>
      <c r="N547" s="3">
        <v>189.99</v>
      </c>
      <c r="O547" s="2" t="s">
        <v>96</v>
      </c>
      <c r="P547" s="2" t="s">
        <v>131</v>
      </c>
      <c r="Q547" s="2" t="s">
        <v>98</v>
      </c>
      <c r="R547" s="2" t="s">
        <v>99</v>
      </c>
      <c r="S547" s="2" t="s">
        <v>2734</v>
      </c>
      <c r="T547" s="2" t="s">
        <v>99</v>
      </c>
      <c r="U547" s="2" t="s">
        <v>99</v>
      </c>
      <c r="V547" s="2" t="s">
        <v>157</v>
      </c>
      <c r="W547" s="2" t="s">
        <v>158</v>
      </c>
      <c r="X547" s="2" t="s">
        <v>99</v>
      </c>
      <c r="Y547" s="2" t="s">
        <v>164</v>
      </c>
      <c r="Z547" s="4">
        <v>151</v>
      </c>
      <c r="AA547" s="4">
        <f>=ROUNDDOWN(30.2,0)</f>
      </c>
      <c r="AB547" s="5">
        <v>5</v>
      </c>
      <c r="AC547" s="2" t="s">
        <v>99</v>
      </c>
      <c r="AD547" s="4"/>
      <c r="AE547" s="4"/>
      <c r="AF547" s="6">
        <v>64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28</v>
      </c>
      <c r="BK547" s="8">
        <v>2099.49</v>
      </c>
      <c r="BL547" s="2" t="s">
        <v>2735</v>
      </c>
      <c r="BM547" s="7"/>
      <c r="BN547" s="7"/>
      <c r="BO547" s="4"/>
      <c r="BP547" s="8"/>
      <c r="BQ547" s="4"/>
      <c r="BR547" s="8"/>
      <c r="BS547" s="7"/>
      <c r="BT547" s="7"/>
      <c r="BU547" s="2" t="s">
        <v>306</v>
      </c>
      <c r="BV547" s="2" t="s">
        <v>122</v>
      </c>
      <c r="BW547" s="2" t="s">
        <v>99</v>
      </c>
      <c r="BX547" s="2" t="s">
        <v>1213</v>
      </c>
      <c r="BY547" s="2" t="s">
        <v>109</v>
      </c>
      <c r="BZ547" s="2" t="s">
        <v>109</v>
      </c>
      <c r="CA547" s="2" t="s">
        <v>99</v>
      </c>
    </row>
    <row r="548">
      <c r="A548" s="2" t="s">
        <v>2736</v>
      </c>
      <c r="B548" s="2" t="s">
        <v>2469</v>
      </c>
      <c r="C548" s="2" t="s">
        <v>2683</v>
      </c>
      <c r="D548" s="2" t="s">
        <v>2525</v>
      </c>
      <c r="E548" s="2" t="s">
        <v>2526</v>
      </c>
      <c r="F548" s="2" t="s">
        <v>2737</v>
      </c>
      <c r="G548" s="2" t="s">
        <v>2737</v>
      </c>
      <c r="H548" s="2" t="s">
        <v>2737</v>
      </c>
      <c r="I548" s="2" t="s">
        <v>2738</v>
      </c>
      <c r="J548" s="2" t="s">
        <v>227</v>
      </c>
      <c r="K548" s="2" t="s">
        <v>274</v>
      </c>
      <c r="L548" s="3">
        <v>63</v>
      </c>
      <c r="M548" s="3">
        <v>66.15</v>
      </c>
      <c r="N548" s="3">
        <v>129.99</v>
      </c>
      <c r="O548" s="2" t="s">
        <v>304</v>
      </c>
      <c r="P548" s="2" t="s">
        <v>188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100</v>
      </c>
      <c r="V548" s="2" t="s">
        <v>310</v>
      </c>
      <c r="W548" s="2" t="s">
        <v>754</v>
      </c>
      <c r="X548" s="2" t="s">
        <v>212</v>
      </c>
      <c r="Y548" s="2" t="s">
        <v>2739</v>
      </c>
      <c r="Z548" s="4"/>
      <c r="AA548" s="4">
        <f>=ROUNDDOWN({0},0)</f>
      </c>
      <c r="AB548" s="5">
        <v>3</v>
      </c>
      <c r="AC548" s="2" t="s">
        <v>99</v>
      </c>
      <c r="AD548" s="4"/>
      <c r="AE548" s="4"/>
      <c r="AF548" s="6">
        <v>69</v>
      </c>
      <c r="AG548" s="6"/>
      <c r="AH548" s="7">
        <v>0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99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96</v>
      </c>
      <c r="BW548" s="2" t="s">
        <v>99</v>
      </c>
      <c r="BX548" s="2" t="s">
        <v>2478</v>
      </c>
      <c r="BY548" s="2" t="s">
        <v>109</v>
      </c>
      <c r="BZ548" s="2" t="s">
        <v>109</v>
      </c>
      <c r="CA548" s="2" t="s">
        <v>99</v>
      </c>
    </row>
    <row r="549">
      <c r="A549" s="2" t="s">
        <v>2740</v>
      </c>
      <c r="B549" s="2" t="s">
        <v>2469</v>
      </c>
      <c r="C549" s="2" t="s">
        <v>2683</v>
      </c>
      <c r="D549" s="2" t="s">
        <v>2470</v>
      </c>
      <c r="E549" s="2" t="s">
        <v>2471</v>
      </c>
      <c r="F549" s="2" t="s">
        <v>2741</v>
      </c>
      <c r="G549" s="2" t="s">
        <v>2741</v>
      </c>
      <c r="H549" s="2" t="s">
        <v>2741</v>
      </c>
      <c r="I549" s="2" t="s">
        <v>2742</v>
      </c>
      <c r="J549" s="2" t="s">
        <v>227</v>
      </c>
      <c r="K549" s="2" t="s">
        <v>2743</v>
      </c>
      <c r="L549" s="3">
        <v>19.95</v>
      </c>
      <c r="M549" s="3">
        <v>20.95</v>
      </c>
      <c r="N549" s="3">
        <v>42.5</v>
      </c>
      <c r="O549" s="2" t="s">
        <v>443</v>
      </c>
      <c r="P549" s="2" t="s">
        <v>188</v>
      </c>
      <c r="Q549" s="2" t="s">
        <v>98</v>
      </c>
      <c r="R549" s="2" t="s">
        <v>99</v>
      </c>
      <c r="S549" s="2" t="s">
        <v>99</v>
      </c>
      <c r="T549" s="2" t="s">
        <v>99</v>
      </c>
      <c r="U549" s="2" t="s">
        <v>100</v>
      </c>
      <c r="V549" s="2" t="s">
        <v>310</v>
      </c>
      <c r="W549" s="2" t="s">
        <v>362</v>
      </c>
      <c r="X549" s="2" t="s">
        <v>99</v>
      </c>
      <c r="Y549" s="2" t="s">
        <v>2606</v>
      </c>
      <c r="Z549" s="4">
        <v>132</v>
      </c>
      <c r="AA549" s="4">
        <f>=ROUNDDOWN(165,0)</f>
      </c>
      <c r="AB549" s="5">
        <v>0.8</v>
      </c>
      <c r="AC549" s="2" t="s">
        <v>99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/>
      <c r="BK549" s="8"/>
      <c r="BL549" s="2" t="s">
        <v>99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122</v>
      </c>
      <c r="BW549" s="2" t="s">
        <v>99</v>
      </c>
      <c r="BX549" s="2" t="s">
        <v>99</v>
      </c>
      <c r="BY549" s="2" t="s">
        <v>109</v>
      </c>
      <c r="BZ549" s="2" t="s">
        <v>109</v>
      </c>
      <c r="CA549" s="2" t="s">
        <v>99</v>
      </c>
    </row>
    <row r="550">
      <c r="A550" s="2" t="s">
        <v>2744</v>
      </c>
      <c r="B550" s="2" t="s">
        <v>2469</v>
      </c>
      <c r="C550" s="2" t="s">
        <v>2300</v>
      </c>
      <c r="D550" s="2" t="s">
        <v>2525</v>
      </c>
      <c r="E550" s="2" t="s">
        <v>2526</v>
      </c>
      <c r="F550" s="2" t="s">
        <v>2745</v>
      </c>
      <c r="G550" s="2" t="s">
        <v>2745</v>
      </c>
      <c r="H550" s="2" t="s">
        <v>2745</v>
      </c>
      <c r="I550" s="2" t="s">
        <v>2746</v>
      </c>
      <c r="J550" s="2" t="s">
        <v>227</v>
      </c>
      <c r="K550" s="2" t="s">
        <v>2517</v>
      </c>
      <c r="L550" s="3">
        <v>36</v>
      </c>
      <c r="M550" s="3">
        <v>37.8</v>
      </c>
      <c r="N550" s="3">
        <v>74.99</v>
      </c>
      <c r="O550" s="2" t="s">
        <v>96</v>
      </c>
      <c r="P550" s="2" t="s">
        <v>97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99</v>
      </c>
      <c r="V550" s="2" t="s">
        <v>310</v>
      </c>
      <c r="W550" s="2" t="s">
        <v>102</v>
      </c>
      <c r="X550" s="2" t="s">
        <v>158</v>
      </c>
      <c r="Y550" s="2" t="s">
        <v>1736</v>
      </c>
      <c r="Z550" s="4">
        <v>396</v>
      </c>
      <c r="AA550" s="4">
        <f>=ROUNDDOWN(18.8571428571429,0)</f>
      </c>
      <c r="AB550" s="5">
        <v>21</v>
      </c>
      <c r="AC550" s="2" t="s">
        <v>1368</v>
      </c>
      <c r="AD550" s="4">
        <v>100</v>
      </c>
      <c r="AE550" s="4">
        <v>150</v>
      </c>
      <c r="AF550" s="6">
        <v>64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>
        <v>19</v>
      </c>
      <c r="AQ550" s="8">
        <v>786.6</v>
      </c>
      <c r="AR550" s="4"/>
      <c r="AS550" s="8"/>
      <c r="AT550" s="7"/>
      <c r="AU550" s="7"/>
      <c r="AV550" s="4">
        <v>19</v>
      </c>
      <c r="AW550" s="8">
        <v>786.6</v>
      </c>
      <c r="AX550" s="4"/>
      <c r="AY550" s="8"/>
      <c r="AZ550" s="7"/>
      <c r="BA550" s="7"/>
      <c r="BB550" s="7">
        <v>1</v>
      </c>
      <c r="BC550" s="4">
        <v>19</v>
      </c>
      <c r="BD550" s="8">
        <v>786.6</v>
      </c>
      <c r="BE550" s="4"/>
      <c r="BF550" s="8"/>
      <c r="BG550" s="7"/>
      <c r="BH550" s="7"/>
      <c r="BI550" s="7">
        <v>1</v>
      </c>
      <c r="BJ550" s="4">
        <v>99</v>
      </c>
      <c r="BK550" s="8">
        <v>3727.33</v>
      </c>
      <c r="BL550" s="2" t="s">
        <v>2747</v>
      </c>
      <c r="BM550" s="7">
        <v>0.1919</v>
      </c>
      <c r="BN550" s="7">
        <v>0.211</v>
      </c>
      <c r="BO550" s="4">
        <v>19</v>
      </c>
      <c r="BP550" s="8">
        <v>786.6</v>
      </c>
      <c r="BQ550" s="4"/>
      <c r="BR550" s="8"/>
      <c r="BS550" s="7"/>
      <c r="BT550" s="7"/>
      <c r="BU550" s="2" t="s">
        <v>107</v>
      </c>
      <c r="BV550" s="2" t="s">
        <v>96</v>
      </c>
      <c r="BW550" s="2" t="s">
        <v>99</v>
      </c>
      <c r="BX550" s="2" t="s">
        <v>313</v>
      </c>
      <c r="BY550" s="2" t="s">
        <v>109</v>
      </c>
      <c r="BZ550" s="2" t="s">
        <v>109</v>
      </c>
      <c r="CA550" s="2" t="s">
        <v>99</v>
      </c>
    </row>
    <row r="551">
      <c r="A551" s="2" t="s">
        <v>2748</v>
      </c>
      <c r="B551" s="2" t="s">
        <v>2469</v>
      </c>
      <c r="C551" s="2" t="s">
        <v>2300</v>
      </c>
      <c r="D551" s="2" t="s">
        <v>2525</v>
      </c>
      <c r="E551" s="2" t="s">
        <v>2526</v>
      </c>
      <c r="F551" s="2" t="s">
        <v>1984</v>
      </c>
      <c r="G551" s="2" t="s">
        <v>1984</v>
      </c>
      <c r="H551" s="2" t="s">
        <v>1984</v>
      </c>
      <c r="I551" s="2" t="s">
        <v>2749</v>
      </c>
      <c r="J551" s="2" t="s">
        <v>227</v>
      </c>
      <c r="K551" s="2" t="s">
        <v>1426</v>
      </c>
      <c r="L551" s="3">
        <v>26.6</v>
      </c>
      <c r="M551" s="3">
        <v>27.93</v>
      </c>
      <c r="N551" s="3">
        <v>59.99</v>
      </c>
      <c r="O551" s="2" t="s">
        <v>96</v>
      </c>
      <c r="P551" s="2" t="s">
        <v>131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99</v>
      </c>
      <c r="V551" s="2" t="s">
        <v>310</v>
      </c>
      <c r="W551" s="2" t="s">
        <v>158</v>
      </c>
      <c r="X551" s="2" t="s">
        <v>99</v>
      </c>
      <c r="Y551" s="2" t="s">
        <v>2750</v>
      </c>
      <c r="Z551" s="4">
        <v>93</v>
      </c>
      <c r="AA551" s="4">
        <f>=ROUNDDOWN(10.3333333333333,0)</f>
      </c>
      <c r="AB551" s="5">
        <v>9</v>
      </c>
      <c r="AC551" s="2" t="s">
        <v>2476</v>
      </c>
      <c r="AD551" s="4">
        <v>110</v>
      </c>
      <c r="AE551" s="4">
        <v>110</v>
      </c>
      <c r="AF551" s="6">
        <v>64</v>
      </c>
      <c r="AG551" s="6"/>
      <c r="AH551" s="7">
        <v>0.4138</v>
      </c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>
        <v>2</v>
      </c>
      <c r="AQ551" s="8">
        <v>64.4</v>
      </c>
      <c r="AR551" s="4"/>
      <c r="AS551" s="8"/>
      <c r="AT551" s="7"/>
      <c r="AU551" s="7"/>
      <c r="AV551" s="4">
        <v>2</v>
      </c>
      <c r="AW551" s="8">
        <v>64.4</v>
      </c>
      <c r="AX551" s="4"/>
      <c r="AY551" s="8"/>
      <c r="AZ551" s="7"/>
      <c r="BA551" s="7"/>
      <c r="BB551" s="7">
        <v>1</v>
      </c>
      <c r="BC551" s="4">
        <v>2</v>
      </c>
      <c r="BD551" s="8">
        <v>64.4</v>
      </c>
      <c r="BE551" s="4"/>
      <c r="BF551" s="8"/>
      <c r="BG551" s="7"/>
      <c r="BH551" s="7"/>
      <c r="BI551" s="7">
        <v>1</v>
      </c>
      <c r="BJ551" s="4">
        <v>21</v>
      </c>
      <c r="BK551" s="8">
        <v>655.63</v>
      </c>
      <c r="BL551" s="2" t="s">
        <v>2751</v>
      </c>
      <c r="BM551" s="7">
        <v>0.0952</v>
      </c>
      <c r="BN551" s="7">
        <v>0.0982</v>
      </c>
      <c r="BO551" s="4">
        <v>2</v>
      </c>
      <c r="BP551" s="8">
        <v>64.4</v>
      </c>
      <c r="BQ551" s="4"/>
      <c r="BR551" s="8"/>
      <c r="BS551" s="7"/>
      <c r="BT551" s="7"/>
      <c r="BU551" s="2" t="s">
        <v>107</v>
      </c>
      <c r="BV551" s="2" t="s">
        <v>96</v>
      </c>
      <c r="BW551" s="2" t="s">
        <v>99</v>
      </c>
      <c r="BX551" s="2" t="s">
        <v>99</v>
      </c>
      <c r="BY551" s="2" t="s">
        <v>109</v>
      </c>
      <c r="BZ551" s="2" t="s">
        <v>109</v>
      </c>
      <c r="CA551" s="2" t="s">
        <v>99</v>
      </c>
    </row>
    <row r="552">
      <c r="A552" s="2" t="s">
        <v>2752</v>
      </c>
      <c r="B552" s="2" t="s">
        <v>2469</v>
      </c>
      <c r="C552" s="2" t="s">
        <v>2300</v>
      </c>
      <c r="D552" s="2" t="s">
        <v>2525</v>
      </c>
      <c r="E552" s="2" t="s">
        <v>2526</v>
      </c>
      <c r="F552" s="2" t="s">
        <v>2753</v>
      </c>
      <c r="G552" s="2" t="s">
        <v>2753</v>
      </c>
      <c r="H552" s="2" t="s">
        <v>2753</v>
      </c>
      <c r="I552" s="2" t="s">
        <v>2754</v>
      </c>
      <c r="J552" s="2" t="s">
        <v>227</v>
      </c>
      <c r="K552" s="2" t="s">
        <v>1108</v>
      </c>
      <c r="L552" s="3">
        <v>54.94</v>
      </c>
      <c r="M552" s="3">
        <v>57.69</v>
      </c>
      <c r="N552" s="3">
        <v>119.99</v>
      </c>
      <c r="O552" s="2" t="s">
        <v>96</v>
      </c>
      <c r="P552" s="2" t="s">
        <v>131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100</v>
      </c>
      <c r="V552" s="2" t="s">
        <v>310</v>
      </c>
      <c r="W552" s="2" t="s">
        <v>158</v>
      </c>
      <c r="X552" s="2" t="s">
        <v>99</v>
      </c>
      <c r="Y552" s="2" t="s">
        <v>2755</v>
      </c>
      <c r="Z552" s="4">
        <v>123</v>
      </c>
      <c r="AA552" s="4">
        <f>=ROUNDDOWN(13.6666666666667,0)</f>
      </c>
      <c r="AB552" s="5">
        <v>9</v>
      </c>
      <c r="AC552" s="2" t="s">
        <v>1368</v>
      </c>
      <c r="AD552" s="4">
        <v>150</v>
      </c>
      <c r="AE552" s="4">
        <v>150</v>
      </c>
      <c r="AF552" s="6">
        <v>64</v>
      </c>
      <c r="AG552" s="6"/>
      <c r="AH552" s="7">
        <v>0.3448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3</v>
      </c>
      <c r="BK552" s="8">
        <v>181.12</v>
      </c>
      <c r="BL552" s="2" t="s">
        <v>1294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96</v>
      </c>
      <c r="BW552" s="2" t="s">
        <v>99</v>
      </c>
      <c r="BX552" s="2" t="s">
        <v>2756</v>
      </c>
      <c r="BY552" s="2" t="s">
        <v>109</v>
      </c>
      <c r="BZ552" s="2" t="s">
        <v>109</v>
      </c>
      <c r="CA552" s="2" t="s">
        <v>99</v>
      </c>
    </row>
    <row r="553">
      <c r="A553" s="2" t="s">
        <v>2757</v>
      </c>
      <c r="B553" s="2" t="s">
        <v>2469</v>
      </c>
      <c r="C553" s="2" t="s">
        <v>2300</v>
      </c>
      <c r="D553" s="2" t="s">
        <v>2525</v>
      </c>
      <c r="E553" s="2" t="s">
        <v>2526</v>
      </c>
      <c r="F553" s="2" t="s">
        <v>2758</v>
      </c>
      <c r="G553" s="2" t="s">
        <v>2758</v>
      </c>
      <c r="H553" s="2" t="s">
        <v>2758</v>
      </c>
      <c r="I553" s="2" t="s">
        <v>2759</v>
      </c>
      <c r="J553" s="2" t="s">
        <v>227</v>
      </c>
      <c r="K553" s="2" t="s">
        <v>141</v>
      </c>
      <c r="L553" s="3">
        <v>37.75</v>
      </c>
      <c r="M553" s="3">
        <v>39.64</v>
      </c>
      <c r="N553" s="3">
        <v>84.99</v>
      </c>
      <c r="O553" s="2" t="s">
        <v>304</v>
      </c>
      <c r="P553" s="2" t="s">
        <v>188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100</v>
      </c>
      <c r="V553" s="2" t="s">
        <v>310</v>
      </c>
      <c r="W553" s="2" t="s">
        <v>102</v>
      </c>
      <c r="X553" s="2" t="s">
        <v>99</v>
      </c>
      <c r="Y553" s="2" t="s">
        <v>2760</v>
      </c>
      <c r="Z553" s="4"/>
      <c r="AA553" s="4">
        <f>=ROUNDDOWN({0},0)</f>
      </c>
      <c r="AB553" s="5">
        <v>2.1</v>
      </c>
      <c r="AC553" s="2" t="s">
        <v>99</v>
      </c>
      <c r="AD553" s="4"/>
      <c r="AE553" s="4"/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99</v>
      </c>
      <c r="BM553" s="7"/>
      <c r="BN553" s="7"/>
      <c r="BO553" s="4"/>
      <c r="BP553" s="8"/>
      <c r="BQ553" s="4"/>
      <c r="BR553" s="8"/>
      <c r="BS553" s="7"/>
      <c r="BT553" s="7"/>
      <c r="BU553" s="2" t="s">
        <v>306</v>
      </c>
      <c r="BV553" s="2" t="s">
        <v>96</v>
      </c>
      <c r="BW553" s="2" t="s">
        <v>99</v>
      </c>
      <c r="BX553" s="2" t="s">
        <v>99</v>
      </c>
      <c r="BY553" s="2" t="s">
        <v>109</v>
      </c>
      <c r="BZ553" s="2" t="s">
        <v>109</v>
      </c>
      <c r="CA553" s="2" t="s">
        <v>99</v>
      </c>
    </row>
    <row r="554">
      <c r="A554" s="2" t="s">
        <v>2761</v>
      </c>
      <c r="B554" s="2" t="s">
        <v>2469</v>
      </c>
      <c r="C554" s="2" t="s">
        <v>2300</v>
      </c>
      <c r="D554" s="2" t="s">
        <v>2525</v>
      </c>
      <c r="E554" s="2" t="s">
        <v>2526</v>
      </c>
      <c r="F554" s="2" t="s">
        <v>2762</v>
      </c>
      <c r="G554" s="2" t="s">
        <v>2762</v>
      </c>
      <c r="H554" s="2" t="s">
        <v>2762</v>
      </c>
      <c r="I554" s="2" t="s">
        <v>2763</v>
      </c>
      <c r="J554" s="2" t="s">
        <v>227</v>
      </c>
      <c r="K554" s="2" t="s">
        <v>95</v>
      </c>
      <c r="L554" s="3">
        <v>24.8</v>
      </c>
      <c r="M554" s="3">
        <v>26.04</v>
      </c>
      <c r="N554" s="3">
        <v>49.99</v>
      </c>
      <c r="O554" s="2" t="s">
        <v>96</v>
      </c>
      <c r="P554" s="2" t="s">
        <v>135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100</v>
      </c>
      <c r="V554" s="2" t="s">
        <v>310</v>
      </c>
      <c r="W554" s="2" t="s">
        <v>158</v>
      </c>
      <c r="X554" s="2" t="s">
        <v>291</v>
      </c>
      <c r="Y554" s="2" t="s">
        <v>2764</v>
      </c>
      <c r="Z554" s="4">
        <v>173</v>
      </c>
      <c r="AA554" s="4">
        <f>=ROUNDDOWN(14.4166666666667,0)</f>
      </c>
      <c r="AB554" s="5">
        <v>12</v>
      </c>
      <c r="AC554" s="2" t="s">
        <v>2765</v>
      </c>
      <c r="AD554" s="4">
        <v>100</v>
      </c>
      <c r="AE554" s="4">
        <v>100</v>
      </c>
      <c r="AF554" s="6">
        <v>64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61</v>
      </c>
      <c r="BK554" s="8">
        <v>1655.68</v>
      </c>
      <c r="BL554" s="2" t="s">
        <v>2766</v>
      </c>
      <c r="BM554" s="7"/>
      <c r="BN554" s="7"/>
      <c r="BO554" s="4"/>
      <c r="BP554" s="8"/>
      <c r="BQ554" s="4"/>
      <c r="BR554" s="8"/>
      <c r="BS554" s="7"/>
      <c r="BT554" s="7"/>
      <c r="BU554" s="2" t="s">
        <v>306</v>
      </c>
      <c r="BV554" s="2" t="s">
        <v>96</v>
      </c>
      <c r="BW554" s="2" t="s">
        <v>99</v>
      </c>
      <c r="BX554" s="2" t="s">
        <v>99</v>
      </c>
      <c r="BY554" s="2" t="s">
        <v>109</v>
      </c>
      <c r="BZ554" s="2" t="s">
        <v>109</v>
      </c>
      <c r="CA554" s="2" t="s">
        <v>99</v>
      </c>
    </row>
    <row r="555">
      <c r="A555" s="2" t="s">
        <v>2767</v>
      </c>
      <c r="B555" s="2" t="s">
        <v>2469</v>
      </c>
      <c r="C555" s="2" t="s">
        <v>2300</v>
      </c>
      <c r="D555" s="2" t="s">
        <v>2525</v>
      </c>
      <c r="E555" s="2" t="s">
        <v>2526</v>
      </c>
      <c r="F555" s="2" t="s">
        <v>2768</v>
      </c>
      <c r="G555" s="2" t="s">
        <v>2768</v>
      </c>
      <c r="H555" s="2" t="s">
        <v>2768</v>
      </c>
      <c r="I555" s="2" t="s">
        <v>2769</v>
      </c>
      <c r="J555" s="2" t="s">
        <v>219</v>
      </c>
      <c r="K555" s="2" t="s">
        <v>95</v>
      </c>
      <c r="L555" s="3">
        <v>80.15</v>
      </c>
      <c r="M555" s="3">
        <v>84.16</v>
      </c>
      <c r="N555" s="3">
        <v>184.99</v>
      </c>
      <c r="O555" s="2" t="s">
        <v>96</v>
      </c>
      <c r="P555" s="2" t="s">
        <v>131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210</v>
      </c>
      <c r="V555" s="2" t="s">
        <v>310</v>
      </c>
      <c r="W555" s="2" t="s">
        <v>158</v>
      </c>
      <c r="X555" s="2" t="s">
        <v>99</v>
      </c>
      <c r="Y555" s="2" t="s">
        <v>2770</v>
      </c>
      <c r="Z555" s="4">
        <v>153</v>
      </c>
      <c r="AA555" s="4">
        <f>=ROUNDDOWN(25.5,0)</f>
      </c>
      <c r="AB555" s="5">
        <v>6</v>
      </c>
      <c r="AC555" s="2" t="s">
        <v>99</v>
      </c>
      <c r="AD555" s="4"/>
      <c r="AE555" s="4"/>
      <c r="AF555" s="6">
        <v>64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32</v>
      </c>
      <c r="BK555" s="8">
        <v>2879.96</v>
      </c>
      <c r="BL555" s="2" t="s">
        <v>2771</v>
      </c>
      <c r="BM555" s="7"/>
      <c r="BN555" s="7"/>
      <c r="BO555" s="4"/>
      <c r="BP555" s="8"/>
      <c r="BQ555" s="4"/>
      <c r="BR555" s="8"/>
      <c r="BS555" s="7"/>
      <c r="BT555" s="7"/>
      <c r="BU555" s="2" t="s">
        <v>107</v>
      </c>
      <c r="BV555" s="2" t="s">
        <v>96</v>
      </c>
      <c r="BW555" s="2" t="s">
        <v>99</v>
      </c>
      <c r="BX555" s="2" t="s">
        <v>1858</v>
      </c>
      <c r="BY555" s="2" t="s">
        <v>109</v>
      </c>
      <c r="BZ555" s="2" t="s">
        <v>109</v>
      </c>
      <c r="CA555" s="2" t="s">
        <v>99</v>
      </c>
    </row>
    <row r="556">
      <c r="A556" s="2" t="s">
        <v>2772</v>
      </c>
      <c r="B556" s="2" t="s">
        <v>2469</v>
      </c>
      <c r="C556" s="2" t="s">
        <v>2300</v>
      </c>
      <c r="D556" s="2" t="s">
        <v>2525</v>
      </c>
      <c r="E556" s="2" t="s">
        <v>2526</v>
      </c>
      <c r="F556" s="2" t="s">
        <v>2773</v>
      </c>
      <c r="G556" s="2" t="s">
        <v>2773</v>
      </c>
      <c r="H556" s="2" t="s">
        <v>2773</v>
      </c>
      <c r="I556" s="2" t="s">
        <v>2774</v>
      </c>
      <c r="J556" s="2" t="s">
        <v>219</v>
      </c>
      <c r="K556" s="2" t="s">
        <v>274</v>
      </c>
      <c r="L556" s="3">
        <v>94.62</v>
      </c>
      <c r="M556" s="3">
        <v>99.35</v>
      </c>
      <c r="N556" s="3">
        <v>214.99</v>
      </c>
      <c r="O556" s="2" t="s">
        <v>96</v>
      </c>
      <c r="P556" s="2" t="s">
        <v>131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99</v>
      </c>
      <c r="V556" s="2" t="s">
        <v>157</v>
      </c>
      <c r="W556" s="2" t="s">
        <v>291</v>
      </c>
      <c r="X556" s="2" t="s">
        <v>99</v>
      </c>
      <c r="Y556" s="2" t="s">
        <v>2775</v>
      </c>
      <c r="Z556" s="4">
        <v>92</v>
      </c>
      <c r="AA556" s="4">
        <f>=ROUNDDOWN(10.2222222222222,0)</f>
      </c>
      <c r="AB556" s="5">
        <v>9</v>
      </c>
      <c r="AC556" s="2" t="s">
        <v>2487</v>
      </c>
      <c r="AD556" s="4">
        <v>100</v>
      </c>
      <c r="AE556" s="4">
        <v>150</v>
      </c>
      <c r="AF556" s="6">
        <v>64</v>
      </c>
      <c r="AG556" s="6"/>
      <c r="AH556" s="7">
        <v>0.3448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4</v>
      </c>
      <c r="BK556" s="8">
        <v>408.1</v>
      </c>
      <c r="BL556" s="2" t="s">
        <v>2776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96</v>
      </c>
      <c r="BW556" s="2" t="s">
        <v>99</v>
      </c>
      <c r="BX556" s="2" t="s">
        <v>1858</v>
      </c>
      <c r="BY556" s="2" t="s">
        <v>109</v>
      </c>
      <c r="BZ556" s="2" t="s">
        <v>109</v>
      </c>
      <c r="CA556" s="2" t="s">
        <v>99</v>
      </c>
    </row>
    <row r="557">
      <c r="A557" s="2" t="s">
        <v>2777</v>
      </c>
      <c r="B557" s="2" t="s">
        <v>2469</v>
      </c>
      <c r="C557" s="2" t="s">
        <v>2300</v>
      </c>
      <c r="D557" s="2" t="s">
        <v>2525</v>
      </c>
      <c r="E557" s="2" t="s">
        <v>2526</v>
      </c>
      <c r="F557" s="2" t="s">
        <v>2778</v>
      </c>
      <c r="G557" s="2" t="s">
        <v>2778</v>
      </c>
      <c r="H557" s="2" t="s">
        <v>2778</v>
      </c>
      <c r="I557" s="2" t="s">
        <v>2779</v>
      </c>
      <c r="J557" s="2" t="s">
        <v>227</v>
      </c>
      <c r="K557" s="2" t="s">
        <v>141</v>
      </c>
      <c r="L557" s="3">
        <v>26.46</v>
      </c>
      <c r="M557" s="3">
        <v>27.78</v>
      </c>
      <c r="N557" s="3">
        <v>59.99</v>
      </c>
      <c r="O557" s="2" t="s">
        <v>96</v>
      </c>
      <c r="P557" s="2" t="s">
        <v>188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99</v>
      </c>
      <c r="V557" s="2" t="s">
        <v>157</v>
      </c>
      <c r="W557" s="2" t="s">
        <v>291</v>
      </c>
      <c r="X557" s="2" t="s">
        <v>99</v>
      </c>
      <c r="Y557" s="2" t="s">
        <v>2780</v>
      </c>
      <c r="Z557" s="4">
        <v>31</v>
      </c>
      <c r="AA557" s="4">
        <f>=ROUNDDOWN(7.75,0)</f>
      </c>
      <c r="AB557" s="5">
        <v>4</v>
      </c>
      <c r="AC557" s="2" t="s">
        <v>99</v>
      </c>
      <c r="AD557" s="4"/>
      <c r="AE557" s="4"/>
      <c r="AF557" s="6">
        <v>81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32</v>
      </c>
      <c r="BK557" s="8">
        <v>925.7</v>
      </c>
      <c r="BL557" s="2" t="s">
        <v>2781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96</v>
      </c>
      <c r="BW557" s="2" t="s">
        <v>99</v>
      </c>
      <c r="BX557" s="2" t="s">
        <v>99</v>
      </c>
      <c r="BY557" s="2" t="s">
        <v>109</v>
      </c>
      <c r="BZ557" s="2" t="s">
        <v>109</v>
      </c>
      <c r="CA557" s="2" t="s">
        <v>99</v>
      </c>
    </row>
    <row r="558">
      <c r="A558" s="2" t="s">
        <v>2782</v>
      </c>
      <c r="B558" s="2" t="s">
        <v>2469</v>
      </c>
      <c r="C558" s="2" t="s">
        <v>2300</v>
      </c>
      <c r="D558" s="2" t="s">
        <v>2525</v>
      </c>
      <c r="E558" s="2" t="s">
        <v>2526</v>
      </c>
      <c r="F558" s="2" t="s">
        <v>2783</v>
      </c>
      <c r="G558" s="2" t="s">
        <v>2783</v>
      </c>
      <c r="H558" s="2" t="s">
        <v>2783</v>
      </c>
      <c r="I558" s="2" t="s">
        <v>2784</v>
      </c>
      <c r="J558" s="2" t="s">
        <v>219</v>
      </c>
      <c r="K558" s="2" t="s">
        <v>2629</v>
      </c>
      <c r="L558" s="3">
        <v>76.5</v>
      </c>
      <c r="M558" s="3">
        <v>80.33</v>
      </c>
      <c r="N558" s="3">
        <v>159.99</v>
      </c>
      <c r="O558" s="2" t="s">
        <v>304</v>
      </c>
      <c r="P558" s="2" t="s">
        <v>188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210</v>
      </c>
      <c r="V558" s="2" t="s">
        <v>310</v>
      </c>
      <c r="W558" s="2" t="s">
        <v>102</v>
      </c>
      <c r="X558" s="2" t="s">
        <v>102</v>
      </c>
      <c r="Y558" s="2" t="s">
        <v>2785</v>
      </c>
      <c r="Z558" s="4">
        <v>13</v>
      </c>
      <c r="AA558" s="4">
        <f>=ROUNDDOWN(18.5714285714286,0)</f>
      </c>
      <c r="AB558" s="5">
        <v>0.7</v>
      </c>
      <c r="AC558" s="2" t="s">
        <v>99</v>
      </c>
      <c r="AD558" s="4"/>
      <c r="AE558" s="4"/>
      <c r="AF558" s="6">
        <v>63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/>
      <c r="BJ558" s="4">
        <v>3</v>
      </c>
      <c r="BK558" s="8">
        <v>260.28</v>
      </c>
      <c r="BL558" s="2" t="s">
        <v>654</v>
      </c>
      <c r="BM558" s="7"/>
      <c r="BN558" s="7"/>
      <c r="BO558" s="4"/>
      <c r="BP558" s="8"/>
      <c r="BQ558" s="4"/>
      <c r="BR558" s="8"/>
      <c r="BS558" s="7"/>
      <c r="BT558" s="7"/>
      <c r="BU558" s="2" t="s">
        <v>306</v>
      </c>
      <c r="BV558" s="2" t="s">
        <v>96</v>
      </c>
      <c r="BW558" s="2" t="s">
        <v>99</v>
      </c>
      <c r="BX558" s="2" t="s">
        <v>99</v>
      </c>
      <c r="BY558" s="2" t="s">
        <v>109</v>
      </c>
      <c r="BZ558" s="2" t="s">
        <v>109</v>
      </c>
      <c r="CA558" s="2" t="s">
        <v>99</v>
      </c>
    </row>
    <row r="559">
      <c r="A559" s="2" t="s">
        <v>2786</v>
      </c>
      <c r="B559" s="2" t="s">
        <v>2469</v>
      </c>
      <c r="C559" s="2" t="s">
        <v>2300</v>
      </c>
      <c r="D559" s="2" t="s">
        <v>2525</v>
      </c>
      <c r="E559" s="2" t="s">
        <v>2526</v>
      </c>
      <c r="F559" s="2" t="s">
        <v>2783</v>
      </c>
      <c r="G559" s="2" t="s">
        <v>2783</v>
      </c>
      <c r="H559" s="2" t="s">
        <v>2783</v>
      </c>
      <c r="I559" s="2" t="s">
        <v>2784</v>
      </c>
      <c r="J559" s="2" t="s">
        <v>219</v>
      </c>
      <c r="K559" s="2" t="s">
        <v>2787</v>
      </c>
      <c r="L559" s="3">
        <v>76.5</v>
      </c>
      <c r="M559" s="3">
        <v>80.33</v>
      </c>
      <c r="N559" s="3">
        <v>159.99</v>
      </c>
      <c r="O559" s="2" t="s">
        <v>304</v>
      </c>
      <c r="P559" s="2" t="s">
        <v>188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210</v>
      </c>
      <c r="V559" s="2" t="s">
        <v>310</v>
      </c>
      <c r="W559" s="2" t="s">
        <v>102</v>
      </c>
      <c r="X559" s="2" t="s">
        <v>102</v>
      </c>
      <c r="Y559" s="2" t="s">
        <v>2785</v>
      </c>
      <c r="Z559" s="4">
        <v>2</v>
      </c>
      <c r="AA559" s="4">
        <f>=ROUNDDOWN(1.05263157894737,0)</f>
      </c>
      <c r="AB559" s="5">
        <v>1.9</v>
      </c>
      <c r="AC559" s="2" t="s">
        <v>99</v>
      </c>
      <c r="AD559" s="4"/>
      <c r="AE559" s="4"/>
      <c r="AF559" s="6">
        <v>63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/>
      <c r="BJ559" s="4">
        <v>3</v>
      </c>
      <c r="BK559" s="8">
        <v>244.98</v>
      </c>
      <c r="BL559" s="2" t="s">
        <v>2788</v>
      </c>
      <c r="BM559" s="7"/>
      <c r="BN559" s="7"/>
      <c r="BO559" s="4"/>
      <c r="BP559" s="8"/>
      <c r="BQ559" s="4"/>
      <c r="BR559" s="8"/>
      <c r="BS559" s="7"/>
      <c r="BT559" s="7"/>
      <c r="BU559" s="2" t="s">
        <v>306</v>
      </c>
      <c r="BV559" s="2" t="s">
        <v>96</v>
      </c>
      <c r="BW559" s="2" t="s">
        <v>99</v>
      </c>
      <c r="BX559" s="2" t="s">
        <v>99</v>
      </c>
      <c r="BY559" s="2" t="s">
        <v>109</v>
      </c>
      <c r="BZ559" s="2" t="s">
        <v>109</v>
      </c>
      <c r="CA559" s="2" t="s">
        <v>99</v>
      </c>
    </row>
    <row r="560">
      <c r="A560" s="2" t="s">
        <v>2789</v>
      </c>
      <c r="B560" s="2" t="s">
        <v>2469</v>
      </c>
      <c r="C560" s="2" t="s">
        <v>2300</v>
      </c>
      <c r="D560" s="2" t="s">
        <v>2525</v>
      </c>
      <c r="E560" s="2" t="s">
        <v>2526</v>
      </c>
      <c r="F560" s="2" t="s">
        <v>2790</v>
      </c>
      <c r="G560" s="2" t="s">
        <v>2790</v>
      </c>
      <c r="H560" s="2" t="s">
        <v>2790</v>
      </c>
      <c r="I560" s="2" t="s">
        <v>2791</v>
      </c>
      <c r="J560" s="2" t="s">
        <v>227</v>
      </c>
      <c r="K560" s="2" t="s">
        <v>274</v>
      </c>
      <c r="L560" s="3">
        <v>34</v>
      </c>
      <c r="M560" s="3">
        <v>35.7</v>
      </c>
      <c r="N560" s="3">
        <v>69.99</v>
      </c>
      <c r="O560" s="2" t="s">
        <v>304</v>
      </c>
      <c r="P560" s="2" t="s">
        <v>188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100</v>
      </c>
      <c r="V560" s="2" t="s">
        <v>310</v>
      </c>
      <c r="W560" s="2" t="s">
        <v>158</v>
      </c>
      <c r="X560" s="2" t="s">
        <v>291</v>
      </c>
      <c r="Y560" s="2" t="s">
        <v>1686</v>
      </c>
      <c r="Z560" s="4">
        <v>23</v>
      </c>
      <c r="AA560" s="4">
        <f>=ROUNDDOWN(12.1052631578947,0)</f>
      </c>
      <c r="AB560" s="5">
        <v>1.9</v>
      </c>
      <c r="AC560" s="2" t="s">
        <v>99</v>
      </c>
      <c r="AD560" s="4"/>
      <c r="AE560" s="4"/>
      <c r="AF560" s="6">
        <v>69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/>
      <c r="BJ560" s="4">
        <v>12</v>
      </c>
      <c r="BK560" s="8">
        <v>413.37</v>
      </c>
      <c r="BL560" s="2" t="s">
        <v>751</v>
      </c>
      <c r="BM560" s="7"/>
      <c r="BN560" s="7"/>
      <c r="BO560" s="4"/>
      <c r="BP560" s="8"/>
      <c r="BQ560" s="4"/>
      <c r="BR560" s="8"/>
      <c r="BS560" s="7"/>
      <c r="BT560" s="7"/>
      <c r="BU560" s="2" t="s">
        <v>306</v>
      </c>
      <c r="BV560" s="2" t="s">
        <v>96</v>
      </c>
      <c r="BW560" s="2" t="s">
        <v>99</v>
      </c>
      <c r="BX560" s="2" t="s">
        <v>99</v>
      </c>
      <c r="BY560" s="2" t="s">
        <v>109</v>
      </c>
      <c r="BZ560" s="2" t="s">
        <v>109</v>
      </c>
      <c r="CA560" s="2" t="s">
        <v>99</v>
      </c>
    </row>
    <row r="561">
      <c r="A561" s="2" t="s">
        <v>2792</v>
      </c>
      <c r="B561" s="2" t="s">
        <v>2469</v>
      </c>
      <c r="C561" s="2" t="s">
        <v>2300</v>
      </c>
      <c r="D561" s="2" t="s">
        <v>2525</v>
      </c>
      <c r="E561" s="2" t="s">
        <v>2526</v>
      </c>
      <c r="F561" s="2" t="s">
        <v>2790</v>
      </c>
      <c r="G561" s="2" t="s">
        <v>2790</v>
      </c>
      <c r="H561" s="2" t="s">
        <v>2790</v>
      </c>
      <c r="I561" s="2" t="s">
        <v>2791</v>
      </c>
      <c r="J561" s="2" t="s">
        <v>227</v>
      </c>
      <c r="K561" s="2" t="s">
        <v>1426</v>
      </c>
      <c r="L561" s="3">
        <v>34</v>
      </c>
      <c r="M561" s="3">
        <v>35.7</v>
      </c>
      <c r="N561" s="3">
        <v>69.99</v>
      </c>
      <c r="O561" s="2" t="s">
        <v>96</v>
      </c>
      <c r="P561" s="2" t="s">
        <v>131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100</v>
      </c>
      <c r="V561" s="2" t="s">
        <v>310</v>
      </c>
      <c r="W561" s="2" t="s">
        <v>158</v>
      </c>
      <c r="X561" s="2" t="s">
        <v>291</v>
      </c>
      <c r="Y561" s="2" t="s">
        <v>1686</v>
      </c>
      <c r="Z561" s="4">
        <v>57</v>
      </c>
      <c r="AA561" s="4">
        <f>=ROUNDDOWN(11.4,0)</f>
      </c>
      <c r="AB561" s="5">
        <v>5</v>
      </c>
      <c r="AC561" s="2" t="s">
        <v>2765</v>
      </c>
      <c r="AD561" s="4">
        <v>100</v>
      </c>
      <c r="AE561" s="4">
        <v>100</v>
      </c>
      <c r="AF561" s="6">
        <v>64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/>
      <c r="BJ561" s="4">
        <v>34</v>
      </c>
      <c r="BK561" s="8">
        <v>1282.24</v>
      </c>
      <c r="BL561" s="2" t="s">
        <v>2793</v>
      </c>
      <c r="BM561" s="7"/>
      <c r="BN561" s="7"/>
      <c r="BO561" s="4"/>
      <c r="BP561" s="8"/>
      <c r="BQ561" s="4"/>
      <c r="BR561" s="8"/>
      <c r="BS561" s="7"/>
      <c r="BT561" s="7"/>
      <c r="BU561" s="2" t="s">
        <v>306</v>
      </c>
      <c r="BV561" s="2" t="s">
        <v>96</v>
      </c>
      <c r="BW561" s="2" t="s">
        <v>99</v>
      </c>
      <c r="BX561" s="2" t="s">
        <v>99</v>
      </c>
      <c r="BY561" s="2" t="s">
        <v>109</v>
      </c>
      <c r="BZ561" s="2" t="s">
        <v>109</v>
      </c>
      <c r="CA561" s="2" t="s">
        <v>99</v>
      </c>
    </row>
    <row r="562">
      <c r="A562" s="2" t="s">
        <v>2794</v>
      </c>
      <c r="B562" s="2" t="s">
        <v>2469</v>
      </c>
      <c r="C562" s="2" t="s">
        <v>2300</v>
      </c>
      <c r="D562" s="2" t="s">
        <v>2525</v>
      </c>
      <c r="E562" s="2" t="s">
        <v>2526</v>
      </c>
      <c r="F562" s="2" t="s">
        <v>2795</v>
      </c>
      <c r="G562" s="2" t="s">
        <v>2795</v>
      </c>
      <c r="H562" s="2" t="s">
        <v>2795</v>
      </c>
      <c r="I562" s="2" t="s">
        <v>2759</v>
      </c>
      <c r="J562" s="2" t="s">
        <v>227</v>
      </c>
      <c r="K562" s="2" t="s">
        <v>141</v>
      </c>
      <c r="L562" s="3">
        <v>28.19</v>
      </c>
      <c r="M562" s="3">
        <v>29.6</v>
      </c>
      <c r="N562" s="3">
        <v>59.99</v>
      </c>
      <c r="O562" s="2" t="s">
        <v>96</v>
      </c>
      <c r="P562" s="2" t="s">
        <v>188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100</v>
      </c>
      <c r="V562" s="2" t="s">
        <v>310</v>
      </c>
      <c r="W562" s="2" t="s">
        <v>102</v>
      </c>
      <c r="X562" s="2" t="s">
        <v>99</v>
      </c>
      <c r="Y562" s="2" t="s">
        <v>2796</v>
      </c>
      <c r="Z562" s="4">
        <v>53</v>
      </c>
      <c r="AA562" s="4">
        <f>=ROUNDDOWN(17.6666666666667,0)</f>
      </c>
      <c r="AB562" s="5">
        <v>3</v>
      </c>
      <c r="AC562" s="2" t="s">
        <v>99</v>
      </c>
      <c r="AD562" s="4"/>
      <c r="AE562" s="4"/>
      <c r="AF562" s="6">
        <v>64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18</v>
      </c>
      <c r="BK562" s="8">
        <v>512.39</v>
      </c>
      <c r="BL562" s="2" t="s">
        <v>2797</v>
      </c>
      <c r="BM562" s="7"/>
      <c r="BN562" s="7"/>
      <c r="BO562" s="4"/>
      <c r="BP562" s="8"/>
      <c r="BQ562" s="4"/>
      <c r="BR562" s="8"/>
      <c r="BS562" s="7"/>
      <c r="BT562" s="7"/>
      <c r="BU562" s="2" t="s">
        <v>306</v>
      </c>
      <c r="BV562" s="2" t="s">
        <v>96</v>
      </c>
      <c r="BW562" s="2" t="s">
        <v>99</v>
      </c>
      <c r="BX562" s="2" t="s">
        <v>99</v>
      </c>
      <c r="BY562" s="2" t="s">
        <v>109</v>
      </c>
      <c r="BZ562" s="2" t="s">
        <v>109</v>
      </c>
      <c r="CA562" s="2" t="s">
        <v>99</v>
      </c>
    </row>
    <row r="563">
      <c r="A563" s="2" t="s">
        <v>2798</v>
      </c>
      <c r="B563" s="2" t="s">
        <v>2469</v>
      </c>
      <c r="C563" s="2" t="s">
        <v>2300</v>
      </c>
      <c r="D563" s="2" t="s">
        <v>2525</v>
      </c>
      <c r="E563" s="2" t="s">
        <v>2526</v>
      </c>
      <c r="F563" s="2" t="s">
        <v>2799</v>
      </c>
      <c r="G563" s="2" t="s">
        <v>2799</v>
      </c>
      <c r="H563" s="2" t="s">
        <v>2799</v>
      </c>
      <c r="I563" s="2" t="s">
        <v>2800</v>
      </c>
      <c r="J563" s="2" t="s">
        <v>227</v>
      </c>
      <c r="K563" s="2" t="s">
        <v>2801</v>
      </c>
      <c r="L563" s="3">
        <v>33.11</v>
      </c>
      <c r="M563" s="3">
        <v>34.77</v>
      </c>
      <c r="N563" s="3">
        <v>74.99</v>
      </c>
      <c r="O563" s="2" t="s">
        <v>96</v>
      </c>
      <c r="P563" s="2" t="s">
        <v>131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100</v>
      </c>
      <c r="V563" s="2" t="s">
        <v>157</v>
      </c>
      <c r="W563" s="2" t="s">
        <v>291</v>
      </c>
      <c r="X563" s="2" t="s">
        <v>99</v>
      </c>
      <c r="Y563" s="2" t="s">
        <v>2802</v>
      </c>
      <c r="Z563" s="4">
        <v>132</v>
      </c>
      <c r="AA563" s="4">
        <f>=ROUNDDOWN(22,0)</f>
      </c>
      <c r="AB563" s="5">
        <v>6</v>
      </c>
      <c r="AC563" s="2" t="s">
        <v>2476</v>
      </c>
      <c r="AD563" s="4">
        <v>60</v>
      </c>
      <c r="AE563" s="4">
        <v>60</v>
      </c>
      <c r="AF563" s="6">
        <v>64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19</v>
      </c>
      <c r="BK563" s="8">
        <v>658.46</v>
      </c>
      <c r="BL563" s="2" t="s">
        <v>2803</v>
      </c>
      <c r="BM563" s="7"/>
      <c r="BN563" s="7"/>
      <c r="BO563" s="4"/>
      <c r="BP563" s="8"/>
      <c r="BQ563" s="4"/>
      <c r="BR563" s="8"/>
      <c r="BS563" s="7"/>
      <c r="BT563" s="7"/>
      <c r="BU563" s="2" t="s">
        <v>107</v>
      </c>
      <c r="BV563" s="2" t="s">
        <v>96</v>
      </c>
      <c r="BW563" s="2" t="s">
        <v>99</v>
      </c>
      <c r="BX563" s="2" t="s">
        <v>99</v>
      </c>
      <c r="BY563" s="2" t="s">
        <v>109</v>
      </c>
      <c r="BZ563" s="2" t="s">
        <v>109</v>
      </c>
      <c r="CA563" s="2" t="s">
        <v>99</v>
      </c>
    </row>
    <row r="564">
      <c r="A564" s="2" t="s">
        <v>2804</v>
      </c>
      <c r="B564" s="2" t="s">
        <v>2469</v>
      </c>
      <c r="C564" s="2" t="s">
        <v>2300</v>
      </c>
      <c r="D564" s="2" t="s">
        <v>2525</v>
      </c>
      <c r="E564" s="2" t="s">
        <v>2526</v>
      </c>
      <c r="F564" s="2" t="s">
        <v>2805</v>
      </c>
      <c r="G564" s="2" t="s">
        <v>2805</v>
      </c>
      <c r="H564" s="2" t="s">
        <v>2805</v>
      </c>
      <c r="I564" s="2" t="s">
        <v>2806</v>
      </c>
      <c r="J564" s="2" t="s">
        <v>227</v>
      </c>
      <c r="K564" s="2" t="s">
        <v>643</v>
      </c>
      <c r="L564" s="3">
        <v>52</v>
      </c>
      <c r="M564" s="3">
        <v>54.6</v>
      </c>
      <c r="N564" s="3">
        <v>109.99</v>
      </c>
      <c r="O564" s="2" t="s">
        <v>96</v>
      </c>
      <c r="P564" s="2" t="s">
        <v>386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100</v>
      </c>
      <c r="V564" s="2" t="s">
        <v>310</v>
      </c>
      <c r="W564" s="2" t="s">
        <v>103</v>
      </c>
      <c r="X564" s="2" t="s">
        <v>158</v>
      </c>
      <c r="Y564" s="2" t="s">
        <v>1794</v>
      </c>
      <c r="Z564" s="4">
        <v>100</v>
      </c>
      <c r="AA564" s="4">
        <f>=ROUNDDOWN(50,0)</f>
      </c>
      <c r="AB564" s="5">
        <v>2</v>
      </c>
      <c r="AC564" s="2" t="s">
        <v>99</v>
      </c>
      <c r="AD564" s="4"/>
      <c r="AE564" s="4"/>
      <c r="AF564" s="6">
        <v>64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/>
      <c r="BJ564" s="4">
        <v>23</v>
      </c>
      <c r="BK564" s="8">
        <v>1327.12</v>
      </c>
      <c r="BL564" s="2" t="s">
        <v>2807</v>
      </c>
      <c r="BM564" s="7"/>
      <c r="BN564" s="7"/>
      <c r="BO564" s="4"/>
      <c r="BP564" s="8"/>
      <c r="BQ564" s="4"/>
      <c r="BR564" s="8"/>
      <c r="BS564" s="7"/>
      <c r="BT564" s="7"/>
      <c r="BU564" s="2" t="s">
        <v>306</v>
      </c>
      <c r="BV564" s="2" t="s">
        <v>96</v>
      </c>
      <c r="BW564" s="2" t="s">
        <v>99</v>
      </c>
      <c r="BX564" s="2" t="s">
        <v>99</v>
      </c>
      <c r="BY564" s="2" t="s">
        <v>109</v>
      </c>
      <c r="BZ564" s="2" t="s">
        <v>109</v>
      </c>
      <c r="CA564" s="2" t="s">
        <v>99</v>
      </c>
    </row>
    <row r="565">
      <c r="A565" s="2" t="s">
        <v>2808</v>
      </c>
      <c r="B565" s="2" t="s">
        <v>2469</v>
      </c>
      <c r="C565" s="2" t="s">
        <v>2300</v>
      </c>
      <c r="D565" s="2" t="s">
        <v>2525</v>
      </c>
      <c r="E565" s="2" t="s">
        <v>2526</v>
      </c>
      <c r="F565" s="2" t="s">
        <v>2805</v>
      </c>
      <c r="G565" s="2" t="s">
        <v>2805</v>
      </c>
      <c r="H565" s="2" t="s">
        <v>2805</v>
      </c>
      <c r="I565" s="2" t="s">
        <v>2809</v>
      </c>
      <c r="J565" s="2" t="s">
        <v>227</v>
      </c>
      <c r="K565" s="2" t="s">
        <v>465</v>
      </c>
      <c r="L565" s="3">
        <v>52</v>
      </c>
      <c r="M565" s="3">
        <v>54.6</v>
      </c>
      <c r="N565" s="3">
        <v>109.99</v>
      </c>
      <c r="O565" s="2" t="s">
        <v>96</v>
      </c>
      <c r="P565" s="2" t="s">
        <v>135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100</v>
      </c>
      <c r="V565" s="2" t="s">
        <v>310</v>
      </c>
      <c r="W565" s="2" t="s">
        <v>103</v>
      </c>
      <c r="X565" s="2" t="s">
        <v>158</v>
      </c>
      <c r="Y565" s="2" t="s">
        <v>1794</v>
      </c>
      <c r="Z565" s="4">
        <v>187</v>
      </c>
      <c r="AA565" s="4">
        <f>=ROUNDDOWN(14.3846153846154,0)</f>
      </c>
      <c r="AB565" s="5">
        <v>13</v>
      </c>
      <c r="AC565" s="2" t="s">
        <v>2476</v>
      </c>
      <c r="AD565" s="4">
        <v>130</v>
      </c>
      <c r="AE565" s="4">
        <v>130</v>
      </c>
      <c r="AF565" s="6">
        <v>64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/>
      <c r="BJ565" s="4">
        <v>72</v>
      </c>
      <c r="BK565" s="8">
        <v>4112.23</v>
      </c>
      <c r="BL565" s="2" t="s">
        <v>2810</v>
      </c>
      <c r="BM565" s="7"/>
      <c r="BN565" s="7"/>
      <c r="BO565" s="4"/>
      <c r="BP565" s="8"/>
      <c r="BQ565" s="4"/>
      <c r="BR565" s="8"/>
      <c r="BS565" s="7"/>
      <c r="BT565" s="7"/>
      <c r="BU565" s="2" t="s">
        <v>306</v>
      </c>
      <c r="BV565" s="2" t="s">
        <v>96</v>
      </c>
      <c r="BW565" s="2" t="s">
        <v>99</v>
      </c>
      <c r="BX565" s="2" t="s">
        <v>99</v>
      </c>
      <c r="BY565" s="2" t="s">
        <v>109</v>
      </c>
      <c r="BZ565" s="2" t="s">
        <v>109</v>
      </c>
      <c r="CA565" s="2" t="s">
        <v>99</v>
      </c>
    </row>
    <row r="566">
      <c r="A566" s="2" t="s">
        <v>2811</v>
      </c>
      <c r="B566" s="2" t="s">
        <v>2469</v>
      </c>
      <c r="C566" s="2" t="s">
        <v>2300</v>
      </c>
      <c r="D566" s="2" t="s">
        <v>2619</v>
      </c>
      <c r="E566" s="2" t="s">
        <v>2620</v>
      </c>
      <c r="F566" s="2" t="s">
        <v>2812</v>
      </c>
      <c r="G566" s="2" t="s">
        <v>2812</v>
      </c>
      <c r="H566" s="2" t="s">
        <v>2812</v>
      </c>
      <c r="I566" s="2" t="s">
        <v>2813</v>
      </c>
      <c r="J566" s="2" t="s">
        <v>227</v>
      </c>
      <c r="K566" s="2" t="s">
        <v>118</v>
      </c>
      <c r="L566" s="3">
        <v>58.88</v>
      </c>
      <c r="M566" s="3">
        <v>61.82</v>
      </c>
      <c r="N566" s="3">
        <v>139.99</v>
      </c>
      <c r="O566" s="2" t="s">
        <v>443</v>
      </c>
      <c r="P566" s="2" t="s">
        <v>188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100</v>
      </c>
      <c r="V566" s="2" t="s">
        <v>310</v>
      </c>
      <c r="W566" s="2" t="s">
        <v>102</v>
      </c>
      <c r="X566" s="2" t="s">
        <v>158</v>
      </c>
      <c r="Y566" s="2" t="s">
        <v>2630</v>
      </c>
      <c r="Z566" s="4">
        <v>35</v>
      </c>
      <c r="AA566" s="4">
        <f>=ROUNDDOWN(50,0)</f>
      </c>
      <c r="AB566" s="5">
        <v>0.7</v>
      </c>
      <c r="AC566" s="2" t="s">
        <v>99</v>
      </c>
      <c r="AD566" s="4"/>
      <c r="AE566" s="4"/>
      <c r="AF566" s="6">
        <v>63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2</v>
      </c>
      <c r="BK566" s="8">
        <v>257.18</v>
      </c>
      <c r="BL566" s="2" t="s">
        <v>654</v>
      </c>
      <c r="BM566" s="7"/>
      <c r="BN566" s="7"/>
      <c r="BO566" s="4"/>
      <c r="BP566" s="8"/>
      <c r="BQ566" s="4"/>
      <c r="BR566" s="8"/>
      <c r="BS566" s="7"/>
      <c r="BT566" s="7"/>
      <c r="BU566" s="2" t="s">
        <v>306</v>
      </c>
      <c r="BV566" s="2" t="s">
        <v>122</v>
      </c>
      <c r="BW566" s="2" t="s">
        <v>99</v>
      </c>
      <c r="BX566" s="2" t="s">
        <v>99</v>
      </c>
      <c r="BY566" s="2" t="s">
        <v>109</v>
      </c>
      <c r="BZ566" s="2" t="s">
        <v>109</v>
      </c>
      <c r="CA566" s="2" t="s">
        <v>99</v>
      </c>
    </row>
    <row r="567">
      <c r="A567" s="2" t="s">
        <v>2814</v>
      </c>
      <c r="B567" s="2" t="s">
        <v>2469</v>
      </c>
      <c r="C567" s="2" t="s">
        <v>2300</v>
      </c>
      <c r="D567" s="2" t="s">
        <v>2619</v>
      </c>
      <c r="E567" s="2" t="s">
        <v>2620</v>
      </c>
      <c r="F567" s="2" t="s">
        <v>2815</v>
      </c>
      <c r="G567" s="2" t="s">
        <v>2815</v>
      </c>
      <c r="H567" s="2" t="s">
        <v>2815</v>
      </c>
      <c r="I567" s="2" t="s">
        <v>2698</v>
      </c>
      <c r="J567" s="2" t="s">
        <v>227</v>
      </c>
      <c r="K567" s="2" t="s">
        <v>141</v>
      </c>
      <c r="L567" s="3">
        <v>31.88</v>
      </c>
      <c r="M567" s="3">
        <v>33.47</v>
      </c>
      <c r="N567" s="3">
        <v>69.99</v>
      </c>
      <c r="O567" s="2" t="s">
        <v>443</v>
      </c>
      <c r="P567" s="2" t="s">
        <v>188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100</v>
      </c>
      <c r="V567" s="2" t="s">
        <v>310</v>
      </c>
      <c r="W567" s="2" t="s">
        <v>158</v>
      </c>
      <c r="X567" s="2" t="s">
        <v>362</v>
      </c>
      <c r="Y567" s="2" t="s">
        <v>2518</v>
      </c>
      <c r="Z567" s="4">
        <v>64</v>
      </c>
      <c r="AA567" s="4">
        <f>=ROUNDDOWN(45.7142857142857,0)</f>
      </c>
      <c r="AB567" s="5">
        <v>1.4</v>
      </c>
      <c r="AC567" s="2" t="s">
        <v>99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</v>
      </c>
      <c r="BK567" s="8">
        <v>23.68</v>
      </c>
      <c r="BL567" s="2" t="s">
        <v>1289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122</v>
      </c>
      <c r="BW567" s="2" t="s">
        <v>99</v>
      </c>
      <c r="BX567" s="2" t="s">
        <v>99</v>
      </c>
      <c r="BY567" s="2" t="s">
        <v>109</v>
      </c>
      <c r="BZ567" s="2" t="s">
        <v>109</v>
      </c>
      <c r="CA567" s="2" t="s">
        <v>99</v>
      </c>
    </row>
    <row r="568">
      <c r="A568" s="2" t="s">
        <v>2816</v>
      </c>
      <c r="B568" s="2" t="s">
        <v>2469</v>
      </c>
      <c r="C568" s="2" t="s">
        <v>2300</v>
      </c>
      <c r="D568" s="2" t="s">
        <v>2594</v>
      </c>
      <c r="E568" s="2" t="s">
        <v>2595</v>
      </c>
      <c r="F568" s="2" t="s">
        <v>2817</v>
      </c>
      <c r="G568" s="2" t="s">
        <v>2817</v>
      </c>
      <c r="H568" s="2" t="s">
        <v>2817</v>
      </c>
      <c r="I568" s="2" t="s">
        <v>2818</v>
      </c>
      <c r="J568" s="2" t="s">
        <v>227</v>
      </c>
      <c r="K568" s="2" t="s">
        <v>95</v>
      </c>
      <c r="L568" s="3">
        <v>63</v>
      </c>
      <c r="M568" s="3">
        <v>66.15</v>
      </c>
      <c r="N568" s="3">
        <v>134.99</v>
      </c>
      <c r="O568" s="2" t="s">
        <v>96</v>
      </c>
      <c r="P568" s="2" t="s">
        <v>131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100</v>
      </c>
      <c r="V568" s="2" t="s">
        <v>310</v>
      </c>
      <c r="W568" s="2" t="s">
        <v>158</v>
      </c>
      <c r="X568" s="2" t="s">
        <v>99</v>
      </c>
      <c r="Y568" s="2" t="s">
        <v>2606</v>
      </c>
      <c r="Z568" s="4">
        <v>132</v>
      </c>
      <c r="AA568" s="4">
        <f>=ROUNDDOWN(22,0)</f>
      </c>
      <c r="AB568" s="5">
        <v>6</v>
      </c>
      <c r="AC568" s="2" t="s">
        <v>1657</v>
      </c>
      <c r="AD568" s="4">
        <v>50</v>
      </c>
      <c r="AE568" s="4">
        <v>50</v>
      </c>
      <c r="AF568" s="6">
        <v>64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21</v>
      </c>
      <c r="BK568" s="8">
        <v>1477.08</v>
      </c>
      <c r="BL568" s="2" t="s">
        <v>2819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96</v>
      </c>
      <c r="BW568" s="2" t="s">
        <v>99</v>
      </c>
      <c r="BX568" s="2" t="s">
        <v>1964</v>
      </c>
      <c r="BY568" s="2" t="s">
        <v>109</v>
      </c>
      <c r="BZ568" s="2" t="s">
        <v>109</v>
      </c>
      <c r="CA568" s="2" t="s">
        <v>99</v>
      </c>
    </row>
    <row r="569">
      <c r="A569" s="2" t="s">
        <v>2820</v>
      </c>
      <c r="B569" s="2" t="s">
        <v>2469</v>
      </c>
      <c r="C569" s="2" t="s">
        <v>89</v>
      </c>
      <c r="D569" s="2" t="s">
        <v>2525</v>
      </c>
      <c r="E569" s="2" t="s">
        <v>644</v>
      </c>
      <c r="F569" s="2" t="s">
        <v>2821</v>
      </c>
      <c r="G569" s="2" t="s">
        <v>99</v>
      </c>
      <c r="H569" s="2" t="s">
        <v>99</v>
      </c>
      <c r="I569" s="2" t="s">
        <v>99</v>
      </c>
      <c r="J569" s="2" t="s">
        <v>2822</v>
      </c>
      <c r="K569" s="2" t="s">
        <v>2453</v>
      </c>
      <c r="L569" s="3">
        <v>13.3</v>
      </c>
      <c r="M569" s="3"/>
      <c r="N569" s="3"/>
      <c r="O569" s="2" t="s">
        <v>2361</v>
      </c>
      <c r="P569" s="2" t="s">
        <v>99</v>
      </c>
      <c r="Q569" s="2" t="s">
        <v>99</v>
      </c>
      <c r="R569" s="2" t="s">
        <v>99</v>
      </c>
      <c r="S569" s="2" t="s">
        <v>2823</v>
      </c>
      <c r="T569" s="2" t="s">
        <v>99</v>
      </c>
      <c r="U569" s="2" t="s">
        <v>99</v>
      </c>
      <c r="V569" s="2" t="s">
        <v>99</v>
      </c>
      <c r="W569" s="2" t="s">
        <v>99</v>
      </c>
      <c r="X569" s="2" t="s">
        <v>99</v>
      </c>
      <c r="Y569" s="2" t="s">
        <v>99</v>
      </c>
      <c r="Z569" s="4"/>
      <c r="AA569" s="4">
        <f>=ROUNDDOWN({0},0)</f>
      </c>
      <c r="AB569" s="5"/>
      <c r="AC569" s="2" t="s">
        <v>99</v>
      </c>
      <c r="AD569" s="4"/>
      <c r="AE569" s="4"/>
      <c r="AF569" s="6"/>
      <c r="AG569" s="6"/>
      <c r="AH569" s="7"/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99</v>
      </c>
      <c r="AW569" s="8" t="s">
        <v>99</v>
      </c>
      <c r="AX569" s="4" t="s">
        <v>99</v>
      </c>
      <c r="AY569" s="8" t="s">
        <v>99</v>
      </c>
      <c r="AZ569" s="7" t="s">
        <v>99</v>
      </c>
      <c r="BA569" s="7" t="s">
        <v>99</v>
      </c>
      <c r="BB569" s="7"/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/>
      <c r="BJ569" s="4"/>
      <c r="BK569" s="8"/>
      <c r="BL569" s="2" t="s">
        <v>99</v>
      </c>
      <c r="BM569" s="7"/>
      <c r="BN569" s="7"/>
      <c r="BO569" s="4"/>
      <c r="BP569" s="8"/>
      <c r="BQ569" s="4"/>
      <c r="BR569" s="8"/>
      <c r="BS569" s="7"/>
      <c r="BT569" s="7"/>
      <c r="BU569" s="2" t="s">
        <v>99</v>
      </c>
      <c r="BV569" s="2" t="s">
        <v>99</v>
      </c>
      <c r="BW569" s="2" t="s">
        <v>99</v>
      </c>
      <c r="BX569" s="2" t="s">
        <v>99</v>
      </c>
      <c r="BY569" s="2" t="s">
        <v>99</v>
      </c>
      <c r="BZ569" s="2" t="s">
        <v>99</v>
      </c>
      <c r="CA569" s="2" t="s">
        <v>99</v>
      </c>
    </row>
    <row r="570">
      <c r="A570" s="2" t="s">
        <v>2824</v>
      </c>
      <c r="B570" s="2" t="s">
        <v>2469</v>
      </c>
      <c r="C570" s="2" t="s">
        <v>89</v>
      </c>
      <c r="D570" s="2" t="s">
        <v>2525</v>
      </c>
      <c r="E570" s="2" t="s">
        <v>644</v>
      </c>
      <c r="F570" s="2" t="s">
        <v>2821</v>
      </c>
      <c r="G570" s="2" t="s">
        <v>99</v>
      </c>
      <c r="H570" s="2" t="s">
        <v>99</v>
      </c>
      <c r="I570" s="2" t="s">
        <v>99</v>
      </c>
      <c r="J570" s="2" t="s">
        <v>2825</v>
      </c>
      <c r="K570" s="2" t="s">
        <v>2453</v>
      </c>
      <c r="L570" s="3">
        <v>53.2</v>
      </c>
      <c r="M570" s="3"/>
      <c r="N570" s="3"/>
      <c r="O570" s="2" t="s">
        <v>2361</v>
      </c>
      <c r="P570" s="2" t="s">
        <v>99</v>
      </c>
      <c r="Q570" s="2" t="s">
        <v>99</v>
      </c>
      <c r="R570" s="2" t="s">
        <v>99</v>
      </c>
      <c r="S570" s="2" t="s">
        <v>2826</v>
      </c>
      <c r="T570" s="2" t="s">
        <v>99</v>
      </c>
      <c r="U570" s="2" t="s">
        <v>99</v>
      </c>
      <c r="V570" s="2" t="s">
        <v>99</v>
      </c>
      <c r="W570" s="2" t="s">
        <v>99</v>
      </c>
      <c r="X570" s="2" t="s">
        <v>99</v>
      </c>
      <c r="Y570" s="2" t="s">
        <v>99</v>
      </c>
      <c r="Z570" s="4"/>
      <c r="AA570" s="4">
        <f>=ROUNDDOWN({0},0)</f>
      </c>
      <c r="AB570" s="5"/>
      <c r="AC570" s="2" t="s">
        <v>99</v>
      </c>
      <c r="AD570" s="4"/>
      <c r="AE570" s="4"/>
      <c r="AF570" s="6"/>
      <c r="AG570" s="6"/>
      <c r="AH570" s="7"/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/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/>
      <c r="BJ570" s="4"/>
      <c r="BK570" s="8"/>
      <c r="BL570" s="2" t="s">
        <v>99</v>
      </c>
      <c r="BM570" s="7"/>
      <c r="BN570" s="7"/>
      <c r="BO570" s="4"/>
      <c r="BP570" s="8"/>
      <c r="BQ570" s="4"/>
      <c r="BR570" s="8"/>
      <c r="BS570" s="7"/>
      <c r="BT570" s="7"/>
      <c r="BU570" s="2" t="s">
        <v>99</v>
      </c>
      <c r="BV570" s="2" t="s">
        <v>99</v>
      </c>
      <c r="BW570" s="2" t="s">
        <v>99</v>
      </c>
      <c r="BX570" s="2" t="s">
        <v>99</v>
      </c>
      <c r="BY570" s="2" t="s">
        <v>99</v>
      </c>
      <c r="BZ570" s="2" t="s">
        <v>99</v>
      </c>
      <c r="CA570" s="2" t="s">
        <v>99</v>
      </c>
    </row>
    <row r="571">
      <c r="A571" s="2" t="s">
        <v>2827</v>
      </c>
      <c r="B571" s="2" t="s">
        <v>2469</v>
      </c>
      <c r="C571" s="2" t="s">
        <v>740</v>
      </c>
      <c r="D571" s="2" t="s">
        <v>2619</v>
      </c>
      <c r="E571" s="2" t="s">
        <v>2620</v>
      </c>
      <c r="F571" s="2" t="s">
        <v>919</v>
      </c>
      <c r="G571" s="2" t="s">
        <v>919</v>
      </c>
      <c r="H571" s="2" t="s">
        <v>919</v>
      </c>
      <c r="I571" s="2" t="s">
        <v>2828</v>
      </c>
      <c r="J571" s="2" t="s">
        <v>1709</v>
      </c>
      <c r="K571" s="2" t="s">
        <v>2829</v>
      </c>
      <c r="L571" s="3">
        <v>56.88</v>
      </c>
      <c r="M571" s="3">
        <v>59.72</v>
      </c>
      <c r="N571" s="3">
        <v>129.99</v>
      </c>
      <c r="O571" s="2" t="s">
        <v>443</v>
      </c>
      <c r="P571" s="2" t="s">
        <v>188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100</v>
      </c>
      <c r="V571" s="2" t="s">
        <v>310</v>
      </c>
      <c r="W571" s="2" t="s">
        <v>103</v>
      </c>
      <c r="X571" s="2" t="s">
        <v>522</v>
      </c>
      <c r="Y571" s="2" t="s">
        <v>2634</v>
      </c>
      <c r="Z571" s="4">
        <v>42</v>
      </c>
      <c r="AA571" s="4">
        <f>=ROUNDDOWN(52.5,0)</f>
      </c>
      <c r="AB571" s="5">
        <v>0.8</v>
      </c>
      <c r="AC571" s="2" t="s">
        <v>99</v>
      </c>
      <c r="AD571" s="4"/>
      <c r="AE571" s="4"/>
      <c r="AF571" s="6">
        <v>63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3</v>
      </c>
      <c r="BK571" s="8">
        <v>302.04</v>
      </c>
      <c r="BL571" s="2" t="s">
        <v>2523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122</v>
      </c>
      <c r="BW571" s="2" t="s">
        <v>99</v>
      </c>
      <c r="BX571" s="2" t="s">
        <v>99</v>
      </c>
      <c r="BY571" s="2" t="s">
        <v>109</v>
      </c>
      <c r="BZ571" s="2" t="s">
        <v>109</v>
      </c>
      <c r="CA571" s="2" t="s">
        <v>99</v>
      </c>
    </row>
    <row r="572">
      <c r="A572" s="2" t="s">
        <v>2830</v>
      </c>
      <c r="B572" s="2" t="s">
        <v>2469</v>
      </c>
      <c r="C572" s="2" t="s">
        <v>740</v>
      </c>
      <c r="D572" s="2" t="s">
        <v>2594</v>
      </c>
      <c r="E572" s="2" t="s">
        <v>2595</v>
      </c>
      <c r="F572" s="2" t="s">
        <v>2831</v>
      </c>
      <c r="G572" s="2" t="s">
        <v>2831</v>
      </c>
      <c r="H572" s="2" t="s">
        <v>2831</v>
      </c>
      <c r="I572" s="2" t="s">
        <v>2832</v>
      </c>
      <c r="J572" s="2" t="s">
        <v>1709</v>
      </c>
      <c r="K572" s="2" t="s">
        <v>118</v>
      </c>
      <c r="L572" s="3">
        <v>60.75</v>
      </c>
      <c r="M572" s="3">
        <v>63.79</v>
      </c>
      <c r="N572" s="3">
        <v>139.99</v>
      </c>
      <c r="O572" s="2" t="s">
        <v>443</v>
      </c>
      <c r="P572" s="2" t="s">
        <v>188</v>
      </c>
      <c r="Q572" s="2" t="s">
        <v>98</v>
      </c>
      <c r="R572" s="2" t="s">
        <v>99</v>
      </c>
      <c r="S572" s="2" t="s">
        <v>99</v>
      </c>
      <c r="T572" s="2" t="s">
        <v>99</v>
      </c>
      <c r="U572" s="2" t="s">
        <v>100</v>
      </c>
      <c r="V572" s="2" t="s">
        <v>310</v>
      </c>
      <c r="W572" s="2" t="s">
        <v>102</v>
      </c>
      <c r="X572" s="2" t="s">
        <v>257</v>
      </c>
      <c r="Y572" s="2" t="s">
        <v>2634</v>
      </c>
      <c r="Z572" s="4">
        <v>9</v>
      </c>
      <c r="AA572" s="4">
        <f>=ROUNDDOWN(3.21428571428571,0)</f>
      </c>
      <c r="AB572" s="5">
        <v>2.8</v>
      </c>
      <c r="AC572" s="2" t="s">
        <v>99</v>
      </c>
      <c r="AD572" s="4"/>
      <c r="AE572" s="4"/>
      <c r="AF572" s="6">
        <v>63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6</v>
      </c>
      <c r="BK572" s="8">
        <v>360.76</v>
      </c>
      <c r="BL572" s="2" t="s">
        <v>581</v>
      </c>
      <c r="BM572" s="7"/>
      <c r="BN572" s="7"/>
      <c r="BO572" s="4"/>
      <c r="BP572" s="8"/>
      <c r="BQ572" s="4"/>
      <c r="BR572" s="8"/>
      <c r="BS572" s="7"/>
      <c r="BT572" s="7"/>
      <c r="BU572" s="2" t="s">
        <v>645</v>
      </c>
      <c r="BV572" s="2" t="s">
        <v>96</v>
      </c>
      <c r="BW572" s="2" t="s">
        <v>99</v>
      </c>
      <c r="BX572" s="2" t="s">
        <v>99</v>
      </c>
      <c r="BY572" s="2" t="s">
        <v>109</v>
      </c>
      <c r="BZ572" s="2" t="s">
        <v>109</v>
      </c>
      <c r="CA572" s="2" t="s">
        <v>99</v>
      </c>
    </row>
    <row r="573">
      <c r="A573" s="16" t="s">
        <v>2833</v>
      </c>
      <c r="B573" s="9" t="s">
        <v>99</v>
      </c>
      <c r="C573" s="9" t="s">
        <v>99</v>
      </c>
      <c r="D573" s="9" t="s">
        <v>99</v>
      </c>
      <c r="E573" s="9" t="s">
        <v>99</v>
      </c>
      <c r="F573" s="9" t="s">
        <v>99</v>
      </c>
      <c r="G573" s="9" t="s">
        <v>99</v>
      </c>
      <c r="H573" s="9" t="s">
        <v>99</v>
      </c>
      <c r="I573" s="9" t="s">
        <v>99</v>
      </c>
      <c r="J573" s="9" t="s">
        <v>99</v>
      </c>
      <c r="K573" s="9" t="s">
        <v>99</v>
      </c>
      <c r="L573" s="10"/>
      <c r="M573" s="10"/>
      <c r="N573" s="10"/>
      <c r="O573" s="9" t="s">
        <v>99</v>
      </c>
      <c r="P573" s="9" t="s">
        <v>99</v>
      </c>
      <c r="Q573" s="9" t="s">
        <v>99</v>
      </c>
      <c r="R573" s="9" t="s">
        <v>99</v>
      </c>
      <c r="S573" s="9" t="s">
        <v>99</v>
      </c>
      <c r="T573" s="9" t="s">
        <v>99</v>
      </c>
      <c r="U573" s="9" t="s">
        <v>99</v>
      </c>
      <c r="V573" s="9" t="s">
        <v>99</v>
      </c>
      <c r="W573" s="9" t="s">
        <v>99</v>
      </c>
      <c r="X573" s="9" t="s">
        <v>99</v>
      </c>
      <c r="Y573" s="9" t="s">
        <v>99</v>
      </c>
      <c r="Z573" s="11">
        <v>66921</v>
      </c>
      <c r="AA573" s="11">
        <f>=ROUNDDOWN({0},0)</f>
      </c>
      <c r="AB573" s="12">
        <v>5092.1</v>
      </c>
      <c r="AC573" s="9" t="s">
        <v>99</v>
      </c>
      <c r="AD573" s="11"/>
      <c r="AE573" s="11">
        <v>64144</v>
      </c>
      <c r="AF573" s="13"/>
      <c r="AG573" s="13"/>
      <c r="AH573" s="14"/>
      <c r="AI573" s="11"/>
      <c r="AJ573" s="11">
        <f>=ROUNDDOWN({0},0)</f>
      </c>
      <c r="AK573" s="12">
        <v>14.7</v>
      </c>
      <c r="AL573" s="9" t="s">
        <v>99</v>
      </c>
      <c r="AM573" s="11"/>
      <c r="AN573" s="11">
        <v>7951</v>
      </c>
      <c r="AO573" s="14"/>
      <c r="AP573" s="11">
        <v>2790</v>
      </c>
      <c r="AQ573" s="15">
        <v>288781.63</v>
      </c>
      <c r="AR573" s="11"/>
      <c r="AS573" s="15"/>
      <c r="AT573" s="14"/>
      <c r="AU573" s="14"/>
      <c r="AV573" s="11">
        <v>2790</v>
      </c>
      <c r="AW573" s="15">
        <v>288781.63</v>
      </c>
      <c r="AX573" s="11"/>
      <c r="AY573" s="15"/>
      <c r="AZ573" s="14"/>
      <c r="BA573" s="14"/>
      <c r="BB573" s="14"/>
      <c r="BC573" s="11">
        <v>2790</v>
      </c>
      <c r="BD573" s="15">
        <v>288781.63</v>
      </c>
      <c r="BE573" s="11"/>
      <c r="BF573" s="15"/>
      <c r="BG573" s="14"/>
      <c r="BH573" s="14"/>
      <c r="BI573" s="14"/>
      <c r="BJ573" s="11"/>
      <c r="BK573" s="15"/>
      <c r="BL573" s="9" t="s">
        <v>99</v>
      </c>
      <c r="BM573" s="14"/>
      <c r="BN573" s="14"/>
      <c r="BO573" s="11">
        <v>2790</v>
      </c>
      <c r="BP573" s="15">
        <v>288781.63</v>
      </c>
      <c r="BQ573" s="11"/>
      <c r="BR573" s="15"/>
      <c r="BS573" s="14"/>
      <c r="BT573" s="14"/>
      <c r="BU573" s="9" t="s">
        <v>99</v>
      </c>
      <c r="BV573" s="9" t="s">
        <v>99</v>
      </c>
      <c r="BW573" s="9" t="s">
        <v>99</v>
      </c>
      <c r="BX573" s="9" t="s">
        <v>99</v>
      </c>
      <c r="BY573" s="9" t="s">
        <v>99</v>
      </c>
      <c r="BZ573" s="9" t="s">
        <v>99</v>
      </c>
      <c r="CA57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7:BC20"/>
    <mergeCell ref="BD17:BD20"/>
    <mergeCell ref="BE17:BE20"/>
    <mergeCell ref="BF17:BF20"/>
    <mergeCell ref="BG17:BG20"/>
    <mergeCell ref="BH17:BH20"/>
    <mergeCell ref="BC23:BC24"/>
    <mergeCell ref="BD23:BD24"/>
    <mergeCell ref="BE23:BE24"/>
    <mergeCell ref="BF23:BF24"/>
    <mergeCell ref="BG23:BG24"/>
    <mergeCell ref="BH23:BH24"/>
    <mergeCell ref="BC25:BC27"/>
    <mergeCell ref="BD25:BD27"/>
    <mergeCell ref="BE25:BE27"/>
    <mergeCell ref="BF25:BF27"/>
    <mergeCell ref="BG25:BG27"/>
    <mergeCell ref="BH25:BH27"/>
    <mergeCell ref="BC30:BC32"/>
    <mergeCell ref="BD30:BD32"/>
    <mergeCell ref="BE30:BE32"/>
    <mergeCell ref="BF30:BF32"/>
    <mergeCell ref="BG30:BG32"/>
    <mergeCell ref="BH30:BH32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5:BC47"/>
    <mergeCell ref="BD45:BD47"/>
    <mergeCell ref="BE45:BE47"/>
    <mergeCell ref="BF45:BF47"/>
    <mergeCell ref="BG45:BG47"/>
    <mergeCell ref="BH45:BH47"/>
    <mergeCell ref="BC51:BC52"/>
    <mergeCell ref="BD51:BD52"/>
    <mergeCell ref="BE51:BE52"/>
    <mergeCell ref="BF51:BF52"/>
    <mergeCell ref="BG51:BG52"/>
    <mergeCell ref="BH51:BH52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3:BC64"/>
    <mergeCell ref="BD63:BD64"/>
    <mergeCell ref="BE63:BE64"/>
    <mergeCell ref="BF63:BF64"/>
    <mergeCell ref="BG63:BG64"/>
    <mergeCell ref="BH63:BH64"/>
    <mergeCell ref="BC78:BC81"/>
    <mergeCell ref="BD78:BD81"/>
    <mergeCell ref="BE78:BE81"/>
    <mergeCell ref="BF78:BF81"/>
    <mergeCell ref="BG78:BG81"/>
    <mergeCell ref="BH78:BH81"/>
    <mergeCell ref="BC91:BC92"/>
    <mergeCell ref="BD91:BD92"/>
    <mergeCell ref="BE91:BE92"/>
    <mergeCell ref="BF91:BF92"/>
    <mergeCell ref="BG91:BG92"/>
    <mergeCell ref="BH91:BH92"/>
    <mergeCell ref="BC104:BC106"/>
    <mergeCell ref="BD104:BD106"/>
    <mergeCell ref="BE104:BE106"/>
    <mergeCell ref="BF104:BF106"/>
    <mergeCell ref="BG104:BG106"/>
    <mergeCell ref="BH104:BH106"/>
    <mergeCell ref="BC107:BC109"/>
    <mergeCell ref="BD107:BD109"/>
    <mergeCell ref="BE107:BE109"/>
    <mergeCell ref="BF107:BF109"/>
    <mergeCell ref="BG107:BG109"/>
    <mergeCell ref="BH107:BH109"/>
    <mergeCell ref="BC112:BC124"/>
    <mergeCell ref="BD112:BD124"/>
    <mergeCell ref="BE112:BE124"/>
    <mergeCell ref="BF112:BF124"/>
    <mergeCell ref="BG112:BG124"/>
    <mergeCell ref="BH112:BH124"/>
    <mergeCell ref="BC127:BC133"/>
    <mergeCell ref="BD127:BD133"/>
    <mergeCell ref="BE127:BE133"/>
    <mergeCell ref="BF127:BF133"/>
    <mergeCell ref="BG127:BG133"/>
    <mergeCell ref="BH127:BH133"/>
    <mergeCell ref="BC134:BC136"/>
    <mergeCell ref="BD134:BD136"/>
    <mergeCell ref="BE134:BE136"/>
    <mergeCell ref="BF134:BF136"/>
    <mergeCell ref="BG134:BG136"/>
    <mergeCell ref="BH134:BH136"/>
    <mergeCell ref="BC137:BC138"/>
    <mergeCell ref="BD137:BD138"/>
    <mergeCell ref="BE137:BE138"/>
    <mergeCell ref="BF137:BF138"/>
    <mergeCell ref="BG137:BG138"/>
    <mergeCell ref="BH137:BH138"/>
    <mergeCell ref="BC140:BC159"/>
    <mergeCell ref="BD140:BD159"/>
    <mergeCell ref="BE140:BE159"/>
    <mergeCell ref="BF140:BF159"/>
    <mergeCell ref="BG140:BG159"/>
    <mergeCell ref="BH140:BH159"/>
    <mergeCell ref="BC160:BC162"/>
    <mergeCell ref="BD160:BD162"/>
    <mergeCell ref="BE160:BE162"/>
    <mergeCell ref="BF160:BF162"/>
    <mergeCell ref="BG160:BG162"/>
    <mergeCell ref="BH160:BH162"/>
    <mergeCell ref="BC163:BC168"/>
    <mergeCell ref="BD163:BD168"/>
    <mergeCell ref="BE163:BE168"/>
    <mergeCell ref="BF163:BF168"/>
    <mergeCell ref="BG163:BG168"/>
    <mergeCell ref="BH163:BH168"/>
    <mergeCell ref="BC170:BC171"/>
    <mergeCell ref="BD170:BD171"/>
    <mergeCell ref="BE170:BE171"/>
    <mergeCell ref="BF170:BF171"/>
    <mergeCell ref="BG170:BG171"/>
    <mergeCell ref="BH170:BH171"/>
    <mergeCell ref="BC174:BC176"/>
    <mergeCell ref="BD174:BD176"/>
    <mergeCell ref="BE174:BE176"/>
    <mergeCell ref="BF174:BF176"/>
    <mergeCell ref="BG174:BG176"/>
    <mergeCell ref="BH174:BH176"/>
    <mergeCell ref="BC182:BC186"/>
    <mergeCell ref="BD182:BD186"/>
    <mergeCell ref="BE182:BE186"/>
    <mergeCell ref="BF182:BF186"/>
    <mergeCell ref="BG182:BG186"/>
    <mergeCell ref="BH182:BH186"/>
    <mergeCell ref="BC187:BC190"/>
    <mergeCell ref="BD187:BD190"/>
    <mergeCell ref="BE187:BE190"/>
    <mergeCell ref="BF187:BF190"/>
    <mergeCell ref="BG187:BG190"/>
    <mergeCell ref="BH187:BH190"/>
    <mergeCell ref="BC194:BC196"/>
    <mergeCell ref="BD194:BD196"/>
    <mergeCell ref="BE194:BE196"/>
    <mergeCell ref="BF194:BF196"/>
    <mergeCell ref="BG194:BG196"/>
    <mergeCell ref="BH194:BH196"/>
    <mergeCell ref="BC199:BC200"/>
    <mergeCell ref="BD199:BD200"/>
    <mergeCell ref="BE199:BE200"/>
    <mergeCell ref="BF199:BF200"/>
    <mergeCell ref="BG199:BG200"/>
    <mergeCell ref="BH199:BH200"/>
    <mergeCell ref="BC202:BC203"/>
    <mergeCell ref="BD202:BD203"/>
    <mergeCell ref="BE202:BE203"/>
    <mergeCell ref="BF202:BF203"/>
    <mergeCell ref="BG202:BG203"/>
    <mergeCell ref="BH202:BH203"/>
    <mergeCell ref="BC205:BC206"/>
    <mergeCell ref="BD205:BD206"/>
    <mergeCell ref="BE205:BE206"/>
    <mergeCell ref="BF205:BF206"/>
    <mergeCell ref="BG205:BG206"/>
    <mergeCell ref="BH205:BH206"/>
    <mergeCell ref="BC207:BC208"/>
    <mergeCell ref="BD207:BD208"/>
    <mergeCell ref="BE207:BE208"/>
    <mergeCell ref="BF207:BF208"/>
    <mergeCell ref="BG207:BG208"/>
    <mergeCell ref="BH207:BH208"/>
    <mergeCell ref="BC209:BC212"/>
    <mergeCell ref="BD209:BD212"/>
    <mergeCell ref="BE209:BE212"/>
    <mergeCell ref="BF209:BF212"/>
    <mergeCell ref="BG209:BG212"/>
    <mergeCell ref="BH209:BH212"/>
    <mergeCell ref="BC214:BC219"/>
    <mergeCell ref="BD214:BD219"/>
    <mergeCell ref="BE214:BE219"/>
    <mergeCell ref="BF214:BF219"/>
    <mergeCell ref="BG214:BG219"/>
    <mergeCell ref="BH214:BH219"/>
    <mergeCell ref="BC225:BC227"/>
    <mergeCell ref="BD225:BD227"/>
    <mergeCell ref="BE225:BE227"/>
    <mergeCell ref="BF225:BF227"/>
    <mergeCell ref="BG225:BG227"/>
    <mergeCell ref="BH225:BH227"/>
    <mergeCell ref="BC229:BC231"/>
    <mergeCell ref="BD229:BD231"/>
    <mergeCell ref="BE229:BE231"/>
    <mergeCell ref="BF229:BF231"/>
    <mergeCell ref="BG229:BG231"/>
    <mergeCell ref="BH229:BH231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6:BC247"/>
    <mergeCell ref="BD246:BD247"/>
    <mergeCell ref="BE246:BE247"/>
    <mergeCell ref="BF246:BF247"/>
    <mergeCell ref="BG246:BG247"/>
    <mergeCell ref="BH246:BH247"/>
    <mergeCell ref="BC250:BC252"/>
    <mergeCell ref="BD250:BD252"/>
    <mergeCell ref="BE250:BE252"/>
    <mergeCell ref="BF250:BF252"/>
    <mergeCell ref="BG250:BG252"/>
    <mergeCell ref="BH250:BH252"/>
    <mergeCell ref="BC253:BC256"/>
    <mergeCell ref="BD253:BD256"/>
    <mergeCell ref="BE253:BE256"/>
    <mergeCell ref="BF253:BF256"/>
    <mergeCell ref="BG253:BG256"/>
    <mergeCell ref="BH253:BH256"/>
    <mergeCell ref="BC258:BC259"/>
    <mergeCell ref="BD258:BD259"/>
    <mergeCell ref="BE258:BE259"/>
    <mergeCell ref="BF258:BF259"/>
    <mergeCell ref="BG258:BG259"/>
    <mergeCell ref="BH258:BH259"/>
    <mergeCell ref="BC262:BC263"/>
    <mergeCell ref="BD262:BD263"/>
    <mergeCell ref="BE262:BE263"/>
    <mergeCell ref="BF262:BF263"/>
    <mergeCell ref="BG262:BG263"/>
    <mergeCell ref="BH262:BH263"/>
    <mergeCell ref="BC265:BC269"/>
    <mergeCell ref="BD265:BD269"/>
    <mergeCell ref="BE265:BE269"/>
    <mergeCell ref="BF265:BF269"/>
    <mergeCell ref="BG265:BG269"/>
    <mergeCell ref="BH265:BH269"/>
    <mergeCell ref="BC270:BC271"/>
    <mergeCell ref="BD270:BD271"/>
    <mergeCell ref="BE270:BE271"/>
    <mergeCell ref="BF270:BF271"/>
    <mergeCell ref="BG270:BG271"/>
    <mergeCell ref="BH270:BH271"/>
    <mergeCell ref="BC284:BC288"/>
    <mergeCell ref="BD284:BD288"/>
    <mergeCell ref="BE284:BE288"/>
    <mergeCell ref="BF284:BF288"/>
    <mergeCell ref="BG284:BG288"/>
    <mergeCell ref="BH284:BH288"/>
    <mergeCell ref="BC290:BC291"/>
    <mergeCell ref="BD290:BD291"/>
    <mergeCell ref="BE290:BE291"/>
    <mergeCell ref="BF290:BF291"/>
    <mergeCell ref="BG290:BG291"/>
    <mergeCell ref="BH290:BH291"/>
    <mergeCell ref="BC294:BC295"/>
    <mergeCell ref="BD294:BD295"/>
    <mergeCell ref="BE294:BE295"/>
    <mergeCell ref="BF294:BF295"/>
    <mergeCell ref="BG294:BG295"/>
    <mergeCell ref="BH294:BH295"/>
    <mergeCell ref="BC300:BC301"/>
    <mergeCell ref="BD300:BD301"/>
    <mergeCell ref="BE300:BE301"/>
    <mergeCell ref="BF300:BF301"/>
    <mergeCell ref="BG300:BG301"/>
    <mergeCell ref="BH300:BH301"/>
    <mergeCell ref="BC307:BC308"/>
    <mergeCell ref="BD307:BD308"/>
    <mergeCell ref="BE307:BE308"/>
    <mergeCell ref="BF307:BF308"/>
    <mergeCell ref="BG307:BG308"/>
    <mergeCell ref="BH307:BH308"/>
    <mergeCell ref="BC310:BC311"/>
    <mergeCell ref="BD310:BD311"/>
    <mergeCell ref="BE310:BE311"/>
    <mergeCell ref="BF310:BF311"/>
    <mergeCell ref="BG310:BG311"/>
    <mergeCell ref="BH310:BH311"/>
    <mergeCell ref="BC315:BC316"/>
    <mergeCell ref="BD315:BD316"/>
    <mergeCell ref="BE315:BE316"/>
    <mergeCell ref="BF315:BF316"/>
    <mergeCell ref="BG315:BG316"/>
    <mergeCell ref="BH315:BH316"/>
    <mergeCell ref="BC319:BC320"/>
    <mergeCell ref="BD319:BD320"/>
    <mergeCell ref="BE319:BE320"/>
    <mergeCell ref="BF319:BF320"/>
    <mergeCell ref="BG319:BG320"/>
    <mergeCell ref="BH319:BH320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30:BC332"/>
    <mergeCell ref="BD330:BD332"/>
    <mergeCell ref="BE330:BE332"/>
    <mergeCell ref="BF330:BF332"/>
    <mergeCell ref="BG330:BG332"/>
    <mergeCell ref="BH330:BH332"/>
    <mergeCell ref="BC333:BC335"/>
    <mergeCell ref="BD333:BD335"/>
    <mergeCell ref="BE333:BE335"/>
    <mergeCell ref="BF333:BF335"/>
    <mergeCell ref="BG333:BG335"/>
    <mergeCell ref="BH333:BH335"/>
    <mergeCell ref="BC336:BC339"/>
    <mergeCell ref="BD336:BD339"/>
    <mergeCell ref="BE336:BE339"/>
    <mergeCell ref="BF336:BF339"/>
    <mergeCell ref="BG336:BG339"/>
    <mergeCell ref="BH336:BH339"/>
    <mergeCell ref="BC355:BC356"/>
    <mergeCell ref="BD355:BD356"/>
    <mergeCell ref="BE355:BE356"/>
    <mergeCell ref="BF355:BF356"/>
    <mergeCell ref="BG355:BG356"/>
    <mergeCell ref="BH355:BH356"/>
    <mergeCell ref="BC357:BC358"/>
    <mergeCell ref="BD357:BD358"/>
    <mergeCell ref="BE357:BE358"/>
    <mergeCell ref="BF357:BF358"/>
    <mergeCell ref="BG357:BG358"/>
    <mergeCell ref="BH357:BH358"/>
    <mergeCell ref="BC368:BC370"/>
    <mergeCell ref="BD368:BD370"/>
    <mergeCell ref="BE368:BE370"/>
    <mergeCell ref="BF368:BF370"/>
    <mergeCell ref="BG368:BG370"/>
    <mergeCell ref="BH368:BH370"/>
    <mergeCell ref="BC373:BC376"/>
    <mergeCell ref="BD373:BD376"/>
    <mergeCell ref="BE373:BE376"/>
    <mergeCell ref="BF373:BF376"/>
    <mergeCell ref="BG373:BG376"/>
    <mergeCell ref="BH373:BH376"/>
    <mergeCell ref="BC378:BC380"/>
    <mergeCell ref="BD378:BD380"/>
    <mergeCell ref="BE378:BE380"/>
    <mergeCell ref="BF378:BF380"/>
    <mergeCell ref="BG378:BG380"/>
    <mergeCell ref="BH378:BH380"/>
    <mergeCell ref="BC382:BC388"/>
    <mergeCell ref="BD382:BD388"/>
    <mergeCell ref="BE382:BE388"/>
    <mergeCell ref="BF382:BF388"/>
    <mergeCell ref="BG382:BG388"/>
    <mergeCell ref="BH382:BH388"/>
    <mergeCell ref="BC389:BC391"/>
    <mergeCell ref="BD389:BD391"/>
    <mergeCell ref="BE389:BE391"/>
    <mergeCell ref="BF389:BF391"/>
    <mergeCell ref="BG389:BG391"/>
    <mergeCell ref="BH389:BH391"/>
    <mergeCell ref="BC392:BC396"/>
    <mergeCell ref="BD392:BD396"/>
    <mergeCell ref="BE392:BE396"/>
    <mergeCell ref="BF392:BF396"/>
    <mergeCell ref="BG392:BG396"/>
    <mergeCell ref="BH392:BH396"/>
    <mergeCell ref="BC399:BC401"/>
    <mergeCell ref="BD399:BD401"/>
    <mergeCell ref="BE399:BE401"/>
    <mergeCell ref="BF399:BF401"/>
    <mergeCell ref="BG399:BG401"/>
    <mergeCell ref="BH399:BH401"/>
    <mergeCell ref="BC403:BC405"/>
    <mergeCell ref="BD403:BD405"/>
    <mergeCell ref="BE403:BE405"/>
    <mergeCell ref="BF403:BF405"/>
    <mergeCell ref="BG403:BG405"/>
    <mergeCell ref="BH403:BH405"/>
    <mergeCell ref="BC406:BC407"/>
    <mergeCell ref="BD406:BD407"/>
    <mergeCell ref="BE406:BE407"/>
    <mergeCell ref="BF406:BF407"/>
    <mergeCell ref="BG406:BG407"/>
    <mergeCell ref="BH406:BH407"/>
    <mergeCell ref="BC423:BC428"/>
    <mergeCell ref="BD423:BD428"/>
    <mergeCell ref="BE423:BE428"/>
    <mergeCell ref="BF423:BF428"/>
    <mergeCell ref="BG423:BG428"/>
    <mergeCell ref="BH423:BH428"/>
    <mergeCell ref="BC430:BC432"/>
    <mergeCell ref="BD430:BD432"/>
    <mergeCell ref="BE430:BE432"/>
    <mergeCell ref="BF430:BF432"/>
    <mergeCell ref="BG430:BG432"/>
    <mergeCell ref="BH430:BH432"/>
    <mergeCell ref="BC437:BC439"/>
    <mergeCell ref="BD437:BD439"/>
    <mergeCell ref="BE437:BE439"/>
    <mergeCell ref="BF437:BF439"/>
    <mergeCell ref="BG437:BG439"/>
    <mergeCell ref="BH437:BH439"/>
    <mergeCell ref="BC440:BC447"/>
    <mergeCell ref="BD440:BD447"/>
    <mergeCell ref="BE440:BE447"/>
    <mergeCell ref="BF440:BF447"/>
    <mergeCell ref="BG440:BG447"/>
    <mergeCell ref="BH440:BH447"/>
    <mergeCell ref="BC448:BC449"/>
    <mergeCell ref="BD448:BD449"/>
    <mergeCell ref="BE448:BE449"/>
    <mergeCell ref="BF448:BF449"/>
    <mergeCell ref="BG448:BG449"/>
    <mergeCell ref="BH448:BH449"/>
    <mergeCell ref="BC452:BC457"/>
    <mergeCell ref="BD452:BD457"/>
    <mergeCell ref="BE452:BE457"/>
    <mergeCell ref="BF452:BF457"/>
    <mergeCell ref="BG452:BG457"/>
    <mergeCell ref="BH452:BH457"/>
    <mergeCell ref="BC459:BC465"/>
    <mergeCell ref="BD459:BD465"/>
    <mergeCell ref="BE459:BE465"/>
    <mergeCell ref="BF459:BF465"/>
    <mergeCell ref="BG459:BG465"/>
    <mergeCell ref="BH459:BH465"/>
    <mergeCell ref="BC466:BC471"/>
    <mergeCell ref="BD466:BD471"/>
    <mergeCell ref="BE466:BE471"/>
    <mergeCell ref="BF466:BF471"/>
    <mergeCell ref="BG466:BG471"/>
    <mergeCell ref="BH466:BH471"/>
    <mergeCell ref="BC472:BC473"/>
    <mergeCell ref="BD472:BD473"/>
    <mergeCell ref="BE472:BE473"/>
    <mergeCell ref="BF472:BF473"/>
    <mergeCell ref="BG472:BG473"/>
    <mergeCell ref="BH472:BH473"/>
    <mergeCell ref="BC474:BC475"/>
    <mergeCell ref="BD474:BD475"/>
    <mergeCell ref="BE474:BE475"/>
    <mergeCell ref="BF474:BF475"/>
    <mergeCell ref="BG474:BG475"/>
    <mergeCell ref="BH474:BH475"/>
    <mergeCell ref="BC476:BC482"/>
    <mergeCell ref="BD476:BD482"/>
    <mergeCell ref="BE476:BE482"/>
    <mergeCell ref="BF476:BF482"/>
    <mergeCell ref="BG476:BG482"/>
    <mergeCell ref="BH476:BH482"/>
    <mergeCell ref="BC490:BC494"/>
    <mergeCell ref="BD490:BD494"/>
    <mergeCell ref="BE490:BE494"/>
    <mergeCell ref="BF490:BF494"/>
    <mergeCell ref="BG490:BG494"/>
    <mergeCell ref="BH490:BH494"/>
    <mergeCell ref="BC534:BC536"/>
    <mergeCell ref="BD534:BD536"/>
    <mergeCell ref="BE534:BE536"/>
    <mergeCell ref="BF534:BF536"/>
    <mergeCell ref="BG534:BG536"/>
    <mergeCell ref="BH534:BH536"/>
    <mergeCell ref="BC539:BC540"/>
    <mergeCell ref="BD539:BD540"/>
    <mergeCell ref="BE539:BE540"/>
    <mergeCell ref="BF539:BF540"/>
    <mergeCell ref="BG539:BG540"/>
    <mergeCell ref="BH539:BH540"/>
    <mergeCell ref="BC558:BC559"/>
    <mergeCell ref="BD558:BD559"/>
    <mergeCell ref="BE558:BE559"/>
    <mergeCell ref="BF558:BF559"/>
    <mergeCell ref="BG558:BG559"/>
    <mergeCell ref="BH558:BH559"/>
    <mergeCell ref="BC560:BC561"/>
    <mergeCell ref="BD560:BD561"/>
    <mergeCell ref="BE560:BE561"/>
    <mergeCell ref="BF560:BF561"/>
    <mergeCell ref="BG560:BG561"/>
    <mergeCell ref="BH560:BH561"/>
    <mergeCell ref="BC564:BC565"/>
    <mergeCell ref="BD564:BD565"/>
    <mergeCell ref="BE564:BE565"/>
    <mergeCell ref="BF564:BF565"/>
    <mergeCell ref="BG564:BG565"/>
    <mergeCell ref="BH564:BH565"/>
    <mergeCell ref="BC569:BC570"/>
    <mergeCell ref="BD569:BD570"/>
    <mergeCell ref="BE569:BE570"/>
    <mergeCell ref="BF569:BF570"/>
    <mergeCell ref="BG569:BG570"/>
    <mergeCell ref="BH569:BH57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7:AV18"/>
    <mergeCell ref="AW17:AW18"/>
    <mergeCell ref="AX17:AX18"/>
    <mergeCell ref="AY17:AY18"/>
    <mergeCell ref="AZ17:AZ18"/>
    <mergeCell ref="BA17:BA18"/>
    <mergeCell ref="BI17:BI18"/>
    <mergeCell ref="AV104:AV106"/>
    <mergeCell ref="AW104:AW106"/>
    <mergeCell ref="AX104:AX106"/>
    <mergeCell ref="AY104:AY106"/>
    <mergeCell ref="AZ104:AZ106"/>
    <mergeCell ref="BA104:BA106"/>
    <mergeCell ref="AV120:AV124"/>
    <mergeCell ref="AW120:AW124"/>
    <mergeCell ref="AX120:AX124"/>
    <mergeCell ref="AY120:AY124"/>
    <mergeCell ref="AZ120:AZ124"/>
    <mergeCell ref="BA120:BA124"/>
    <mergeCell ref="BI120:BI124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9"/>
    <mergeCell ref="AW154:AW159"/>
    <mergeCell ref="AX154:AX159"/>
    <mergeCell ref="AY154:AY159"/>
    <mergeCell ref="AZ154:AZ159"/>
    <mergeCell ref="BA154:BA159"/>
    <mergeCell ref="BI154:BI159"/>
    <mergeCell ref="AV189:AV190"/>
    <mergeCell ref="AW189:AW190"/>
    <mergeCell ref="AX189:AX190"/>
    <mergeCell ref="AY189:AY190"/>
    <mergeCell ref="AZ189:AZ190"/>
    <mergeCell ref="BA189:BA190"/>
    <mergeCell ref="BI189:BI190"/>
    <mergeCell ref="AV218:AV219"/>
    <mergeCell ref="AW218:AW219"/>
    <mergeCell ref="AX218:AX219"/>
    <mergeCell ref="AY218:AY219"/>
    <mergeCell ref="AZ218:AZ219"/>
    <mergeCell ref="BA218:BA219"/>
    <mergeCell ref="BI218:BI219"/>
    <mergeCell ref="AV265:AV269"/>
    <mergeCell ref="AW265:AW269"/>
    <mergeCell ref="AX265:AX269"/>
    <mergeCell ref="AY265:AY269"/>
    <mergeCell ref="AZ265:AZ269"/>
    <mergeCell ref="BA265:BA269"/>
    <mergeCell ref="AV294:AV295"/>
    <mergeCell ref="AW294:AW295"/>
    <mergeCell ref="AX294:AX295"/>
    <mergeCell ref="AY294:AY295"/>
    <mergeCell ref="AZ294:AZ295"/>
    <mergeCell ref="BA294:BA295"/>
    <mergeCell ref="BI294:BI295"/>
    <mergeCell ref="AV368:AV369"/>
    <mergeCell ref="AW368:AW369"/>
    <mergeCell ref="AX368:AX369"/>
    <mergeCell ref="AY368:AY369"/>
    <mergeCell ref="AZ368:AZ369"/>
    <mergeCell ref="BA368:BA369"/>
    <mergeCell ref="BI368:BI369"/>
    <mergeCell ref="AV423:AV425"/>
    <mergeCell ref="AW423:AW425"/>
    <mergeCell ref="AX423:AX425"/>
    <mergeCell ref="AY423:AY425"/>
    <mergeCell ref="AZ423:AZ425"/>
    <mergeCell ref="BA423:BA425"/>
    <mergeCell ref="AV426:AV428"/>
    <mergeCell ref="AW426:AW428"/>
    <mergeCell ref="AX426:AX428"/>
    <mergeCell ref="AY426:AY428"/>
    <mergeCell ref="AZ426:AZ428"/>
    <mergeCell ref="BA426:BA428"/>
    <mergeCell ref="AV440:AV443"/>
    <mergeCell ref="AW440:AW443"/>
    <mergeCell ref="AX440:AX443"/>
    <mergeCell ref="AY440:AY443"/>
    <mergeCell ref="AZ440:AZ443"/>
    <mergeCell ref="BA440:BA443"/>
    <mergeCell ref="AV444:AV446"/>
    <mergeCell ref="AW444:AW446"/>
    <mergeCell ref="AX444:AX446"/>
    <mergeCell ref="AY444:AY446"/>
    <mergeCell ref="AZ444:AZ446"/>
    <mergeCell ref="BA444:BA446"/>
    <mergeCell ref="AV448:AV449"/>
    <mergeCell ref="AW448:AW449"/>
    <mergeCell ref="AX448:AX449"/>
    <mergeCell ref="AY448:AY449"/>
    <mergeCell ref="AZ448:AZ449"/>
    <mergeCell ref="BA448:BA449"/>
    <mergeCell ref="AV459:AV460"/>
    <mergeCell ref="AW459:AW460"/>
    <mergeCell ref="AX459:AX460"/>
    <mergeCell ref="AY459:AY460"/>
    <mergeCell ref="AZ459:AZ460"/>
    <mergeCell ref="BA459:BA460"/>
    <mergeCell ref="AV461:AV462"/>
    <mergeCell ref="AW461:AW462"/>
    <mergeCell ref="AX461:AX462"/>
    <mergeCell ref="AY461:AY462"/>
    <mergeCell ref="AZ461:AZ462"/>
    <mergeCell ref="BA461:BA462"/>
    <mergeCell ref="AV464:AV465"/>
    <mergeCell ref="AW464:AW465"/>
    <mergeCell ref="AX464:AX465"/>
    <mergeCell ref="AY464:AY465"/>
    <mergeCell ref="AZ464:AZ465"/>
    <mergeCell ref="BA464:BA465"/>
    <mergeCell ref="AV466:AV467"/>
    <mergeCell ref="AW466:AW467"/>
    <mergeCell ref="AX466:AX467"/>
    <mergeCell ref="AY466:AY467"/>
    <mergeCell ref="AZ466:AZ467"/>
    <mergeCell ref="BA466:BA467"/>
    <mergeCell ref="AV468:AV469"/>
    <mergeCell ref="AW468:AW469"/>
    <mergeCell ref="AX468:AX469"/>
    <mergeCell ref="AY468:AY469"/>
    <mergeCell ref="AZ468:AZ469"/>
    <mergeCell ref="BA468:BA469"/>
    <mergeCell ref="AV470:AV471"/>
    <mergeCell ref="AW470:AW471"/>
    <mergeCell ref="AX470:AX471"/>
    <mergeCell ref="AY470:AY471"/>
    <mergeCell ref="AZ470:AZ471"/>
    <mergeCell ref="BA470:BA471"/>
    <mergeCell ref="AV476:AV477"/>
    <mergeCell ref="AW476:AW477"/>
    <mergeCell ref="AX476:AX477"/>
    <mergeCell ref="AY476:AY477"/>
    <mergeCell ref="AZ476:AZ477"/>
    <mergeCell ref="BA476:BA477"/>
    <mergeCell ref="AV478:AV479"/>
    <mergeCell ref="AW478:AW479"/>
    <mergeCell ref="AX478:AX479"/>
    <mergeCell ref="AY478:AY479"/>
    <mergeCell ref="AZ478:AZ479"/>
    <mergeCell ref="BA478:BA479"/>
    <mergeCell ref="AV481:AV482"/>
    <mergeCell ref="AW481:AW482"/>
    <mergeCell ref="AX481:AX482"/>
    <mergeCell ref="AY481:AY482"/>
    <mergeCell ref="AZ481:AZ482"/>
    <mergeCell ref="BA481:BA482"/>
    <mergeCell ref="AV490:AV491"/>
    <mergeCell ref="AW490:AW491"/>
    <mergeCell ref="AX490:AX491"/>
    <mergeCell ref="AY490:AY491"/>
    <mergeCell ref="AZ490:AZ491"/>
    <mergeCell ref="BA490:BA491"/>
    <mergeCell ref="BI490:BI491"/>
    <mergeCell ref="AV569:AV570"/>
    <mergeCell ref="AW569:AW570"/>
    <mergeCell ref="AX569:AX570"/>
    <mergeCell ref="AY569:AY570"/>
    <mergeCell ref="AZ569:AZ570"/>
    <mergeCell ref="BA569:BA570"/>
    <mergeCell ref="BB120:BB124"/>
    <mergeCell ref="BB154:BB159"/>
    <mergeCell ref="BB189:BB190"/>
    <mergeCell ref="BB218:BB219"/>
    <mergeCell ref="BB265:BB269"/>
    <mergeCell ref="BB442:BB443"/>
    <mergeCell ref="BB459:BB460"/>
    <mergeCell ref="BB461:BB462"/>
    <mergeCell ref="BB464:BB465"/>
    <mergeCell ref="BB466:BB467"/>
    <mergeCell ref="BB468:BB469"/>
    <mergeCell ref="BB470:BB471"/>
    <mergeCell ref="BB476:BB477"/>
    <mergeCell ref="BB478:BB479"/>
    <mergeCell ref="BB481:BB4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2834</v>
      </c>
      <c r="D2" s="0" t="s">
        <v>2835</v>
      </c>
      <c r="E2" s="0" t="s">
        <v>2836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2837</v>
      </c>
      <c r="J4" s="1" t="s">
        <v>2838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2839</v>
      </c>
      <c r="P4" s="1" t="s">
        <v>2840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2841</v>
      </c>
      <c r="F5" s="1" t="s">
        <v>2842</v>
      </c>
      <c r="G5" s="1" t="s">
        <v>2841</v>
      </c>
      <c r="H5" s="1" t="s">
        <v>2842</v>
      </c>
      <c r="I5" s="1" t="s">
        <v>2837</v>
      </c>
      <c r="J5" s="1" t="s">
        <v>2838</v>
      </c>
      <c r="K5" s="1" t="s">
        <v>2843</v>
      </c>
      <c r="L5" s="1" t="s">
        <v>2844</v>
      </c>
      <c r="M5" s="1" t="s">
        <v>2843</v>
      </c>
      <c r="N5" s="1" t="s">
        <v>2844</v>
      </c>
      <c r="O5" s="1" t="s">
        <v>2839</v>
      </c>
      <c r="P5" s="1" t="s">
        <v>2840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564</v>
      </c>
      <c r="F6" s="8">
        <v>45665.61</v>
      </c>
      <c r="G6" s="4"/>
      <c r="H6" s="8"/>
      <c r="I6" s="7"/>
      <c r="J6" s="7"/>
      <c r="K6" s="4">
        <v>564</v>
      </c>
      <c r="L6" s="8">
        <v>45665.61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151</v>
      </c>
      <c r="D7" s="2" t="s">
        <v>152</v>
      </c>
      <c r="E7" s="4">
        <v>50</v>
      </c>
      <c r="F7" s="8">
        <v>1515.85</v>
      </c>
      <c r="G7" s="4"/>
      <c r="H7" s="8"/>
      <c r="I7" s="7"/>
      <c r="J7" s="7"/>
      <c r="K7" s="4">
        <v>50</v>
      </c>
      <c r="L7" s="8">
        <v>1515.85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177</v>
      </c>
      <c r="D8" s="2" t="s">
        <v>178</v>
      </c>
      <c r="E8" s="4">
        <v>22</v>
      </c>
      <c r="F8" s="8">
        <v>1191.3</v>
      </c>
      <c r="G8" s="4"/>
      <c r="H8" s="8"/>
      <c r="I8" s="7"/>
      <c r="J8" s="7"/>
      <c r="K8" s="4">
        <v>22</v>
      </c>
      <c r="L8" s="8">
        <v>1191.3</v>
      </c>
      <c r="M8" s="4"/>
      <c r="N8" s="8"/>
      <c r="O8" s="7"/>
      <c r="P8" s="7"/>
    </row>
    <row r="9">
      <c r="A9" s="2" t="s">
        <v>88</v>
      </c>
      <c r="B9" s="2" t="s">
        <v>203</v>
      </c>
      <c r="C9" s="2" t="s">
        <v>177</v>
      </c>
      <c r="D9" s="2" t="s">
        <v>204</v>
      </c>
      <c r="E9" s="4">
        <v>229</v>
      </c>
      <c r="F9" s="8">
        <v>9928.46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157</v>
      </c>
      <c r="L9" s="8">
        <v>6678.93</v>
      </c>
      <c r="M9" s="4"/>
      <c r="N9" s="8"/>
      <c r="O9" s="7"/>
      <c r="P9" s="7"/>
    </row>
    <row r="10">
      <c r="A10" s="2" t="s">
        <v>88</v>
      </c>
      <c r="B10" s="2" t="s">
        <v>203</v>
      </c>
      <c r="C10" s="2" t="s">
        <v>177</v>
      </c>
      <c r="D10" s="2" t="s">
        <v>178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60</v>
      </c>
      <c r="L10" s="8">
        <v>2136.01</v>
      </c>
      <c r="M10" s="4"/>
      <c r="N10" s="8"/>
      <c r="O10" s="7"/>
      <c r="P10" s="7"/>
    </row>
    <row r="11">
      <c r="A11" s="2" t="s">
        <v>88</v>
      </c>
      <c r="B11" s="2" t="s">
        <v>203</v>
      </c>
      <c r="C11" s="2" t="s">
        <v>177</v>
      </c>
      <c r="D11" s="2" t="s">
        <v>351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12</v>
      </c>
      <c r="L11" s="8">
        <v>1113.52</v>
      </c>
      <c r="M11" s="4"/>
      <c r="N11" s="8"/>
      <c r="O11" s="7"/>
      <c r="P11" s="7"/>
    </row>
    <row r="12">
      <c r="A12" s="2" t="s">
        <v>88</v>
      </c>
      <c r="B12" s="2" t="s">
        <v>203</v>
      </c>
      <c r="C12" s="2" t="s">
        <v>367</v>
      </c>
      <c r="D12" s="2" t="s">
        <v>368</v>
      </c>
      <c r="E12" s="4">
        <v>73</v>
      </c>
      <c r="F12" s="8">
        <v>4215.75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51</v>
      </c>
      <c r="L12" s="8">
        <v>3252.48</v>
      </c>
      <c r="M12" s="4"/>
      <c r="N12" s="8"/>
      <c r="O12" s="7"/>
      <c r="P12" s="7"/>
    </row>
    <row r="13">
      <c r="A13" s="2" t="s">
        <v>88</v>
      </c>
      <c r="B13" s="2" t="s">
        <v>203</v>
      </c>
      <c r="C13" s="2" t="s">
        <v>367</v>
      </c>
      <c r="D13" s="2" t="s">
        <v>351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22</v>
      </c>
      <c r="L13" s="8">
        <v>963.27</v>
      </c>
      <c r="M13" s="4"/>
      <c r="N13" s="8"/>
      <c r="O13" s="7"/>
      <c r="P13" s="7"/>
    </row>
    <row r="14">
      <c r="A14" s="2" t="s">
        <v>88</v>
      </c>
      <c r="B14" s="2" t="s">
        <v>203</v>
      </c>
      <c r="C14" s="2" t="s">
        <v>367</v>
      </c>
      <c r="D14" s="2" t="s">
        <v>598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/>
      <c r="L14" s="8"/>
      <c r="M14" s="4"/>
      <c r="N14" s="8"/>
      <c r="O14" s="7"/>
      <c r="P14" s="7"/>
    </row>
    <row r="15">
      <c r="A15" s="2" t="s">
        <v>88</v>
      </c>
      <c r="B15" s="2" t="s">
        <v>203</v>
      </c>
      <c r="C15" s="2" t="s">
        <v>367</v>
      </c>
      <c r="D15" s="2" t="s">
        <v>204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/>
      <c r="L15" s="8"/>
      <c r="M15" s="4"/>
      <c r="N15" s="8"/>
      <c r="O15" s="7"/>
      <c r="P15" s="7"/>
    </row>
    <row r="16">
      <c r="A16" s="2" t="s">
        <v>88</v>
      </c>
      <c r="B16" s="2" t="s">
        <v>203</v>
      </c>
      <c r="C16" s="2" t="s">
        <v>90</v>
      </c>
      <c r="D16" s="2" t="s">
        <v>616</v>
      </c>
      <c r="E16" s="4">
        <v>17</v>
      </c>
      <c r="F16" s="8">
        <v>826.77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17</v>
      </c>
      <c r="L16" s="8">
        <v>826.77</v>
      </c>
      <c r="M16" s="4"/>
      <c r="N16" s="8"/>
      <c r="O16" s="7"/>
      <c r="P16" s="7"/>
    </row>
    <row r="17">
      <c r="A17" s="2" t="s">
        <v>88</v>
      </c>
      <c r="B17" s="2" t="s">
        <v>203</v>
      </c>
      <c r="C17" s="2" t="s">
        <v>90</v>
      </c>
      <c r="D17" s="2" t="s">
        <v>91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203</v>
      </c>
      <c r="C18" s="2" t="s">
        <v>657</v>
      </c>
      <c r="D18" s="2" t="s">
        <v>658</v>
      </c>
      <c r="E18" s="4">
        <v>7</v>
      </c>
      <c r="F18" s="8">
        <v>323.54</v>
      </c>
      <c r="G18" s="4"/>
      <c r="H18" s="8"/>
      <c r="I18" s="7"/>
      <c r="J18" s="7"/>
      <c r="K18" s="4">
        <v>7</v>
      </c>
      <c r="L18" s="8">
        <v>323.54</v>
      </c>
      <c r="M18" s="4"/>
      <c r="N18" s="8"/>
      <c r="O18" s="7"/>
      <c r="P18" s="7"/>
    </row>
    <row r="19">
      <c r="A19" s="2" t="s">
        <v>88</v>
      </c>
      <c r="B19" s="2" t="s">
        <v>666</v>
      </c>
      <c r="C19" s="2" t="s">
        <v>177</v>
      </c>
      <c r="D19" s="2" t="s">
        <v>351</v>
      </c>
      <c r="E19" s="4">
        <v>77</v>
      </c>
      <c r="F19" s="8">
        <v>3360.68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39</v>
      </c>
      <c r="L19" s="8">
        <v>1724.97</v>
      </c>
      <c r="M19" s="4"/>
      <c r="N19" s="8"/>
      <c r="O19" s="7"/>
      <c r="P19" s="7"/>
    </row>
    <row r="20">
      <c r="A20" s="2" t="s">
        <v>88</v>
      </c>
      <c r="B20" s="2" t="s">
        <v>666</v>
      </c>
      <c r="C20" s="2" t="s">
        <v>177</v>
      </c>
      <c r="D20" s="2" t="s">
        <v>178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19</v>
      </c>
      <c r="L20" s="8">
        <v>1149.69</v>
      </c>
      <c r="M20" s="4"/>
      <c r="N20" s="8"/>
      <c r="O20" s="7"/>
      <c r="P20" s="7"/>
    </row>
    <row r="21">
      <c r="A21" s="2" t="s">
        <v>88</v>
      </c>
      <c r="B21" s="2" t="s">
        <v>666</v>
      </c>
      <c r="C21" s="2" t="s">
        <v>177</v>
      </c>
      <c r="D21" s="2" t="s">
        <v>204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19</v>
      </c>
      <c r="L21" s="8">
        <v>486.02</v>
      </c>
      <c r="M21" s="4"/>
      <c r="N21" s="8"/>
      <c r="O21" s="7"/>
      <c r="P21" s="7"/>
    </row>
    <row r="22">
      <c r="A22" s="2" t="s">
        <v>88</v>
      </c>
      <c r="B22" s="2" t="s">
        <v>666</v>
      </c>
      <c r="C22" s="2" t="s">
        <v>367</v>
      </c>
      <c r="D22" s="2" t="s">
        <v>368</v>
      </c>
      <c r="E22" s="4">
        <v>19</v>
      </c>
      <c r="F22" s="8">
        <v>761.05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19</v>
      </c>
      <c r="L22" s="8">
        <v>761.05</v>
      </c>
      <c r="M22" s="4"/>
      <c r="N22" s="8"/>
      <c r="O22" s="7"/>
      <c r="P22" s="7"/>
    </row>
    <row r="23">
      <c r="A23" s="2" t="s">
        <v>88</v>
      </c>
      <c r="B23" s="2" t="s">
        <v>666</v>
      </c>
      <c r="C23" s="2" t="s">
        <v>367</v>
      </c>
      <c r="D23" s="2" t="s">
        <v>351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666</v>
      </c>
      <c r="C24" s="2" t="s">
        <v>90</v>
      </c>
      <c r="D24" s="2" t="s">
        <v>616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88</v>
      </c>
      <c r="B25" s="2" t="s">
        <v>740</v>
      </c>
      <c r="C25" s="2" t="s">
        <v>90</v>
      </c>
      <c r="D25" s="2" t="s">
        <v>616</v>
      </c>
      <c r="E25" s="4">
        <v>32</v>
      </c>
      <c r="F25" s="8">
        <v>2291.2</v>
      </c>
      <c r="G25" s="4"/>
      <c r="H25" s="8"/>
      <c r="I25" s="7"/>
      <c r="J25" s="7"/>
      <c r="K25" s="4">
        <v>32</v>
      </c>
      <c r="L25" s="8">
        <v>2291.2</v>
      </c>
      <c r="M25" s="4"/>
      <c r="N25" s="8"/>
      <c r="O25" s="7"/>
      <c r="P25" s="7"/>
    </row>
    <row r="26">
      <c r="A26" s="2" t="s">
        <v>88</v>
      </c>
      <c r="B26" s="2" t="s">
        <v>756</v>
      </c>
      <c r="C26" s="2" t="s">
        <v>367</v>
      </c>
      <c r="D26" s="2" t="s">
        <v>351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765</v>
      </c>
      <c r="B27" s="2" t="s">
        <v>203</v>
      </c>
      <c r="C27" s="2" t="s">
        <v>766</v>
      </c>
      <c r="D27" s="2" t="s">
        <v>767</v>
      </c>
      <c r="E27" s="4">
        <v>489</v>
      </c>
      <c r="F27" s="8">
        <v>57808.25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438</v>
      </c>
      <c r="L27" s="8">
        <v>51310.31</v>
      </c>
      <c r="M27" s="4"/>
      <c r="N27" s="8"/>
      <c r="O27" s="7"/>
      <c r="P27" s="7"/>
    </row>
    <row r="28">
      <c r="A28" s="2" t="s">
        <v>765</v>
      </c>
      <c r="B28" s="2" t="s">
        <v>203</v>
      </c>
      <c r="C28" s="2" t="s">
        <v>766</v>
      </c>
      <c r="D28" s="2" t="s">
        <v>839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51</v>
      </c>
      <c r="L28" s="8">
        <v>6497.94</v>
      </c>
      <c r="M28" s="4"/>
      <c r="N28" s="8"/>
      <c r="O28" s="7"/>
      <c r="P28" s="7"/>
    </row>
    <row r="29">
      <c r="A29" s="2" t="s">
        <v>765</v>
      </c>
      <c r="B29" s="2" t="s">
        <v>203</v>
      </c>
      <c r="C29" s="2" t="s">
        <v>917</v>
      </c>
      <c r="D29" s="2" t="s">
        <v>918</v>
      </c>
      <c r="E29" s="4">
        <v>114</v>
      </c>
      <c r="F29" s="8">
        <v>22460.8</v>
      </c>
      <c r="G29" s="4"/>
      <c r="H29" s="8"/>
      <c r="I29" s="7"/>
      <c r="J29" s="7"/>
      <c r="K29" s="4">
        <v>114</v>
      </c>
      <c r="L29" s="8">
        <v>22460.8</v>
      </c>
      <c r="M29" s="4"/>
      <c r="N29" s="8"/>
      <c r="O29" s="7"/>
      <c r="P29" s="7"/>
    </row>
    <row r="30">
      <c r="A30" s="2" t="s">
        <v>765</v>
      </c>
      <c r="B30" s="2" t="s">
        <v>203</v>
      </c>
      <c r="C30" s="2" t="s">
        <v>982</v>
      </c>
      <c r="D30" s="2" t="s">
        <v>983</v>
      </c>
      <c r="E30" s="4">
        <v>41</v>
      </c>
      <c r="F30" s="8">
        <v>12085.74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41</v>
      </c>
      <c r="L30" s="8">
        <v>12085.74</v>
      </c>
      <c r="M30" s="4"/>
      <c r="N30" s="8"/>
      <c r="O30" s="7"/>
      <c r="P30" s="7"/>
    </row>
    <row r="31">
      <c r="A31" s="2" t="s">
        <v>765</v>
      </c>
      <c r="B31" s="2" t="s">
        <v>203</v>
      </c>
      <c r="C31" s="2" t="s">
        <v>982</v>
      </c>
      <c r="D31" s="2" t="s">
        <v>1125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/>
      <c r="L31" s="8"/>
      <c r="M31" s="4"/>
      <c r="N31" s="8"/>
      <c r="O31" s="7"/>
      <c r="P31" s="7"/>
    </row>
    <row r="32">
      <c r="A32" s="2" t="s">
        <v>765</v>
      </c>
      <c r="B32" s="2" t="s">
        <v>203</v>
      </c>
      <c r="C32" s="2" t="s">
        <v>1132</v>
      </c>
      <c r="D32" s="2" t="s">
        <v>1133</v>
      </c>
      <c r="E32" s="4">
        <v>48</v>
      </c>
      <c r="F32" s="8">
        <v>9713.81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45</v>
      </c>
      <c r="L32" s="8">
        <v>8855.19</v>
      </c>
      <c r="M32" s="4"/>
      <c r="N32" s="8"/>
      <c r="O32" s="7"/>
      <c r="P32" s="7"/>
    </row>
    <row r="33">
      <c r="A33" s="2" t="s">
        <v>765</v>
      </c>
      <c r="B33" s="2" t="s">
        <v>203</v>
      </c>
      <c r="C33" s="2" t="s">
        <v>1132</v>
      </c>
      <c r="D33" s="2" t="s">
        <v>1225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</v>
      </c>
      <c r="L33" s="8">
        <v>538.66</v>
      </c>
      <c r="M33" s="4"/>
      <c r="N33" s="8"/>
      <c r="O33" s="7"/>
      <c r="P33" s="7"/>
    </row>
    <row r="34">
      <c r="A34" s="2" t="s">
        <v>765</v>
      </c>
      <c r="B34" s="2" t="s">
        <v>203</v>
      </c>
      <c r="C34" s="2" t="s">
        <v>1132</v>
      </c>
      <c r="D34" s="2" t="s">
        <v>1243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</v>
      </c>
      <c r="L34" s="8">
        <v>319.96</v>
      </c>
      <c r="M34" s="4"/>
      <c r="N34" s="8"/>
      <c r="O34" s="7"/>
      <c r="P34" s="7"/>
    </row>
    <row r="35">
      <c r="A35" s="2" t="s">
        <v>765</v>
      </c>
      <c r="B35" s="2" t="s">
        <v>203</v>
      </c>
      <c r="C35" s="2" t="s">
        <v>1132</v>
      </c>
      <c r="D35" s="2" t="s">
        <v>644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/>
      <c r="L35" s="8"/>
      <c r="M35" s="4"/>
      <c r="N35" s="8"/>
      <c r="O35" s="7"/>
      <c r="P35" s="7"/>
    </row>
    <row r="36">
      <c r="A36" s="2" t="s">
        <v>765</v>
      </c>
      <c r="B36" s="2" t="s">
        <v>203</v>
      </c>
      <c r="C36" s="2" t="s">
        <v>1132</v>
      </c>
      <c r="D36" s="2" t="s">
        <v>1281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/>
      <c r="L36" s="8"/>
      <c r="M36" s="4"/>
      <c r="N36" s="8"/>
      <c r="O36" s="7"/>
      <c r="P36" s="7"/>
    </row>
    <row r="37">
      <c r="A37" s="2" t="s">
        <v>765</v>
      </c>
      <c r="B37" s="2" t="s">
        <v>203</v>
      </c>
      <c r="C37" s="2" t="s">
        <v>1296</v>
      </c>
      <c r="D37" s="2" t="s">
        <v>1297</v>
      </c>
      <c r="E37" s="4">
        <v>52</v>
      </c>
      <c r="F37" s="8">
        <v>8412.85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31</v>
      </c>
      <c r="L37" s="8">
        <v>4813.83</v>
      </c>
      <c r="M37" s="4"/>
      <c r="N37" s="8"/>
      <c r="O37" s="7"/>
      <c r="P37" s="7"/>
    </row>
    <row r="38">
      <c r="A38" s="2" t="s">
        <v>765</v>
      </c>
      <c r="B38" s="2" t="s">
        <v>203</v>
      </c>
      <c r="C38" s="2" t="s">
        <v>1296</v>
      </c>
      <c r="D38" s="2" t="s">
        <v>1362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21</v>
      </c>
      <c r="L38" s="8">
        <v>3599.02</v>
      </c>
      <c r="M38" s="4"/>
      <c r="N38" s="8"/>
      <c r="O38" s="7"/>
      <c r="P38" s="7"/>
    </row>
    <row r="39">
      <c r="A39" s="2" t="s">
        <v>765</v>
      </c>
      <c r="B39" s="2" t="s">
        <v>203</v>
      </c>
      <c r="C39" s="2" t="s">
        <v>1296</v>
      </c>
      <c r="D39" s="2" t="s">
        <v>1431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/>
      <c r="L39" s="8"/>
      <c r="M39" s="4"/>
      <c r="N39" s="8"/>
      <c r="O39" s="7"/>
      <c r="P39" s="7"/>
    </row>
    <row r="40">
      <c r="A40" s="2" t="s">
        <v>765</v>
      </c>
      <c r="B40" s="2" t="s">
        <v>203</v>
      </c>
      <c r="C40" s="2" t="s">
        <v>1437</v>
      </c>
      <c r="D40" s="2" t="s">
        <v>1438</v>
      </c>
      <c r="E40" s="4">
        <v>23</v>
      </c>
      <c r="F40" s="8">
        <v>7306.43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23</v>
      </c>
      <c r="L40" s="8">
        <v>7306.43</v>
      </c>
      <c r="M40" s="4"/>
      <c r="N40" s="8"/>
      <c r="O40" s="7"/>
      <c r="P40" s="7"/>
    </row>
    <row r="41">
      <c r="A41" s="2" t="s">
        <v>765</v>
      </c>
      <c r="B41" s="2" t="s">
        <v>203</v>
      </c>
      <c r="C41" s="2" t="s">
        <v>1437</v>
      </c>
      <c r="D41" s="2" t="s">
        <v>1490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/>
      <c r="L41" s="8"/>
      <c r="M41" s="4"/>
      <c r="N41" s="8"/>
      <c r="O41" s="7"/>
      <c r="P41" s="7"/>
    </row>
    <row r="42">
      <c r="A42" s="2" t="s">
        <v>765</v>
      </c>
      <c r="B42" s="2" t="s">
        <v>203</v>
      </c>
      <c r="C42" s="2" t="s">
        <v>1504</v>
      </c>
      <c r="D42" s="2" t="s">
        <v>1505</v>
      </c>
      <c r="E42" s="4">
        <v>55</v>
      </c>
      <c r="F42" s="8">
        <v>7100.06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30</v>
      </c>
      <c r="L42" s="8">
        <v>4518.36</v>
      </c>
      <c r="M42" s="4"/>
      <c r="N42" s="8"/>
      <c r="O42" s="7"/>
      <c r="P42" s="7"/>
    </row>
    <row r="43">
      <c r="A43" s="2" t="s">
        <v>765</v>
      </c>
      <c r="B43" s="2" t="s">
        <v>203</v>
      </c>
      <c r="C43" s="2" t="s">
        <v>1504</v>
      </c>
      <c r="D43" s="2" t="s">
        <v>1535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23</v>
      </c>
      <c r="L43" s="8">
        <v>2306.7</v>
      </c>
      <c r="M43" s="4"/>
      <c r="N43" s="8"/>
      <c r="O43" s="7"/>
      <c r="P43" s="7"/>
    </row>
    <row r="44">
      <c r="A44" s="2" t="s">
        <v>765</v>
      </c>
      <c r="B44" s="2" t="s">
        <v>203</v>
      </c>
      <c r="C44" s="2" t="s">
        <v>1504</v>
      </c>
      <c r="D44" s="2" t="s">
        <v>1553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2</v>
      </c>
      <c r="L44" s="8">
        <v>275</v>
      </c>
      <c r="M44" s="4"/>
      <c r="N44" s="8"/>
      <c r="O44" s="7"/>
      <c r="P44" s="7"/>
    </row>
    <row r="45">
      <c r="A45" s="2" t="s">
        <v>765</v>
      </c>
      <c r="B45" s="2" t="s">
        <v>203</v>
      </c>
      <c r="C45" s="2" t="s">
        <v>1504</v>
      </c>
      <c r="D45" s="2" t="s">
        <v>1564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/>
      <c r="L45" s="8"/>
      <c r="M45" s="4"/>
      <c r="N45" s="8"/>
      <c r="O45" s="7"/>
      <c r="P45" s="7"/>
    </row>
    <row r="46">
      <c r="A46" s="2" t="s">
        <v>765</v>
      </c>
      <c r="B46" s="2" t="s">
        <v>203</v>
      </c>
      <c r="C46" s="2" t="s">
        <v>1572</v>
      </c>
      <c r="D46" s="2" t="s">
        <v>1573</v>
      </c>
      <c r="E46" s="4">
        <v>14</v>
      </c>
      <c r="F46" s="8">
        <v>1951.6</v>
      </c>
      <c r="G46" s="4"/>
      <c r="H46" s="8"/>
      <c r="I46" s="7"/>
      <c r="J46" s="7"/>
      <c r="K46" s="4">
        <v>14</v>
      </c>
      <c r="L46" s="8">
        <v>1951.6</v>
      </c>
      <c r="M46" s="4"/>
      <c r="N46" s="8"/>
      <c r="O46" s="7"/>
      <c r="P46" s="7"/>
    </row>
    <row r="47">
      <c r="A47" s="2" t="s">
        <v>765</v>
      </c>
      <c r="B47" s="2" t="s">
        <v>203</v>
      </c>
      <c r="C47" s="2" t="s">
        <v>1593</v>
      </c>
      <c r="D47" s="2" t="s">
        <v>1594</v>
      </c>
      <c r="E47" s="4">
        <v>1</v>
      </c>
      <c r="F47" s="8">
        <v>395.99</v>
      </c>
      <c r="G47" s="4"/>
      <c r="H47" s="8"/>
      <c r="I47" s="7"/>
      <c r="J47" s="7"/>
      <c r="K47" s="4">
        <v>1</v>
      </c>
      <c r="L47" s="8">
        <v>395.99</v>
      </c>
      <c r="M47" s="4"/>
      <c r="N47" s="8"/>
      <c r="O47" s="7"/>
      <c r="P47" s="7"/>
    </row>
    <row r="48">
      <c r="A48" s="2" t="s">
        <v>765</v>
      </c>
      <c r="B48" s="2" t="s">
        <v>203</v>
      </c>
      <c r="C48" s="2" t="s">
        <v>1605</v>
      </c>
      <c r="D48" s="2" t="s">
        <v>1606</v>
      </c>
      <c r="E48" s="4">
        <v>1</v>
      </c>
      <c r="F48" s="8">
        <v>368.55</v>
      </c>
      <c r="G48" s="4"/>
      <c r="H48" s="8"/>
      <c r="I48" s="7"/>
      <c r="J48" s="7"/>
      <c r="K48" s="4">
        <v>1</v>
      </c>
      <c r="L48" s="8">
        <v>368.55</v>
      </c>
      <c r="M48" s="4"/>
      <c r="N48" s="8"/>
      <c r="O48" s="7"/>
      <c r="P48" s="7"/>
    </row>
    <row r="49">
      <c r="A49" s="2" t="s">
        <v>765</v>
      </c>
      <c r="B49" s="2" t="s">
        <v>203</v>
      </c>
      <c r="C49" s="2" t="s">
        <v>1630</v>
      </c>
      <c r="D49" s="2" t="s">
        <v>1535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765</v>
      </c>
      <c r="B50" s="2" t="s">
        <v>203</v>
      </c>
      <c r="C50" s="2" t="s">
        <v>1639</v>
      </c>
      <c r="D50" s="2" t="s">
        <v>1640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765</v>
      </c>
      <c r="B51" s="2" t="s">
        <v>203</v>
      </c>
      <c r="C51" s="2" t="s">
        <v>1649</v>
      </c>
      <c r="D51" s="2" t="s">
        <v>1650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765</v>
      </c>
      <c r="B52" s="2" t="s">
        <v>203</v>
      </c>
      <c r="C52" s="2" t="s">
        <v>1659</v>
      </c>
      <c r="D52" s="2" t="s">
        <v>1660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765</v>
      </c>
      <c r="B53" s="2" t="s">
        <v>203</v>
      </c>
      <c r="C53" s="2" t="s">
        <v>1668</v>
      </c>
      <c r="D53" s="2" t="s">
        <v>1669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765</v>
      </c>
      <c r="B54" s="2" t="s">
        <v>740</v>
      </c>
      <c r="C54" s="2" t="s">
        <v>1132</v>
      </c>
      <c r="D54" s="2" t="s">
        <v>1133</v>
      </c>
      <c r="E54" s="4">
        <v>74</v>
      </c>
      <c r="F54" s="8">
        <v>17928.18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74</v>
      </c>
      <c r="L54" s="8">
        <v>17928.18</v>
      </c>
      <c r="M54" s="4"/>
      <c r="N54" s="8"/>
      <c r="O54" s="7"/>
      <c r="P54" s="7"/>
    </row>
    <row r="55">
      <c r="A55" s="2" t="s">
        <v>765</v>
      </c>
      <c r="B55" s="2" t="s">
        <v>740</v>
      </c>
      <c r="C55" s="2" t="s">
        <v>1132</v>
      </c>
      <c r="D55" s="2" t="s">
        <v>644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/>
      <c r="L55" s="8"/>
      <c r="M55" s="4"/>
      <c r="N55" s="8"/>
      <c r="O55" s="7"/>
      <c r="P55" s="7"/>
    </row>
    <row r="56">
      <c r="A56" s="2" t="s">
        <v>765</v>
      </c>
      <c r="B56" s="2" t="s">
        <v>740</v>
      </c>
      <c r="C56" s="2" t="s">
        <v>1504</v>
      </c>
      <c r="D56" s="2" t="s">
        <v>1553</v>
      </c>
      <c r="E56" s="4">
        <v>33</v>
      </c>
      <c r="F56" s="8">
        <v>5864.21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13</v>
      </c>
      <c r="L56" s="8">
        <v>2886.03</v>
      </c>
      <c r="M56" s="4"/>
      <c r="N56" s="8"/>
      <c r="O56" s="7"/>
      <c r="P56" s="7"/>
    </row>
    <row r="57">
      <c r="A57" s="2" t="s">
        <v>765</v>
      </c>
      <c r="B57" s="2" t="s">
        <v>740</v>
      </c>
      <c r="C57" s="2" t="s">
        <v>1504</v>
      </c>
      <c r="D57" s="2" t="s">
        <v>1505</v>
      </c>
      <c r="E57" s="4" t="s">
        <v>99</v>
      </c>
      <c r="F57" s="8" t="s">
        <v>99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8</v>
      </c>
      <c r="L57" s="8">
        <v>1575.12</v>
      </c>
      <c r="M57" s="4"/>
      <c r="N57" s="8"/>
      <c r="O57" s="7"/>
      <c r="P57" s="7"/>
    </row>
    <row r="58">
      <c r="A58" s="2" t="s">
        <v>765</v>
      </c>
      <c r="B58" s="2" t="s">
        <v>740</v>
      </c>
      <c r="C58" s="2" t="s">
        <v>1504</v>
      </c>
      <c r="D58" s="2" t="s">
        <v>1535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10</v>
      </c>
      <c r="L58" s="8">
        <v>1262.44</v>
      </c>
      <c r="M58" s="4"/>
      <c r="N58" s="8"/>
      <c r="O58" s="7"/>
      <c r="P58" s="7"/>
    </row>
    <row r="59">
      <c r="A59" s="2" t="s">
        <v>765</v>
      </c>
      <c r="B59" s="2" t="s">
        <v>740</v>
      </c>
      <c r="C59" s="2" t="s">
        <v>1504</v>
      </c>
      <c r="D59" s="2" t="s">
        <v>1564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2</v>
      </c>
      <c r="L59" s="8">
        <v>140.62</v>
      </c>
      <c r="M59" s="4"/>
      <c r="N59" s="8"/>
      <c r="O59" s="7"/>
      <c r="P59" s="7"/>
    </row>
    <row r="60">
      <c r="A60" s="2" t="s">
        <v>765</v>
      </c>
      <c r="B60" s="2" t="s">
        <v>740</v>
      </c>
      <c r="C60" s="2" t="s">
        <v>1296</v>
      </c>
      <c r="D60" s="2" t="s">
        <v>1297</v>
      </c>
      <c r="E60" s="4">
        <v>18</v>
      </c>
      <c r="F60" s="8">
        <v>4478.73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17</v>
      </c>
      <c r="L60" s="8">
        <v>4337.55</v>
      </c>
      <c r="M60" s="4"/>
      <c r="N60" s="8"/>
      <c r="O60" s="7"/>
      <c r="P60" s="7"/>
    </row>
    <row r="61">
      <c r="A61" s="2" t="s">
        <v>765</v>
      </c>
      <c r="B61" s="2" t="s">
        <v>740</v>
      </c>
      <c r="C61" s="2" t="s">
        <v>1296</v>
      </c>
      <c r="D61" s="2" t="s">
        <v>644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1</v>
      </c>
      <c r="L61" s="8">
        <v>141.18</v>
      </c>
      <c r="M61" s="4"/>
      <c r="N61" s="8"/>
      <c r="O61" s="7"/>
      <c r="P61" s="7"/>
    </row>
    <row r="62">
      <c r="A62" s="2" t="s">
        <v>765</v>
      </c>
      <c r="B62" s="2" t="s">
        <v>740</v>
      </c>
      <c r="C62" s="2" t="s">
        <v>982</v>
      </c>
      <c r="D62" s="2" t="s">
        <v>983</v>
      </c>
      <c r="E62" s="4">
        <v>11</v>
      </c>
      <c r="F62" s="8">
        <v>2963.62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11</v>
      </c>
      <c r="L62" s="8">
        <v>2963.62</v>
      </c>
      <c r="M62" s="4"/>
      <c r="N62" s="8"/>
      <c r="O62" s="7"/>
      <c r="P62" s="7"/>
    </row>
    <row r="63">
      <c r="A63" s="2" t="s">
        <v>765</v>
      </c>
      <c r="B63" s="2" t="s">
        <v>740</v>
      </c>
      <c r="C63" s="2" t="s">
        <v>982</v>
      </c>
      <c r="D63" s="2" t="s">
        <v>644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/>
      <c r="L63" s="8"/>
      <c r="M63" s="4"/>
      <c r="N63" s="8"/>
      <c r="O63" s="7"/>
      <c r="P63" s="7"/>
    </row>
    <row r="64">
      <c r="A64" s="2" t="s">
        <v>765</v>
      </c>
      <c r="B64" s="2" t="s">
        <v>740</v>
      </c>
      <c r="C64" s="2" t="s">
        <v>1593</v>
      </c>
      <c r="D64" s="2" t="s">
        <v>1594</v>
      </c>
      <c r="E64" s="4">
        <v>7</v>
      </c>
      <c r="F64" s="8">
        <v>2206.75</v>
      </c>
      <c r="G64" s="4"/>
      <c r="H64" s="8"/>
      <c r="I64" s="7"/>
      <c r="J64" s="7"/>
      <c r="K64" s="4">
        <v>7</v>
      </c>
      <c r="L64" s="8">
        <v>2206.75</v>
      </c>
      <c r="M64" s="4"/>
      <c r="N64" s="8"/>
      <c r="O64" s="7"/>
      <c r="P64" s="7"/>
    </row>
    <row r="65">
      <c r="A65" s="2" t="s">
        <v>765</v>
      </c>
      <c r="B65" s="2" t="s">
        <v>740</v>
      </c>
      <c r="C65" s="2" t="s">
        <v>1437</v>
      </c>
      <c r="D65" s="2" t="s">
        <v>1438</v>
      </c>
      <c r="E65" s="4">
        <v>8</v>
      </c>
      <c r="F65" s="8">
        <v>2184.09</v>
      </c>
      <c r="G65" s="4"/>
      <c r="H65" s="8"/>
      <c r="I65" s="7"/>
      <c r="J65" s="7"/>
      <c r="K65" s="4">
        <v>8</v>
      </c>
      <c r="L65" s="8">
        <v>2184.09</v>
      </c>
      <c r="M65" s="4"/>
      <c r="N65" s="8"/>
      <c r="O65" s="7"/>
      <c r="P65" s="7"/>
    </row>
    <row r="66">
      <c r="A66" s="2" t="s">
        <v>765</v>
      </c>
      <c r="B66" s="2" t="s">
        <v>740</v>
      </c>
      <c r="C66" s="2" t="s">
        <v>1572</v>
      </c>
      <c r="D66" s="2" t="s">
        <v>1573</v>
      </c>
      <c r="E66" s="4">
        <v>15</v>
      </c>
      <c r="F66" s="8">
        <v>2004.3</v>
      </c>
      <c r="G66" s="4"/>
      <c r="H66" s="8"/>
      <c r="I66" s="7"/>
      <c r="J66" s="7"/>
      <c r="K66" s="4">
        <v>15</v>
      </c>
      <c r="L66" s="8">
        <v>2004.3</v>
      </c>
      <c r="M66" s="4"/>
      <c r="N66" s="8"/>
      <c r="O66" s="7"/>
      <c r="P66" s="7"/>
    </row>
    <row r="67">
      <c r="A67" s="2" t="s">
        <v>765</v>
      </c>
      <c r="B67" s="2" t="s">
        <v>740</v>
      </c>
      <c r="C67" s="2" t="s">
        <v>766</v>
      </c>
      <c r="D67" s="2" t="s">
        <v>767</v>
      </c>
      <c r="E67" s="4">
        <v>3</v>
      </c>
      <c r="F67" s="8">
        <v>646.38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3</v>
      </c>
      <c r="L67" s="8">
        <v>646.38</v>
      </c>
      <c r="M67" s="4"/>
      <c r="N67" s="8"/>
      <c r="O67" s="7"/>
      <c r="P67" s="7"/>
    </row>
    <row r="68">
      <c r="A68" s="2" t="s">
        <v>765</v>
      </c>
      <c r="B68" s="2" t="s">
        <v>740</v>
      </c>
      <c r="C68" s="2" t="s">
        <v>766</v>
      </c>
      <c r="D68" s="2" t="s">
        <v>839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/>
      <c r="N68" s="8"/>
      <c r="O68" s="7"/>
      <c r="P68" s="7"/>
    </row>
    <row r="69">
      <c r="A69" s="2" t="s">
        <v>765</v>
      </c>
      <c r="B69" s="2" t="s">
        <v>740</v>
      </c>
      <c r="C69" s="2" t="s">
        <v>1639</v>
      </c>
      <c r="D69" s="2" t="s">
        <v>1640</v>
      </c>
      <c r="E69" s="4">
        <v>1</v>
      </c>
      <c r="F69" s="8">
        <v>601.02</v>
      </c>
      <c r="G69" s="4"/>
      <c r="H69" s="8"/>
      <c r="I69" s="7"/>
      <c r="J69" s="7"/>
      <c r="K69" s="4">
        <v>1</v>
      </c>
      <c r="L69" s="8">
        <v>601.02</v>
      </c>
      <c r="M69" s="4"/>
      <c r="N69" s="8"/>
      <c r="O69" s="7"/>
      <c r="P69" s="7"/>
    </row>
    <row r="70">
      <c r="A70" s="2" t="s">
        <v>765</v>
      </c>
      <c r="B70" s="2" t="s">
        <v>740</v>
      </c>
      <c r="C70" s="2" t="s">
        <v>1659</v>
      </c>
      <c r="D70" s="2" t="s">
        <v>1660</v>
      </c>
      <c r="E70" s="4">
        <v>2</v>
      </c>
      <c r="F70" s="8">
        <v>336.8</v>
      </c>
      <c r="G70" s="4"/>
      <c r="H70" s="8"/>
      <c r="I70" s="7"/>
      <c r="J70" s="7"/>
      <c r="K70" s="4">
        <v>2</v>
      </c>
      <c r="L70" s="8">
        <v>336.8</v>
      </c>
      <c r="M70" s="4"/>
      <c r="N70" s="8"/>
      <c r="O70" s="7"/>
      <c r="P70" s="7"/>
    </row>
    <row r="71">
      <c r="A71" s="2" t="s">
        <v>765</v>
      </c>
      <c r="B71" s="2" t="s">
        <v>740</v>
      </c>
      <c r="C71" s="2" t="s">
        <v>1605</v>
      </c>
      <c r="D71" s="2" t="s">
        <v>1606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765</v>
      </c>
      <c r="B72" s="2" t="s">
        <v>740</v>
      </c>
      <c r="C72" s="2" t="s">
        <v>1668</v>
      </c>
      <c r="D72" s="2" t="s">
        <v>1669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765</v>
      </c>
      <c r="B73" s="2" t="s">
        <v>740</v>
      </c>
      <c r="C73" s="2" t="s">
        <v>1988</v>
      </c>
      <c r="D73" s="2" t="s">
        <v>1989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765</v>
      </c>
      <c r="B74" s="2" t="s">
        <v>666</v>
      </c>
      <c r="C74" s="2" t="s">
        <v>1504</v>
      </c>
      <c r="D74" s="2" t="s">
        <v>1535</v>
      </c>
      <c r="E74" s="4">
        <v>154</v>
      </c>
      <c r="F74" s="8">
        <v>13626.08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86</v>
      </c>
      <c r="L74" s="8">
        <v>6948.8</v>
      </c>
      <c r="M74" s="4"/>
      <c r="N74" s="8"/>
      <c r="O74" s="7"/>
      <c r="P74" s="7"/>
    </row>
    <row r="75">
      <c r="A75" s="2" t="s">
        <v>765</v>
      </c>
      <c r="B75" s="2" t="s">
        <v>666</v>
      </c>
      <c r="C75" s="2" t="s">
        <v>1504</v>
      </c>
      <c r="D75" s="2" t="s">
        <v>1505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65</v>
      </c>
      <c r="L75" s="8">
        <v>6283.19</v>
      </c>
      <c r="M75" s="4"/>
      <c r="N75" s="8"/>
      <c r="O75" s="7"/>
      <c r="P75" s="7"/>
    </row>
    <row r="76">
      <c r="A76" s="2" t="s">
        <v>765</v>
      </c>
      <c r="B76" s="2" t="s">
        <v>666</v>
      </c>
      <c r="C76" s="2" t="s">
        <v>1504</v>
      </c>
      <c r="D76" s="2" t="s">
        <v>1553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1</v>
      </c>
      <c r="L76" s="8">
        <v>269.33</v>
      </c>
      <c r="M76" s="4"/>
      <c r="N76" s="8"/>
      <c r="O76" s="7"/>
      <c r="P76" s="7"/>
    </row>
    <row r="77">
      <c r="A77" s="2" t="s">
        <v>765</v>
      </c>
      <c r="B77" s="2" t="s">
        <v>666</v>
      </c>
      <c r="C77" s="2" t="s">
        <v>1504</v>
      </c>
      <c r="D77" s="2" t="s">
        <v>1536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2</v>
      </c>
      <c r="L77" s="8">
        <v>124.76</v>
      </c>
      <c r="M77" s="4"/>
      <c r="N77" s="8"/>
      <c r="O77" s="7"/>
      <c r="P77" s="7"/>
    </row>
    <row r="78">
      <c r="A78" s="2" t="s">
        <v>765</v>
      </c>
      <c r="B78" s="2" t="s">
        <v>666</v>
      </c>
      <c r="C78" s="2" t="s">
        <v>766</v>
      </c>
      <c r="D78" s="2" t="s">
        <v>839</v>
      </c>
      <c r="E78" s="4">
        <v>57</v>
      </c>
      <c r="F78" s="8">
        <v>7762.77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44</v>
      </c>
      <c r="L78" s="8">
        <v>6053.37</v>
      </c>
      <c r="M78" s="4"/>
      <c r="N78" s="8"/>
      <c r="O78" s="7"/>
      <c r="P78" s="7"/>
    </row>
    <row r="79">
      <c r="A79" s="2" t="s">
        <v>765</v>
      </c>
      <c r="B79" s="2" t="s">
        <v>666</v>
      </c>
      <c r="C79" s="2" t="s">
        <v>766</v>
      </c>
      <c r="D79" s="2" t="s">
        <v>767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13</v>
      </c>
      <c r="L79" s="8">
        <v>1709.4</v>
      </c>
      <c r="M79" s="4"/>
      <c r="N79" s="8"/>
      <c r="O79" s="7"/>
      <c r="P79" s="7"/>
    </row>
    <row r="80">
      <c r="A80" s="2" t="s">
        <v>765</v>
      </c>
      <c r="B80" s="2" t="s">
        <v>666</v>
      </c>
      <c r="C80" s="2" t="s">
        <v>982</v>
      </c>
      <c r="D80" s="2" t="s">
        <v>983</v>
      </c>
      <c r="E80" s="4">
        <v>9</v>
      </c>
      <c r="F80" s="8">
        <v>1737.05</v>
      </c>
      <c r="G80" s="4"/>
      <c r="H80" s="8"/>
      <c r="I80" s="7"/>
      <c r="J80" s="7"/>
      <c r="K80" s="4">
        <v>9</v>
      </c>
      <c r="L80" s="8">
        <v>1737.05</v>
      </c>
      <c r="M80" s="4"/>
      <c r="N80" s="8"/>
      <c r="O80" s="7"/>
      <c r="P80" s="7"/>
    </row>
    <row r="81">
      <c r="A81" s="2" t="s">
        <v>765</v>
      </c>
      <c r="B81" s="2" t="s">
        <v>666</v>
      </c>
      <c r="C81" s="2" t="s">
        <v>1132</v>
      </c>
      <c r="D81" s="2" t="s">
        <v>1133</v>
      </c>
      <c r="E81" s="4">
        <v>2</v>
      </c>
      <c r="F81" s="8">
        <v>484.78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2</v>
      </c>
      <c r="L81" s="8">
        <v>484.78</v>
      </c>
      <c r="M81" s="4"/>
      <c r="N81" s="8"/>
      <c r="O81" s="7"/>
      <c r="P81" s="7"/>
    </row>
    <row r="82">
      <c r="A82" s="2" t="s">
        <v>765</v>
      </c>
      <c r="B82" s="2" t="s">
        <v>666</v>
      </c>
      <c r="C82" s="2" t="s">
        <v>1132</v>
      </c>
      <c r="D82" s="2" t="s">
        <v>1281</v>
      </c>
      <c r="E82" s="4" t="s">
        <v>99</v>
      </c>
      <c r="F82" s="8" t="s">
        <v>99</v>
      </c>
      <c r="G82" s="4" t="s">
        <v>99</v>
      </c>
      <c r="H82" s="8" t="s">
        <v>99</v>
      </c>
      <c r="I82" s="7" t="s">
        <v>99</v>
      </c>
      <c r="J82" s="7" t="s">
        <v>99</v>
      </c>
      <c r="K82" s="4"/>
      <c r="L82" s="8"/>
      <c r="M82" s="4"/>
      <c r="N82" s="8"/>
      <c r="O82" s="7"/>
      <c r="P82" s="7"/>
    </row>
    <row r="83">
      <c r="A83" s="2" t="s">
        <v>765</v>
      </c>
      <c r="B83" s="2" t="s">
        <v>666</v>
      </c>
      <c r="C83" s="2" t="s">
        <v>1437</v>
      </c>
      <c r="D83" s="2" t="s">
        <v>1438</v>
      </c>
      <c r="E83" s="4">
        <v>2</v>
      </c>
      <c r="F83" s="8">
        <v>366.68</v>
      </c>
      <c r="G83" s="4"/>
      <c r="H83" s="8"/>
      <c r="I83" s="7"/>
      <c r="J83" s="7"/>
      <c r="K83" s="4">
        <v>2</v>
      </c>
      <c r="L83" s="8">
        <v>366.68</v>
      </c>
      <c r="M83" s="4"/>
      <c r="N83" s="8"/>
      <c r="O83" s="7"/>
      <c r="P83" s="7"/>
    </row>
    <row r="84">
      <c r="A84" s="2" t="s">
        <v>765</v>
      </c>
      <c r="B84" s="2" t="s">
        <v>666</v>
      </c>
      <c r="C84" s="2" t="s">
        <v>1630</v>
      </c>
      <c r="D84" s="2" t="s">
        <v>1535</v>
      </c>
      <c r="E84" s="4">
        <v>1</v>
      </c>
      <c r="F84" s="8">
        <v>66</v>
      </c>
      <c r="G84" s="4"/>
      <c r="H84" s="8"/>
      <c r="I84" s="7"/>
      <c r="J84" s="7"/>
      <c r="K84" s="4">
        <v>1</v>
      </c>
      <c r="L84" s="8">
        <v>66</v>
      </c>
      <c r="M84" s="4"/>
      <c r="N84" s="8"/>
      <c r="O84" s="7"/>
      <c r="P84" s="7"/>
    </row>
    <row r="85">
      <c r="A85" s="2" t="s">
        <v>765</v>
      </c>
      <c r="B85" s="2" t="s">
        <v>666</v>
      </c>
      <c r="C85" s="2" t="s">
        <v>1605</v>
      </c>
      <c r="D85" s="2" t="s">
        <v>1606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765</v>
      </c>
      <c r="B86" s="2" t="s">
        <v>666</v>
      </c>
      <c r="C86" s="2" t="s">
        <v>1296</v>
      </c>
      <c r="D86" s="2" t="s">
        <v>1297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/>
      <c r="L86" s="8"/>
      <c r="M86" s="4"/>
      <c r="N86" s="8"/>
      <c r="O86" s="7"/>
      <c r="P86" s="7"/>
    </row>
    <row r="87">
      <c r="A87" s="2" t="s">
        <v>765</v>
      </c>
      <c r="B87" s="2" t="s">
        <v>666</v>
      </c>
      <c r="C87" s="2" t="s">
        <v>1296</v>
      </c>
      <c r="D87" s="2" t="s">
        <v>1362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/>
      <c r="N87" s="8"/>
      <c r="O87" s="7"/>
      <c r="P87" s="7"/>
    </row>
    <row r="88">
      <c r="A88" s="2" t="s">
        <v>765</v>
      </c>
      <c r="B88" s="2" t="s">
        <v>666</v>
      </c>
      <c r="C88" s="2" t="s">
        <v>1639</v>
      </c>
      <c r="D88" s="2" t="s">
        <v>1640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765</v>
      </c>
      <c r="B89" s="2" t="s">
        <v>666</v>
      </c>
      <c r="C89" s="2" t="s">
        <v>2268</v>
      </c>
      <c r="D89" s="2" t="s">
        <v>767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765</v>
      </c>
      <c r="B90" s="2" t="s">
        <v>666</v>
      </c>
      <c r="C90" s="2" t="s">
        <v>1668</v>
      </c>
      <c r="D90" s="2" t="s">
        <v>1669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765</v>
      </c>
      <c r="B91" s="2" t="s">
        <v>666</v>
      </c>
      <c r="C91" s="2" t="s">
        <v>1988</v>
      </c>
      <c r="D91" s="2" t="s">
        <v>1989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765</v>
      </c>
      <c r="B92" s="2" t="s">
        <v>666</v>
      </c>
      <c r="C92" s="2" t="s">
        <v>2283</v>
      </c>
      <c r="D92" s="2" t="s">
        <v>2284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765</v>
      </c>
      <c r="B93" s="2" t="s">
        <v>2300</v>
      </c>
      <c r="C93" s="2" t="s">
        <v>766</v>
      </c>
      <c r="D93" s="2" t="s">
        <v>839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765</v>
      </c>
      <c r="B94" s="2" t="s">
        <v>2300</v>
      </c>
      <c r="C94" s="2" t="s">
        <v>982</v>
      </c>
      <c r="D94" s="2" t="s">
        <v>983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765</v>
      </c>
      <c r="B95" s="2" t="s">
        <v>2300</v>
      </c>
      <c r="C95" s="2" t="s">
        <v>1659</v>
      </c>
      <c r="D95" s="2" t="s">
        <v>1660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765</v>
      </c>
      <c r="B96" s="2" t="s">
        <v>2300</v>
      </c>
      <c r="C96" s="2" t="s">
        <v>1437</v>
      </c>
      <c r="D96" s="2" t="s">
        <v>1438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765</v>
      </c>
      <c r="B97" s="2" t="s">
        <v>89</v>
      </c>
      <c r="C97" s="2" t="s">
        <v>982</v>
      </c>
      <c r="D97" s="2" t="s">
        <v>983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765</v>
      </c>
      <c r="B98" s="2" t="s">
        <v>89</v>
      </c>
      <c r="C98" s="2" t="s">
        <v>1605</v>
      </c>
      <c r="D98" s="2" t="s">
        <v>1606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765</v>
      </c>
      <c r="B99" s="2" t="s">
        <v>89</v>
      </c>
      <c r="C99" s="2" t="s">
        <v>1639</v>
      </c>
      <c r="D99" s="2" t="s">
        <v>1640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/>
      <c r="L99" s="8"/>
      <c r="M99" s="4"/>
      <c r="N99" s="8"/>
      <c r="O99" s="7"/>
      <c r="P99" s="7"/>
    </row>
    <row r="100">
      <c r="A100" s="2" t="s">
        <v>765</v>
      </c>
      <c r="B100" s="2" t="s">
        <v>89</v>
      </c>
      <c r="C100" s="2" t="s">
        <v>1639</v>
      </c>
      <c r="D100" s="2" t="s">
        <v>644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/>
      <c r="L100" s="8"/>
      <c r="M100" s="4"/>
      <c r="N100" s="8"/>
      <c r="O100" s="7"/>
      <c r="P100" s="7"/>
    </row>
    <row r="101">
      <c r="A101" s="2" t="s">
        <v>765</v>
      </c>
      <c r="B101" s="2" t="s">
        <v>89</v>
      </c>
      <c r="C101" s="2" t="s">
        <v>1437</v>
      </c>
      <c r="D101" s="2" t="s">
        <v>1438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765</v>
      </c>
      <c r="B102" s="2" t="s">
        <v>89</v>
      </c>
      <c r="C102" s="2" t="s">
        <v>1668</v>
      </c>
      <c r="D102" s="2" t="s">
        <v>1669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765</v>
      </c>
      <c r="B103" s="2" t="s">
        <v>89</v>
      </c>
      <c r="C103" s="2" t="s">
        <v>2396</v>
      </c>
      <c r="D103" s="2" t="s">
        <v>2397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/>
      <c r="L103" s="8"/>
      <c r="M103" s="4"/>
      <c r="N103" s="8"/>
      <c r="O103" s="7"/>
      <c r="P103" s="7"/>
    </row>
    <row r="104">
      <c r="A104" s="2" t="s">
        <v>765</v>
      </c>
      <c r="B104" s="2" t="s">
        <v>89</v>
      </c>
      <c r="C104" s="2" t="s">
        <v>2396</v>
      </c>
      <c r="D104" s="2" t="s">
        <v>644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/>
      <c r="L104" s="8"/>
      <c r="M104" s="4"/>
      <c r="N104" s="8"/>
      <c r="O104" s="7"/>
      <c r="P104" s="7"/>
    </row>
    <row r="105">
      <c r="A105" s="2" t="s">
        <v>765</v>
      </c>
      <c r="B105" s="2" t="s">
        <v>89</v>
      </c>
      <c r="C105" s="2" t="s">
        <v>1988</v>
      </c>
      <c r="D105" s="2" t="s">
        <v>1536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/>
      <c r="L105" s="8"/>
      <c r="M105" s="4"/>
      <c r="N105" s="8"/>
      <c r="O105" s="7"/>
      <c r="P105" s="7"/>
    </row>
    <row r="106">
      <c r="A106" s="2" t="s">
        <v>765</v>
      </c>
      <c r="B106" s="2" t="s">
        <v>89</v>
      </c>
      <c r="C106" s="2" t="s">
        <v>1988</v>
      </c>
      <c r="D106" s="2" t="s">
        <v>1989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/>
      <c r="L106" s="8"/>
      <c r="M106" s="4"/>
      <c r="N106" s="8"/>
      <c r="O106" s="7"/>
      <c r="P106" s="7"/>
    </row>
    <row r="107">
      <c r="A107" s="2" t="s">
        <v>765</v>
      </c>
      <c r="B107" s="2" t="s">
        <v>89</v>
      </c>
      <c r="C107" s="2" t="s">
        <v>1504</v>
      </c>
      <c r="D107" s="2" t="s">
        <v>1505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/>
      <c r="L107" s="8"/>
      <c r="M107" s="4"/>
      <c r="N107" s="8"/>
      <c r="O107" s="7"/>
      <c r="P107" s="7"/>
    </row>
    <row r="108">
      <c r="A108" s="2" t="s">
        <v>765</v>
      </c>
      <c r="B108" s="2" t="s">
        <v>89</v>
      </c>
      <c r="C108" s="2" t="s">
        <v>1504</v>
      </c>
      <c r="D108" s="2" t="s">
        <v>1553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/>
      <c r="L108" s="8"/>
      <c r="M108" s="4"/>
      <c r="N108" s="8"/>
      <c r="O108" s="7"/>
      <c r="P108" s="7"/>
    </row>
    <row r="109">
      <c r="A109" s="2" t="s">
        <v>765</v>
      </c>
      <c r="B109" s="2" t="s">
        <v>89</v>
      </c>
      <c r="C109" s="2" t="s">
        <v>1504</v>
      </c>
      <c r="D109" s="2" t="s">
        <v>1535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/>
      <c r="L109" s="8"/>
      <c r="M109" s="4"/>
      <c r="N109" s="8"/>
      <c r="O109" s="7"/>
      <c r="P109" s="7"/>
    </row>
    <row r="110">
      <c r="A110" s="2" t="s">
        <v>765</v>
      </c>
      <c r="B110" s="2" t="s">
        <v>644</v>
      </c>
      <c r="C110" s="2" t="s">
        <v>1296</v>
      </c>
      <c r="D110" s="2" t="s">
        <v>1297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765</v>
      </c>
      <c r="B111" s="2" t="s">
        <v>644</v>
      </c>
      <c r="C111" s="2" t="s">
        <v>1504</v>
      </c>
      <c r="D111" s="2" t="s">
        <v>644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2469</v>
      </c>
      <c r="B112" s="2" t="s">
        <v>666</v>
      </c>
      <c r="C112" s="2" t="s">
        <v>2470</v>
      </c>
      <c r="D112" s="2" t="s">
        <v>2471</v>
      </c>
      <c r="E112" s="4">
        <v>337</v>
      </c>
      <c r="F112" s="8">
        <v>18232.73</v>
      </c>
      <c r="G112" s="4"/>
      <c r="H112" s="8"/>
      <c r="I112" s="7"/>
      <c r="J112" s="7"/>
      <c r="K112" s="4">
        <v>337</v>
      </c>
      <c r="L112" s="8">
        <v>18232.73</v>
      </c>
      <c r="M112" s="4"/>
      <c r="N112" s="8"/>
      <c r="O112" s="7"/>
      <c r="P112" s="7"/>
    </row>
    <row r="113">
      <c r="A113" s="2" t="s">
        <v>2469</v>
      </c>
      <c r="B113" s="2" t="s">
        <v>666</v>
      </c>
      <c r="C113" s="2" t="s">
        <v>2525</v>
      </c>
      <c r="D113" s="2" t="s">
        <v>2526</v>
      </c>
      <c r="E113" s="4">
        <v>73</v>
      </c>
      <c r="F113" s="8">
        <v>4906.98</v>
      </c>
      <c r="G113" s="4"/>
      <c r="H113" s="8"/>
      <c r="I113" s="7"/>
      <c r="J113" s="7"/>
      <c r="K113" s="4">
        <v>73</v>
      </c>
      <c r="L113" s="8">
        <v>4906.98</v>
      </c>
      <c r="M113" s="4"/>
      <c r="N113" s="8"/>
      <c r="O113" s="7"/>
      <c r="P113" s="7"/>
    </row>
    <row r="114">
      <c r="A114" s="2" t="s">
        <v>2469</v>
      </c>
      <c r="B114" s="2" t="s">
        <v>666</v>
      </c>
      <c r="C114" s="2" t="s">
        <v>2594</v>
      </c>
      <c r="D114" s="2" t="s">
        <v>2595</v>
      </c>
      <c r="E114" s="4">
        <v>5</v>
      </c>
      <c r="F114" s="8">
        <v>564.09</v>
      </c>
      <c r="G114" s="4"/>
      <c r="H114" s="8"/>
      <c r="I114" s="7"/>
      <c r="J114" s="7"/>
      <c r="K114" s="4">
        <v>5</v>
      </c>
      <c r="L114" s="8">
        <v>564.09</v>
      </c>
      <c r="M114" s="4"/>
      <c r="N114" s="8"/>
      <c r="O114" s="7"/>
      <c r="P114" s="7"/>
    </row>
    <row r="115">
      <c r="A115" s="2" t="s">
        <v>2469</v>
      </c>
      <c r="B115" s="2" t="s">
        <v>666</v>
      </c>
      <c r="C115" s="2" t="s">
        <v>2619</v>
      </c>
      <c r="D115" s="2" t="s">
        <v>2620</v>
      </c>
      <c r="E115" s="4">
        <v>3</v>
      </c>
      <c r="F115" s="8">
        <v>447.54</v>
      </c>
      <c r="G115" s="4"/>
      <c r="H115" s="8"/>
      <c r="I115" s="7"/>
      <c r="J115" s="7"/>
      <c r="K115" s="4">
        <v>3</v>
      </c>
      <c r="L115" s="8">
        <v>447.54</v>
      </c>
      <c r="M115" s="4"/>
      <c r="N115" s="8"/>
      <c r="O115" s="7"/>
      <c r="P115" s="7"/>
    </row>
    <row r="116">
      <c r="A116" s="2" t="s">
        <v>2469</v>
      </c>
      <c r="B116" s="2" t="s">
        <v>666</v>
      </c>
      <c r="C116" s="2" t="s">
        <v>2669</v>
      </c>
      <c r="D116" s="2" t="s">
        <v>2670</v>
      </c>
      <c r="E116" s="4">
        <v>3</v>
      </c>
      <c r="F116" s="8">
        <v>196.65</v>
      </c>
      <c r="G116" s="4"/>
      <c r="H116" s="8"/>
      <c r="I116" s="7"/>
      <c r="J116" s="7"/>
      <c r="K116" s="4">
        <v>3</v>
      </c>
      <c r="L116" s="8">
        <v>196.65</v>
      </c>
      <c r="M116" s="4"/>
      <c r="N116" s="8"/>
      <c r="O116" s="7"/>
      <c r="P116" s="7"/>
    </row>
    <row r="117">
      <c r="A117" s="2" t="s">
        <v>2469</v>
      </c>
      <c r="B117" s="2" t="s">
        <v>666</v>
      </c>
      <c r="C117" s="2" t="s">
        <v>2678</v>
      </c>
      <c r="D117" s="2" t="s">
        <v>2679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2469</v>
      </c>
      <c r="B118" s="2" t="s">
        <v>2683</v>
      </c>
      <c r="C118" s="2" t="s">
        <v>2619</v>
      </c>
      <c r="D118" s="2" t="s">
        <v>2620</v>
      </c>
      <c r="E118" s="4">
        <v>14</v>
      </c>
      <c r="F118" s="8">
        <v>2086.41</v>
      </c>
      <c r="G118" s="4"/>
      <c r="H118" s="8"/>
      <c r="I118" s="7"/>
      <c r="J118" s="7"/>
      <c r="K118" s="4">
        <v>14</v>
      </c>
      <c r="L118" s="8">
        <v>2086.41</v>
      </c>
      <c r="M118" s="4"/>
      <c r="N118" s="8"/>
      <c r="O118" s="7"/>
      <c r="P118" s="7"/>
    </row>
    <row r="119">
      <c r="A119" s="2" t="s">
        <v>2469</v>
      </c>
      <c r="B119" s="2" t="s">
        <v>2683</v>
      </c>
      <c r="C119" s="2" t="s">
        <v>2594</v>
      </c>
      <c r="D119" s="2" t="s">
        <v>2595</v>
      </c>
      <c r="E119" s="4">
        <v>7</v>
      </c>
      <c r="F119" s="8">
        <v>462.84</v>
      </c>
      <c r="G119" s="4"/>
      <c r="H119" s="8"/>
      <c r="I119" s="7"/>
      <c r="J119" s="7"/>
      <c r="K119" s="4">
        <v>7</v>
      </c>
      <c r="L119" s="8">
        <v>462.84</v>
      </c>
      <c r="M119" s="4"/>
      <c r="N119" s="8"/>
      <c r="O119" s="7"/>
      <c r="P119" s="7"/>
    </row>
    <row r="120">
      <c r="A120" s="2" t="s">
        <v>2469</v>
      </c>
      <c r="B120" s="2" t="s">
        <v>2683</v>
      </c>
      <c r="C120" s="2" t="s">
        <v>2525</v>
      </c>
      <c r="D120" s="2" t="s">
        <v>2526</v>
      </c>
      <c r="E120" s="4">
        <v>2</v>
      </c>
      <c r="F120" s="8">
        <v>91.66</v>
      </c>
      <c r="G120" s="4"/>
      <c r="H120" s="8"/>
      <c r="I120" s="7"/>
      <c r="J120" s="7"/>
      <c r="K120" s="4">
        <v>2</v>
      </c>
      <c r="L120" s="8">
        <v>91.66</v>
      </c>
      <c r="M120" s="4"/>
      <c r="N120" s="8"/>
      <c r="O120" s="7"/>
      <c r="P120" s="7"/>
    </row>
    <row r="121">
      <c r="A121" s="2" t="s">
        <v>2469</v>
      </c>
      <c r="B121" s="2" t="s">
        <v>2683</v>
      </c>
      <c r="C121" s="2" t="s">
        <v>2470</v>
      </c>
      <c r="D121" s="2" t="s">
        <v>2471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2469</v>
      </c>
      <c r="B122" s="2" t="s">
        <v>2300</v>
      </c>
      <c r="C122" s="2" t="s">
        <v>2525</v>
      </c>
      <c r="D122" s="2" t="s">
        <v>2526</v>
      </c>
      <c r="E122" s="4">
        <v>21</v>
      </c>
      <c r="F122" s="8">
        <v>851</v>
      </c>
      <c r="G122" s="4"/>
      <c r="H122" s="8"/>
      <c r="I122" s="7"/>
      <c r="J122" s="7"/>
      <c r="K122" s="4">
        <v>21</v>
      </c>
      <c r="L122" s="8">
        <v>851</v>
      </c>
      <c r="M122" s="4"/>
      <c r="N122" s="8"/>
      <c r="O122" s="7"/>
      <c r="P122" s="7"/>
    </row>
    <row r="123">
      <c r="A123" s="2" t="s">
        <v>2469</v>
      </c>
      <c r="B123" s="2" t="s">
        <v>2300</v>
      </c>
      <c r="C123" s="2" t="s">
        <v>2619</v>
      </c>
      <c r="D123" s="2" t="s">
        <v>2620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2469</v>
      </c>
      <c r="B124" s="2" t="s">
        <v>2300</v>
      </c>
      <c r="C124" s="2" t="s">
        <v>2594</v>
      </c>
      <c r="D124" s="2" t="s">
        <v>2595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2469</v>
      </c>
      <c r="B125" s="2" t="s">
        <v>89</v>
      </c>
      <c r="C125" s="2" t="s">
        <v>2525</v>
      </c>
      <c r="D125" s="2" t="s">
        <v>644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2469</v>
      </c>
      <c r="B126" s="2" t="s">
        <v>740</v>
      </c>
      <c r="C126" s="2" t="s">
        <v>2619</v>
      </c>
      <c r="D126" s="2" t="s">
        <v>2620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2469</v>
      </c>
      <c r="B127" s="2" t="s">
        <v>740</v>
      </c>
      <c r="C127" s="2" t="s">
        <v>2594</v>
      </c>
      <c r="D127" s="2" t="s">
        <v>2595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1"/>
    <mergeCell ref="F9:F11"/>
    <mergeCell ref="G9:G11"/>
    <mergeCell ref="H9:H11"/>
    <mergeCell ref="I9:I11"/>
    <mergeCell ref="J9:J11"/>
    <mergeCell ref="E12:E15"/>
    <mergeCell ref="F12:F15"/>
    <mergeCell ref="G12:G15"/>
    <mergeCell ref="H12:H15"/>
    <mergeCell ref="I12:I15"/>
    <mergeCell ref="J12:J15"/>
    <mergeCell ref="E16:E17"/>
    <mergeCell ref="F16:F17"/>
    <mergeCell ref="G16:G17"/>
    <mergeCell ref="H16:H17"/>
    <mergeCell ref="I16:I17"/>
    <mergeCell ref="J16:J17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2:E36"/>
    <mergeCell ref="F32:F36"/>
    <mergeCell ref="G32:G36"/>
    <mergeCell ref="H32:H36"/>
    <mergeCell ref="I32:I36"/>
    <mergeCell ref="J32:J36"/>
    <mergeCell ref="E37:E39"/>
    <mergeCell ref="F37:F39"/>
    <mergeCell ref="G37:G39"/>
    <mergeCell ref="H37:H39"/>
    <mergeCell ref="I37:I39"/>
    <mergeCell ref="J37:J39"/>
    <mergeCell ref="E40:E41"/>
    <mergeCell ref="F40:F41"/>
    <mergeCell ref="G40:G41"/>
    <mergeCell ref="H40:H41"/>
    <mergeCell ref="I40:I41"/>
    <mergeCell ref="J40:J41"/>
    <mergeCell ref="E42:E45"/>
    <mergeCell ref="F42:F45"/>
    <mergeCell ref="G42:G45"/>
    <mergeCell ref="H42:H45"/>
    <mergeCell ref="I42:I45"/>
    <mergeCell ref="J42:J45"/>
    <mergeCell ref="E54:E55"/>
    <mergeCell ref="F54:F55"/>
    <mergeCell ref="G54:G55"/>
    <mergeCell ref="H54:H55"/>
    <mergeCell ref="I54:I55"/>
    <mergeCell ref="J54:J55"/>
    <mergeCell ref="E56:E59"/>
    <mergeCell ref="F56:F59"/>
    <mergeCell ref="G56:G59"/>
    <mergeCell ref="H56:H59"/>
    <mergeCell ref="I56:I59"/>
    <mergeCell ref="J56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7:E68"/>
    <mergeCell ref="F67:F68"/>
    <mergeCell ref="G67:G68"/>
    <mergeCell ref="H67:H68"/>
    <mergeCell ref="I67:I68"/>
    <mergeCell ref="J67:J68"/>
    <mergeCell ref="E74:E77"/>
    <mergeCell ref="F74:F77"/>
    <mergeCell ref="G74:G77"/>
    <mergeCell ref="H74:H77"/>
    <mergeCell ref="I74:I77"/>
    <mergeCell ref="J74:J77"/>
    <mergeCell ref="E78:E79"/>
    <mergeCell ref="F78:F79"/>
    <mergeCell ref="G78:G79"/>
    <mergeCell ref="H78:H79"/>
    <mergeCell ref="I78:I79"/>
    <mergeCell ref="J78:J79"/>
    <mergeCell ref="E81:E82"/>
    <mergeCell ref="F81:F82"/>
    <mergeCell ref="G81:G82"/>
    <mergeCell ref="H81:H82"/>
    <mergeCell ref="I81:I82"/>
    <mergeCell ref="J81:J82"/>
    <mergeCell ref="E86:E87"/>
    <mergeCell ref="F86:F87"/>
    <mergeCell ref="G86:G87"/>
    <mergeCell ref="H86:H87"/>
    <mergeCell ref="I86:I87"/>
    <mergeCell ref="J86:J87"/>
    <mergeCell ref="E99:E100"/>
    <mergeCell ref="F99:F100"/>
    <mergeCell ref="G99:G100"/>
    <mergeCell ref="H99:H100"/>
    <mergeCell ref="I99:I100"/>
    <mergeCell ref="J99:J100"/>
    <mergeCell ref="E103:E104"/>
    <mergeCell ref="F103:F104"/>
    <mergeCell ref="G103:G104"/>
    <mergeCell ref="H103:H104"/>
    <mergeCell ref="I103:I104"/>
    <mergeCell ref="J103:J104"/>
    <mergeCell ref="E105:E106"/>
    <mergeCell ref="F105:F106"/>
    <mergeCell ref="G105:G106"/>
    <mergeCell ref="H105:H106"/>
    <mergeCell ref="I105:I106"/>
    <mergeCell ref="J105:J106"/>
    <mergeCell ref="E107:E109"/>
    <mergeCell ref="F107:F109"/>
    <mergeCell ref="G107:G109"/>
    <mergeCell ref="H107:H109"/>
    <mergeCell ref="I107:I109"/>
    <mergeCell ref="J107:J10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2834</v>
      </c>
      <c r="D2" s="0" t="s">
        <v>2835</v>
      </c>
      <c r="E2" s="0" t="s">
        <v>2836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2837</v>
      </c>
      <c r="I4" s="1" t="s">
        <v>2838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2839</v>
      </c>
      <c r="O4" s="1" t="s">
        <v>2840</v>
      </c>
    </row>
    <row r="5">
      <c r="A5" s="1" t="s">
        <v>53</v>
      </c>
      <c r="B5" s="1" t="s">
        <v>55</v>
      </c>
      <c r="C5" s="1" t="s">
        <v>56</v>
      </c>
      <c r="D5" s="1" t="s">
        <v>2841</v>
      </c>
      <c r="E5" s="1" t="s">
        <v>2842</v>
      </c>
      <c r="F5" s="1" t="s">
        <v>2841</v>
      </c>
      <c r="G5" s="1" t="s">
        <v>2842</v>
      </c>
      <c r="H5" s="1" t="s">
        <v>2837</v>
      </c>
      <c r="I5" s="1" t="s">
        <v>2838</v>
      </c>
      <c r="J5" s="1" t="s">
        <v>2843</v>
      </c>
      <c r="K5" s="1" t="s">
        <v>2844</v>
      </c>
      <c r="L5" s="1" t="s">
        <v>2843</v>
      </c>
      <c r="M5" s="1" t="s">
        <v>2844</v>
      </c>
      <c r="N5" s="1" t="s">
        <v>2839</v>
      </c>
      <c r="O5" s="1" t="s">
        <v>2840</v>
      </c>
    </row>
    <row r="6">
      <c r="A6" s="2" t="s">
        <v>88</v>
      </c>
      <c r="B6" s="2" t="s">
        <v>90</v>
      </c>
      <c r="C6" s="2" t="s">
        <v>91</v>
      </c>
      <c r="D6" s="4">
        <v>613</v>
      </c>
      <c r="E6" s="8">
        <v>48783.58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564</v>
      </c>
      <c r="K6" s="8">
        <v>45665.61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616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49</v>
      </c>
      <c r="K7" s="8">
        <v>3117.97</v>
      </c>
      <c r="L7" s="4"/>
      <c r="M7" s="8"/>
      <c r="N7" s="7"/>
      <c r="O7" s="7"/>
    </row>
    <row r="8">
      <c r="A8" s="2" t="s">
        <v>88</v>
      </c>
      <c r="B8" s="2" t="s">
        <v>177</v>
      </c>
      <c r="C8" s="2" t="s">
        <v>204</v>
      </c>
      <c r="D8" s="4">
        <v>328</v>
      </c>
      <c r="E8" s="8">
        <v>14480.44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176</v>
      </c>
      <c r="K8" s="8">
        <v>7164.95</v>
      </c>
      <c r="L8" s="4"/>
      <c r="M8" s="8"/>
      <c r="N8" s="7"/>
      <c r="O8" s="7"/>
    </row>
    <row r="9">
      <c r="A9" s="2" t="s">
        <v>88</v>
      </c>
      <c r="B9" s="2" t="s">
        <v>177</v>
      </c>
      <c r="C9" s="2" t="s">
        <v>178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101</v>
      </c>
      <c r="K9" s="8">
        <v>4477</v>
      </c>
      <c r="L9" s="4"/>
      <c r="M9" s="8"/>
      <c r="N9" s="7"/>
      <c r="O9" s="7"/>
    </row>
    <row r="10">
      <c r="A10" s="2" t="s">
        <v>88</v>
      </c>
      <c r="B10" s="2" t="s">
        <v>177</v>
      </c>
      <c r="C10" s="2" t="s">
        <v>351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51</v>
      </c>
      <c r="K10" s="8">
        <v>2838.49</v>
      </c>
      <c r="L10" s="4"/>
      <c r="M10" s="8"/>
      <c r="N10" s="7"/>
      <c r="O10" s="7"/>
    </row>
    <row r="11">
      <c r="A11" s="2" t="s">
        <v>88</v>
      </c>
      <c r="B11" s="2" t="s">
        <v>367</v>
      </c>
      <c r="C11" s="2" t="s">
        <v>368</v>
      </c>
      <c r="D11" s="4">
        <v>92</v>
      </c>
      <c r="E11" s="8">
        <v>4976.8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70</v>
      </c>
      <c r="K11" s="8">
        <v>4013.53</v>
      </c>
      <c r="L11" s="4"/>
      <c r="M11" s="8"/>
      <c r="N11" s="7"/>
      <c r="O11" s="7"/>
    </row>
    <row r="12">
      <c r="A12" s="2" t="s">
        <v>88</v>
      </c>
      <c r="B12" s="2" t="s">
        <v>367</v>
      </c>
      <c r="C12" s="2" t="s">
        <v>351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22</v>
      </c>
      <c r="K12" s="8">
        <v>963.27</v>
      </c>
      <c r="L12" s="4"/>
      <c r="M12" s="8"/>
      <c r="N12" s="7"/>
      <c r="O12" s="7"/>
    </row>
    <row r="13">
      <c r="A13" s="2" t="s">
        <v>88</v>
      </c>
      <c r="B13" s="2" t="s">
        <v>367</v>
      </c>
      <c r="C13" s="2" t="s">
        <v>598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367</v>
      </c>
      <c r="C14" s="2" t="s">
        <v>204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/>
      <c r="K14" s="8"/>
      <c r="L14" s="4"/>
      <c r="M14" s="8"/>
      <c r="N14" s="7"/>
      <c r="O14" s="7"/>
    </row>
    <row r="15">
      <c r="A15" s="2" t="s">
        <v>88</v>
      </c>
      <c r="B15" s="2" t="s">
        <v>151</v>
      </c>
      <c r="C15" s="2" t="s">
        <v>152</v>
      </c>
      <c r="D15" s="4">
        <v>50</v>
      </c>
      <c r="E15" s="8">
        <v>1515.85</v>
      </c>
      <c r="F15" s="4"/>
      <c r="G15" s="8"/>
      <c r="H15" s="7"/>
      <c r="I15" s="7"/>
      <c r="J15" s="4">
        <v>50</v>
      </c>
      <c r="K15" s="8">
        <v>1515.85</v>
      </c>
      <c r="L15" s="4"/>
      <c r="M15" s="8"/>
      <c r="N15" s="7"/>
      <c r="O15" s="7"/>
    </row>
    <row r="16">
      <c r="A16" s="2" t="s">
        <v>88</v>
      </c>
      <c r="B16" s="2" t="s">
        <v>657</v>
      </c>
      <c r="C16" s="2" t="s">
        <v>658</v>
      </c>
      <c r="D16" s="4">
        <v>7</v>
      </c>
      <c r="E16" s="8">
        <v>323.54</v>
      </c>
      <c r="F16" s="4"/>
      <c r="G16" s="8"/>
      <c r="H16" s="7"/>
      <c r="I16" s="7"/>
      <c r="J16" s="4">
        <v>7</v>
      </c>
      <c r="K16" s="8">
        <v>323.54</v>
      </c>
      <c r="L16" s="4"/>
      <c r="M16" s="8"/>
      <c r="N16" s="7"/>
      <c r="O16" s="7"/>
    </row>
    <row r="17">
      <c r="A17" s="2" t="s">
        <v>765</v>
      </c>
      <c r="B17" s="2" t="s">
        <v>766</v>
      </c>
      <c r="C17" s="2" t="s">
        <v>767</v>
      </c>
      <c r="D17" s="4">
        <v>549</v>
      </c>
      <c r="E17" s="8">
        <v>66217.4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454</v>
      </c>
      <c r="K17" s="8">
        <v>53666.09</v>
      </c>
      <c r="L17" s="4"/>
      <c r="M17" s="8"/>
      <c r="N17" s="7"/>
      <c r="O17" s="7"/>
    </row>
    <row r="18">
      <c r="A18" s="2" t="s">
        <v>765</v>
      </c>
      <c r="B18" s="2" t="s">
        <v>766</v>
      </c>
      <c r="C18" s="2" t="s">
        <v>839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95</v>
      </c>
      <c r="K18" s="8">
        <v>12551.31</v>
      </c>
      <c r="L18" s="4"/>
      <c r="M18" s="8"/>
      <c r="N18" s="7"/>
      <c r="O18" s="7"/>
    </row>
    <row r="19">
      <c r="A19" s="2" t="s">
        <v>765</v>
      </c>
      <c r="B19" s="2" t="s">
        <v>1132</v>
      </c>
      <c r="C19" s="2" t="s">
        <v>1133</v>
      </c>
      <c r="D19" s="4">
        <v>124</v>
      </c>
      <c r="E19" s="8">
        <v>28126.77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121</v>
      </c>
      <c r="K19" s="8">
        <v>27268.15</v>
      </c>
      <c r="L19" s="4"/>
      <c r="M19" s="8"/>
      <c r="N19" s="7"/>
      <c r="O19" s="7"/>
    </row>
    <row r="20">
      <c r="A20" s="2" t="s">
        <v>765</v>
      </c>
      <c r="B20" s="2" t="s">
        <v>1132</v>
      </c>
      <c r="C20" s="2" t="s">
        <v>1225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2</v>
      </c>
      <c r="K20" s="8">
        <v>538.66</v>
      </c>
      <c r="L20" s="4"/>
      <c r="M20" s="8"/>
      <c r="N20" s="7"/>
      <c r="O20" s="7"/>
    </row>
    <row r="21">
      <c r="A21" s="2" t="s">
        <v>765</v>
      </c>
      <c r="B21" s="2" t="s">
        <v>1132</v>
      </c>
      <c r="C21" s="2" t="s">
        <v>1243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</v>
      </c>
      <c r="K21" s="8">
        <v>319.96</v>
      </c>
      <c r="L21" s="4"/>
      <c r="M21" s="8"/>
      <c r="N21" s="7"/>
      <c r="O21" s="7"/>
    </row>
    <row r="22">
      <c r="A22" s="2" t="s">
        <v>765</v>
      </c>
      <c r="B22" s="2" t="s">
        <v>1132</v>
      </c>
      <c r="C22" s="2" t="s">
        <v>644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/>
      <c r="K22" s="8"/>
      <c r="L22" s="4"/>
      <c r="M22" s="8"/>
      <c r="N22" s="7"/>
      <c r="O22" s="7"/>
    </row>
    <row r="23">
      <c r="A23" s="2" t="s">
        <v>765</v>
      </c>
      <c r="B23" s="2" t="s">
        <v>1132</v>
      </c>
      <c r="C23" s="2" t="s">
        <v>1281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/>
      <c r="M23" s="8"/>
      <c r="N23" s="7"/>
      <c r="O23" s="7"/>
    </row>
    <row r="24">
      <c r="A24" s="2" t="s">
        <v>765</v>
      </c>
      <c r="B24" s="2" t="s">
        <v>1504</v>
      </c>
      <c r="C24" s="2" t="s">
        <v>1505</v>
      </c>
      <c r="D24" s="4">
        <v>242</v>
      </c>
      <c r="E24" s="8">
        <v>26590.35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103</v>
      </c>
      <c r="K24" s="8">
        <v>12376.67</v>
      </c>
      <c r="L24" s="4"/>
      <c r="M24" s="8"/>
      <c r="N24" s="7"/>
      <c r="O24" s="7"/>
    </row>
    <row r="25">
      <c r="A25" s="2" t="s">
        <v>765</v>
      </c>
      <c r="B25" s="2" t="s">
        <v>1504</v>
      </c>
      <c r="C25" s="2" t="s">
        <v>1535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119</v>
      </c>
      <c r="K25" s="8">
        <v>10517.94</v>
      </c>
      <c r="L25" s="4"/>
      <c r="M25" s="8"/>
      <c r="N25" s="7"/>
      <c r="O25" s="7"/>
    </row>
    <row r="26">
      <c r="A26" s="2" t="s">
        <v>765</v>
      </c>
      <c r="B26" s="2" t="s">
        <v>1504</v>
      </c>
      <c r="C26" s="2" t="s">
        <v>1553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16</v>
      </c>
      <c r="K26" s="8">
        <v>3430.36</v>
      </c>
      <c r="L26" s="4"/>
      <c r="M26" s="8"/>
      <c r="N26" s="7"/>
      <c r="O26" s="7"/>
    </row>
    <row r="27">
      <c r="A27" s="2" t="s">
        <v>765</v>
      </c>
      <c r="B27" s="2" t="s">
        <v>1504</v>
      </c>
      <c r="C27" s="2" t="s">
        <v>1564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2</v>
      </c>
      <c r="K27" s="8">
        <v>140.62</v>
      </c>
      <c r="L27" s="4"/>
      <c r="M27" s="8"/>
      <c r="N27" s="7"/>
      <c r="O27" s="7"/>
    </row>
    <row r="28">
      <c r="A28" s="2" t="s">
        <v>765</v>
      </c>
      <c r="B28" s="2" t="s">
        <v>1504</v>
      </c>
      <c r="C28" s="2" t="s">
        <v>1536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2</v>
      </c>
      <c r="K28" s="8">
        <v>124.76</v>
      </c>
      <c r="L28" s="4"/>
      <c r="M28" s="8"/>
      <c r="N28" s="7"/>
      <c r="O28" s="7"/>
    </row>
    <row r="29">
      <c r="A29" s="2" t="s">
        <v>765</v>
      </c>
      <c r="B29" s="2" t="s">
        <v>1504</v>
      </c>
      <c r="C29" s="2" t="s">
        <v>644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/>
      <c r="K29" s="8"/>
      <c r="L29" s="4"/>
      <c r="M29" s="8"/>
      <c r="N29" s="7"/>
      <c r="O29" s="7"/>
    </row>
    <row r="30">
      <c r="A30" s="2" t="s">
        <v>765</v>
      </c>
      <c r="B30" s="2" t="s">
        <v>917</v>
      </c>
      <c r="C30" s="2" t="s">
        <v>918</v>
      </c>
      <c r="D30" s="4">
        <v>114</v>
      </c>
      <c r="E30" s="8">
        <v>22460.8</v>
      </c>
      <c r="F30" s="4"/>
      <c r="G30" s="8"/>
      <c r="H30" s="7"/>
      <c r="I30" s="7"/>
      <c r="J30" s="4">
        <v>114</v>
      </c>
      <c r="K30" s="8">
        <v>22460.8</v>
      </c>
      <c r="L30" s="4"/>
      <c r="M30" s="8"/>
      <c r="N30" s="7"/>
      <c r="O30" s="7"/>
    </row>
    <row r="31">
      <c r="A31" s="2" t="s">
        <v>765</v>
      </c>
      <c r="B31" s="2" t="s">
        <v>982</v>
      </c>
      <c r="C31" s="2" t="s">
        <v>983</v>
      </c>
      <c r="D31" s="4">
        <v>61</v>
      </c>
      <c r="E31" s="8">
        <v>16786.41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61</v>
      </c>
      <c r="K31" s="8">
        <v>16786.41</v>
      </c>
      <c r="L31" s="4"/>
      <c r="M31" s="8"/>
      <c r="N31" s="7"/>
      <c r="O31" s="7"/>
    </row>
    <row r="32">
      <c r="A32" s="2" t="s">
        <v>765</v>
      </c>
      <c r="B32" s="2" t="s">
        <v>982</v>
      </c>
      <c r="C32" s="2" t="s">
        <v>1125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/>
      <c r="K32" s="8"/>
      <c r="L32" s="4"/>
      <c r="M32" s="8"/>
      <c r="N32" s="7"/>
      <c r="O32" s="7"/>
    </row>
    <row r="33">
      <c r="A33" s="2" t="s">
        <v>765</v>
      </c>
      <c r="B33" s="2" t="s">
        <v>982</v>
      </c>
      <c r="C33" s="2" t="s">
        <v>644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/>
      <c r="K33" s="8"/>
      <c r="L33" s="4"/>
      <c r="M33" s="8"/>
      <c r="N33" s="7"/>
      <c r="O33" s="7"/>
    </row>
    <row r="34">
      <c r="A34" s="2" t="s">
        <v>765</v>
      </c>
      <c r="B34" s="2" t="s">
        <v>1296</v>
      </c>
      <c r="C34" s="2" t="s">
        <v>1297</v>
      </c>
      <c r="D34" s="4">
        <v>70</v>
      </c>
      <c r="E34" s="8">
        <v>12891.58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48</v>
      </c>
      <c r="K34" s="8">
        <v>9151.38</v>
      </c>
      <c r="L34" s="4"/>
      <c r="M34" s="8"/>
      <c r="N34" s="7"/>
      <c r="O34" s="7"/>
    </row>
    <row r="35">
      <c r="A35" s="2" t="s">
        <v>765</v>
      </c>
      <c r="B35" s="2" t="s">
        <v>1296</v>
      </c>
      <c r="C35" s="2" t="s">
        <v>1362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21</v>
      </c>
      <c r="K35" s="8">
        <v>3599.02</v>
      </c>
      <c r="L35" s="4"/>
      <c r="M35" s="8"/>
      <c r="N35" s="7"/>
      <c r="O35" s="7"/>
    </row>
    <row r="36">
      <c r="A36" s="2" t="s">
        <v>765</v>
      </c>
      <c r="B36" s="2" t="s">
        <v>1296</v>
      </c>
      <c r="C36" s="2" t="s">
        <v>644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1</v>
      </c>
      <c r="K36" s="8">
        <v>141.18</v>
      </c>
      <c r="L36" s="4"/>
      <c r="M36" s="8"/>
      <c r="N36" s="7"/>
      <c r="O36" s="7"/>
    </row>
    <row r="37">
      <c r="A37" s="2" t="s">
        <v>765</v>
      </c>
      <c r="B37" s="2" t="s">
        <v>1296</v>
      </c>
      <c r="C37" s="2" t="s">
        <v>1431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/>
      <c r="K37" s="8"/>
      <c r="L37" s="4"/>
      <c r="M37" s="8"/>
      <c r="N37" s="7"/>
      <c r="O37" s="7"/>
    </row>
    <row r="38">
      <c r="A38" s="2" t="s">
        <v>765</v>
      </c>
      <c r="B38" s="2" t="s">
        <v>1437</v>
      </c>
      <c r="C38" s="2" t="s">
        <v>1438</v>
      </c>
      <c r="D38" s="4">
        <v>33</v>
      </c>
      <c r="E38" s="8">
        <v>9857.2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33</v>
      </c>
      <c r="K38" s="8">
        <v>9857.2</v>
      </c>
      <c r="L38" s="4"/>
      <c r="M38" s="8"/>
      <c r="N38" s="7"/>
      <c r="O38" s="7"/>
    </row>
    <row r="39">
      <c r="A39" s="2" t="s">
        <v>765</v>
      </c>
      <c r="B39" s="2" t="s">
        <v>1437</v>
      </c>
      <c r="C39" s="2" t="s">
        <v>1490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/>
      <c r="K39" s="8"/>
      <c r="L39" s="4"/>
      <c r="M39" s="8"/>
      <c r="N39" s="7"/>
      <c r="O39" s="7"/>
    </row>
    <row r="40">
      <c r="A40" s="2" t="s">
        <v>765</v>
      </c>
      <c r="B40" s="2" t="s">
        <v>1572</v>
      </c>
      <c r="C40" s="2" t="s">
        <v>1573</v>
      </c>
      <c r="D40" s="4">
        <v>29</v>
      </c>
      <c r="E40" s="8">
        <v>3955.9</v>
      </c>
      <c r="F40" s="4"/>
      <c r="G40" s="8"/>
      <c r="H40" s="7"/>
      <c r="I40" s="7"/>
      <c r="J40" s="4">
        <v>29</v>
      </c>
      <c r="K40" s="8">
        <v>3955.9</v>
      </c>
      <c r="L40" s="4"/>
      <c r="M40" s="8"/>
      <c r="N40" s="7"/>
      <c r="O40" s="7"/>
    </row>
    <row r="41">
      <c r="A41" s="2" t="s">
        <v>765</v>
      </c>
      <c r="B41" s="2" t="s">
        <v>1593</v>
      </c>
      <c r="C41" s="2" t="s">
        <v>1594</v>
      </c>
      <c r="D41" s="4">
        <v>8</v>
      </c>
      <c r="E41" s="8">
        <v>2602.74</v>
      </c>
      <c r="F41" s="4"/>
      <c r="G41" s="8"/>
      <c r="H41" s="7"/>
      <c r="I41" s="7"/>
      <c r="J41" s="4">
        <v>8</v>
      </c>
      <c r="K41" s="8">
        <v>2602.74</v>
      </c>
      <c r="L41" s="4"/>
      <c r="M41" s="8"/>
      <c r="N41" s="7"/>
      <c r="O41" s="7"/>
    </row>
    <row r="42">
      <c r="A42" s="2" t="s">
        <v>765</v>
      </c>
      <c r="B42" s="2" t="s">
        <v>1639</v>
      </c>
      <c r="C42" s="2" t="s">
        <v>1640</v>
      </c>
      <c r="D42" s="4">
        <v>1</v>
      </c>
      <c r="E42" s="8">
        <v>601.02</v>
      </c>
      <c r="F42" s="4" t="s">
        <v>99</v>
      </c>
      <c r="G42" s="8" t="s">
        <v>99</v>
      </c>
      <c r="H42" s="7" t="s">
        <v>99</v>
      </c>
      <c r="I42" s="7" t="s">
        <v>99</v>
      </c>
      <c r="J42" s="4">
        <v>1</v>
      </c>
      <c r="K42" s="8">
        <v>601.02</v>
      </c>
      <c r="L42" s="4"/>
      <c r="M42" s="8"/>
      <c r="N42" s="7"/>
      <c r="O42" s="7"/>
    </row>
    <row r="43">
      <c r="A43" s="2" t="s">
        <v>765</v>
      </c>
      <c r="B43" s="2" t="s">
        <v>1639</v>
      </c>
      <c r="C43" s="2" t="s">
        <v>644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/>
      <c r="K43" s="8"/>
      <c r="L43" s="4"/>
      <c r="M43" s="8"/>
      <c r="N43" s="7"/>
      <c r="O43" s="7"/>
    </row>
    <row r="44">
      <c r="A44" s="2" t="s">
        <v>765</v>
      </c>
      <c r="B44" s="2" t="s">
        <v>1605</v>
      </c>
      <c r="C44" s="2" t="s">
        <v>1606</v>
      </c>
      <c r="D44" s="4">
        <v>1</v>
      </c>
      <c r="E44" s="8">
        <v>368.55</v>
      </c>
      <c r="F44" s="4"/>
      <c r="G44" s="8"/>
      <c r="H44" s="7"/>
      <c r="I44" s="7"/>
      <c r="J44" s="4">
        <v>1</v>
      </c>
      <c r="K44" s="8">
        <v>368.55</v>
      </c>
      <c r="L44" s="4"/>
      <c r="M44" s="8"/>
      <c r="N44" s="7"/>
      <c r="O44" s="7"/>
    </row>
    <row r="45">
      <c r="A45" s="2" t="s">
        <v>765</v>
      </c>
      <c r="B45" s="2" t="s">
        <v>1659</v>
      </c>
      <c r="C45" s="2" t="s">
        <v>1660</v>
      </c>
      <c r="D45" s="4">
        <v>2</v>
      </c>
      <c r="E45" s="8">
        <v>336.8</v>
      </c>
      <c r="F45" s="4"/>
      <c r="G45" s="8"/>
      <c r="H45" s="7"/>
      <c r="I45" s="7"/>
      <c r="J45" s="4">
        <v>2</v>
      </c>
      <c r="K45" s="8">
        <v>336.8</v>
      </c>
      <c r="L45" s="4"/>
      <c r="M45" s="8"/>
      <c r="N45" s="7"/>
      <c r="O45" s="7"/>
    </row>
    <row r="46">
      <c r="A46" s="2" t="s">
        <v>765</v>
      </c>
      <c r="B46" s="2" t="s">
        <v>1630</v>
      </c>
      <c r="C46" s="2" t="s">
        <v>1535</v>
      </c>
      <c r="D46" s="4">
        <v>1</v>
      </c>
      <c r="E46" s="8">
        <v>66</v>
      </c>
      <c r="F46" s="4"/>
      <c r="G46" s="8"/>
      <c r="H46" s="7"/>
      <c r="I46" s="7"/>
      <c r="J46" s="4">
        <v>1</v>
      </c>
      <c r="K46" s="8">
        <v>66</v>
      </c>
      <c r="L46" s="4"/>
      <c r="M46" s="8"/>
      <c r="N46" s="7"/>
      <c r="O46" s="7"/>
    </row>
    <row r="47">
      <c r="A47" s="2" t="s">
        <v>765</v>
      </c>
      <c r="B47" s="2" t="s">
        <v>1649</v>
      </c>
      <c r="C47" s="2" t="s">
        <v>1650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765</v>
      </c>
      <c r="B48" s="2" t="s">
        <v>2268</v>
      </c>
      <c r="C48" s="2" t="s">
        <v>767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765</v>
      </c>
      <c r="B49" s="2" t="s">
        <v>1668</v>
      </c>
      <c r="C49" s="2" t="s">
        <v>1669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765</v>
      </c>
      <c r="B50" s="2" t="s">
        <v>2396</v>
      </c>
      <c r="C50" s="2" t="s">
        <v>2397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/>
      <c r="K50" s="8"/>
      <c r="L50" s="4"/>
      <c r="M50" s="8"/>
      <c r="N50" s="7"/>
      <c r="O50" s="7"/>
    </row>
    <row r="51">
      <c r="A51" s="2" t="s">
        <v>765</v>
      </c>
      <c r="B51" s="2" t="s">
        <v>2396</v>
      </c>
      <c r="C51" s="2" t="s">
        <v>644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/>
      <c r="K51" s="8"/>
      <c r="L51" s="4"/>
      <c r="M51" s="8"/>
      <c r="N51" s="7"/>
      <c r="O51" s="7"/>
    </row>
    <row r="52">
      <c r="A52" s="2" t="s">
        <v>765</v>
      </c>
      <c r="B52" s="2" t="s">
        <v>1988</v>
      </c>
      <c r="C52" s="2" t="s">
        <v>1536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/>
      <c r="M52" s="8"/>
      <c r="N52" s="7"/>
      <c r="O52" s="7"/>
    </row>
    <row r="53">
      <c r="A53" s="2" t="s">
        <v>765</v>
      </c>
      <c r="B53" s="2" t="s">
        <v>1988</v>
      </c>
      <c r="C53" s="2" t="s">
        <v>1989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/>
      <c r="K53" s="8"/>
      <c r="L53" s="4"/>
      <c r="M53" s="8"/>
      <c r="N53" s="7"/>
      <c r="O53" s="7"/>
    </row>
    <row r="54">
      <c r="A54" s="2" t="s">
        <v>765</v>
      </c>
      <c r="B54" s="2" t="s">
        <v>2283</v>
      </c>
      <c r="C54" s="2" t="s">
        <v>2284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2469</v>
      </c>
      <c r="B55" s="2" t="s">
        <v>2470</v>
      </c>
      <c r="C55" s="2" t="s">
        <v>2471</v>
      </c>
      <c r="D55" s="4">
        <v>337</v>
      </c>
      <c r="E55" s="8">
        <v>18232.73</v>
      </c>
      <c r="F55" s="4"/>
      <c r="G55" s="8"/>
      <c r="H55" s="7"/>
      <c r="I55" s="7"/>
      <c r="J55" s="4">
        <v>337</v>
      </c>
      <c r="K55" s="8">
        <v>18232.73</v>
      </c>
      <c r="L55" s="4"/>
      <c r="M55" s="8"/>
      <c r="N55" s="7"/>
      <c r="O55" s="7"/>
    </row>
    <row r="56">
      <c r="A56" s="2" t="s">
        <v>2469</v>
      </c>
      <c r="B56" s="2" t="s">
        <v>2525</v>
      </c>
      <c r="C56" s="2" t="s">
        <v>2526</v>
      </c>
      <c r="D56" s="4">
        <v>96</v>
      </c>
      <c r="E56" s="8">
        <v>5849.64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96</v>
      </c>
      <c r="K56" s="8">
        <v>5849.64</v>
      </c>
      <c r="L56" s="4"/>
      <c r="M56" s="8"/>
      <c r="N56" s="7"/>
      <c r="O56" s="7"/>
    </row>
    <row r="57">
      <c r="A57" s="2" t="s">
        <v>2469</v>
      </c>
      <c r="B57" s="2" t="s">
        <v>2525</v>
      </c>
      <c r="C57" s="2" t="s">
        <v>644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/>
      <c r="K57" s="8"/>
      <c r="L57" s="4"/>
      <c r="M57" s="8"/>
      <c r="N57" s="7"/>
      <c r="O57" s="7"/>
    </row>
    <row r="58">
      <c r="A58" s="2" t="s">
        <v>2469</v>
      </c>
      <c r="B58" s="2" t="s">
        <v>2619</v>
      </c>
      <c r="C58" s="2" t="s">
        <v>2620</v>
      </c>
      <c r="D58" s="4">
        <v>17</v>
      </c>
      <c r="E58" s="8">
        <v>2533.95</v>
      </c>
      <c r="F58" s="4"/>
      <c r="G58" s="8"/>
      <c r="H58" s="7"/>
      <c r="I58" s="7"/>
      <c r="J58" s="4">
        <v>17</v>
      </c>
      <c r="K58" s="8">
        <v>2533.95</v>
      </c>
      <c r="L58" s="4"/>
      <c r="M58" s="8"/>
      <c r="N58" s="7"/>
      <c r="O58" s="7"/>
    </row>
    <row r="59">
      <c r="A59" s="2" t="s">
        <v>2469</v>
      </c>
      <c r="B59" s="2" t="s">
        <v>2594</v>
      </c>
      <c r="C59" s="2" t="s">
        <v>2595</v>
      </c>
      <c r="D59" s="4">
        <v>12</v>
      </c>
      <c r="E59" s="8">
        <v>1026.93</v>
      </c>
      <c r="F59" s="4"/>
      <c r="G59" s="8"/>
      <c r="H59" s="7"/>
      <c r="I59" s="7"/>
      <c r="J59" s="4">
        <v>12</v>
      </c>
      <c r="K59" s="8">
        <v>1026.93</v>
      </c>
      <c r="L59" s="4"/>
      <c r="M59" s="8"/>
      <c r="N59" s="7"/>
      <c r="O59" s="7"/>
    </row>
    <row r="60">
      <c r="A60" s="2" t="s">
        <v>2469</v>
      </c>
      <c r="B60" s="2" t="s">
        <v>2669</v>
      </c>
      <c r="C60" s="2" t="s">
        <v>2670</v>
      </c>
      <c r="D60" s="4">
        <v>3</v>
      </c>
      <c r="E60" s="8">
        <v>196.65</v>
      </c>
      <c r="F60" s="4"/>
      <c r="G60" s="8"/>
      <c r="H60" s="7"/>
      <c r="I60" s="7"/>
      <c r="J60" s="4">
        <v>3</v>
      </c>
      <c r="K60" s="8">
        <v>196.65</v>
      </c>
      <c r="L60" s="4"/>
      <c r="M60" s="8"/>
      <c r="N60" s="7"/>
      <c r="O60" s="7"/>
    </row>
    <row r="61">
      <c r="A61" s="2" t="s">
        <v>2469</v>
      </c>
      <c r="B61" s="2" t="s">
        <v>2678</v>
      </c>
      <c r="C61" s="2" t="s">
        <v>2679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4"/>
    <mergeCell ref="E11:E14"/>
    <mergeCell ref="F11:F14"/>
    <mergeCell ref="G11:G14"/>
    <mergeCell ref="H11:H14"/>
    <mergeCell ref="I11:I14"/>
    <mergeCell ref="D17:D18"/>
    <mergeCell ref="E17:E18"/>
    <mergeCell ref="F17:F18"/>
    <mergeCell ref="G17:G18"/>
    <mergeCell ref="H17:H18"/>
    <mergeCell ref="I17:I18"/>
    <mergeCell ref="D19:D23"/>
    <mergeCell ref="E19:E23"/>
    <mergeCell ref="F19:F23"/>
    <mergeCell ref="G19:G23"/>
    <mergeCell ref="H19:H23"/>
    <mergeCell ref="I19:I23"/>
    <mergeCell ref="D24:D29"/>
    <mergeCell ref="E24:E29"/>
    <mergeCell ref="F24:F29"/>
    <mergeCell ref="G24:G29"/>
    <mergeCell ref="H24:H29"/>
    <mergeCell ref="I24:I29"/>
    <mergeCell ref="D31:D33"/>
    <mergeCell ref="E31:E33"/>
    <mergeCell ref="F31:F33"/>
    <mergeCell ref="G31:G33"/>
    <mergeCell ref="H31:H33"/>
    <mergeCell ref="I31:I33"/>
    <mergeCell ref="D34:D37"/>
    <mergeCell ref="E34:E37"/>
    <mergeCell ref="F34:F37"/>
    <mergeCell ref="G34:G37"/>
    <mergeCell ref="H34:H37"/>
    <mergeCell ref="I34:I37"/>
    <mergeCell ref="D38:D39"/>
    <mergeCell ref="E38:E39"/>
    <mergeCell ref="F38:F39"/>
    <mergeCell ref="G38:G39"/>
    <mergeCell ref="H38:H39"/>
    <mergeCell ref="I38:I39"/>
    <mergeCell ref="D42:D43"/>
    <mergeCell ref="E42:E43"/>
    <mergeCell ref="F42:F43"/>
    <mergeCell ref="G42:G43"/>
    <mergeCell ref="H42:H43"/>
    <mergeCell ref="I42:I43"/>
    <mergeCell ref="D50:D51"/>
    <mergeCell ref="E50:E51"/>
    <mergeCell ref="F50:F51"/>
    <mergeCell ref="G50:G51"/>
    <mergeCell ref="H50:H51"/>
    <mergeCell ref="I50:I51"/>
    <mergeCell ref="D52:D53"/>
    <mergeCell ref="E52:E53"/>
    <mergeCell ref="F52:F53"/>
    <mergeCell ref="G52:G53"/>
    <mergeCell ref="H52:H53"/>
    <mergeCell ref="I52:I53"/>
    <mergeCell ref="D56:D57"/>
    <mergeCell ref="E56:E57"/>
    <mergeCell ref="F56:F57"/>
    <mergeCell ref="G56:G57"/>
    <mergeCell ref="H56:H57"/>
    <mergeCell ref="I56:I57"/>
  </mergeCells>
  <headerFooter/>
</worksheet>
</file>