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<sst xmlns="http://schemas.openxmlformats.org/spreadsheetml/2006/main" count="796" uniqueCount="796">
  <si>
    <t>Date Type:</t>
  </si>
  <si>
    <t>Order Date</t>
  </si>
  <si>
    <t>Start Date:</t>
  </si>
  <si>
    <t>01/01/2024</t>
  </si>
  <si>
    <t>End Date:</t>
  </si>
  <si>
    <t>02/23/2025</t>
  </si>
  <si>
    <t>Report Run Date:</t>
  </si>
  <si>
    <t>02/27/2025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</si>
  <si>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</si>
  <si>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</si>
  <si>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</si>
  <si>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</si>
  <si>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</si>
  <si>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</si>
  <si>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</si>
  <si>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</si>
  <si>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</si>
  <si>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</si>
  <si>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</si>
  <si>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</si>
  <si>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</si>
  <si>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</si>
  <si>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</si>
  <si>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</si>
  <si>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</si>
  <si>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</si>
  <si>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</si>
  <si>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</si>
  <si>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</si>
  <si>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</si>
  <si>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</si>
  <si>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</si>
  <si>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</si>
  <si>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</si>
  <si>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</si>
  <si>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</si>
  <si>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</si>
  <si>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</si>
  <si>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</si>
  <si>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</si>
  <si>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</si>
  <si>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</si>
  <si>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</si>
  <si>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</si>
  <si>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</si>
  <si>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</si>
  <si>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</si>
  <si>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</si>
  <si>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</si>
  <si>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</si>
  <si>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</si>
  <si>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</si>
  <si>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</si>
  <si>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</si>
  <si>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</si>
  <si>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</si>
  <si>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</si>
  <si>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</si>
  <si>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</si>
  <si>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</si>
  <si>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</si>
  <si>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</si>
  <si>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</si>
  <si>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</si>
  <si>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</si>
  <si>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</si>
  <si>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</si>
  <si>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</si>
  <si>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</si>
  <si>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</si>
  <si>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</si>
  <si>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</si>
  <si>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</si>
  <si>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</si>
  <si>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</si>
  <si>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</si>
  <si>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</si>
  <si>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</si>
  <si>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</si>
  <si>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</si>
  <si>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</si>
  <si>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</si>
  <si>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</si>
  <si>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</si>
  <si>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</si>
  <si>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</si>
  <si>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</si>
  <si>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AM10-0004</t>
  </si>
  <si>
    <t>ADUL</t>
  </si>
  <si>
    <t>Super Listing</t>
  </si>
  <si>
    <t>COMFORTER (SET)</t>
  </si>
  <si>
    <t>Comforter Mini Set</t>
  </si>
  <si>
    <t>Porter</t>
  </si>
  <si>
    <t>Evans</t>
  </si>
  <si>
    <t>Walker</t>
  </si>
  <si>
    <t>Soft Washed Pleated Comforter Set</t>
  </si>
  <si>
    <t>Twin/Twin XL</t>
  </si>
  <si>
    <t>Neutral</t>
  </si>
  <si>
    <t>Active</t>
  </si>
  <si>
    <t>A++</t>
  </si>
  <si>
    <t>NO</t>
  </si>
  <si>
    <t/>
  </si>
  <si>
    <t>PP001927;PF006151</t>
  </si>
  <si>
    <t>Microfiber</t>
  </si>
  <si>
    <t>2</t>
  </si>
  <si>
    <t>Solid</t>
  </si>
  <si>
    <t>Modern/Contemporary</t>
  </si>
  <si>
    <t>9/29/2023</t>
  </si>
  <si>
    <t>4/8/2025</t>
  </si>
  <si>
    <t>AMAZON,AMAZONDS,BLK01,CSNSTORES,DESINC,HDDS,HHGLOBALTTS,JCPENNEY01,KIRKLANDDS,KOHLDSN,MACY02,NRTPORT,OVERSTOCK01,TGTDVS</t>
  </si>
  <si>
    <t>Setup</t>
  </si>
  <si>
    <t>11/9/2023</t>
  </si>
  <si>
    <t>No</t>
  </si>
  <si>
    <t>AM10-0470</t>
  </si>
  <si>
    <t>Full</t>
  </si>
  <si>
    <t>3</t>
  </si>
  <si>
    <t>9/5/2024</t>
  </si>
  <si>
    <t>5/6/2025</t>
  </si>
  <si>
    <t>AMAZON,AMAZONDS,BLK01,CSNSTORES,DESINC,HDDS,HHGLOBALTTS,KOHLDSN,NRTPORT,OVERSTOCK01,TGTDVS</t>
  </si>
  <si>
    <t>10/3/2024</t>
  </si>
  <si>
    <t>AM10-0005</t>
  </si>
  <si>
    <t>Queen</t>
  </si>
  <si>
    <t>AM10-0006</t>
  </si>
  <si>
    <t>King</t>
  </si>
  <si>
    <t>10/27/2023</t>
  </si>
  <si>
    <t>AM10-0471</t>
  </si>
  <si>
    <t>Cal King</t>
  </si>
  <si>
    <t>9/4/2024</t>
  </si>
  <si>
    <t>AMAZON,AMAZONDS,BLK01,CSNSTORES,DESINC,HDDS,KOHLDSN,NRTPORT,OVERSTOCK01,TGTDVS</t>
  </si>
  <si>
    <t>AM10-0140</t>
  </si>
  <si>
    <t>Blue/Grey</t>
  </si>
  <si>
    <t>PP001927;PF006243</t>
  </si>
  <si>
    <t>3/30/2024</t>
  </si>
  <si>
    <t>4/17/2024</t>
  </si>
  <si>
    <t>AM10-0464</t>
  </si>
  <si>
    <t>9/18/2024</t>
  </si>
  <si>
    <t>10/11/2024</t>
  </si>
  <si>
    <t>AM10-0141</t>
  </si>
  <si>
    <t>4/2/2024</t>
  </si>
  <si>
    <t>AMAZON,AMAZONDS,BLK01,CSNSTORES,DESINC,HDDS,HHGLOBALTTS,JCPENNEY01,KIRKLANDDS,KOHLDSN,LOWESDS,MACY02,NRTPORT,OVERSTOCK01,TGTDVS</t>
  </si>
  <si>
    <t>AM10-0142</t>
  </si>
  <si>
    <t>AM10-0465</t>
  </si>
  <si>
    <t>AM10-0007</t>
  </si>
  <si>
    <t>White</t>
  </si>
  <si>
    <t>PP001927;PF006152</t>
  </si>
  <si>
    <t>AMAZON,AMAZONDS,BLK01,CSNSTORES,DESINC,HDDS,HHGLOBALTTS,JCPENNEY01,KOHLDSN,MACY02,NRTPORT,OVERSTOCK01,TGTDVS</t>
  </si>
  <si>
    <t>AM10-0472</t>
  </si>
  <si>
    <t>AMAZON,AMAZONDS,BLK01,CSNSTORES,HDDS,HHGLOBALTTS,KOHLDSN,MACY02,NRTPORT,OVERSTOCK01,TGTDVS</t>
  </si>
  <si>
    <t>AM10-0008</t>
  </si>
  <si>
    <t>AM10-0009</t>
  </si>
  <si>
    <t>AM10-0473</t>
  </si>
  <si>
    <t>AMAZON,AMAZONDS,BLK01,CSNSTORES,DESINC,KOHLDSN,NRTPORT,OVERSTOCK01,TGTDVS</t>
  </si>
  <si>
    <t>AM10-0001</t>
  </si>
  <si>
    <t>Grey</t>
  </si>
  <si>
    <t>PP001927;PF006150</t>
  </si>
  <si>
    <t>AMAZON,AMAZONDS,BLK01,CSNSTORES,DESINC,HDDS,JCPENNEY01,KIRKLANDDS,KOHLDSN,MACY02,NRTPORT,OVERSTOCK01,TGTDVS</t>
  </si>
  <si>
    <t>AM10-0468</t>
  </si>
  <si>
    <t>AMAZON,AMAZONDS,BLK01,CSNSTORES,HDDS,JCPENNEY01,KOHLDSN,NRTPORT,OVERSTOCK01,TGTDVS</t>
  </si>
  <si>
    <t>AM10-0002</t>
  </si>
  <si>
    <t>AM10-0003</t>
  </si>
  <si>
    <t>AM10-0469</t>
  </si>
  <si>
    <t>AMAZON,AMAZONDS,BLK01,CSNSTORES,DESINC,HDDS,HHGLOBALTTS,KOHLDSN,MACY02,NRTPORT,OVERSTOCK01,TGTDVS</t>
  </si>
  <si>
    <t>AM10-0398</t>
  </si>
  <si>
    <t>Navy</t>
  </si>
  <si>
    <t>PP001927;PF006423</t>
  </si>
  <si>
    <t>8/21/2024</t>
  </si>
  <si>
    <t>4/29/2025</t>
  </si>
  <si>
    <t>AMAZON,AMAZONDS,BLK01,CSNSTORES,DESINC,HDDS,JCPENNEY01,KOHLDSN,MACY02,NRTPORT,OVERSTOCK01,TGTDVS</t>
  </si>
  <si>
    <t>10/10/2024</t>
  </si>
  <si>
    <t>AM10-0456</t>
  </si>
  <si>
    <t>9/14/2024</t>
  </si>
  <si>
    <t>AM10-0399</t>
  </si>
  <si>
    <t>8/20/2024</t>
  </si>
  <si>
    <t>3/9/2025</t>
  </si>
  <si>
    <t>AM10-0400</t>
  </si>
  <si>
    <t>AM10-0457</t>
  </si>
  <si>
    <t>AMAZON,AMAZONDS,BLK01,CSNSTORES,DESINC,HDDS,KOHLDSN,MACY02,NRTPORT,OVERSTOCK01,TGTDVS</t>
  </si>
  <si>
    <t>AM10-0392</t>
  </si>
  <si>
    <t>Clay</t>
  </si>
  <si>
    <t>PP001927;PF006422</t>
  </si>
  <si>
    <t>8/16/2024</t>
  </si>
  <si>
    <t>AM10-0452</t>
  </si>
  <si>
    <t>9/17/2024</t>
  </si>
  <si>
    <t>AM10-0393</t>
  </si>
  <si>
    <t>2/26/2025</t>
  </si>
  <si>
    <t>AM10-0394</t>
  </si>
  <si>
    <t>8/22/2024</t>
  </si>
  <si>
    <t>AM10-0453</t>
  </si>
  <si>
    <t>AM10-0137</t>
  </si>
  <si>
    <t>Blush</t>
  </si>
  <si>
    <t>PP001927;PF006240</t>
  </si>
  <si>
    <t>AMAZON,AMAZONDS,CSNSTORES,DESINC,HDDS,HHGLOBALTTS,JCPENNEY01,KOHLDSN,MACY02,NRTPORT,OVERSTOCK01,TGTDVS</t>
  </si>
  <si>
    <t>AM10-0462</t>
  </si>
  <si>
    <t>AM10-0138</t>
  </si>
  <si>
    <t>AM10-0139</t>
  </si>
  <si>
    <t>AM10-0463</t>
  </si>
  <si>
    <t>AMAZON,AMAZONDS,BLK01,CSNSTORES,HHGLOBALTTS,KOHLDSN,NRTPORT,OVERSTOCK01,TGTDVS</t>
  </si>
  <si>
    <t>AM10-0401</t>
  </si>
  <si>
    <t>Olive Green</t>
  </si>
  <si>
    <t>PP001927;PF006424</t>
  </si>
  <si>
    <t>AMAZON,AMAZONDS,BLK01,CSNSTORES,DESINC,JCPENNEY01,KOHLDSN,MACY02,NRTPORT,OVERSTOCK01,TGTDVS</t>
  </si>
  <si>
    <t>AM10-0458</t>
  </si>
  <si>
    <t>AM10-0402</t>
  </si>
  <si>
    <t>AM10-0403</t>
  </si>
  <si>
    <t>AM10-0459</t>
  </si>
  <si>
    <t>AMAZON,AMAZONDS,BLK01,CSNSTORES,DESINC,DLBRAND,HDDS,HHGLOBALTTS,KOHLDSN,MACY02,NRTPORT,OVERSTOCK01,TGTDVS</t>
  </si>
  <si>
    <t>2/13/2025</t>
  </si>
  <si>
    <t>AM10-0134</t>
  </si>
  <si>
    <t>Sage</t>
  </si>
  <si>
    <t>PP001927;PF006242</t>
  </si>
  <si>
    <t>AM10-0460</t>
  </si>
  <si>
    <t>AMAZON,AMAZONDS,BLK01,CSNSTORES,HDDS,HHGLOBALTTS,KOHLDSN,NRTPORT,OVERSTOCK01,TGTDVS</t>
  </si>
  <si>
    <t>AM10-0135</t>
  </si>
  <si>
    <t>AM10-0136</t>
  </si>
  <si>
    <t>AM10-0461</t>
  </si>
  <si>
    <t>AM10-0143</t>
  </si>
  <si>
    <t>Black</t>
  </si>
  <si>
    <t>PP001927;PF006241</t>
  </si>
  <si>
    <t>AM10-0466</t>
  </si>
  <si>
    <t>AM10-0144</t>
  </si>
  <si>
    <t>AM10-0145</t>
  </si>
  <si>
    <t>AM10-0467</t>
  </si>
  <si>
    <t>AMAZON,AMAZONDS,BLK01,CSNSTORES,DESINC,HDDS,HHGLOBALTTS,JCPENNEY01,KOHLDSN,NRTPORT,OVERSTOCK01,TGTDVS</t>
  </si>
  <si>
    <t>12/31/2024</t>
  </si>
  <si>
    <t>AM10-0386</t>
  </si>
  <si>
    <t>Silver</t>
  </si>
  <si>
    <t>B+</t>
  </si>
  <si>
    <t>PP001927;PF006419</t>
  </si>
  <si>
    <t>AM10-0448</t>
  </si>
  <si>
    <t>AM10-0387</t>
  </si>
  <si>
    <t>AM10-0388</t>
  </si>
  <si>
    <t>AMAZON,AMAZONDS,BLK01,CSNSTORES,HDDS,HHGLOBALTTS,JCPENNEY01,KOHLDSN,MACY02,NRTPORT,OVERSTOCK01,TGTDVS</t>
  </si>
  <si>
    <t>AM10-0449</t>
  </si>
  <si>
    <t>AM10-0389</t>
  </si>
  <si>
    <t>Khaki</t>
  </si>
  <si>
    <t>PP001927;PF006420</t>
  </si>
  <si>
    <t>AM10-0450</t>
  </si>
  <si>
    <t>AMAZON,AMAZONDS,BLK01,CSNSTORES,JCPENNEY01,KOHLDSN,MACY02,NRTPORT,OVERSTOCK01,TGTDVS</t>
  </si>
  <si>
    <t>AM10-0390</t>
  </si>
  <si>
    <t>9/26/2024</t>
  </si>
  <si>
    <t>AM10-0391</t>
  </si>
  <si>
    <t>8/17/2024</t>
  </si>
  <si>
    <t>AM10-0451</t>
  </si>
  <si>
    <t>AM10-0395</t>
  </si>
  <si>
    <t>Purple</t>
  </si>
  <si>
    <t>A</t>
  </si>
  <si>
    <t>PP001927;PF006421</t>
  </si>
  <si>
    <t>AM10-0454</t>
  </si>
  <si>
    <t>AMAZON,AMAZONDS,BLK01,CSNSTORES,HDDS,JCPENNEY01,KOHLDSN,MACY02,NRTPORT,OVERSTOCK01,TGTDVS</t>
  </si>
  <si>
    <t>10/17/2024</t>
  </si>
  <si>
    <t>AM10-0396</t>
  </si>
  <si>
    <t>AM10-0397</t>
  </si>
  <si>
    <t>AMAZON,BLK01,CSNSTORES,DESINC,HDDS,HHGLOBALTTS,JCPENNEY01,KOHLDSN,MACY02,NRTPORT,OVERSTOCK01,TGTDVS</t>
  </si>
  <si>
    <t>AM10-0455</t>
  </si>
  <si>
    <t>AM10-0022</t>
  </si>
  <si>
    <t>Mina</t>
  </si>
  <si>
    <t>Hanna</t>
  </si>
  <si>
    <t>Aera</t>
  </si>
  <si>
    <t>Waffle Weave Textured Comforter Set</t>
  </si>
  <si>
    <t>PP001928;PF006156</t>
  </si>
  <si>
    <t>Waffle</t>
  </si>
  <si>
    <t>11/24/2023</t>
  </si>
  <si>
    <t>AM10-0023</t>
  </si>
  <si>
    <t>Full/Queen</t>
  </si>
  <si>
    <t>AM10-0024</t>
  </si>
  <si>
    <t>King/Cal King</t>
  </si>
  <si>
    <t>11/14/2023</t>
  </si>
  <si>
    <t>AM10-0016</t>
  </si>
  <si>
    <t>PP001928;PF006155</t>
  </si>
  <si>
    <t>11/28/2023</t>
  </si>
  <si>
    <t>12/13/2023</t>
  </si>
  <si>
    <t>AM10-0017</t>
  </si>
  <si>
    <t>AMAZON,AMAZONDS,BLK01,CSNSTORES,DESINC,HDDS,HHGLOBALTTS,JCPENNEY01,KIRKLANDDS,KOHLDSN,MACY02,NRTPORT,OVERSCONSIGN,OVERSTOCK01,TGTDVS</t>
  </si>
  <si>
    <t>AM10-0018</t>
  </si>
  <si>
    <t>AMAZON,AMAZONDS,BLK01,CSNSTORES,DESINC,HDDS,JCPENNEY01,KIRKLANDDS,KOHLDSN,LOWESDS,MACY02,NRTPORT,OVERSCONSIGN,OVERSTOCK01,TGTDVS</t>
  </si>
  <si>
    <t>12/29/2023</t>
  </si>
  <si>
    <t>AM10-0010</t>
  </si>
  <si>
    <t>Light Grey</t>
  </si>
  <si>
    <t>A+</t>
  </si>
  <si>
    <t>PP001928;PF006153</t>
  </si>
  <si>
    <t>AM10-0011</t>
  </si>
  <si>
    <t>AM10-0012</t>
  </si>
  <si>
    <t>11/11/2023</t>
  </si>
  <si>
    <t>AM10-0019</t>
  </si>
  <si>
    <t>Red</t>
  </si>
  <si>
    <t>Close-out</t>
  </si>
  <si>
    <t>ARC</t>
  </si>
  <si>
    <t>3/9/2024</t>
  </si>
  <si>
    <t>AMAZON,DESINC</t>
  </si>
  <si>
    <t>8/23/2024</t>
  </si>
  <si>
    <t>AM10-0020</t>
  </si>
  <si>
    <t>AMAZON,AMAZONDS,DESINC,HHGLOBALTTS</t>
  </si>
  <si>
    <t>AM10-0021</t>
  </si>
  <si>
    <t>AM10-0013</t>
  </si>
  <si>
    <t>Sage Green</t>
  </si>
  <si>
    <t>PP001928;PF006154</t>
  </si>
  <si>
    <t>AMAZON,BLK01,CSNSTORES,DESINC,HDDS,JCPENNEY01,KOHLDSN,MACY02,NRTPORT,OVERSTOCK01,TGTDVS</t>
  </si>
  <si>
    <t>11/22/2023</t>
  </si>
  <si>
    <t>AM10-0014</t>
  </si>
  <si>
    <t>11/2/2023</t>
  </si>
  <si>
    <t>AM10-0015</t>
  </si>
  <si>
    <t>AM10-0025</t>
  </si>
  <si>
    <t>Boulder Stripe</t>
  </si>
  <si>
    <t>Cascade Stripe</t>
  </si>
  <si>
    <t>Highland Stripe</t>
  </si>
  <si>
    <t>Pieced Faux Suede Comforter Set</t>
  </si>
  <si>
    <t>Blue</t>
  </si>
  <si>
    <t>PP001926;PF006147</t>
  </si>
  <si>
    <t>Microsuede</t>
  </si>
  <si>
    <t>Striped</t>
  </si>
  <si>
    <t>Casual</t>
  </si>
  <si>
    <t>AM10-0026</t>
  </si>
  <si>
    <t>AMAZON,AMAZONDS,BLK01,CSNSTORES,DESINC,HDDS,JCPENNEY01,KOHLDSN,MACY02,NRTPORT,OLLIIX,OVERSTOCK01,TGTDVS</t>
  </si>
  <si>
    <t>AM10-0027</t>
  </si>
  <si>
    <t>11/4/2023</t>
  </si>
  <si>
    <t>AMAZON,AMAZONDS,BLK01,CSNSTORES,DESINC,HDDS,JCPENNEY01,KOHLDSN,MACY02,NRTPORT,OLLIIX,OVERSCONSIGN,OVERSTOCK01,TGTDVS</t>
  </si>
  <si>
    <t>AM10-0031</t>
  </si>
  <si>
    <t>Brown</t>
  </si>
  <si>
    <t>B</t>
  </si>
  <si>
    <t>PP001926;PF006149</t>
  </si>
  <si>
    <t>11/21/2023</t>
  </si>
  <si>
    <t>12/7/2023</t>
  </si>
  <si>
    <t>AM10-0032</t>
  </si>
  <si>
    <t>AM10-0033</t>
  </si>
  <si>
    <t>AM10-0028</t>
  </si>
  <si>
    <t>PP001926;PF006148</t>
  </si>
  <si>
    <t>AM10-0029</t>
  </si>
  <si>
    <t>AM10-0030</t>
  </si>
  <si>
    <t>AM10-0290</t>
  </si>
  <si>
    <t>Brick</t>
  </si>
  <si>
    <t>PP001926;PF006375</t>
  </si>
  <si>
    <t>7/18/2024</t>
  </si>
  <si>
    <t>6/25/2025</t>
  </si>
  <si>
    <t>AMAZON,AMAZONDS,BLK01,DESINC,HDDS,JCPENNEY01,KOHLDSN,MACY02,NRTPORT,OVERSTOCK01,TGTDVS</t>
  </si>
  <si>
    <t>10/22/2024</t>
  </si>
  <si>
    <t>AM10-0291</t>
  </si>
  <si>
    <t>4/30/2025</t>
  </si>
  <si>
    <t>AM10-0292</t>
  </si>
  <si>
    <t>AM10-0293</t>
  </si>
  <si>
    <t>PP001926;PF006376</t>
  </si>
  <si>
    <t>AMAZON,BLK01,CSNSTORES,DESINC,HDDS,HHGLOBALTTS,JCPENNEY01,KOHLDSN,MACY02,OVERSTOCK01,TGTDVS</t>
  </si>
  <si>
    <t>11/5/2024</t>
  </si>
  <si>
    <t>AM10-0294</t>
  </si>
  <si>
    <t>AM10-0295</t>
  </si>
  <si>
    <t>10/24/2024</t>
  </si>
  <si>
    <t>AM10-0296</t>
  </si>
  <si>
    <t>Green</t>
  </si>
  <si>
    <t>PP001926;PF006377</t>
  </si>
  <si>
    <t>AMAZON,CSNSTORES,DESINC,HDDS,JCPENNEY01,KOHLDSN,MACY02,NRTPORT,OVERSTOCK01,TGTDVS</t>
  </si>
  <si>
    <t>9/19/2024</t>
  </si>
  <si>
    <t>AM10-0297</t>
  </si>
  <si>
    <t>9/25/2024</t>
  </si>
  <si>
    <t>AM10-0298</t>
  </si>
  <si>
    <t>AM10-0194</t>
  </si>
  <si>
    <t>Phoebe</t>
  </si>
  <si>
    <t>Himari</t>
  </si>
  <si>
    <t>Hannah</t>
  </si>
  <si>
    <t>Diamond Quilted Ruffle Edge Comforter Set</t>
  </si>
  <si>
    <t>Ivory</t>
  </si>
  <si>
    <t>PP001981;PF006326</t>
  </si>
  <si>
    <t>Geometric</t>
  </si>
  <si>
    <t>Vintage/Shabby Chic</t>
  </si>
  <si>
    <t>5/30/2024</t>
  </si>
  <si>
    <t>7/29/2024</t>
  </si>
  <si>
    <t>AM10-0195</t>
  </si>
  <si>
    <t>AMAZON,AMAZONDS,BLK01,CSNSTORES,DESINC,HDDS,HHGLOBALTTS,JCPENNEY01,KIRKLANDDS,KOHLDSN,MACY02,NRTPORT,OLLIIX,OVERSTOCK01,TGTDVS</t>
  </si>
  <si>
    <t>7/23/2024</t>
  </si>
  <si>
    <t>AM10-0196</t>
  </si>
  <si>
    <t>6/1/2024</t>
  </si>
  <si>
    <t>AM10-0185</t>
  </si>
  <si>
    <t>PP001981;PF006323</t>
  </si>
  <si>
    <t>5/7/2024</t>
  </si>
  <si>
    <t>8/8/2024</t>
  </si>
  <si>
    <t>AM10-0186</t>
  </si>
  <si>
    <t>5/13/2025</t>
  </si>
  <si>
    <t>AM10-0187</t>
  </si>
  <si>
    <t>7/11/2024</t>
  </si>
  <si>
    <t>AM10-0188</t>
  </si>
  <si>
    <t>Gray</t>
  </si>
  <si>
    <t>PP001981;PF006324</t>
  </si>
  <si>
    <t>6/11/2025</t>
  </si>
  <si>
    <t>AM10-0189</t>
  </si>
  <si>
    <t>AM10-0190</t>
  </si>
  <si>
    <t>6/4/2024</t>
  </si>
  <si>
    <t>7/22/2024</t>
  </si>
  <si>
    <t>AM10-0191</t>
  </si>
  <si>
    <t>PP001981;PF006325</t>
  </si>
  <si>
    <t>BLK01,CSNSTORES,DESINC,HDDS,HHGLOBALTTS,JCPENNEY01,KIRKLANDDS,KOHLDSN,MACY02,NRTPORT,OVERSTOCK01,TGTDVS</t>
  </si>
  <si>
    <t>Ready To Offer</t>
  </si>
  <si>
    <t>AM10-0192</t>
  </si>
  <si>
    <t>AM10-0193</t>
  </si>
  <si>
    <t>BLK01,CSNSTORES,DESINC,HDDS,JCPENNEY01,KIRKLANDDS,KOHLDSN,LOWESDS,MACY02,NRTPORT,OVERSCONSIGN,OVERSTOCK01,TGTDVS</t>
  </si>
  <si>
    <t>AM10-0197</t>
  </si>
  <si>
    <t>PP001981;PF006327</t>
  </si>
  <si>
    <t>AM10-0198</t>
  </si>
  <si>
    <t>BLK01,CSNSTORES,DESINC,HDDS,JCPENNEY01,KIRKLANDDS,KOHLDSN,MACY02,NRTPORT,OVERSTOCK01,TGTDVS</t>
  </si>
  <si>
    <t>AM10-0199</t>
  </si>
  <si>
    <t>5/28/2025</t>
  </si>
  <si>
    <t>AM10-0071</t>
  </si>
  <si>
    <t>Aria</t>
  </si>
  <si>
    <t>Milan</t>
  </si>
  <si>
    <t>Senia</t>
  </si>
  <si>
    <t>Floral Print Reversible Comforter Set</t>
  </si>
  <si>
    <t>C</t>
  </si>
  <si>
    <t>PP001924;PF006143</t>
  </si>
  <si>
    <t>Floral</t>
  </si>
  <si>
    <t>Farm House</t>
  </si>
  <si>
    <t>AM10-0072</t>
  </si>
  <si>
    <t>Donation</t>
  </si>
  <si>
    <t>10/26/2023</t>
  </si>
  <si>
    <t>Discontinued</t>
  </si>
  <si>
    <t>AM10-0076</t>
  </si>
  <si>
    <t>Floral Print Revesible Comforter Set</t>
  </si>
  <si>
    <t>PP001924;PF006379</t>
  </si>
  <si>
    <t>BLK01,CSNSTORES,DESINC,HDDS,KOHLDSN,MACY02,NRTPORT,OVERSTOCK01,TGTDVS</t>
  </si>
  <si>
    <t>Open</t>
  </si>
  <si>
    <t>AM10-0077</t>
  </si>
  <si>
    <t>AMAZON,AMAZONDS,BLK01,DESINC,HDDS,KOHLDSN,MACY02,NRTPORT,OVERSTOCK01,TGTDVS</t>
  </si>
  <si>
    <t>AM10-0078</t>
  </si>
  <si>
    <t>AM10-0073</t>
  </si>
  <si>
    <t>PP001924;PF006378</t>
  </si>
  <si>
    <t>BLK01,DESINC,HDDS,KOHLDSN,MACY02,NRTPORT,OVERSTOCK01,TGTDVS</t>
  </si>
  <si>
    <t>AM10-0074</t>
  </si>
  <si>
    <t>AMAZON,BLK01,CSNSTORES,DESINC,HDDS,KOHLDSN,MACY02,NRTPORT,OVERSTOCK01,TGTDVS</t>
  </si>
  <si>
    <t>AM10-0075</t>
  </si>
  <si>
    <t>AM10-0079</t>
  </si>
  <si>
    <t>PP001924;PF006144</t>
  </si>
  <si>
    <t>BLK01,CSNSTORES,DESINC,HDDS,JCPENNEY01,KOHLDSN,MACY02,OVERSTOCK01,TGTDVS</t>
  </si>
  <si>
    <t>AM10-0080</t>
  </si>
  <si>
    <t>AM10-0081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</si>
  <si>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</si>
  <si>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</si>
  <si>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</si>
  <si>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</si>
  <si>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</si>
  <si>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</si>
  <si>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</si>
  <si>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AM10-0062</t>
  </si>
  <si>
    <t>11/3/2023</t>
  </si>
  <si>
    <t>AMAZON,BLK01,CSNSTORES,DESINC,HDDS,JCPENNEY01,KIRKLANDDS,KOHLDSN,MACY02,NRTPORT,OVERSTOCK01,TGTDVS</t>
  </si>
  <si>
    <t>AM10-0063</t>
  </si>
  <si>
    <t>AM10-0067</t>
  </si>
  <si>
    <t>PP001923;PF006142</t>
  </si>
  <si>
    <t>AM10-0068</t>
  </si>
  <si>
    <t>AMAZON,BLK01,CSNSTORES,DESINC,HDDS,HHGLOBALTTS,JCPENNEY01,KIRKLANDDS,KOHLDSN,MACY02,NRTPORT,OVERSTOCK01,TGTDVS</t>
  </si>
  <si>
    <t>AM10-0069</t>
  </si>
  <si>
    <t>AMAZON,BLK01,CSNSTORES,DESINC,HDDS,JCPENNEY01,KIRKLANDDS,KOHLDSN,LOWESDS,MACY02,NRTPORT,OVERSTOCK01,TGTDVS</t>
  </si>
  <si>
    <t>AM10-0064</t>
  </si>
  <si>
    <t>PP001923;PF006141</t>
  </si>
  <si>
    <t>AM10-0065</t>
  </si>
  <si>
    <t>AM10-0066</t>
  </si>
  <si>
    <t>AMAZON,AMAZONDS,BLK01,CSNSTORES,DESINC,HDDS,JCPENNEY01,KIRKLANDDS,KOHLDSN,MACY02,NRTPORT,OVERSCONSIGN,OVERSTOCK01,TGTDVS</t>
  </si>
  <si>
    <t>AM10-0058</t>
  </si>
  <si>
    <t>PP001923;PF006139</t>
  </si>
  <si>
    <t>AM10-0059</t>
  </si>
  <si>
    <t>AM10-0060</t>
  </si>
  <si>
    <t>AMAZON,BLK01,CSNSTORES,DESINC,HDDS,JCPENNEY01,KIRKLANDDS,KOHLDSN,MACY02,NRTPORT,OVERSCONSIGN,OVERSTOCK01,TGTDVS</t>
  </si>
  <si>
    <t>AM10-0082</t>
  </si>
  <si>
    <t>Jonah</t>
  </si>
  <si>
    <t>Micah</t>
  </si>
  <si>
    <t>Asher</t>
  </si>
  <si>
    <t>Plaid Check Printed Comforter Set</t>
  </si>
  <si>
    <t>Inactive</t>
  </si>
  <si>
    <t>PP001925;PF006145</t>
  </si>
  <si>
    <t>Plaid</t>
  </si>
  <si>
    <t>5/21/2025</t>
  </si>
  <si>
    <t>BLK01,CSNSTORES,DESINC,HDDS,JCPENNEY01,KOHLDSN,MACY02,NRTPORT,OVERSTOCK01,TGTDVS</t>
  </si>
  <si>
    <t>Pending</t>
  </si>
  <si>
    <t>AM10-0083</t>
  </si>
  <si>
    <t>AM10-0084</t>
  </si>
  <si>
    <t>AM10-0085</t>
  </si>
  <si>
    <t>Charcoal Grey</t>
  </si>
  <si>
    <t>PP001925;PF006146</t>
  </si>
  <si>
    <t>BLK01,CSNSTORES,DESINC,HDDS,HHGLOBALTTS,JCPENNEY01,KOHLDSN,MACY02,NRTPORT,OVERSTOCK01,TGTDVS</t>
  </si>
  <si>
    <t>AM10-0086</t>
  </si>
  <si>
    <t>AM10-0087</t>
  </si>
  <si>
    <t>AM10-0176</t>
  </si>
  <si>
    <t>Miro</t>
  </si>
  <si>
    <t>Ayko</t>
  </si>
  <si>
    <t>Marty</t>
  </si>
  <si>
    <t>Soft Washed Color Block Comforter Set</t>
  </si>
  <si>
    <t>TBD</t>
  </si>
  <si>
    <t>PP001980;PF006320</t>
  </si>
  <si>
    <t>4/30/2024</t>
  </si>
  <si>
    <t>BLK01,DESINC,HDDS,JCPENNEY01,KOHLDSN,MACY02,NRTPORT,OLLIIX,OVERSTOCK01,TGTDVS</t>
  </si>
  <si>
    <t>AM10-0177</t>
  </si>
  <si>
    <t>BLK01,CSNSTORES,HDDS,JCPENNEY01,KOHLDSN,MACY02,NRTPORT,OLLIIX,OVERSTOCK01,TGTDVS</t>
  </si>
  <si>
    <t>AM10-0178</t>
  </si>
  <si>
    <t>BLK01,CSNSTORES,DESINC,HDDS,JCPENNEY01,KOHLDSN,MACY02,NRTPORT,OLLIIX,OVERSTOCK01,TGTDVS</t>
  </si>
  <si>
    <t>AM10-0179</t>
  </si>
  <si>
    <t>PP001980;PF006321</t>
  </si>
  <si>
    <t>AM10-0180</t>
  </si>
  <si>
    <t>AM10-0181</t>
  </si>
  <si>
    <t>AM10-0182</t>
  </si>
  <si>
    <t>Pink</t>
  </si>
  <si>
    <t>PP001980;PF006322</t>
  </si>
  <si>
    <t>AM10-0183</t>
  </si>
  <si>
    <t>BLK01,CSNSTORES,HDDS,JCPENNEY01,KOHLDSN,LOWESDS,MACY02,NRTPORT,OLLIIX,OVERSTOCK01,TGTDVS</t>
  </si>
  <si>
    <t>AM10-0184</t>
  </si>
  <si>
    <t>BLK01,CSNSTORES,HDDS,JCPENNEY01,KOHLDSN,MACY02,NRTPORT,OLLIIX,OVERSTOCK01</t>
  </si>
  <si>
    <t>AM10-0109</t>
  </si>
  <si>
    <t>Comforter (Set)</t>
  </si>
  <si>
    <t>Chambray Print Microfiber Comforter Set with Bed Sheets</t>
  </si>
  <si>
    <t>5</t>
  </si>
  <si>
    <t>AM10-0110</t>
  </si>
  <si>
    <t>7</t>
  </si>
  <si>
    <t>AMAZON,AMAZONDS,BLK01,DESINC,HDDS,HHGLOBALTTS,KOHLDSN,MACY02,NRTPORT,OVERSTOCK01,TGTDVS</t>
  </si>
  <si>
    <t>AM10-0111</t>
  </si>
  <si>
    <t>AM10-0112</t>
  </si>
  <si>
    <t>AMAZON,BLK01,CSNSTORES,DESINC,HDDS,HHGLOBALTTS,KOHLDSN,MACY02,NRTPORT,OVERSTOCK01,TGTDVS</t>
  </si>
  <si>
    <t>AM10-0101</t>
  </si>
  <si>
    <t>AMAZON,AMAZONDS,CSNSTORES,DESINC,HDDS,KOHLDSN,MACY02,NRTPORT,OVERSTOCK01,TGTDVS</t>
  </si>
  <si>
    <t>AM10-0102</t>
  </si>
  <si>
    <t>AM10-0103</t>
  </si>
  <si>
    <t>AM10-0104</t>
  </si>
  <si>
    <t>AM10-0105</t>
  </si>
  <si>
    <t>5/27/2025</t>
  </si>
  <si>
    <t>AMAZON,AMAZONDS,DESINC,HDDS,KOHLDSN,MACY02,NRTPORT,OVERSTOCK01,TGTDVS</t>
  </si>
  <si>
    <t>AM10-0106</t>
  </si>
  <si>
    <t>AMAZON,AMAZONDS,CSNSTORES,DESINC,HDDS,HHGLOBALTTS,KOHLDSN,MACY02,NRTPORT,OVERSTOCK01,TGTDVS</t>
  </si>
  <si>
    <t>AM10-0107</t>
  </si>
  <si>
    <t>AMAZON,AMAZONDS,BLK01,CSNSTORES,HDDS,KOHLDSN,MACY02,NRTPORT,OVERSTOCK01,TGTDVS</t>
  </si>
  <si>
    <t>AM10-0108</t>
  </si>
  <si>
    <t>AM10-0097</t>
  </si>
  <si>
    <t>AM10-0098</t>
  </si>
  <si>
    <t>AM10-0099</t>
  </si>
  <si>
    <t>AM10-0100</t>
  </si>
  <si>
    <t>AM10-0094</t>
  </si>
  <si>
    <t>Maca</t>
  </si>
  <si>
    <t>Textured Print Reversible Comforter Set</t>
  </si>
  <si>
    <t>Light Blue</t>
  </si>
  <si>
    <t>PP001995;PF006407</t>
  </si>
  <si>
    <t>Global Inspired</t>
  </si>
  <si>
    <t>AMAZON,AMAZONDS,BLK01,DESINC,HDDS,JCPENNEY01,KOHLDSN,MACY02,OVERSTOCK01,TGTDVS</t>
  </si>
  <si>
    <t>AM10-0095</t>
  </si>
  <si>
    <t>AM10-0096</t>
  </si>
  <si>
    <t>AM10-0091</t>
  </si>
  <si>
    <t>PP001995;PF006406</t>
  </si>
  <si>
    <t>AM10-0092</t>
  </si>
  <si>
    <t>AM10-0093</t>
  </si>
  <si>
    <t>AMAZON,AMAZONDS,BLK01,CSNSTORES,DESINC,HDDS,JCPENNEY01,KOHLDSN,MACY02,OVERSTOCK01,TGTDVS</t>
  </si>
  <si>
    <t>AM10-0088</t>
  </si>
  <si>
    <t>Taupe</t>
  </si>
  <si>
    <t>PP001995;PF006405</t>
  </si>
  <si>
    <t>AM10-0089</t>
  </si>
  <si>
    <t>AMAZON,AMAZONDS,BLK01,CSNSTORES,DESINC,HDDS,JCPENNEY01,KOHLDSN,MACY02,TGTDVS</t>
  </si>
  <si>
    <t>AM10-0090</t>
  </si>
  <si>
    <t>AM10-0535</t>
  </si>
  <si>
    <t>Bailey</t>
  </si>
  <si>
    <t>Darby</t>
  </si>
  <si>
    <t>Niro/Malani</t>
  </si>
  <si>
    <t>Diamond Pucker Woven Comforter Set</t>
  </si>
  <si>
    <t>Polyester</t>
  </si>
  <si>
    <t>2/27/2025</t>
  </si>
  <si>
    <t>AM10-0536</t>
  </si>
  <si>
    <t>4</t>
  </si>
  <si>
    <t>2/20/2025</t>
  </si>
  <si>
    <t>AM10-0537</t>
  </si>
  <si>
    <t>3/5/2025</t>
  </si>
  <si>
    <t>2/25/2025</t>
  </si>
  <si>
    <t>AM10-0161</t>
  </si>
  <si>
    <t>PP001966;PF006263</t>
  </si>
  <si>
    <t>AM10-0162</t>
  </si>
  <si>
    <t>AM10-0163</t>
  </si>
  <si>
    <t>AM10-0164</t>
  </si>
  <si>
    <t>PP001966;PF006264</t>
  </si>
  <si>
    <t>AM10-0165</t>
  </si>
  <si>
    <t>AM10-0166</t>
  </si>
  <si>
    <t>AM10-0532</t>
  </si>
  <si>
    <t>AM10-0533</t>
  </si>
  <si>
    <t>AM10-0534</t>
  </si>
  <si>
    <t>AM10-0158</t>
  </si>
  <si>
    <t>PP001966;PF006262</t>
  </si>
  <si>
    <t>AM10-0159</t>
  </si>
  <si>
    <t>AM10-0160</t>
  </si>
  <si>
    <t>AM10-0541</t>
  </si>
  <si>
    <t>Gigi</t>
  </si>
  <si>
    <t>Lola</t>
  </si>
  <si>
    <t>Cecily</t>
  </si>
  <si>
    <t>Beige</t>
  </si>
  <si>
    <t>Boho</t>
  </si>
  <si>
    <t>3/16/2025</t>
  </si>
  <si>
    <t>AM10-0542</t>
  </si>
  <si>
    <t>AM10-0543</t>
  </si>
  <si>
    <t>AM10-0547</t>
  </si>
  <si>
    <t>AM10-0548</t>
  </si>
  <si>
    <t>AM10-0549</t>
  </si>
  <si>
    <t>AM10-0544</t>
  </si>
  <si>
    <t>AM10-0545</t>
  </si>
  <si>
    <t>AM10-0546</t>
  </si>
  <si>
    <t>AM10-0550</t>
  </si>
  <si>
    <t>Terracotta</t>
  </si>
  <si>
    <t>AM10-0551</t>
  </si>
  <si>
    <t>AM10-0552</t>
  </si>
  <si>
    <t>AM10-0538</t>
  </si>
  <si>
    <t>AM10-0539</t>
  </si>
  <si>
    <t>AM10-0540</t>
  </si>
  <si>
    <t>AM12-0037</t>
  </si>
  <si>
    <t>DUVET&amp;DUVET SET</t>
  </si>
  <si>
    <t>Duvet Mini Set</t>
  </si>
  <si>
    <t>Soft Washed Pleated Duvet Cover Set</t>
  </si>
  <si>
    <t>4/23/2025</t>
  </si>
  <si>
    <t>AM12-0424</t>
  </si>
  <si>
    <t>AM12-0038</t>
  </si>
  <si>
    <t>AMAZON,AMAZONDS,BLK01,CSNSTORES,DESINC,HDDS,JCPENNEY01,KOHLDSN,LOWESDS,MACY02,NRTPORT,OVERSTOCK01,TGTDVS</t>
  </si>
  <si>
    <t>AM12-0039</t>
  </si>
  <si>
    <t>AMAZON,AMAZONDS,BLK01,CSNSTORES,DESINC,HDDS,JCPENNEY01,KOHLDSN,LOWESDS,MACY02,NRTPORT,OVERSCONSIGN,OVERSTOCK01,TGTDVS</t>
  </si>
  <si>
    <t>AM12-0425</t>
  </si>
  <si>
    <t>AM12-0152</t>
  </si>
  <si>
    <t>3/29/2024</t>
  </si>
  <si>
    <t>4/18/2024</t>
  </si>
  <si>
    <t>AM12-0444</t>
  </si>
  <si>
    <t>AM12-0153</t>
  </si>
  <si>
    <t>AM12-0154</t>
  </si>
  <si>
    <t>AM12-0445</t>
  </si>
  <si>
    <t>AMAZON,AMAZONDS,BLK01,CSNSTORES,DESINC,HDDS,JCPENNEY01,KOHLDSN,NRTPORT,OVERSTOCK01,TGTDVS</t>
  </si>
  <si>
    <t>2/6/2025</t>
  </si>
  <si>
    <t>AM12-0040</t>
  </si>
  <si>
    <t>AMAZON,AMAZONDS,CSNSTORES,DESINC,HDDS,JCPENNEY01,KOHLDSN,MACY02,NRTPORT,OVERSTOCK01,TGTDVS</t>
  </si>
  <si>
    <t>AM12-0426</t>
  </si>
  <si>
    <t>AM12-0041</t>
  </si>
  <si>
    <t>AM12-0042</t>
  </si>
  <si>
    <t>AM12-0427</t>
  </si>
  <si>
    <t>AM12-0034</t>
  </si>
  <si>
    <t>AM12-0422</t>
  </si>
  <si>
    <t>AMAZON,AMAZONDS,CSNSTORES,HDDS,KOHLDSN,NRTPORT,OVERSTOCK01,TGTDVS</t>
  </si>
  <si>
    <t>AM12-0035</t>
  </si>
  <si>
    <t>AM12-0036</t>
  </si>
  <si>
    <t>AM12-0423</t>
  </si>
  <si>
    <t>AM12-0419</t>
  </si>
  <si>
    <t>AM12-0438</t>
  </si>
  <si>
    <t>AM12-0420</t>
  </si>
  <si>
    <t>AM12-0421</t>
  </si>
  <si>
    <t>AM12-0439</t>
  </si>
  <si>
    <t>AM12-0410</t>
  </si>
  <si>
    <t>5/14/2025</t>
  </si>
  <si>
    <t>AMAZON,AMAZONDS,CSNSTORES,JCPENNEY01,KOHLDSN,MACY02,NRTPORT,OVERSTOCK01,TGTDVS</t>
  </si>
  <si>
    <t>AM12-0432</t>
  </si>
  <si>
    <t>AM12-0411</t>
  </si>
  <si>
    <t>AM12-0412</t>
  </si>
  <si>
    <t>AM12-0433</t>
  </si>
  <si>
    <t>AM12-0155</t>
  </si>
  <si>
    <t>AM12-0446</t>
  </si>
  <si>
    <t>AM12-0156</t>
  </si>
  <si>
    <t>AM12-0157</t>
  </si>
  <si>
    <t>AM12-0447</t>
  </si>
  <si>
    <t>AMAZON,AMAZONDS,BLK01,CSNSTORES,HDDS,KOHLDSN,NRTPORT,OVERSTOCK01,TGTDVS</t>
  </si>
  <si>
    <t>AM12-0416</t>
  </si>
  <si>
    <t>AM12-0436</t>
  </si>
  <si>
    <t>AMAZON,AMAZONDS,CSNSTORES,HDDS,JCPENNEY01,KOHLDSN,MACY02,NRTPORT,OVERSTOCK01,TGTDVS</t>
  </si>
  <si>
    <t>AM12-0417</t>
  </si>
  <si>
    <t>AM12-0418</t>
  </si>
  <si>
    <t>AM12-0437</t>
  </si>
  <si>
    <t>AM12-0149</t>
  </si>
  <si>
    <t>AM12-0442</t>
  </si>
  <si>
    <t>2/17/2025</t>
  </si>
  <si>
    <t>AM12-0150</t>
  </si>
  <si>
    <t>AM12-0151</t>
  </si>
  <si>
    <t>AM12-0443</t>
  </si>
  <si>
    <t>AMAZON,AMAZONDS,CSNSTORES,HDDS,KOHLDSN,MACY02,NRTPORT,OVERSTOCK01,TGTDVS</t>
  </si>
  <si>
    <t>AM12-0407</t>
  </si>
  <si>
    <t>AMAZON,AMAZONDS,CSNSTORES,DESINC,HDDS,JCPENNEY01,KOHLDSN,MACY02,NRTPORT,TGTDVS</t>
  </si>
  <si>
    <t>AM12-0430</t>
  </si>
  <si>
    <t>AM12-0408</t>
  </si>
  <si>
    <t>AM12-0409</t>
  </si>
  <si>
    <t>AM12-0431</t>
  </si>
  <si>
    <t>AM12-0404</t>
  </si>
  <si>
    <t>AMAZON,AMAZONDS,CSNSTORES,DESINC,JCPENNEY01,KOHLDSN,MACY02,NRTPORT,OVERSTOCK01,TGTDVS</t>
  </si>
  <si>
    <t>AM12-0428</t>
  </si>
  <si>
    <t>AM12-0405</t>
  </si>
  <si>
    <t>AM12-0406</t>
  </si>
  <si>
    <t>AM12-0429</t>
  </si>
  <si>
    <t>AM12-0146</t>
  </si>
  <si>
    <t>AM12-0440</t>
  </si>
  <si>
    <t>AMAZON,AMAZONDS,CSNSTORES,DESINC,HDDS,KOHLDSN,NRTPORT,OVERSTOCK01,TGTDVS</t>
  </si>
  <si>
    <t>AM12-0147</t>
  </si>
  <si>
    <t>AM12-0148</t>
  </si>
  <si>
    <t>AMAZON,AMAZONDS,BLK01,CSNSTORES,HDDS,JCPENNEY01,KOHLDSN,LOWESDS,MACY02,NRTPORT,OVERSTOCK01,TGTDVS</t>
  </si>
  <si>
    <t>AM12-0441</t>
  </si>
  <si>
    <t>AM12-0413</t>
  </si>
  <si>
    <t>AM12-0434</t>
  </si>
  <si>
    <t>2/14/2025</t>
  </si>
  <si>
    <t>AM12-0414</t>
  </si>
  <si>
    <t>AM12-0415</t>
  </si>
  <si>
    <t>AM12-0435</t>
  </si>
  <si>
    <t>AM12-0055</t>
  </si>
  <si>
    <t>Waffle Weave Textured Duvet Cover Set</t>
  </si>
  <si>
    <t>2/23/2024</t>
  </si>
  <si>
    <t>AM12-0056</t>
  </si>
  <si>
    <t>AM12-0057</t>
  </si>
  <si>
    <t>11/10/2023</t>
  </si>
  <si>
    <t>AM12-0049</t>
  </si>
  <si>
    <t>2/29/2024</t>
  </si>
  <si>
    <t>AM12-0050</t>
  </si>
  <si>
    <t>AM12-0051</t>
  </si>
  <si>
    <t>12/14/2023</t>
  </si>
  <si>
    <t>AM12-0043</t>
  </si>
  <si>
    <t>4/4/2024</t>
  </si>
  <si>
    <t>AM12-0044</t>
  </si>
  <si>
    <t>AM12-0045</t>
  </si>
  <si>
    <t>AM12-0046</t>
  </si>
  <si>
    <t>AM12-0047</t>
  </si>
  <si>
    <t>AM12-0048</t>
  </si>
  <si>
    <t>AMAZON,BLK01,CSNSTORES,DESINC,HDDS,JCPENNEY01,KOHLDSN,LOWESDS,MACY02,NRTPORT,OVERSTOCK01,TGTDVS</t>
  </si>
  <si>
    <t>AM12-0221</t>
  </si>
  <si>
    <t>Quilted Top with ruffle edge duvet mini set</t>
  </si>
  <si>
    <t>ARB</t>
  </si>
  <si>
    <t>Other</t>
  </si>
  <si>
    <t>AMAZON,AMAZONDS</t>
  </si>
  <si>
    <t>8/15/2024</t>
  </si>
  <si>
    <t>AM12-0222</t>
  </si>
  <si>
    <t>AMAZON,AMAZONDS,HHGLOBALTTS</t>
  </si>
  <si>
    <t>AM12-0223</t>
  </si>
  <si>
    <t>8/30/2024</t>
  </si>
  <si>
    <t>AM12-0215</t>
  </si>
  <si>
    <t>AM12-0216</t>
  </si>
  <si>
    <t>AM12-0217</t>
  </si>
  <si>
    <t>8/27/2024</t>
  </si>
  <si>
    <t>AM12-0218</t>
  </si>
  <si>
    <t>AM12-0219</t>
  </si>
  <si>
    <t>AM12-0220</t>
  </si>
  <si>
    <t>AM12-0170</t>
  </si>
  <si>
    <t>Pinch Pleat Woven Textured Duvet Cover Set</t>
  </si>
  <si>
    <t>Glam/Luxury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</si>
  <si>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</si>
  <si>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</si>
  <si>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</si>
  <si>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</si>
  <si>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</si>
  <si>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</si>
  <si>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</si>
  <si>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</si>
  <si>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AM12-0119</t>
  </si>
  <si>
    <t>Duvet&amp;Duvet Set</t>
  </si>
  <si>
    <t>Textured Print Reversible Duvet Set</t>
  </si>
  <si>
    <t>AMAZON,AMAZONDS,BLK01,CSNSTORES,DESINC,HDDS,KOHLDSN,MACY02,NRTPORT,OVERSTOCK01</t>
  </si>
  <si>
    <t>AM12-0120</t>
  </si>
  <si>
    <t>AM12-0121</t>
  </si>
  <si>
    <t>AMAZON,AMAZONDS,BLK01,CSNSTORES,DESINC,KOHLDSN,MACY02,NRTPORT,OVERSTOCK01</t>
  </si>
  <si>
    <t>AM12-0113</t>
  </si>
  <si>
    <t>AMAZON,KOHLDSN,MACY02,NRTPORT</t>
  </si>
  <si>
    <t>AM12-0114</t>
  </si>
  <si>
    <t>AMAZON,HDDS,KOHLDSN,MACY02,NRTPORT,OVERSTOCK01</t>
  </si>
  <si>
    <t>AM12-0115</t>
  </si>
  <si>
    <t>AM12-0116</t>
  </si>
  <si>
    <t>AMAZON,AMAZONDS,CSNSTORES,HDDS,KOHLDSN,MACY02,NRTPORT</t>
  </si>
  <si>
    <t>AM12-0117</t>
  </si>
  <si>
    <t>BLK01,CSNSTORES,DESINC,HDDS,KOHLDSN,MACY02,NRTPORT,OVERSTOCK01</t>
  </si>
  <si>
    <t>AM12-0118</t>
  </si>
  <si>
    <t>AM14-0371</t>
  </si>
  <si>
    <t>QUILT</t>
  </si>
  <si>
    <t>Coverlet Mini Set</t>
  </si>
  <si>
    <t>Waffle Weave Textured Quilt Set</t>
  </si>
  <si>
    <t>PP001928;PF006427</t>
  </si>
  <si>
    <t>6/18/2024</t>
  </si>
  <si>
    <t>BLK01,HDDS,JCPENNEY01,KOHLDSN,MACY02,NRTPORT,OVERSTOCK01,TGTDVS</t>
  </si>
  <si>
    <t>AM14-0372</t>
  </si>
  <si>
    <t>7/27/2024</t>
  </si>
  <si>
    <t>AMAZON,BLK01,CSNSTORES,HDDS,JCPENNEY01,KOHLDSN,MACY02,NRTPORT,TGTDVS</t>
  </si>
  <si>
    <t>AM14-0373</t>
  </si>
  <si>
    <t>AMAZON,BLK01,CSNSTORES,DESINC,HDDS,HHGLOBALTTS,JCPENNEY01,KOHLDSN,MACY02,NRTPORT,TGTDVS</t>
  </si>
  <si>
    <t>11/7/2024</t>
  </si>
  <si>
    <t>AM14-0365</t>
  </si>
  <si>
    <t>PP001928;PF006425</t>
  </si>
  <si>
    <t>DESINC,JCPENNEY01,KOHLDSN,MACY02</t>
  </si>
  <si>
    <t>AM14-0366</t>
  </si>
  <si>
    <t>AMAZON,CSNSTORES,DESINC,JCPENNEY01,KOHLDSN,MACY02,NRTPORT,TGTDVS</t>
  </si>
  <si>
    <t>AM14-0367</t>
  </si>
  <si>
    <t>AM14-0374</t>
  </si>
  <si>
    <t>PP001928;PF006428</t>
  </si>
  <si>
    <t>DESINC,JCPENNEY01,KOHLDSN,MACY02,TGTDVS</t>
  </si>
  <si>
    <t>AM14-0375</t>
  </si>
  <si>
    <t>12/19/2024</t>
  </si>
  <si>
    <t>AM14-0376</t>
  </si>
  <si>
    <t>AMAZONDS,BLK01,CSNSTORES,JCPENNEY01,KOHLDSN,MACY02,TGTDVS</t>
  </si>
  <si>
    <t>AM14-0368</t>
  </si>
  <si>
    <t>PP001928;PF006426</t>
  </si>
  <si>
    <t>AMAZON,AMAZONDS,JCPENNEY01,KOHLDSN,MACY02,TGTDVS</t>
  </si>
  <si>
    <t>1/6/2025</t>
  </si>
  <si>
    <t>AM14-0369</t>
  </si>
  <si>
    <t>AMAZON,HDDS,JCPENNEY01,KOHLDSN,MACY02,NRTPORT,OLLIIX</t>
  </si>
  <si>
    <t>11/13/2024</t>
  </si>
  <si>
    <t>AM14-0370</t>
  </si>
  <si>
    <t>AMAZONDS,BLK01,DESINC,HDDS,JCPENNEY01,KOHLDSN,MACY02,NRTPORT,OVERSTOCK01,TGTDVS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</si>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</sst>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21.42</v>
      </c>
      <c r="M6" s="3">
        <v>22.49</v>
      </c>
      <c r="N6" s="3">
        <v>44.99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101</v>
      </c>
      <c r="Y6" s="2" t="s">
        <v>107</v>
      </c>
      <c r="Z6" s="4">
        <v>563</v>
      </c>
      <c r="AA6" s="4">
        <f>=ROUNDDOWN(12.1075268817204,0)</f>
      </c>
      <c r="AB6" s="5">
        <v>46.5</v>
      </c>
      <c r="AC6" s="2" t="s">
        <v>108</v>
      </c>
      <c r="AD6" s="4">
        <v>24</v>
      </c>
      <c r="AE6" s="4">
        <v>144</v>
      </c>
      <c r="AF6" s="6">
        <v>63</v>
      </c>
      <c r="AG6" s="6">
        <v>46</v>
      </c>
      <c r="AH6" s="7">
        <v>0.9548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902</v>
      </c>
      <c r="AQ6" s="8">
        <v>19181.25</v>
      </c>
      <c r="AR6" s="4"/>
      <c r="AS6" s="8"/>
      <c r="AT6" s="7"/>
      <c r="AU6" s="7"/>
      <c r="AV6" s="4">
        <v>9331</v>
      </c>
      <c r="AW6" s="8">
        <v>272662.67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0.0703</v>
      </c>
      <c r="BC6" s="4">
        <v>20971</v>
      </c>
      <c r="BD6" s="8">
        <v>613197.45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0.4447</v>
      </c>
      <c r="BJ6" s="4">
        <v>3346</v>
      </c>
      <c r="BK6" s="8">
        <v>75757.96</v>
      </c>
      <c r="BL6" s="2" t="s">
        <v>109</v>
      </c>
      <c r="BM6" s="7">
        <v>0.2696</v>
      </c>
      <c r="BN6" s="7">
        <v>0.2532</v>
      </c>
      <c r="BO6" s="4">
        <v>902</v>
      </c>
      <c r="BP6" s="8">
        <v>19181.25</v>
      </c>
      <c r="BQ6" s="4"/>
      <c r="BR6" s="8"/>
      <c r="BS6" s="7"/>
      <c r="BT6" s="7"/>
      <c r="BU6" s="2" t="s">
        <v>110</v>
      </c>
      <c r="BV6" s="2" t="s">
        <v>98</v>
      </c>
      <c r="BW6" s="2" t="s">
        <v>101</v>
      </c>
      <c r="BX6" s="2" t="s">
        <v>111</v>
      </c>
      <c r="BY6" s="2" t="s">
        <v>112</v>
      </c>
      <c r="BZ6" s="2" t="s">
        <v>112</v>
      </c>
      <c r="CA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114</v>
      </c>
      <c r="K7" s="2" t="s">
        <v>97</v>
      </c>
      <c r="L7" s="3">
        <v>25.23</v>
      </c>
      <c r="M7" s="3">
        <v>26.49</v>
      </c>
      <c r="N7" s="3">
        <v>49.99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115</v>
      </c>
      <c r="V7" s="2" t="s">
        <v>105</v>
      </c>
      <c r="W7" s="2" t="s">
        <v>106</v>
      </c>
      <c r="X7" s="2" t="s">
        <v>101</v>
      </c>
      <c r="Y7" s="2" t="s">
        <v>116</v>
      </c>
      <c r="Z7" s="4">
        <v>434</v>
      </c>
      <c r="AA7" s="4">
        <f>=ROUNDDOWN(16.0740740740741,0)</f>
      </c>
      <c r="AB7" s="5">
        <v>27</v>
      </c>
      <c r="AC7" s="2" t="s">
        <v>117</v>
      </c>
      <c r="AD7" s="4">
        <v>60</v>
      </c>
      <c r="AE7" s="4">
        <v>60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202</v>
      </c>
      <c r="AQ7" s="8">
        <v>5783.26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0.0212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1384</v>
      </c>
      <c r="BK7" s="8">
        <v>35581.83</v>
      </c>
      <c r="BL7" s="2" t="s">
        <v>118</v>
      </c>
      <c r="BM7" s="7">
        <v>0.146</v>
      </c>
      <c r="BN7" s="7">
        <v>0.1625</v>
      </c>
      <c r="BO7" s="4">
        <v>202</v>
      </c>
      <c r="BP7" s="8">
        <v>5783.26</v>
      </c>
      <c r="BQ7" s="4"/>
      <c r="BR7" s="8"/>
      <c r="BS7" s="7"/>
      <c r="BT7" s="7"/>
      <c r="BU7" s="2" t="s">
        <v>110</v>
      </c>
      <c r="BV7" s="2" t="s">
        <v>98</v>
      </c>
      <c r="BW7" s="2" t="s">
        <v>101</v>
      </c>
      <c r="BX7" s="2" t="s">
        <v>119</v>
      </c>
      <c r="BY7" s="2" t="s">
        <v>112</v>
      </c>
      <c r="BZ7" s="2" t="s">
        <v>112</v>
      </c>
      <c r="CA7" s="2" t="s">
        <v>101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121</v>
      </c>
      <c r="K8" s="2" t="s">
        <v>97</v>
      </c>
      <c r="L8" s="3">
        <v>26.19</v>
      </c>
      <c r="M8" s="3">
        <v>27.5</v>
      </c>
      <c r="N8" s="3">
        <v>54.99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115</v>
      </c>
      <c r="V8" s="2" t="s">
        <v>105</v>
      </c>
      <c r="W8" s="2" t="s">
        <v>106</v>
      </c>
      <c r="X8" s="2" t="s">
        <v>101</v>
      </c>
      <c r="Y8" s="2" t="s">
        <v>107</v>
      </c>
      <c r="Z8" s="4">
        <v>3325</v>
      </c>
      <c r="AA8" s="4">
        <f>=ROUNDDOWN(12.7884615384615,0)</f>
      </c>
      <c r="AB8" s="5">
        <v>260</v>
      </c>
      <c r="AC8" s="2" t="s">
        <v>108</v>
      </c>
      <c r="AD8" s="4">
        <v>387</v>
      </c>
      <c r="AE8" s="4">
        <v>1587</v>
      </c>
      <c r="AF8" s="6">
        <v>63</v>
      </c>
      <c r="AG8" s="6">
        <v>46</v>
      </c>
      <c r="AH8" s="7">
        <v>0.8952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3119</v>
      </c>
      <c r="AQ8" s="8">
        <v>87586.66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0.3212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17445</v>
      </c>
      <c r="BK8" s="8">
        <v>502545.19</v>
      </c>
      <c r="BL8" s="2" t="s">
        <v>109</v>
      </c>
      <c r="BM8" s="7">
        <v>0.1788</v>
      </c>
      <c r="BN8" s="7">
        <v>0.1743</v>
      </c>
      <c r="BO8" s="4">
        <v>3119</v>
      </c>
      <c r="BP8" s="8">
        <v>87586.66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111</v>
      </c>
      <c r="BY8" s="2" t="s">
        <v>112</v>
      </c>
      <c r="BZ8" s="2" t="s">
        <v>112</v>
      </c>
      <c r="CA8" s="2" t="s">
        <v>101</v>
      </c>
    </row>
    <row r="9">
      <c r="A9" s="2" t="s">
        <v>122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123</v>
      </c>
      <c r="K9" s="2" t="s">
        <v>97</v>
      </c>
      <c r="L9" s="3">
        <v>28.57</v>
      </c>
      <c r="M9" s="3">
        <v>30</v>
      </c>
      <c r="N9" s="3">
        <v>59.99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102</v>
      </c>
      <c r="T9" s="2" t="s">
        <v>103</v>
      </c>
      <c r="U9" s="2" t="s">
        <v>115</v>
      </c>
      <c r="V9" s="2" t="s">
        <v>105</v>
      </c>
      <c r="W9" s="2" t="s">
        <v>106</v>
      </c>
      <c r="X9" s="2" t="s">
        <v>101</v>
      </c>
      <c r="Y9" s="2" t="s">
        <v>124</v>
      </c>
      <c r="Z9" s="4">
        <v>2488</v>
      </c>
      <c r="AA9" s="4">
        <f>=ROUNDDOWN(14.2988505747126,0)</f>
      </c>
      <c r="AB9" s="5">
        <v>174</v>
      </c>
      <c r="AC9" s="2" t="s">
        <v>108</v>
      </c>
      <c r="AD9" s="4">
        <v>756</v>
      </c>
      <c r="AE9" s="4">
        <v>1206</v>
      </c>
      <c r="AF9" s="6">
        <v>63</v>
      </c>
      <c r="AG9" s="6">
        <v>46</v>
      </c>
      <c r="AH9" s="7">
        <v>0.8452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4627</v>
      </c>
      <c r="AQ9" s="8">
        <v>144238.5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0.529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21276</v>
      </c>
      <c r="BK9" s="8">
        <v>732472.51</v>
      </c>
      <c r="BL9" s="2" t="s">
        <v>109</v>
      </c>
      <c r="BM9" s="7">
        <v>0.2175</v>
      </c>
      <c r="BN9" s="7">
        <v>0.1969</v>
      </c>
      <c r="BO9" s="4">
        <v>4627</v>
      </c>
      <c r="BP9" s="8">
        <v>144238.5</v>
      </c>
      <c r="BQ9" s="4"/>
      <c r="BR9" s="8"/>
      <c r="BS9" s="7"/>
      <c r="BT9" s="7"/>
      <c r="BU9" s="2" t="s">
        <v>110</v>
      </c>
      <c r="BV9" s="2" t="s">
        <v>98</v>
      </c>
      <c r="BW9" s="2" t="s">
        <v>101</v>
      </c>
      <c r="BX9" s="2" t="s">
        <v>111</v>
      </c>
      <c r="BY9" s="2" t="s">
        <v>112</v>
      </c>
      <c r="BZ9" s="2" t="s">
        <v>112</v>
      </c>
      <c r="CA9" s="2" t="s">
        <v>101</v>
      </c>
    </row>
    <row r="10">
      <c r="A10" s="2" t="s">
        <v>125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126</v>
      </c>
      <c r="K10" s="2" t="s">
        <v>97</v>
      </c>
      <c r="L10" s="3">
        <v>30.95</v>
      </c>
      <c r="M10" s="3">
        <v>32.5</v>
      </c>
      <c r="N10" s="3">
        <v>54.99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102</v>
      </c>
      <c r="T10" s="2" t="s">
        <v>103</v>
      </c>
      <c r="U10" s="2" t="s">
        <v>115</v>
      </c>
      <c r="V10" s="2" t="s">
        <v>105</v>
      </c>
      <c r="W10" s="2" t="s">
        <v>106</v>
      </c>
      <c r="X10" s="2" t="s">
        <v>101</v>
      </c>
      <c r="Y10" s="2" t="s">
        <v>127</v>
      </c>
      <c r="Z10" s="4">
        <v>2</v>
      </c>
      <c r="AA10" s="4">
        <f>=ROUNDDOWN(0.0143061516452074,0)</f>
      </c>
      <c r="AB10" s="5">
        <v>139.8</v>
      </c>
      <c r="AC10" s="2" t="s">
        <v>108</v>
      </c>
      <c r="AD10" s="4">
        <v>600</v>
      </c>
      <c r="AE10" s="4">
        <v>1860</v>
      </c>
      <c r="AF10" s="6">
        <v>63</v>
      </c>
      <c r="AG10" s="6">
        <v>46</v>
      </c>
      <c r="AH10" s="7">
        <v>0.7514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481</v>
      </c>
      <c r="AQ10" s="8">
        <v>15873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0.0582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3995</v>
      </c>
      <c r="BK10" s="8">
        <v>171585.43</v>
      </c>
      <c r="BL10" s="2" t="s">
        <v>128</v>
      </c>
      <c r="BM10" s="7">
        <v>0.1204</v>
      </c>
      <c r="BN10" s="7">
        <v>0.0925</v>
      </c>
      <c r="BO10" s="4">
        <v>481</v>
      </c>
      <c r="BP10" s="8">
        <v>15873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101</v>
      </c>
      <c r="BX10" s="2" t="s">
        <v>119</v>
      </c>
      <c r="BY10" s="2" t="s">
        <v>112</v>
      </c>
      <c r="BZ10" s="2" t="s">
        <v>112</v>
      </c>
      <c r="CA10" s="2" t="s">
        <v>101</v>
      </c>
    </row>
    <row r="11">
      <c r="A11" s="2" t="s">
        <v>129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130</v>
      </c>
      <c r="L11" s="3">
        <v>21.42</v>
      </c>
      <c r="M11" s="3">
        <v>22.49</v>
      </c>
      <c r="N11" s="3">
        <v>44.99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131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101</v>
      </c>
      <c r="Y11" s="2" t="s">
        <v>132</v>
      </c>
      <c r="Z11" s="4">
        <v>37</v>
      </c>
      <c r="AA11" s="4">
        <f>=ROUNDDOWN(1.29824561403509,0)</f>
      </c>
      <c r="AB11" s="5">
        <v>28.5</v>
      </c>
      <c r="AC11" s="2" t="s">
        <v>101</v>
      </c>
      <c r="AD11" s="4"/>
      <c r="AE11" s="4"/>
      <c r="AF11" s="6">
        <v>63</v>
      </c>
      <c r="AG11" s="6">
        <v>46</v>
      </c>
      <c r="AH11" s="7">
        <v>0.9456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521</v>
      </c>
      <c r="AQ11" s="8">
        <v>11983</v>
      </c>
      <c r="AR11" s="4"/>
      <c r="AS11" s="8"/>
      <c r="AT11" s="7"/>
      <c r="AU11" s="7"/>
      <c r="AV11" s="4">
        <v>2619</v>
      </c>
      <c r="AW11" s="8">
        <v>75785.96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0.1581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0.1236</v>
      </c>
      <c r="BJ11" s="4">
        <v>1899</v>
      </c>
      <c r="BK11" s="8">
        <v>42666.23</v>
      </c>
      <c r="BL11" s="2" t="s">
        <v>109</v>
      </c>
      <c r="BM11" s="7">
        <v>0.2744</v>
      </c>
      <c r="BN11" s="7">
        <v>0.2809</v>
      </c>
      <c r="BO11" s="4">
        <v>521</v>
      </c>
      <c r="BP11" s="8">
        <v>11983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133</v>
      </c>
      <c r="BY11" s="2" t="s">
        <v>112</v>
      </c>
      <c r="BZ11" s="2" t="s">
        <v>112</v>
      </c>
      <c r="CA11" s="2" t="s">
        <v>101</v>
      </c>
    </row>
    <row r="12">
      <c r="A12" s="2" t="s">
        <v>134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114</v>
      </c>
      <c r="K12" s="2" t="s">
        <v>130</v>
      </c>
      <c r="L12" s="3">
        <v>25.23</v>
      </c>
      <c r="M12" s="3">
        <v>26.49</v>
      </c>
      <c r="N12" s="3">
        <v>49.99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131</v>
      </c>
      <c r="T12" s="2" t="s">
        <v>103</v>
      </c>
      <c r="U12" s="2" t="s">
        <v>115</v>
      </c>
      <c r="V12" s="2" t="s">
        <v>105</v>
      </c>
      <c r="W12" s="2" t="s">
        <v>106</v>
      </c>
      <c r="X12" s="2" t="s">
        <v>101</v>
      </c>
      <c r="Y12" s="2" t="s">
        <v>135</v>
      </c>
      <c r="Z12" s="4">
        <v>345</v>
      </c>
      <c r="AA12" s="4">
        <f>=ROUNDDOWN(13.9676113360324,0)</f>
      </c>
      <c r="AB12" s="5">
        <v>24.7</v>
      </c>
      <c r="AC12" s="2" t="s">
        <v>101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82</v>
      </c>
      <c r="AQ12" s="8">
        <v>2347.66</v>
      </c>
      <c r="AR12" s="4"/>
      <c r="AS12" s="8"/>
      <c r="AT12" s="7"/>
      <c r="AU12" s="7"/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0.031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 t="s">
        <v>101</v>
      </c>
      <c r="BJ12" s="4">
        <v>853</v>
      </c>
      <c r="BK12" s="8">
        <v>21686.41</v>
      </c>
      <c r="BL12" s="2" t="s">
        <v>128</v>
      </c>
      <c r="BM12" s="7">
        <v>0.0961</v>
      </c>
      <c r="BN12" s="7">
        <v>0.1083</v>
      </c>
      <c r="BO12" s="4">
        <v>82</v>
      </c>
      <c r="BP12" s="8">
        <v>2347.66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101</v>
      </c>
      <c r="BX12" s="2" t="s">
        <v>136</v>
      </c>
      <c r="BY12" s="2" t="s">
        <v>112</v>
      </c>
      <c r="BZ12" s="2" t="s">
        <v>112</v>
      </c>
      <c r="CA12" s="2" t="s">
        <v>101</v>
      </c>
    </row>
    <row r="13">
      <c r="A13" s="2" t="s">
        <v>137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121</v>
      </c>
      <c r="K13" s="2" t="s">
        <v>130</v>
      </c>
      <c r="L13" s="3">
        <v>26.19</v>
      </c>
      <c r="M13" s="3">
        <v>27.5</v>
      </c>
      <c r="N13" s="3">
        <v>54.99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131</v>
      </c>
      <c r="T13" s="2" t="s">
        <v>103</v>
      </c>
      <c r="U13" s="2" t="s">
        <v>115</v>
      </c>
      <c r="V13" s="2" t="s">
        <v>105</v>
      </c>
      <c r="W13" s="2" t="s">
        <v>106</v>
      </c>
      <c r="X13" s="2" t="s">
        <v>101</v>
      </c>
      <c r="Y13" s="2" t="s">
        <v>138</v>
      </c>
      <c r="Z13" s="4">
        <v>2556</v>
      </c>
      <c r="AA13" s="4">
        <f>=ROUNDDOWN(19.4520547945205,0)</f>
      </c>
      <c r="AB13" s="5">
        <v>131.4</v>
      </c>
      <c r="AC13" s="2" t="s">
        <v>101</v>
      </c>
      <c r="AD13" s="4"/>
      <c r="AE13" s="4"/>
      <c r="AF13" s="6">
        <v>63</v>
      </c>
      <c r="AG13" s="6">
        <v>46</v>
      </c>
      <c r="AH13" s="7">
        <v>0.8902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819</v>
      </c>
      <c r="AQ13" s="8">
        <v>23505.3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0.3102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6855</v>
      </c>
      <c r="BK13" s="8">
        <v>193512.69</v>
      </c>
      <c r="BL13" s="2" t="s">
        <v>139</v>
      </c>
      <c r="BM13" s="7">
        <v>0.1195</v>
      </c>
      <c r="BN13" s="7">
        <v>0.1215</v>
      </c>
      <c r="BO13" s="4">
        <v>819</v>
      </c>
      <c r="BP13" s="8">
        <v>23505.3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101</v>
      </c>
      <c r="BX13" s="2" t="s">
        <v>133</v>
      </c>
      <c r="BY13" s="2" t="s">
        <v>112</v>
      </c>
      <c r="BZ13" s="2" t="s">
        <v>112</v>
      </c>
      <c r="CA13" s="2" t="s">
        <v>101</v>
      </c>
    </row>
    <row r="14">
      <c r="A14" s="2" t="s">
        <v>140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123</v>
      </c>
      <c r="K14" s="2" t="s">
        <v>130</v>
      </c>
      <c r="L14" s="3">
        <v>28.57</v>
      </c>
      <c r="M14" s="3">
        <v>30</v>
      </c>
      <c r="N14" s="3">
        <v>59.99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131</v>
      </c>
      <c r="T14" s="2" t="s">
        <v>103</v>
      </c>
      <c r="U14" s="2" t="s">
        <v>115</v>
      </c>
      <c r="V14" s="2" t="s">
        <v>105</v>
      </c>
      <c r="W14" s="2" t="s">
        <v>106</v>
      </c>
      <c r="X14" s="2" t="s">
        <v>101</v>
      </c>
      <c r="Y14" s="2" t="s">
        <v>132</v>
      </c>
      <c r="Z14" s="4">
        <v>4262</v>
      </c>
      <c r="AA14" s="4">
        <f>=ROUNDDOWN(26.8726355611601,0)</f>
      </c>
      <c r="AB14" s="5">
        <v>158.6</v>
      </c>
      <c r="AC14" s="2" t="s">
        <v>101</v>
      </c>
      <c r="AD14" s="4"/>
      <c r="AE14" s="4"/>
      <c r="AF14" s="6">
        <v>63</v>
      </c>
      <c r="AG14" s="6">
        <v>46</v>
      </c>
      <c r="AH14" s="7">
        <v>0.8792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1034</v>
      </c>
      <c r="AQ14" s="8">
        <v>32571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0.4298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7698</v>
      </c>
      <c r="BK14" s="8">
        <v>253003.83</v>
      </c>
      <c r="BL14" s="2" t="s">
        <v>109</v>
      </c>
      <c r="BM14" s="7">
        <v>0.1343</v>
      </c>
      <c r="BN14" s="7">
        <v>0.1287</v>
      </c>
      <c r="BO14" s="4">
        <v>1034</v>
      </c>
      <c r="BP14" s="8">
        <v>32571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101</v>
      </c>
      <c r="BX14" s="2" t="s">
        <v>133</v>
      </c>
      <c r="BY14" s="2" t="s">
        <v>112</v>
      </c>
      <c r="BZ14" s="2" t="s">
        <v>112</v>
      </c>
      <c r="CA14" s="2" t="s">
        <v>101</v>
      </c>
    </row>
    <row r="15">
      <c r="A15" s="2" t="s">
        <v>141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126</v>
      </c>
      <c r="K15" s="2" t="s">
        <v>130</v>
      </c>
      <c r="L15" s="3">
        <v>30.95</v>
      </c>
      <c r="M15" s="3">
        <v>32.5</v>
      </c>
      <c r="N15" s="3">
        <v>54.99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131</v>
      </c>
      <c r="T15" s="2" t="s">
        <v>103</v>
      </c>
      <c r="U15" s="2" t="s">
        <v>115</v>
      </c>
      <c r="V15" s="2" t="s">
        <v>105</v>
      </c>
      <c r="W15" s="2" t="s">
        <v>106</v>
      </c>
      <c r="X15" s="2" t="s">
        <v>101</v>
      </c>
      <c r="Y15" s="2" t="s">
        <v>135</v>
      </c>
      <c r="Z15" s="4">
        <v>42</v>
      </c>
      <c r="AA15" s="4">
        <f>=ROUNDDOWN(0.672,0)</f>
      </c>
      <c r="AB15" s="5">
        <v>62.5</v>
      </c>
      <c r="AC15" s="2" t="s">
        <v>101</v>
      </c>
      <c r="AD15" s="4"/>
      <c r="AE15" s="4"/>
      <c r="AF15" s="6">
        <v>63</v>
      </c>
      <c r="AG15" s="6">
        <v>46</v>
      </c>
      <c r="AH15" s="7">
        <v>0.956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163</v>
      </c>
      <c r="AQ15" s="8">
        <v>5379</v>
      </c>
      <c r="AR15" s="4"/>
      <c r="AS15" s="8"/>
      <c r="AT15" s="7"/>
      <c r="AU15" s="7"/>
      <c r="AV15" s="4" t="s">
        <v>101</v>
      </c>
      <c r="AW15" s="8" t="s">
        <v>101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0.071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 t="s">
        <v>101</v>
      </c>
      <c r="BJ15" s="4">
        <v>2072</v>
      </c>
      <c r="BK15" s="8">
        <v>85775.13</v>
      </c>
      <c r="BL15" s="2" t="s">
        <v>118</v>
      </c>
      <c r="BM15" s="7">
        <v>0.0787</v>
      </c>
      <c r="BN15" s="7">
        <v>0.0627</v>
      </c>
      <c r="BO15" s="4">
        <v>163</v>
      </c>
      <c r="BP15" s="8">
        <v>5379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119</v>
      </c>
      <c r="BY15" s="2" t="s">
        <v>112</v>
      </c>
      <c r="BZ15" s="2" t="s">
        <v>112</v>
      </c>
      <c r="CA15" s="2" t="s">
        <v>101</v>
      </c>
    </row>
    <row r="16">
      <c r="A16" s="2" t="s">
        <v>142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96</v>
      </c>
      <c r="K16" s="2" t="s">
        <v>143</v>
      </c>
      <c r="L16" s="3">
        <v>21.42</v>
      </c>
      <c r="M16" s="3">
        <v>22.49</v>
      </c>
      <c r="N16" s="3">
        <v>44.99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144</v>
      </c>
      <c r="T16" s="2" t="s">
        <v>103</v>
      </c>
      <c r="U16" s="2" t="s">
        <v>104</v>
      </c>
      <c r="V16" s="2" t="s">
        <v>105</v>
      </c>
      <c r="W16" s="2" t="s">
        <v>106</v>
      </c>
      <c r="X16" s="2" t="s">
        <v>101</v>
      </c>
      <c r="Y16" s="2" t="s">
        <v>124</v>
      </c>
      <c r="Z16" s="4">
        <v>659</v>
      </c>
      <c r="AA16" s="4">
        <f>=ROUNDDOWN(41.1875,0)</f>
      </c>
      <c r="AB16" s="5">
        <v>16</v>
      </c>
      <c r="AC16" s="2" t="s">
        <v>101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254</v>
      </c>
      <c r="AQ16" s="8">
        <v>5842</v>
      </c>
      <c r="AR16" s="4"/>
      <c r="AS16" s="8"/>
      <c r="AT16" s="7"/>
      <c r="AU16" s="7"/>
      <c r="AV16" s="4">
        <v>1931</v>
      </c>
      <c r="AW16" s="8">
        <v>56885.12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0.1027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0.0928</v>
      </c>
      <c r="BJ16" s="4">
        <v>1457</v>
      </c>
      <c r="BK16" s="8">
        <v>33982.02</v>
      </c>
      <c r="BL16" s="2" t="s">
        <v>145</v>
      </c>
      <c r="BM16" s="7">
        <v>0.1743</v>
      </c>
      <c r="BN16" s="7">
        <v>0.1719</v>
      </c>
      <c r="BO16" s="4">
        <v>254</v>
      </c>
      <c r="BP16" s="8">
        <v>5842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111</v>
      </c>
      <c r="BY16" s="2" t="s">
        <v>112</v>
      </c>
      <c r="BZ16" s="2" t="s">
        <v>112</v>
      </c>
      <c r="CA16" s="2" t="s">
        <v>101</v>
      </c>
    </row>
    <row r="17">
      <c r="A17" s="2" t="s">
        <v>146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114</v>
      </c>
      <c r="K17" s="2" t="s">
        <v>143</v>
      </c>
      <c r="L17" s="3">
        <v>25.23</v>
      </c>
      <c r="M17" s="3">
        <v>26.49</v>
      </c>
      <c r="N17" s="3">
        <v>49.99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144</v>
      </c>
      <c r="T17" s="2" t="s">
        <v>103</v>
      </c>
      <c r="U17" s="2" t="s">
        <v>115</v>
      </c>
      <c r="V17" s="2" t="s">
        <v>105</v>
      </c>
      <c r="W17" s="2" t="s">
        <v>106</v>
      </c>
      <c r="X17" s="2" t="s">
        <v>101</v>
      </c>
      <c r="Y17" s="2" t="s">
        <v>116</v>
      </c>
      <c r="Z17" s="4">
        <v>251</v>
      </c>
      <c r="AA17" s="4">
        <f>=ROUNDDOWN(25.1,0)</f>
      </c>
      <c r="AB17" s="5">
        <v>10</v>
      </c>
      <c r="AC17" s="2" t="s">
        <v>101</v>
      </c>
      <c r="AD17" s="4"/>
      <c r="AE17" s="4"/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64</v>
      </c>
      <c r="AQ17" s="8">
        <v>1832.32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0.0322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515</v>
      </c>
      <c r="BK17" s="8">
        <v>13162.87</v>
      </c>
      <c r="BL17" s="2" t="s">
        <v>147</v>
      </c>
      <c r="BM17" s="7">
        <v>0.1243</v>
      </c>
      <c r="BN17" s="7">
        <v>0.1392</v>
      </c>
      <c r="BO17" s="4">
        <v>64</v>
      </c>
      <c r="BP17" s="8">
        <v>1832.32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119</v>
      </c>
      <c r="BY17" s="2" t="s">
        <v>112</v>
      </c>
      <c r="BZ17" s="2" t="s">
        <v>112</v>
      </c>
      <c r="CA17" s="2" t="s">
        <v>101</v>
      </c>
    </row>
    <row r="18">
      <c r="A18" s="2" t="s">
        <v>148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121</v>
      </c>
      <c r="K18" s="2" t="s">
        <v>143</v>
      </c>
      <c r="L18" s="3">
        <v>26.19</v>
      </c>
      <c r="M18" s="3">
        <v>27.5</v>
      </c>
      <c r="N18" s="3">
        <v>54.99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144</v>
      </c>
      <c r="T18" s="2" t="s">
        <v>103</v>
      </c>
      <c r="U18" s="2" t="s">
        <v>115</v>
      </c>
      <c r="V18" s="2" t="s">
        <v>105</v>
      </c>
      <c r="W18" s="2" t="s">
        <v>106</v>
      </c>
      <c r="X18" s="2" t="s">
        <v>101</v>
      </c>
      <c r="Y18" s="2" t="s">
        <v>124</v>
      </c>
      <c r="Z18" s="4">
        <v>2627</v>
      </c>
      <c r="AA18" s="4">
        <f>=ROUNDDOWN(36.0356652949246,0)</f>
      </c>
      <c r="AB18" s="5">
        <v>72.9</v>
      </c>
      <c r="AC18" s="2" t="s">
        <v>101</v>
      </c>
      <c r="AD18" s="4"/>
      <c r="AE18" s="4"/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510</v>
      </c>
      <c r="AQ18" s="8">
        <v>14535</v>
      </c>
      <c r="AR18" s="4"/>
      <c r="AS18" s="8"/>
      <c r="AT18" s="7"/>
      <c r="AU18" s="7"/>
      <c r="AV18" s="4" t="s">
        <v>101</v>
      </c>
      <c r="AW18" s="8" t="s">
        <v>101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0.2555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 t="s">
        <v>101</v>
      </c>
      <c r="BJ18" s="4">
        <v>4840</v>
      </c>
      <c r="BK18" s="8">
        <v>139023.81</v>
      </c>
      <c r="BL18" s="2" t="s">
        <v>139</v>
      </c>
      <c r="BM18" s="7">
        <v>0.1054</v>
      </c>
      <c r="BN18" s="7">
        <v>0.1046</v>
      </c>
      <c r="BO18" s="4">
        <v>510</v>
      </c>
      <c r="BP18" s="8">
        <v>14535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101</v>
      </c>
      <c r="BX18" s="2" t="s">
        <v>111</v>
      </c>
      <c r="BY18" s="2" t="s">
        <v>112</v>
      </c>
      <c r="BZ18" s="2" t="s">
        <v>112</v>
      </c>
      <c r="CA18" s="2" t="s">
        <v>101</v>
      </c>
    </row>
    <row r="19">
      <c r="A19" s="2" t="s">
        <v>149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123</v>
      </c>
      <c r="K19" s="2" t="s">
        <v>143</v>
      </c>
      <c r="L19" s="3">
        <v>28.57</v>
      </c>
      <c r="M19" s="3">
        <v>30</v>
      </c>
      <c r="N19" s="3">
        <v>59.99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144</v>
      </c>
      <c r="T19" s="2" t="s">
        <v>103</v>
      </c>
      <c r="U19" s="2" t="s">
        <v>115</v>
      </c>
      <c r="V19" s="2" t="s">
        <v>105</v>
      </c>
      <c r="W19" s="2" t="s">
        <v>106</v>
      </c>
      <c r="X19" s="2" t="s">
        <v>101</v>
      </c>
      <c r="Y19" s="2" t="s">
        <v>124</v>
      </c>
      <c r="Z19" s="4">
        <v>4166</v>
      </c>
      <c r="AA19" s="4">
        <f>=ROUNDDOWN(50.3140096618357,0)</f>
      </c>
      <c r="AB19" s="5">
        <v>82.8</v>
      </c>
      <c r="AC19" s="2" t="s">
        <v>101</v>
      </c>
      <c r="AD19" s="4"/>
      <c r="AE19" s="4"/>
      <c r="AF19" s="6">
        <v>63</v>
      </c>
      <c r="AG19" s="6">
        <v>46</v>
      </c>
      <c r="AH19" s="7">
        <v>0.931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985</v>
      </c>
      <c r="AQ19" s="8">
        <v>30781.8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0.5411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5146</v>
      </c>
      <c r="BK19" s="8">
        <v>172925.29</v>
      </c>
      <c r="BL19" s="2" t="s">
        <v>109</v>
      </c>
      <c r="BM19" s="7">
        <v>0.1914</v>
      </c>
      <c r="BN19" s="7">
        <v>0.178</v>
      </c>
      <c r="BO19" s="4">
        <v>985</v>
      </c>
      <c r="BP19" s="8">
        <v>30781.8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101</v>
      </c>
      <c r="BX19" s="2" t="s">
        <v>111</v>
      </c>
      <c r="BY19" s="2" t="s">
        <v>112</v>
      </c>
      <c r="BZ19" s="2" t="s">
        <v>112</v>
      </c>
      <c r="CA19" s="2" t="s">
        <v>101</v>
      </c>
    </row>
    <row r="20">
      <c r="A20" s="2" t="s">
        <v>150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126</v>
      </c>
      <c r="K20" s="2" t="s">
        <v>143</v>
      </c>
      <c r="L20" s="3">
        <v>30.95</v>
      </c>
      <c r="M20" s="3">
        <v>32.5</v>
      </c>
      <c r="N20" s="3">
        <v>54.99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144</v>
      </c>
      <c r="T20" s="2" t="s">
        <v>103</v>
      </c>
      <c r="U20" s="2" t="s">
        <v>115</v>
      </c>
      <c r="V20" s="2" t="s">
        <v>105</v>
      </c>
      <c r="W20" s="2" t="s">
        <v>106</v>
      </c>
      <c r="X20" s="2" t="s">
        <v>101</v>
      </c>
      <c r="Y20" s="2" t="s">
        <v>116</v>
      </c>
      <c r="Z20" s="4">
        <v>12</v>
      </c>
      <c r="AA20" s="4">
        <f>=ROUNDDOWN(0.380952380952381,0)</f>
      </c>
      <c r="AB20" s="5">
        <v>31.5</v>
      </c>
      <c r="AC20" s="2" t="s">
        <v>108</v>
      </c>
      <c r="AD20" s="4">
        <v>600</v>
      </c>
      <c r="AE20" s="4">
        <v>600</v>
      </c>
      <c r="AF20" s="6">
        <v>63</v>
      </c>
      <c r="AG20" s="6">
        <v>46</v>
      </c>
      <c r="AH20" s="7">
        <v>0.8081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118</v>
      </c>
      <c r="AQ20" s="8">
        <v>3894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0.0685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929</v>
      </c>
      <c r="BK20" s="8">
        <v>38251.43</v>
      </c>
      <c r="BL20" s="2" t="s">
        <v>151</v>
      </c>
      <c r="BM20" s="7">
        <v>0.127</v>
      </c>
      <c r="BN20" s="7">
        <v>0.1018</v>
      </c>
      <c r="BO20" s="4">
        <v>118</v>
      </c>
      <c r="BP20" s="8">
        <v>3894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101</v>
      </c>
      <c r="BX20" s="2" t="s">
        <v>119</v>
      </c>
      <c r="BY20" s="2" t="s">
        <v>112</v>
      </c>
      <c r="BZ20" s="2" t="s">
        <v>112</v>
      </c>
      <c r="CA20" s="2" t="s">
        <v>101</v>
      </c>
    </row>
    <row r="21">
      <c r="A21" s="2" t="s">
        <v>152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153</v>
      </c>
      <c r="L21" s="3">
        <v>21.42</v>
      </c>
      <c r="M21" s="3">
        <v>22.49</v>
      </c>
      <c r="N21" s="3">
        <v>44.99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154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101</v>
      </c>
      <c r="Y21" s="2" t="s">
        <v>107</v>
      </c>
      <c r="Z21" s="4">
        <v>331</v>
      </c>
      <c r="AA21" s="4">
        <f>=ROUNDDOWN(11.1824324324324,0)</f>
      </c>
      <c r="AB21" s="5">
        <v>29.6</v>
      </c>
      <c r="AC21" s="2" t="s">
        <v>101</v>
      </c>
      <c r="AD21" s="4"/>
      <c r="AE21" s="4"/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173</v>
      </c>
      <c r="AQ21" s="8">
        <v>3979</v>
      </c>
      <c r="AR21" s="4"/>
      <c r="AS21" s="8"/>
      <c r="AT21" s="7"/>
      <c r="AU21" s="7"/>
      <c r="AV21" s="4">
        <v>1918</v>
      </c>
      <c r="AW21" s="8">
        <v>56746.91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0.0701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0.0925</v>
      </c>
      <c r="BJ21" s="4">
        <v>1524</v>
      </c>
      <c r="BK21" s="8">
        <v>33938.51</v>
      </c>
      <c r="BL21" s="2" t="s">
        <v>155</v>
      </c>
      <c r="BM21" s="7">
        <v>0.1135</v>
      </c>
      <c r="BN21" s="7">
        <v>0.1172</v>
      </c>
      <c r="BO21" s="4">
        <v>173</v>
      </c>
      <c r="BP21" s="8">
        <v>3979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111</v>
      </c>
      <c r="BY21" s="2" t="s">
        <v>112</v>
      </c>
      <c r="BZ21" s="2" t="s">
        <v>112</v>
      </c>
      <c r="CA21" s="2" t="s">
        <v>101</v>
      </c>
    </row>
    <row r="22">
      <c r="A22" s="2" t="s">
        <v>156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114</v>
      </c>
      <c r="K22" s="2" t="s">
        <v>153</v>
      </c>
      <c r="L22" s="3">
        <v>25.23</v>
      </c>
      <c r="M22" s="3">
        <v>26.49</v>
      </c>
      <c r="N22" s="3">
        <v>49.99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154</v>
      </c>
      <c r="T22" s="2" t="s">
        <v>103</v>
      </c>
      <c r="U22" s="2" t="s">
        <v>115</v>
      </c>
      <c r="V22" s="2" t="s">
        <v>105</v>
      </c>
      <c r="W22" s="2" t="s">
        <v>106</v>
      </c>
      <c r="X22" s="2" t="s">
        <v>101</v>
      </c>
      <c r="Y22" s="2" t="s">
        <v>116</v>
      </c>
      <c r="Z22" s="4">
        <v>806</v>
      </c>
      <c r="AA22" s="4">
        <f>=ROUNDDOWN(74.6296296296296,0)</f>
      </c>
      <c r="AB22" s="5">
        <v>10.8</v>
      </c>
      <c r="AC22" s="2" t="s">
        <v>101</v>
      </c>
      <c r="AD22" s="4"/>
      <c r="AE22" s="4"/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33</v>
      </c>
      <c r="AQ22" s="8">
        <v>944.79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0.0166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649</v>
      </c>
      <c r="BK22" s="8">
        <v>16238.09</v>
      </c>
      <c r="BL22" s="2" t="s">
        <v>157</v>
      </c>
      <c r="BM22" s="7">
        <v>0.0508</v>
      </c>
      <c r="BN22" s="7">
        <v>0.0582</v>
      </c>
      <c r="BO22" s="4">
        <v>33</v>
      </c>
      <c r="BP22" s="8">
        <v>944.79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101</v>
      </c>
      <c r="BX22" s="2" t="s">
        <v>119</v>
      </c>
      <c r="BY22" s="2" t="s">
        <v>112</v>
      </c>
      <c r="BZ22" s="2" t="s">
        <v>112</v>
      </c>
      <c r="CA22" s="2" t="s">
        <v>101</v>
      </c>
    </row>
    <row r="23">
      <c r="A23" s="2" t="s">
        <v>158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121</v>
      </c>
      <c r="K23" s="2" t="s">
        <v>153</v>
      </c>
      <c r="L23" s="3">
        <v>26.19</v>
      </c>
      <c r="M23" s="3">
        <v>27.5</v>
      </c>
      <c r="N23" s="3">
        <v>54.99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154</v>
      </c>
      <c r="T23" s="2" t="s">
        <v>103</v>
      </c>
      <c r="U23" s="2" t="s">
        <v>115</v>
      </c>
      <c r="V23" s="2" t="s">
        <v>105</v>
      </c>
      <c r="W23" s="2" t="s">
        <v>106</v>
      </c>
      <c r="X23" s="2" t="s">
        <v>101</v>
      </c>
      <c r="Y23" s="2" t="s">
        <v>107</v>
      </c>
      <c r="Z23" s="4">
        <v>2983</v>
      </c>
      <c r="AA23" s="4">
        <f>=ROUNDDOWN(37.5220125786163,0)</f>
      </c>
      <c r="AB23" s="5">
        <v>79.5</v>
      </c>
      <c r="AC23" s="2" t="s">
        <v>101</v>
      </c>
      <c r="AD23" s="4"/>
      <c r="AE23" s="4"/>
      <c r="AF23" s="6">
        <v>63</v>
      </c>
      <c r="AG23" s="6">
        <v>46</v>
      </c>
      <c r="AH23" s="7">
        <v>0.9524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584</v>
      </c>
      <c r="AQ23" s="8">
        <v>16691.92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0.2941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5634</v>
      </c>
      <c r="BK23" s="8">
        <v>156398.17</v>
      </c>
      <c r="BL23" s="2" t="s">
        <v>155</v>
      </c>
      <c r="BM23" s="7">
        <v>0.1037</v>
      </c>
      <c r="BN23" s="7">
        <v>0.1067</v>
      </c>
      <c r="BO23" s="4">
        <v>584</v>
      </c>
      <c r="BP23" s="8">
        <v>16691.92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101</v>
      </c>
      <c r="BX23" s="2" t="s">
        <v>111</v>
      </c>
      <c r="BY23" s="2" t="s">
        <v>112</v>
      </c>
      <c r="BZ23" s="2" t="s">
        <v>112</v>
      </c>
      <c r="CA23" s="2" t="s">
        <v>101</v>
      </c>
    </row>
    <row r="24">
      <c r="A24" s="2" t="s">
        <v>159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123</v>
      </c>
      <c r="K24" s="2" t="s">
        <v>153</v>
      </c>
      <c r="L24" s="3">
        <v>28.57</v>
      </c>
      <c r="M24" s="3">
        <v>30</v>
      </c>
      <c r="N24" s="3">
        <v>59.99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154</v>
      </c>
      <c r="T24" s="2" t="s">
        <v>103</v>
      </c>
      <c r="U24" s="2" t="s">
        <v>115</v>
      </c>
      <c r="V24" s="2" t="s">
        <v>105</v>
      </c>
      <c r="W24" s="2" t="s">
        <v>106</v>
      </c>
      <c r="X24" s="2" t="s">
        <v>101</v>
      </c>
      <c r="Y24" s="2" t="s">
        <v>124</v>
      </c>
      <c r="Z24" s="4">
        <v>4179</v>
      </c>
      <c r="AA24" s="4">
        <f>=ROUNDDOWN(50.5320435308343,0)</f>
      </c>
      <c r="AB24" s="5">
        <v>82.7</v>
      </c>
      <c r="AC24" s="2" t="s">
        <v>101</v>
      </c>
      <c r="AD24" s="4"/>
      <c r="AE24" s="4"/>
      <c r="AF24" s="6">
        <v>63</v>
      </c>
      <c r="AG24" s="6">
        <v>46</v>
      </c>
      <c r="AH24" s="7">
        <v>0.9548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992</v>
      </c>
      <c r="AQ24" s="8">
        <v>30643.2</v>
      </c>
      <c r="AR24" s="4"/>
      <c r="AS24" s="8"/>
      <c r="AT24" s="7"/>
      <c r="AU24" s="7"/>
      <c r="AV24" s="4" t="s">
        <v>101</v>
      </c>
      <c r="AW24" s="8" t="s">
        <v>101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0.54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6893</v>
      </c>
      <c r="BK24" s="8">
        <v>224153.27</v>
      </c>
      <c r="BL24" s="2" t="s">
        <v>109</v>
      </c>
      <c r="BM24" s="7">
        <v>0.1439</v>
      </c>
      <c r="BN24" s="7">
        <v>0.1367</v>
      </c>
      <c r="BO24" s="4">
        <v>992</v>
      </c>
      <c r="BP24" s="8">
        <v>30643.2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101</v>
      </c>
      <c r="BX24" s="2" t="s">
        <v>111</v>
      </c>
      <c r="BY24" s="2" t="s">
        <v>112</v>
      </c>
      <c r="BZ24" s="2" t="s">
        <v>112</v>
      </c>
      <c r="CA24" s="2" t="s">
        <v>101</v>
      </c>
    </row>
    <row r="25">
      <c r="A25" s="2" t="s">
        <v>160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126</v>
      </c>
      <c r="K25" s="2" t="s">
        <v>153</v>
      </c>
      <c r="L25" s="3">
        <v>30.95</v>
      </c>
      <c r="M25" s="3">
        <v>32.5</v>
      </c>
      <c r="N25" s="3">
        <v>54.99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154</v>
      </c>
      <c r="T25" s="2" t="s">
        <v>103</v>
      </c>
      <c r="U25" s="2" t="s">
        <v>115</v>
      </c>
      <c r="V25" s="2" t="s">
        <v>105</v>
      </c>
      <c r="W25" s="2" t="s">
        <v>106</v>
      </c>
      <c r="X25" s="2" t="s">
        <v>101</v>
      </c>
      <c r="Y25" s="2" t="s">
        <v>116</v>
      </c>
      <c r="Z25" s="4">
        <v>165</v>
      </c>
      <c r="AA25" s="4">
        <f>=ROUNDDOWN(2.82534246575342,0)</f>
      </c>
      <c r="AB25" s="5">
        <v>58.4</v>
      </c>
      <c r="AC25" s="2" t="s">
        <v>101</v>
      </c>
      <c r="AD25" s="4"/>
      <c r="AE25" s="4"/>
      <c r="AF25" s="6">
        <v>63</v>
      </c>
      <c r="AG25" s="6">
        <v>46</v>
      </c>
      <c r="AH25" s="7">
        <v>0.9884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136</v>
      </c>
      <c r="AQ25" s="8">
        <v>4488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0.0791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1805</v>
      </c>
      <c r="BK25" s="8">
        <v>74146.39</v>
      </c>
      <c r="BL25" s="2" t="s">
        <v>161</v>
      </c>
      <c r="BM25" s="7">
        <v>0.0753</v>
      </c>
      <c r="BN25" s="7">
        <v>0.0605</v>
      </c>
      <c r="BO25" s="4">
        <v>136</v>
      </c>
      <c r="BP25" s="8">
        <v>4488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101</v>
      </c>
      <c r="BX25" s="2" t="s">
        <v>119</v>
      </c>
      <c r="BY25" s="2" t="s">
        <v>112</v>
      </c>
      <c r="BZ25" s="2" t="s">
        <v>112</v>
      </c>
      <c r="CA25" s="2" t="s">
        <v>101</v>
      </c>
    </row>
    <row r="26">
      <c r="A26" s="2" t="s">
        <v>162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96</v>
      </c>
      <c r="K26" s="2" t="s">
        <v>163</v>
      </c>
      <c r="L26" s="3">
        <v>21.42</v>
      </c>
      <c r="M26" s="3">
        <v>22.49</v>
      </c>
      <c r="N26" s="3">
        <v>39.99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164</v>
      </c>
      <c r="T26" s="2" t="s">
        <v>103</v>
      </c>
      <c r="U26" s="2" t="s">
        <v>104</v>
      </c>
      <c r="V26" s="2" t="s">
        <v>105</v>
      </c>
      <c r="W26" s="2" t="s">
        <v>106</v>
      </c>
      <c r="X26" s="2" t="s">
        <v>101</v>
      </c>
      <c r="Y26" s="2" t="s">
        <v>165</v>
      </c>
      <c r="Z26" s="4">
        <v>8</v>
      </c>
      <c r="AA26" s="4">
        <f>=ROUNDDOWN(0.246913580246914,0)</f>
      </c>
      <c r="AB26" s="5">
        <v>32.4</v>
      </c>
      <c r="AC26" s="2" t="s">
        <v>166</v>
      </c>
      <c r="AD26" s="4">
        <v>30</v>
      </c>
      <c r="AE26" s="4">
        <v>180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110</v>
      </c>
      <c r="AQ26" s="8">
        <v>2511.3</v>
      </c>
      <c r="AR26" s="4"/>
      <c r="AS26" s="8"/>
      <c r="AT26" s="7"/>
      <c r="AU26" s="7"/>
      <c r="AV26" s="4">
        <v>886</v>
      </c>
      <c r="AW26" s="8">
        <v>26150.29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0.096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0.0426</v>
      </c>
      <c r="BJ26" s="4">
        <v>1108</v>
      </c>
      <c r="BK26" s="8">
        <v>24486.6</v>
      </c>
      <c r="BL26" s="2" t="s">
        <v>167</v>
      </c>
      <c r="BM26" s="7">
        <v>0.0993</v>
      </c>
      <c r="BN26" s="7">
        <v>0.1026</v>
      </c>
      <c r="BO26" s="4">
        <v>110</v>
      </c>
      <c r="BP26" s="8">
        <v>2511.3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101</v>
      </c>
      <c r="BX26" s="2" t="s">
        <v>168</v>
      </c>
      <c r="BY26" s="2" t="s">
        <v>112</v>
      </c>
      <c r="BZ26" s="2" t="s">
        <v>112</v>
      </c>
      <c r="CA26" s="2" t="s">
        <v>101</v>
      </c>
    </row>
    <row r="27">
      <c r="A27" s="2" t="s">
        <v>169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114</v>
      </c>
      <c r="K27" s="2" t="s">
        <v>163</v>
      </c>
      <c r="L27" s="3">
        <v>25.23</v>
      </c>
      <c r="M27" s="3">
        <v>26.49</v>
      </c>
      <c r="N27" s="3">
        <v>49.99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164</v>
      </c>
      <c r="T27" s="2" t="s">
        <v>103</v>
      </c>
      <c r="U27" s="2" t="s">
        <v>115</v>
      </c>
      <c r="V27" s="2" t="s">
        <v>105</v>
      </c>
      <c r="W27" s="2" t="s">
        <v>106</v>
      </c>
      <c r="X27" s="2" t="s">
        <v>101</v>
      </c>
      <c r="Y27" s="2" t="s">
        <v>170</v>
      </c>
      <c r="Z27" s="4">
        <v>636</v>
      </c>
      <c r="AA27" s="4">
        <f>=ROUNDDOWN(26.7226890756303,0)</f>
      </c>
      <c r="AB27" s="5">
        <v>23.8</v>
      </c>
      <c r="AC27" s="2" t="s">
        <v>101</v>
      </c>
      <c r="AD27" s="4"/>
      <c r="AE27" s="4"/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41</v>
      </c>
      <c r="AQ27" s="8">
        <v>1173.83</v>
      </c>
      <c r="AR27" s="4"/>
      <c r="AS27" s="8"/>
      <c r="AT27" s="7"/>
      <c r="AU27" s="7"/>
      <c r="AV27" s="4" t="s">
        <v>101</v>
      </c>
      <c r="AW27" s="8" t="s">
        <v>101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0.0449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927</v>
      </c>
      <c r="BK27" s="8">
        <v>23755.25</v>
      </c>
      <c r="BL27" s="2" t="s">
        <v>145</v>
      </c>
      <c r="BM27" s="7">
        <v>0.0442</v>
      </c>
      <c r="BN27" s="7">
        <v>0.0494</v>
      </c>
      <c r="BO27" s="4">
        <v>41</v>
      </c>
      <c r="BP27" s="8">
        <v>1173.83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101</v>
      </c>
      <c r="BX27" s="2" t="s">
        <v>119</v>
      </c>
      <c r="BY27" s="2" t="s">
        <v>112</v>
      </c>
      <c r="BZ27" s="2" t="s">
        <v>112</v>
      </c>
      <c r="CA27" s="2" t="s">
        <v>101</v>
      </c>
    </row>
    <row r="28">
      <c r="A28" s="2" t="s">
        <v>171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121</v>
      </c>
      <c r="K28" s="2" t="s">
        <v>163</v>
      </c>
      <c r="L28" s="3">
        <v>26.19</v>
      </c>
      <c r="M28" s="3">
        <v>27.5</v>
      </c>
      <c r="N28" s="3">
        <v>49.99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164</v>
      </c>
      <c r="T28" s="2" t="s">
        <v>103</v>
      </c>
      <c r="U28" s="2" t="s">
        <v>115</v>
      </c>
      <c r="V28" s="2" t="s">
        <v>105</v>
      </c>
      <c r="W28" s="2" t="s">
        <v>106</v>
      </c>
      <c r="X28" s="2" t="s">
        <v>101</v>
      </c>
      <c r="Y28" s="2" t="s">
        <v>172</v>
      </c>
      <c r="Z28" s="4">
        <v>7</v>
      </c>
      <c r="AA28" s="4">
        <f>=ROUNDDOWN(0.0498575498575499,0)</f>
      </c>
      <c r="AB28" s="5">
        <v>140.4</v>
      </c>
      <c r="AC28" s="2" t="s">
        <v>173</v>
      </c>
      <c r="AD28" s="4">
        <v>360</v>
      </c>
      <c r="AE28" s="4">
        <v>1290</v>
      </c>
      <c r="AF28" s="6">
        <v>63</v>
      </c>
      <c r="AG28" s="6">
        <v>46</v>
      </c>
      <c r="AH28" s="7">
        <v>0.7766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332</v>
      </c>
      <c r="AQ28" s="8">
        <v>9505.16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0.3635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3431</v>
      </c>
      <c r="BK28" s="8">
        <v>96441.75</v>
      </c>
      <c r="BL28" s="2" t="s">
        <v>167</v>
      </c>
      <c r="BM28" s="7">
        <v>0.0968</v>
      </c>
      <c r="BN28" s="7">
        <v>0.0986</v>
      </c>
      <c r="BO28" s="4">
        <v>332</v>
      </c>
      <c r="BP28" s="8">
        <v>9505.16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101</v>
      </c>
      <c r="BX28" s="2" t="s">
        <v>119</v>
      </c>
      <c r="BY28" s="2" t="s">
        <v>112</v>
      </c>
      <c r="BZ28" s="2" t="s">
        <v>112</v>
      </c>
      <c r="CA28" s="2" t="s">
        <v>101</v>
      </c>
    </row>
    <row r="29">
      <c r="A29" s="2" t="s">
        <v>174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123</v>
      </c>
      <c r="K29" s="2" t="s">
        <v>163</v>
      </c>
      <c r="L29" s="3">
        <v>28.57</v>
      </c>
      <c r="M29" s="3">
        <v>30</v>
      </c>
      <c r="N29" s="3">
        <v>54.99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164</v>
      </c>
      <c r="T29" s="2" t="s">
        <v>103</v>
      </c>
      <c r="U29" s="2" t="s">
        <v>115</v>
      </c>
      <c r="V29" s="2" t="s">
        <v>105</v>
      </c>
      <c r="W29" s="2" t="s">
        <v>106</v>
      </c>
      <c r="X29" s="2" t="s">
        <v>101</v>
      </c>
      <c r="Y29" s="2" t="s">
        <v>165</v>
      </c>
      <c r="Z29" s="4">
        <v>31</v>
      </c>
      <c r="AA29" s="4">
        <f>=ROUNDDOWN(0.234138972809668,0)</f>
      </c>
      <c r="AB29" s="5">
        <v>132.4</v>
      </c>
      <c r="AC29" s="2" t="s">
        <v>173</v>
      </c>
      <c r="AD29" s="4">
        <v>240</v>
      </c>
      <c r="AE29" s="4">
        <v>330</v>
      </c>
      <c r="AF29" s="6">
        <v>63</v>
      </c>
      <c r="AG29" s="6">
        <v>46</v>
      </c>
      <c r="AH29" s="7">
        <v>0.9679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226</v>
      </c>
      <c r="AQ29" s="8">
        <v>7119</v>
      </c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0.2722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3628</v>
      </c>
      <c r="BK29" s="8">
        <v>120038.67</v>
      </c>
      <c r="BL29" s="2" t="s">
        <v>145</v>
      </c>
      <c r="BM29" s="7">
        <v>0.0623</v>
      </c>
      <c r="BN29" s="7">
        <v>0.0593</v>
      </c>
      <c r="BO29" s="4">
        <v>226</v>
      </c>
      <c r="BP29" s="8">
        <v>7119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101</v>
      </c>
      <c r="BX29" s="2" t="s">
        <v>168</v>
      </c>
      <c r="BY29" s="2" t="s">
        <v>112</v>
      </c>
      <c r="BZ29" s="2" t="s">
        <v>112</v>
      </c>
      <c r="CA29" s="2" t="s">
        <v>101</v>
      </c>
    </row>
    <row r="30">
      <c r="A30" s="2" t="s">
        <v>175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93</v>
      </c>
      <c r="H30" s="2" t="s">
        <v>94</v>
      </c>
      <c r="I30" s="2" t="s">
        <v>95</v>
      </c>
      <c r="J30" s="2" t="s">
        <v>126</v>
      </c>
      <c r="K30" s="2" t="s">
        <v>163</v>
      </c>
      <c r="L30" s="3">
        <v>30.95</v>
      </c>
      <c r="M30" s="3">
        <v>32.5</v>
      </c>
      <c r="N30" s="3">
        <v>54.99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164</v>
      </c>
      <c r="T30" s="2" t="s">
        <v>103</v>
      </c>
      <c r="U30" s="2" t="s">
        <v>115</v>
      </c>
      <c r="V30" s="2" t="s">
        <v>105</v>
      </c>
      <c r="W30" s="2" t="s">
        <v>106</v>
      </c>
      <c r="X30" s="2" t="s">
        <v>101</v>
      </c>
      <c r="Y30" s="2" t="s">
        <v>170</v>
      </c>
      <c r="Z30" s="4">
        <v>1</v>
      </c>
      <c r="AA30" s="4">
        <f>=ROUNDDOWN(0.0182149362477231,0)</f>
      </c>
      <c r="AB30" s="5">
        <v>54.9</v>
      </c>
      <c r="AC30" s="2" t="s">
        <v>166</v>
      </c>
      <c r="AD30" s="4">
        <v>300</v>
      </c>
      <c r="AE30" s="4">
        <v>600</v>
      </c>
      <c r="AF30" s="6">
        <v>63</v>
      </c>
      <c r="AG30" s="6">
        <v>46</v>
      </c>
      <c r="AH30" s="7">
        <v>0.773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177</v>
      </c>
      <c r="AQ30" s="8">
        <v>5841</v>
      </c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0.2234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1407</v>
      </c>
      <c r="BK30" s="8">
        <v>57160.29</v>
      </c>
      <c r="BL30" s="2" t="s">
        <v>176</v>
      </c>
      <c r="BM30" s="7">
        <v>0.1258</v>
      </c>
      <c r="BN30" s="7">
        <v>0.1022</v>
      </c>
      <c r="BO30" s="4">
        <v>177</v>
      </c>
      <c r="BP30" s="8">
        <v>5841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101</v>
      </c>
      <c r="BX30" s="2" t="s">
        <v>168</v>
      </c>
      <c r="BY30" s="2" t="s">
        <v>112</v>
      </c>
      <c r="BZ30" s="2" t="s">
        <v>112</v>
      </c>
      <c r="CA30" s="2" t="s">
        <v>101</v>
      </c>
    </row>
    <row r="31">
      <c r="A31" s="2" t="s">
        <v>177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93</v>
      </c>
      <c r="H31" s="2" t="s">
        <v>94</v>
      </c>
      <c r="I31" s="2" t="s">
        <v>95</v>
      </c>
      <c r="J31" s="2" t="s">
        <v>96</v>
      </c>
      <c r="K31" s="2" t="s">
        <v>178</v>
      </c>
      <c r="L31" s="3">
        <v>21.42</v>
      </c>
      <c r="M31" s="3">
        <v>22.49</v>
      </c>
      <c r="N31" s="3">
        <v>39.99</v>
      </c>
      <c r="O31" s="2" t="s">
        <v>98</v>
      </c>
      <c r="P31" s="2" t="s">
        <v>99</v>
      </c>
      <c r="Q31" s="2" t="s">
        <v>100</v>
      </c>
      <c r="R31" s="2" t="s">
        <v>101</v>
      </c>
      <c r="S31" s="2" t="s">
        <v>179</v>
      </c>
      <c r="T31" s="2" t="s">
        <v>103</v>
      </c>
      <c r="U31" s="2" t="s">
        <v>104</v>
      </c>
      <c r="V31" s="2" t="s">
        <v>105</v>
      </c>
      <c r="W31" s="2" t="s">
        <v>106</v>
      </c>
      <c r="X31" s="2" t="s">
        <v>101</v>
      </c>
      <c r="Y31" s="2" t="s">
        <v>180</v>
      </c>
      <c r="Z31" s="4">
        <v>53</v>
      </c>
      <c r="AA31" s="4">
        <f>=ROUNDDOWN(3.75886524822695,0)</f>
      </c>
      <c r="AB31" s="5">
        <v>14.1</v>
      </c>
      <c r="AC31" s="2" t="s">
        <v>117</v>
      </c>
      <c r="AD31" s="4">
        <v>120</v>
      </c>
      <c r="AE31" s="4">
        <v>120</v>
      </c>
      <c r="AF31" s="6">
        <v>63</v>
      </c>
      <c r="AG31" s="6">
        <v>46</v>
      </c>
      <c r="AH31" s="7">
        <v>0.9948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89</v>
      </c>
      <c r="AQ31" s="8">
        <v>2031.87</v>
      </c>
      <c r="AR31" s="4"/>
      <c r="AS31" s="8"/>
      <c r="AT31" s="7"/>
      <c r="AU31" s="7"/>
      <c r="AV31" s="4">
        <v>698</v>
      </c>
      <c r="AW31" s="8">
        <v>20836.23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0.0975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0.034</v>
      </c>
      <c r="BJ31" s="4">
        <v>589</v>
      </c>
      <c r="BK31" s="8">
        <v>12773.97</v>
      </c>
      <c r="BL31" s="2" t="s">
        <v>167</v>
      </c>
      <c r="BM31" s="7">
        <v>0.1511</v>
      </c>
      <c r="BN31" s="7">
        <v>0.1591</v>
      </c>
      <c r="BO31" s="4">
        <v>89</v>
      </c>
      <c r="BP31" s="8">
        <v>2031.87</v>
      </c>
      <c r="BQ31" s="4"/>
      <c r="BR31" s="8"/>
      <c r="BS31" s="7"/>
      <c r="BT31" s="7"/>
      <c r="BU31" s="2" t="s">
        <v>110</v>
      </c>
      <c r="BV31" s="2" t="s">
        <v>98</v>
      </c>
      <c r="BW31" s="2" t="s">
        <v>101</v>
      </c>
      <c r="BX31" s="2" t="s">
        <v>119</v>
      </c>
      <c r="BY31" s="2" t="s">
        <v>112</v>
      </c>
      <c r="BZ31" s="2" t="s">
        <v>112</v>
      </c>
      <c r="CA31" s="2" t="s">
        <v>101</v>
      </c>
    </row>
    <row r="32">
      <c r="A32" s="2" t="s">
        <v>181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93</v>
      </c>
      <c r="H32" s="2" t="s">
        <v>94</v>
      </c>
      <c r="I32" s="2" t="s">
        <v>95</v>
      </c>
      <c r="J32" s="2" t="s">
        <v>114</v>
      </c>
      <c r="K32" s="2" t="s">
        <v>178</v>
      </c>
      <c r="L32" s="3">
        <v>25.23</v>
      </c>
      <c r="M32" s="3">
        <v>26.49</v>
      </c>
      <c r="N32" s="3">
        <v>49.99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179</v>
      </c>
      <c r="T32" s="2" t="s">
        <v>103</v>
      </c>
      <c r="U32" s="2" t="s">
        <v>115</v>
      </c>
      <c r="V32" s="2" t="s">
        <v>105</v>
      </c>
      <c r="W32" s="2" t="s">
        <v>106</v>
      </c>
      <c r="X32" s="2" t="s">
        <v>101</v>
      </c>
      <c r="Y32" s="2" t="s">
        <v>182</v>
      </c>
      <c r="Z32" s="4">
        <v>407</v>
      </c>
      <c r="AA32" s="4">
        <f>=ROUNDDOWN(33.0894308943089,0)</f>
      </c>
      <c r="AB32" s="5">
        <v>12.3</v>
      </c>
      <c r="AC32" s="2" t="s">
        <v>101</v>
      </c>
      <c r="AD32" s="4"/>
      <c r="AE32" s="4"/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19</v>
      </c>
      <c r="AQ32" s="8">
        <v>543.97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0.0261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457</v>
      </c>
      <c r="BK32" s="8">
        <v>11613.3</v>
      </c>
      <c r="BL32" s="2" t="s">
        <v>176</v>
      </c>
      <c r="BM32" s="7">
        <v>0.0416</v>
      </c>
      <c r="BN32" s="7">
        <v>0.0468</v>
      </c>
      <c r="BO32" s="4">
        <v>19</v>
      </c>
      <c r="BP32" s="8">
        <v>543.97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101</v>
      </c>
      <c r="BX32" s="2" t="s">
        <v>136</v>
      </c>
      <c r="BY32" s="2" t="s">
        <v>112</v>
      </c>
      <c r="BZ32" s="2" t="s">
        <v>112</v>
      </c>
      <c r="CA32" s="2" t="s">
        <v>101</v>
      </c>
    </row>
    <row r="33">
      <c r="A33" s="2" t="s">
        <v>183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93</v>
      </c>
      <c r="H33" s="2" t="s">
        <v>94</v>
      </c>
      <c r="I33" s="2" t="s">
        <v>95</v>
      </c>
      <c r="J33" s="2" t="s">
        <v>121</v>
      </c>
      <c r="K33" s="2" t="s">
        <v>178</v>
      </c>
      <c r="L33" s="3">
        <v>26.19</v>
      </c>
      <c r="M33" s="3">
        <v>27.5</v>
      </c>
      <c r="N33" s="3">
        <v>49.99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179</v>
      </c>
      <c r="T33" s="2" t="s">
        <v>103</v>
      </c>
      <c r="U33" s="2" t="s">
        <v>115</v>
      </c>
      <c r="V33" s="2" t="s">
        <v>105</v>
      </c>
      <c r="W33" s="2" t="s">
        <v>106</v>
      </c>
      <c r="X33" s="2" t="s">
        <v>101</v>
      </c>
      <c r="Y33" s="2" t="s">
        <v>180</v>
      </c>
      <c r="Z33" s="4">
        <v>1359</v>
      </c>
      <c r="AA33" s="4">
        <f>=ROUNDDOWN(11.8689956331878,0)</f>
      </c>
      <c r="AB33" s="5">
        <v>114.5</v>
      </c>
      <c r="AC33" s="2" t="s">
        <v>184</v>
      </c>
      <c r="AD33" s="4">
        <v>600</v>
      </c>
      <c r="AE33" s="4">
        <v>840</v>
      </c>
      <c r="AF33" s="6">
        <v>63</v>
      </c>
      <c r="AG33" s="6">
        <v>46</v>
      </c>
      <c r="AH33" s="7">
        <v>0.8646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203</v>
      </c>
      <c r="AQ33" s="8">
        <v>5811.89</v>
      </c>
      <c r="AR33" s="4"/>
      <c r="AS33" s="8"/>
      <c r="AT33" s="7"/>
      <c r="AU33" s="7"/>
      <c r="AV33" s="4" t="s">
        <v>101</v>
      </c>
      <c r="AW33" s="8" t="s">
        <v>101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0.2789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 t="s">
        <v>101</v>
      </c>
      <c r="BJ33" s="4">
        <v>2520</v>
      </c>
      <c r="BK33" s="8">
        <v>72665.74</v>
      </c>
      <c r="BL33" s="2" t="s">
        <v>145</v>
      </c>
      <c r="BM33" s="7">
        <v>0.0806</v>
      </c>
      <c r="BN33" s="7">
        <v>0.08</v>
      </c>
      <c r="BO33" s="4">
        <v>203</v>
      </c>
      <c r="BP33" s="8">
        <v>5811.89</v>
      </c>
      <c r="BQ33" s="4"/>
      <c r="BR33" s="8"/>
      <c r="BS33" s="7"/>
      <c r="BT33" s="7"/>
      <c r="BU33" s="2" t="s">
        <v>110</v>
      </c>
      <c r="BV33" s="2" t="s">
        <v>98</v>
      </c>
      <c r="BW33" s="2" t="s">
        <v>101</v>
      </c>
      <c r="BX33" s="2" t="s">
        <v>119</v>
      </c>
      <c r="BY33" s="2" t="s">
        <v>112</v>
      </c>
      <c r="BZ33" s="2" t="s">
        <v>112</v>
      </c>
      <c r="CA33" s="2" t="s">
        <v>101</v>
      </c>
    </row>
    <row r="34">
      <c r="A34" s="2" t="s">
        <v>185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93</v>
      </c>
      <c r="H34" s="2" t="s">
        <v>94</v>
      </c>
      <c r="I34" s="2" t="s">
        <v>95</v>
      </c>
      <c r="J34" s="2" t="s">
        <v>123</v>
      </c>
      <c r="K34" s="2" t="s">
        <v>178</v>
      </c>
      <c r="L34" s="3">
        <v>28.57</v>
      </c>
      <c r="M34" s="3">
        <v>30</v>
      </c>
      <c r="N34" s="3">
        <v>54.99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179</v>
      </c>
      <c r="T34" s="2" t="s">
        <v>103</v>
      </c>
      <c r="U34" s="2" t="s">
        <v>115</v>
      </c>
      <c r="V34" s="2" t="s">
        <v>105</v>
      </c>
      <c r="W34" s="2" t="s">
        <v>106</v>
      </c>
      <c r="X34" s="2" t="s">
        <v>101</v>
      </c>
      <c r="Y34" s="2" t="s">
        <v>186</v>
      </c>
      <c r="Z34" s="4">
        <v>779</v>
      </c>
      <c r="AA34" s="4">
        <f>=ROUNDDOWN(5.12163050624589,0)</f>
      </c>
      <c r="AB34" s="5">
        <v>152.1</v>
      </c>
      <c r="AC34" s="2" t="s">
        <v>173</v>
      </c>
      <c r="AD34" s="4">
        <v>720</v>
      </c>
      <c r="AE34" s="4">
        <v>960</v>
      </c>
      <c r="AF34" s="6">
        <v>63</v>
      </c>
      <c r="AG34" s="6">
        <v>46</v>
      </c>
      <c r="AH34" s="7">
        <v>0.8333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215</v>
      </c>
      <c r="AQ34" s="8">
        <v>6772.5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0.325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3733</v>
      </c>
      <c r="BK34" s="8">
        <v>121582.12</v>
      </c>
      <c r="BL34" s="2" t="s">
        <v>145</v>
      </c>
      <c r="BM34" s="7">
        <v>0.0576</v>
      </c>
      <c r="BN34" s="7">
        <v>0.0557</v>
      </c>
      <c r="BO34" s="4">
        <v>215</v>
      </c>
      <c r="BP34" s="8">
        <v>6772.5</v>
      </c>
      <c r="BQ34" s="4"/>
      <c r="BR34" s="8"/>
      <c r="BS34" s="7"/>
      <c r="BT34" s="7"/>
      <c r="BU34" s="2" t="s">
        <v>110</v>
      </c>
      <c r="BV34" s="2" t="s">
        <v>98</v>
      </c>
      <c r="BW34" s="2" t="s">
        <v>101</v>
      </c>
      <c r="BX34" s="2" t="s">
        <v>119</v>
      </c>
      <c r="BY34" s="2" t="s">
        <v>112</v>
      </c>
      <c r="BZ34" s="2" t="s">
        <v>112</v>
      </c>
      <c r="CA34" s="2" t="s">
        <v>101</v>
      </c>
    </row>
    <row r="35">
      <c r="A35" s="2" t="s">
        <v>187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93</v>
      </c>
      <c r="H35" s="2" t="s">
        <v>94</v>
      </c>
      <c r="I35" s="2" t="s">
        <v>95</v>
      </c>
      <c r="J35" s="2" t="s">
        <v>126</v>
      </c>
      <c r="K35" s="2" t="s">
        <v>178</v>
      </c>
      <c r="L35" s="3">
        <v>30.95</v>
      </c>
      <c r="M35" s="3">
        <v>32.5</v>
      </c>
      <c r="N35" s="3">
        <v>54.99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179</v>
      </c>
      <c r="T35" s="2" t="s">
        <v>103</v>
      </c>
      <c r="U35" s="2" t="s">
        <v>115</v>
      </c>
      <c r="V35" s="2" t="s">
        <v>105</v>
      </c>
      <c r="W35" s="2" t="s">
        <v>106</v>
      </c>
      <c r="X35" s="2" t="s">
        <v>101</v>
      </c>
      <c r="Y35" s="2" t="s">
        <v>170</v>
      </c>
      <c r="Z35" s="4">
        <v>28</v>
      </c>
      <c r="AA35" s="4">
        <f>=ROUNDDOWN(0.324449594438007,0)</f>
      </c>
      <c r="AB35" s="5">
        <v>86.3</v>
      </c>
      <c r="AC35" s="2" t="s">
        <v>173</v>
      </c>
      <c r="AD35" s="4">
        <v>600</v>
      </c>
      <c r="AE35" s="4">
        <v>1200</v>
      </c>
      <c r="AF35" s="6">
        <v>63</v>
      </c>
      <c r="AG35" s="6">
        <v>46</v>
      </c>
      <c r="AH35" s="7">
        <v>0.681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172</v>
      </c>
      <c r="AQ35" s="8">
        <v>5676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0.2724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1671</v>
      </c>
      <c r="BK35" s="8">
        <v>69934.35</v>
      </c>
      <c r="BL35" s="2" t="s">
        <v>176</v>
      </c>
      <c r="BM35" s="7">
        <v>0.1029</v>
      </c>
      <c r="BN35" s="7">
        <v>0.0812</v>
      </c>
      <c r="BO35" s="4">
        <v>172</v>
      </c>
      <c r="BP35" s="8">
        <v>5676</v>
      </c>
      <c r="BQ35" s="4"/>
      <c r="BR35" s="8"/>
      <c r="BS35" s="7"/>
      <c r="BT35" s="7"/>
      <c r="BU35" s="2" t="s">
        <v>110</v>
      </c>
      <c r="BV35" s="2" t="s">
        <v>98</v>
      </c>
      <c r="BW35" s="2" t="s">
        <v>101</v>
      </c>
      <c r="BX35" s="2" t="s">
        <v>168</v>
      </c>
      <c r="BY35" s="2" t="s">
        <v>112</v>
      </c>
      <c r="BZ35" s="2" t="s">
        <v>112</v>
      </c>
      <c r="CA35" s="2" t="s">
        <v>101</v>
      </c>
    </row>
    <row r="36">
      <c r="A36" s="2" t="s">
        <v>188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93</v>
      </c>
      <c r="H36" s="2" t="s">
        <v>94</v>
      </c>
      <c r="I36" s="2" t="s">
        <v>95</v>
      </c>
      <c r="J36" s="2" t="s">
        <v>96</v>
      </c>
      <c r="K36" s="2" t="s">
        <v>189</v>
      </c>
      <c r="L36" s="3">
        <v>21.42</v>
      </c>
      <c r="M36" s="3">
        <v>22.49</v>
      </c>
      <c r="N36" s="3">
        <v>44.99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190</v>
      </c>
      <c r="T36" s="2" t="s">
        <v>103</v>
      </c>
      <c r="U36" s="2" t="s">
        <v>104</v>
      </c>
      <c r="V36" s="2" t="s">
        <v>105</v>
      </c>
      <c r="W36" s="2" t="s">
        <v>106</v>
      </c>
      <c r="X36" s="2" t="s">
        <v>101</v>
      </c>
      <c r="Y36" s="2" t="s">
        <v>132</v>
      </c>
      <c r="Z36" s="4">
        <v>17</v>
      </c>
      <c r="AA36" s="4">
        <f>=ROUNDDOWN(1,0)</f>
      </c>
      <c r="AB36" s="5">
        <v>17</v>
      </c>
      <c r="AC36" s="2" t="s">
        <v>101</v>
      </c>
      <c r="AD36" s="4"/>
      <c r="AE36" s="4"/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152</v>
      </c>
      <c r="AQ36" s="8">
        <v>3496</v>
      </c>
      <c r="AR36" s="4"/>
      <c r="AS36" s="8"/>
      <c r="AT36" s="7"/>
      <c r="AU36" s="7"/>
      <c r="AV36" s="4">
        <v>717</v>
      </c>
      <c r="AW36" s="8">
        <v>20555.71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0.1701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0.0335</v>
      </c>
      <c r="BJ36" s="4">
        <v>934</v>
      </c>
      <c r="BK36" s="8">
        <v>21131.73</v>
      </c>
      <c r="BL36" s="2" t="s">
        <v>191</v>
      </c>
      <c r="BM36" s="7">
        <v>0.1627</v>
      </c>
      <c r="BN36" s="7">
        <v>0.1654</v>
      </c>
      <c r="BO36" s="4">
        <v>152</v>
      </c>
      <c r="BP36" s="8">
        <v>3496</v>
      </c>
      <c r="BQ36" s="4"/>
      <c r="BR36" s="8"/>
      <c r="BS36" s="7"/>
      <c r="BT36" s="7"/>
      <c r="BU36" s="2" t="s">
        <v>110</v>
      </c>
      <c r="BV36" s="2" t="s">
        <v>98</v>
      </c>
      <c r="BW36" s="2" t="s">
        <v>101</v>
      </c>
      <c r="BX36" s="2" t="s">
        <v>133</v>
      </c>
      <c r="BY36" s="2" t="s">
        <v>112</v>
      </c>
      <c r="BZ36" s="2" t="s">
        <v>112</v>
      </c>
      <c r="CA36" s="2" t="s">
        <v>101</v>
      </c>
    </row>
    <row r="37">
      <c r="A37" s="2" t="s">
        <v>192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92</v>
      </c>
      <c r="G37" s="2" t="s">
        <v>93</v>
      </c>
      <c r="H37" s="2" t="s">
        <v>94</v>
      </c>
      <c r="I37" s="2" t="s">
        <v>95</v>
      </c>
      <c r="J37" s="2" t="s">
        <v>114</v>
      </c>
      <c r="K37" s="2" t="s">
        <v>189</v>
      </c>
      <c r="L37" s="3">
        <v>25.23</v>
      </c>
      <c r="M37" s="3">
        <v>26.49</v>
      </c>
      <c r="N37" s="3">
        <v>49.99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190</v>
      </c>
      <c r="T37" s="2" t="s">
        <v>103</v>
      </c>
      <c r="U37" s="2" t="s">
        <v>115</v>
      </c>
      <c r="V37" s="2" t="s">
        <v>105</v>
      </c>
      <c r="W37" s="2" t="s">
        <v>106</v>
      </c>
      <c r="X37" s="2" t="s">
        <v>101</v>
      </c>
      <c r="Y37" s="2" t="s">
        <v>170</v>
      </c>
      <c r="Z37" s="4">
        <v>143</v>
      </c>
      <c r="AA37" s="4">
        <f>=ROUNDDOWN(13.75,0)</f>
      </c>
      <c r="AB37" s="5">
        <v>10.4</v>
      </c>
      <c r="AC37" s="2" t="s">
        <v>101</v>
      </c>
      <c r="AD37" s="4"/>
      <c r="AE37" s="4"/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27</v>
      </c>
      <c r="AQ37" s="8">
        <v>773.01</v>
      </c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0.0376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391</v>
      </c>
      <c r="BK37" s="8">
        <v>9965.43</v>
      </c>
      <c r="BL37" s="2" t="s">
        <v>157</v>
      </c>
      <c r="BM37" s="7">
        <v>0.0691</v>
      </c>
      <c r="BN37" s="7">
        <v>0.0776</v>
      </c>
      <c r="BO37" s="4">
        <v>27</v>
      </c>
      <c r="BP37" s="8">
        <v>773.01</v>
      </c>
      <c r="BQ37" s="4"/>
      <c r="BR37" s="8"/>
      <c r="BS37" s="7"/>
      <c r="BT37" s="7"/>
      <c r="BU37" s="2" t="s">
        <v>110</v>
      </c>
      <c r="BV37" s="2" t="s">
        <v>98</v>
      </c>
      <c r="BW37" s="2" t="s">
        <v>101</v>
      </c>
      <c r="BX37" s="2" t="s">
        <v>119</v>
      </c>
      <c r="BY37" s="2" t="s">
        <v>112</v>
      </c>
      <c r="BZ37" s="2" t="s">
        <v>112</v>
      </c>
      <c r="CA37" s="2" t="s">
        <v>101</v>
      </c>
    </row>
    <row r="38">
      <c r="A38" s="2" t="s">
        <v>193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93</v>
      </c>
      <c r="H38" s="2" t="s">
        <v>94</v>
      </c>
      <c r="I38" s="2" t="s">
        <v>95</v>
      </c>
      <c r="J38" s="2" t="s">
        <v>121</v>
      </c>
      <c r="K38" s="2" t="s">
        <v>189</v>
      </c>
      <c r="L38" s="3">
        <v>26.19</v>
      </c>
      <c r="M38" s="3">
        <v>27.5</v>
      </c>
      <c r="N38" s="3">
        <v>54.99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190</v>
      </c>
      <c r="T38" s="2" t="s">
        <v>103</v>
      </c>
      <c r="U38" s="2" t="s">
        <v>115</v>
      </c>
      <c r="V38" s="2" t="s">
        <v>105</v>
      </c>
      <c r="W38" s="2" t="s">
        <v>106</v>
      </c>
      <c r="X38" s="2" t="s">
        <v>101</v>
      </c>
      <c r="Y38" s="2" t="s">
        <v>138</v>
      </c>
      <c r="Z38" s="4">
        <v>1835</v>
      </c>
      <c r="AA38" s="4">
        <f>=ROUNDDOWN(41.7045454545455,0)</f>
      </c>
      <c r="AB38" s="5">
        <v>44</v>
      </c>
      <c r="AC38" s="2" t="s">
        <v>101</v>
      </c>
      <c r="AD38" s="4"/>
      <c r="AE38" s="4"/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237</v>
      </c>
      <c r="AQ38" s="8">
        <v>6801.9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0.3309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2869</v>
      </c>
      <c r="BK38" s="8">
        <v>79571.72</v>
      </c>
      <c r="BL38" s="2" t="s">
        <v>109</v>
      </c>
      <c r="BM38" s="7">
        <v>0.0826</v>
      </c>
      <c r="BN38" s="7">
        <v>0.0855</v>
      </c>
      <c r="BO38" s="4">
        <v>237</v>
      </c>
      <c r="BP38" s="8">
        <v>6801.9</v>
      </c>
      <c r="BQ38" s="4"/>
      <c r="BR38" s="8"/>
      <c r="BS38" s="7"/>
      <c r="BT38" s="7"/>
      <c r="BU38" s="2" t="s">
        <v>110</v>
      </c>
      <c r="BV38" s="2" t="s">
        <v>98</v>
      </c>
      <c r="BW38" s="2" t="s">
        <v>101</v>
      </c>
      <c r="BX38" s="2" t="s">
        <v>133</v>
      </c>
      <c r="BY38" s="2" t="s">
        <v>112</v>
      </c>
      <c r="BZ38" s="2" t="s">
        <v>112</v>
      </c>
      <c r="CA38" s="2" t="s">
        <v>101</v>
      </c>
    </row>
    <row r="39">
      <c r="A39" s="2" t="s">
        <v>194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92</v>
      </c>
      <c r="G39" s="2" t="s">
        <v>93</v>
      </c>
      <c r="H39" s="2" t="s">
        <v>94</v>
      </c>
      <c r="I39" s="2" t="s">
        <v>95</v>
      </c>
      <c r="J39" s="2" t="s">
        <v>123</v>
      </c>
      <c r="K39" s="2" t="s">
        <v>189</v>
      </c>
      <c r="L39" s="3">
        <v>28.57</v>
      </c>
      <c r="M39" s="3">
        <v>30</v>
      </c>
      <c r="N39" s="3">
        <v>59.99</v>
      </c>
      <c r="O39" s="2" t="s">
        <v>98</v>
      </c>
      <c r="P39" s="2" t="s">
        <v>99</v>
      </c>
      <c r="Q39" s="2" t="s">
        <v>100</v>
      </c>
      <c r="R39" s="2" t="s">
        <v>101</v>
      </c>
      <c r="S39" s="2" t="s">
        <v>190</v>
      </c>
      <c r="T39" s="2" t="s">
        <v>103</v>
      </c>
      <c r="U39" s="2" t="s">
        <v>115</v>
      </c>
      <c r="V39" s="2" t="s">
        <v>105</v>
      </c>
      <c r="W39" s="2" t="s">
        <v>106</v>
      </c>
      <c r="X39" s="2" t="s">
        <v>101</v>
      </c>
      <c r="Y39" s="2" t="s">
        <v>132</v>
      </c>
      <c r="Z39" s="4">
        <v>3659</v>
      </c>
      <c r="AA39" s="4">
        <f>=ROUNDDOWN(118.032258064516,0)</f>
      </c>
      <c r="AB39" s="5">
        <v>31</v>
      </c>
      <c r="AC39" s="2" t="s">
        <v>101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261</v>
      </c>
      <c r="AQ39" s="8">
        <v>8164.8</v>
      </c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0.3972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>
        <v>1929</v>
      </c>
      <c r="BK39" s="8">
        <v>62489.34</v>
      </c>
      <c r="BL39" s="2" t="s">
        <v>145</v>
      </c>
      <c r="BM39" s="7">
        <v>0.1353</v>
      </c>
      <c r="BN39" s="7">
        <v>0.1307</v>
      </c>
      <c r="BO39" s="4">
        <v>261</v>
      </c>
      <c r="BP39" s="8">
        <v>8164.8</v>
      </c>
      <c r="BQ39" s="4"/>
      <c r="BR39" s="8"/>
      <c r="BS39" s="7"/>
      <c r="BT39" s="7"/>
      <c r="BU39" s="2" t="s">
        <v>110</v>
      </c>
      <c r="BV39" s="2" t="s">
        <v>98</v>
      </c>
      <c r="BW39" s="2" t="s">
        <v>101</v>
      </c>
      <c r="BX39" s="2" t="s">
        <v>133</v>
      </c>
      <c r="BY39" s="2" t="s">
        <v>112</v>
      </c>
      <c r="BZ39" s="2" t="s">
        <v>112</v>
      </c>
      <c r="CA39" s="2" t="s">
        <v>101</v>
      </c>
    </row>
    <row r="40">
      <c r="A40" s="2" t="s">
        <v>195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93</v>
      </c>
      <c r="H40" s="2" t="s">
        <v>94</v>
      </c>
      <c r="I40" s="2" t="s">
        <v>95</v>
      </c>
      <c r="J40" s="2" t="s">
        <v>126</v>
      </c>
      <c r="K40" s="2" t="s">
        <v>189</v>
      </c>
      <c r="L40" s="3">
        <v>30.95</v>
      </c>
      <c r="M40" s="3">
        <v>32.5</v>
      </c>
      <c r="N40" s="3">
        <v>54.99</v>
      </c>
      <c r="O40" s="2" t="s">
        <v>98</v>
      </c>
      <c r="P40" s="2" t="s">
        <v>99</v>
      </c>
      <c r="Q40" s="2" t="s">
        <v>100</v>
      </c>
      <c r="R40" s="2" t="s">
        <v>101</v>
      </c>
      <c r="S40" s="2" t="s">
        <v>190</v>
      </c>
      <c r="T40" s="2" t="s">
        <v>103</v>
      </c>
      <c r="U40" s="2" t="s">
        <v>115</v>
      </c>
      <c r="V40" s="2" t="s">
        <v>105</v>
      </c>
      <c r="W40" s="2" t="s">
        <v>106</v>
      </c>
      <c r="X40" s="2" t="s">
        <v>101</v>
      </c>
      <c r="Y40" s="2" t="s">
        <v>170</v>
      </c>
      <c r="Z40" s="4">
        <v>602</v>
      </c>
      <c r="AA40" s="4">
        <f>=ROUNDDOWN(34.5977011494253,0)</f>
      </c>
      <c r="AB40" s="5">
        <v>17.4</v>
      </c>
      <c r="AC40" s="2" t="s">
        <v>101</v>
      </c>
      <c r="AD40" s="4"/>
      <c r="AE40" s="4"/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40</v>
      </c>
      <c r="AQ40" s="8">
        <v>1320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0.0642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415</v>
      </c>
      <c r="BK40" s="8">
        <v>15882.32</v>
      </c>
      <c r="BL40" s="2" t="s">
        <v>196</v>
      </c>
      <c r="BM40" s="7">
        <v>0.0964</v>
      </c>
      <c r="BN40" s="7">
        <v>0.0831</v>
      </c>
      <c r="BO40" s="4">
        <v>40</v>
      </c>
      <c r="BP40" s="8">
        <v>1320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101</v>
      </c>
      <c r="BX40" s="2" t="s">
        <v>136</v>
      </c>
      <c r="BY40" s="2" t="s">
        <v>112</v>
      </c>
      <c r="BZ40" s="2" t="s">
        <v>112</v>
      </c>
      <c r="CA40" s="2" t="s">
        <v>101</v>
      </c>
    </row>
    <row r="41">
      <c r="A41" s="2" t="s">
        <v>197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92</v>
      </c>
      <c r="G41" s="2" t="s">
        <v>93</v>
      </c>
      <c r="H41" s="2" t="s">
        <v>94</v>
      </c>
      <c r="I41" s="2" t="s">
        <v>95</v>
      </c>
      <c r="J41" s="2" t="s">
        <v>96</v>
      </c>
      <c r="K41" s="2" t="s">
        <v>198</v>
      </c>
      <c r="L41" s="3">
        <v>21.42</v>
      </c>
      <c r="M41" s="3">
        <v>22.49</v>
      </c>
      <c r="N41" s="3">
        <v>39.99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199</v>
      </c>
      <c r="T41" s="2" t="s">
        <v>103</v>
      </c>
      <c r="U41" s="2" t="s">
        <v>104</v>
      </c>
      <c r="V41" s="2" t="s">
        <v>105</v>
      </c>
      <c r="W41" s="2" t="s">
        <v>106</v>
      </c>
      <c r="X41" s="2" t="s">
        <v>101</v>
      </c>
      <c r="Y41" s="2" t="s">
        <v>180</v>
      </c>
      <c r="Z41" s="4">
        <v>35</v>
      </c>
      <c r="AA41" s="4">
        <f>=ROUNDDOWN(1.72413793103448,0)</f>
      </c>
      <c r="AB41" s="5">
        <v>20.3</v>
      </c>
      <c r="AC41" s="2" t="s">
        <v>117</v>
      </c>
      <c r="AD41" s="4">
        <v>150</v>
      </c>
      <c r="AE41" s="4">
        <v>150</v>
      </c>
      <c r="AF41" s="6">
        <v>63</v>
      </c>
      <c r="AG41" s="6">
        <v>46</v>
      </c>
      <c r="AH41" s="7">
        <v>0.974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134</v>
      </c>
      <c r="AQ41" s="8">
        <v>3059.22</v>
      </c>
      <c r="AR41" s="4"/>
      <c r="AS41" s="8"/>
      <c r="AT41" s="7"/>
      <c r="AU41" s="7"/>
      <c r="AV41" s="4">
        <v>681</v>
      </c>
      <c r="AW41" s="8">
        <v>19686.29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0.1554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0.0321</v>
      </c>
      <c r="BJ41" s="4">
        <v>585</v>
      </c>
      <c r="BK41" s="8">
        <v>13536.92</v>
      </c>
      <c r="BL41" s="2" t="s">
        <v>200</v>
      </c>
      <c r="BM41" s="7">
        <v>0.2291</v>
      </c>
      <c r="BN41" s="7">
        <v>0.226</v>
      </c>
      <c r="BO41" s="4">
        <v>134</v>
      </c>
      <c r="BP41" s="8">
        <v>3059.22</v>
      </c>
      <c r="BQ41" s="4"/>
      <c r="BR41" s="8"/>
      <c r="BS41" s="7"/>
      <c r="BT41" s="7"/>
      <c r="BU41" s="2" t="s">
        <v>110</v>
      </c>
      <c r="BV41" s="2" t="s">
        <v>98</v>
      </c>
      <c r="BW41" s="2" t="s">
        <v>101</v>
      </c>
      <c r="BX41" s="2" t="s">
        <v>136</v>
      </c>
      <c r="BY41" s="2" t="s">
        <v>112</v>
      </c>
      <c r="BZ41" s="2" t="s">
        <v>112</v>
      </c>
      <c r="CA41" s="2" t="s">
        <v>101</v>
      </c>
    </row>
    <row r="42">
      <c r="A42" s="2" t="s">
        <v>201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92</v>
      </c>
      <c r="G42" s="2" t="s">
        <v>93</v>
      </c>
      <c r="H42" s="2" t="s">
        <v>94</v>
      </c>
      <c r="I42" s="2" t="s">
        <v>95</v>
      </c>
      <c r="J42" s="2" t="s">
        <v>114</v>
      </c>
      <c r="K42" s="2" t="s">
        <v>198</v>
      </c>
      <c r="L42" s="3">
        <v>25.23</v>
      </c>
      <c r="M42" s="3">
        <v>26.49</v>
      </c>
      <c r="N42" s="3">
        <v>49.99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199</v>
      </c>
      <c r="T42" s="2" t="s">
        <v>103</v>
      </c>
      <c r="U42" s="2" t="s">
        <v>115</v>
      </c>
      <c r="V42" s="2" t="s">
        <v>105</v>
      </c>
      <c r="W42" s="2" t="s">
        <v>106</v>
      </c>
      <c r="X42" s="2" t="s">
        <v>101</v>
      </c>
      <c r="Y42" s="2" t="s">
        <v>182</v>
      </c>
      <c r="Z42" s="4">
        <v>370</v>
      </c>
      <c r="AA42" s="4">
        <f>=ROUNDDOWN(26.056338028169,0)</f>
      </c>
      <c r="AB42" s="5">
        <v>14.2</v>
      </c>
      <c r="AC42" s="2" t="s">
        <v>101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39</v>
      </c>
      <c r="AQ42" s="8">
        <v>1116.57</v>
      </c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0.0567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521</v>
      </c>
      <c r="BK42" s="8">
        <v>13682.21</v>
      </c>
      <c r="BL42" s="2" t="s">
        <v>176</v>
      </c>
      <c r="BM42" s="7">
        <v>0.0749</v>
      </c>
      <c r="BN42" s="7">
        <v>0.0816</v>
      </c>
      <c r="BO42" s="4">
        <v>39</v>
      </c>
      <c r="BP42" s="8">
        <v>1116.57</v>
      </c>
      <c r="BQ42" s="4"/>
      <c r="BR42" s="8"/>
      <c r="BS42" s="7"/>
      <c r="BT42" s="7"/>
      <c r="BU42" s="2" t="s">
        <v>110</v>
      </c>
      <c r="BV42" s="2" t="s">
        <v>98</v>
      </c>
      <c r="BW42" s="2" t="s">
        <v>101</v>
      </c>
      <c r="BX42" s="2" t="s">
        <v>136</v>
      </c>
      <c r="BY42" s="2" t="s">
        <v>112</v>
      </c>
      <c r="BZ42" s="2" t="s">
        <v>112</v>
      </c>
      <c r="CA42" s="2" t="s">
        <v>101</v>
      </c>
    </row>
    <row r="43">
      <c r="A43" s="2" t="s">
        <v>202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92</v>
      </c>
      <c r="G43" s="2" t="s">
        <v>93</v>
      </c>
      <c r="H43" s="2" t="s">
        <v>94</v>
      </c>
      <c r="I43" s="2" t="s">
        <v>95</v>
      </c>
      <c r="J43" s="2" t="s">
        <v>121</v>
      </c>
      <c r="K43" s="2" t="s">
        <v>198</v>
      </c>
      <c r="L43" s="3">
        <v>26.19</v>
      </c>
      <c r="M43" s="3">
        <v>27.5</v>
      </c>
      <c r="N43" s="3">
        <v>49.99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199</v>
      </c>
      <c r="T43" s="2" t="s">
        <v>103</v>
      </c>
      <c r="U43" s="2" t="s">
        <v>115</v>
      </c>
      <c r="V43" s="2" t="s">
        <v>105</v>
      </c>
      <c r="W43" s="2" t="s">
        <v>106</v>
      </c>
      <c r="X43" s="2" t="s">
        <v>101</v>
      </c>
      <c r="Y43" s="2" t="s">
        <v>180</v>
      </c>
      <c r="Z43" s="4">
        <v>157</v>
      </c>
      <c r="AA43" s="4">
        <f>=ROUNDDOWN(1.533203125,0)</f>
      </c>
      <c r="AB43" s="5">
        <v>102.4</v>
      </c>
      <c r="AC43" s="2" t="s">
        <v>117</v>
      </c>
      <c r="AD43" s="4">
        <v>450</v>
      </c>
      <c r="AE43" s="4">
        <v>450</v>
      </c>
      <c r="AF43" s="6">
        <v>63</v>
      </c>
      <c r="AG43" s="6">
        <v>46</v>
      </c>
      <c r="AH43" s="7">
        <v>0.901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200</v>
      </c>
      <c r="AQ43" s="8">
        <v>5726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0.2909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2501</v>
      </c>
      <c r="BK43" s="8">
        <v>76052.1</v>
      </c>
      <c r="BL43" s="2" t="s">
        <v>145</v>
      </c>
      <c r="BM43" s="7">
        <v>0.08</v>
      </c>
      <c r="BN43" s="7">
        <v>0.0753</v>
      </c>
      <c r="BO43" s="4">
        <v>200</v>
      </c>
      <c r="BP43" s="8">
        <v>5726</v>
      </c>
      <c r="BQ43" s="4"/>
      <c r="BR43" s="8"/>
      <c r="BS43" s="7"/>
      <c r="BT43" s="7"/>
      <c r="BU43" s="2" t="s">
        <v>110</v>
      </c>
      <c r="BV43" s="2" t="s">
        <v>98</v>
      </c>
      <c r="BW43" s="2" t="s">
        <v>101</v>
      </c>
      <c r="BX43" s="2" t="s">
        <v>119</v>
      </c>
      <c r="BY43" s="2" t="s">
        <v>112</v>
      </c>
      <c r="BZ43" s="2" t="s">
        <v>112</v>
      </c>
      <c r="CA43" s="2" t="s">
        <v>101</v>
      </c>
    </row>
    <row r="44">
      <c r="A44" s="2" t="s">
        <v>203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92</v>
      </c>
      <c r="G44" s="2" t="s">
        <v>93</v>
      </c>
      <c r="H44" s="2" t="s">
        <v>94</v>
      </c>
      <c r="I44" s="2" t="s">
        <v>95</v>
      </c>
      <c r="J44" s="2" t="s">
        <v>123</v>
      </c>
      <c r="K44" s="2" t="s">
        <v>198</v>
      </c>
      <c r="L44" s="3">
        <v>28.57</v>
      </c>
      <c r="M44" s="3">
        <v>30</v>
      </c>
      <c r="N44" s="3">
        <v>54.99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199</v>
      </c>
      <c r="T44" s="2" t="s">
        <v>103</v>
      </c>
      <c r="U44" s="2" t="s">
        <v>115</v>
      </c>
      <c r="V44" s="2" t="s">
        <v>105</v>
      </c>
      <c r="W44" s="2" t="s">
        <v>106</v>
      </c>
      <c r="X44" s="2" t="s">
        <v>101</v>
      </c>
      <c r="Y44" s="2" t="s">
        <v>180</v>
      </c>
      <c r="Z44" s="4">
        <v>2</v>
      </c>
      <c r="AA44" s="4">
        <f>=ROUNDDOWN(0.0180831826401447,0)</f>
      </c>
      <c r="AB44" s="5">
        <v>110.6</v>
      </c>
      <c r="AC44" s="2" t="s">
        <v>173</v>
      </c>
      <c r="AD44" s="4">
        <v>930</v>
      </c>
      <c r="AE44" s="4">
        <v>930</v>
      </c>
      <c r="AF44" s="6">
        <v>63</v>
      </c>
      <c r="AG44" s="6">
        <v>46</v>
      </c>
      <c r="AH44" s="7">
        <v>0.6979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>
        <v>253</v>
      </c>
      <c r="AQ44" s="8">
        <v>7969.5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0.4048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2736</v>
      </c>
      <c r="BK44" s="8">
        <v>95727.56</v>
      </c>
      <c r="BL44" s="2" t="s">
        <v>167</v>
      </c>
      <c r="BM44" s="7">
        <v>0.0925</v>
      </c>
      <c r="BN44" s="7">
        <v>0.0833</v>
      </c>
      <c r="BO44" s="4">
        <v>253</v>
      </c>
      <c r="BP44" s="8">
        <v>7969.5</v>
      </c>
      <c r="BQ44" s="4"/>
      <c r="BR44" s="8"/>
      <c r="BS44" s="7"/>
      <c r="BT44" s="7"/>
      <c r="BU44" s="2" t="s">
        <v>110</v>
      </c>
      <c r="BV44" s="2" t="s">
        <v>98</v>
      </c>
      <c r="BW44" s="2" t="s">
        <v>101</v>
      </c>
      <c r="BX44" s="2" t="s">
        <v>119</v>
      </c>
      <c r="BY44" s="2" t="s">
        <v>112</v>
      </c>
      <c r="BZ44" s="2" t="s">
        <v>112</v>
      </c>
      <c r="CA44" s="2" t="s">
        <v>101</v>
      </c>
    </row>
    <row r="45">
      <c r="A45" s="2" t="s">
        <v>204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92</v>
      </c>
      <c r="G45" s="2" t="s">
        <v>93</v>
      </c>
      <c r="H45" s="2" t="s">
        <v>94</v>
      </c>
      <c r="I45" s="2" t="s">
        <v>95</v>
      </c>
      <c r="J45" s="2" t="s">
        <v>126</v>
      </c>
      <c r="K45" s="2" t="s">
        <v>198</v>
      </c>
      <c r="L45" s="3">
        <v>30.95</v>
      </c>
      <c r="M45" s="3">
        <v>32.5</v>
      </c>
      <c r="N45" s="3">
        <v>54.99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199</v>
      </c>
      <c r="T45" s="2" t="s">
        <v>103</v>
      </c>
      <c r="U45" s="2" t="s">
        <v>115</v>
      </c>
      <c r="V45" s="2" t="s">
        <v>105</v>
      </c>
      <c r="W45" s="2" t="s">
        <v>106</v>
      </c>
      <c r="X45" s="2" t="s">
        <v>101</v>
      </c>
      <c r="Y45" s="2" t="s">
        <v>170</v>
      </c>
      <c r="Z45" s="4">
        <v>2</v>
      </c>
      <c r="AA45" s="4">
        <f>=ROUNDDOWN(0.0336700336700337,0)</f>
      </c>
      <c r="AB45" s="5">
        <v>59.4</v>
      </c>
      <c r="AC45" s="2" t="s">
        <v>101</v>
      </c>
      <c r="AD45" s="4"/>
      <c r="AE45" s="4"/>
      <c r="AF45" s="6">
        <v>63</v>
      </c>
      <c r="AG45" s="6">
        <v>46</v>
      </c>
      <c r="AH45" s="7">
        <v>0.8282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55</v>
      </c>
      <c r="AQ45" s="8">
        <v>1815</v>
      </c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0.0922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1683</v>
      </c>
      <c r="BK45" s="8">
        <v>73176.13</v>
      </c>
      <c r="BL45" s="2" t="s">
        <v>205</v>
      </c>
      <c r="BM45" s="7">
        <v>0.0327</v>
      </c>
      <c r="BN45" s="7">
        <v>0.0248</v>
      </c>
      <c r="BO45" s="4">
        <v>55</v>
      </c>
      <c r="BP45" s="8">
        <v>1815</v>
      </c>
      <c r="BQ45" s="4"/>
      <c r="BR45" s="8"/>
      <c r="BS45" s="7"/>
      <c r="BT45" s="7"/>
      <c r="BU45" s="2" t="s">
        <v>110</v>
      </c>
      <c r="BV45" s="2" t="s">
        <v>98</v>
      </c>
      <c r="BW45" s="2" t="s">
        <v>101</v>
      </c>
      <c r="BX45" s="2" t="s">
        <v>206</v>
      </c>
      <c r="BY45" s="2" t="s">
        <v>112</v>
      </c>
      <c r="BZ45" s="2" t="s">
        <v>112</v>
      </c>
      <c r="CA45" s="2" t="s">
        <v>101</v>
      </c>
    </row>
    <row r="46">
      <c r="A46" s="2" t="s">
        <v>207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92</v>
      </c>
      <c r="G46" s="2" t="s">
        <v>93</v>
      </c>
      <c r="H46" s="2" t="s">
        <v>94</v>
      </c>
      <c r="I46" s="2" t="s">
        <v>95</v>
      </c>
      <c r="J46" s="2" t="s">
        <v>96</v>
      </c>
      <c r="K46" s="2" t="s">
        <v>208</v>
      </c>
      <c r="L46" s="3">
        <v>21.42</v>
      </c>
      <c r="M46" s="3">
        <v>22.49</v>
      </c>
      <c r="N46" s="3">
        <v>44.99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209</v>
      </c>
      <c r="T46" s="2" t="s">
        <v>103</v>
      </c>
      <c r="U46" s="2" t="s">
        <v>104</v>
      </c>
      <c r="V46" s="2" t="s">
        <v>105</v>
      </c>
      <c r="W46" s="2" t="s">
        <v>106</v>
      </c>
      <c r="X46" s="2" t="s">
        <v>101</v>
      </c>
      <c r="Y46" s="2" t="s">
        <v>138</v>
      </c>
      <c r="Z46" s="4">
        <v>411</v>
      </c>
      <c r="AA46" s="4">
        <f>=ROUNDDOWN(31.6153846153846,0)</f>
      </c>
      <c r="AB46" s="5">
        <v>13</v>
      </c>
      <c r="AC46" s="2" t="s">
        <v>101</v>
      </c>
      <c r="AD46" s="4"/>
      <c r="AE46" s="4"/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114</v>
      </c>
      <c r="AQ46" s="8">
        <v>2622</v>
      </c>
      <c r="AR46" s="4"/>
      <c r="AS46" s="8"/>
      <c r="AT46" s="7"/>
      <c r="AU46" s="7"/>
      <c r="AV46" s="4">
        <v>602</v>
      </c>
      <c r="AW46" s="8">
        <v>17435.72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0.1504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>
        <v>0.0284</v>
      </c>
      <c r="BJ46" s="4">
        <v>741</v>
      </c>
      <c r="BK46" s="8">
        <v>16695.18</v>
      </c>
      <c r="BL46" s="2" t="s">
        <v>145</v>
      </c>
      <c r="BM46" s="7">
        <v>0.1538</v>
      </c>
      <c r="BN46" s="7">
        <v>0.1571</v>
      </c>
      <c r="BO46" s="4">
        <v>114</v>
      </c>
      <c r="BP46" s="8">
        <v>2622</v>
      </c>
      <c r="BQ46" s="4"/>
      <c r="BR46" s="8"/>
      <c r="BS46" s="7"/>
      <c r="BT46" s="7"/>
      <c r="BU46" s="2" t="s">
        <v>110</v>
      </c>
      <c r="BV46" s="2" t="s">
        <v>98</v>
      </c>
      <c r="BW46" s="2" t="s">
        <v>101</v>
      </c>
      <c r="BX46" s="2" t="s">
        <v>133</v>
      </c>
      <c r="BY46" s="2" t="s">
        <v>112</v>
      </c>
      <c r="BZ46" s="2" t="s">
        <v>112</v>
      </c>
      <c r="CA46" s="2" t="s">
        <v>101</v>
      </c>
    </row>
    <row r="47">
      <c r="A47" s="2" t="s">
        <v>210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92</v>
      </c>
      <c r="G47" s="2" t="s">
        <v>93</v>
      </c>
      <c r="H47" s="2" t="s">
        <v>94</v>
      </c>
      <c r="I47" s="2" t="s">
        <v>95</v>
      </c>
      <c r="J47" s="2" t="s">
        <v>114</v>
      </c>
      <c r="K47" s="2" t="s">
        <v>208</v>
      </c>
      <c r="L47" s="3">
        <v>25.23</v>
      </c>
      <c r="M47" s="3">
        <v>26.49</v>
      </c>
      <c r="N47" s="3">
        <v>49.99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209</v>
      </c>
      <c r="T47" s="2" t="s">
        <v>103</v>
      </c>
      <c r="U47" s="2" t="s">
        <v>115</v>
      </c>
      <c r="V47" s="2" t="s">
        <v>105</v>
      </c>
      <c r="W47" s="2" t="s">
        <v>106</v>
      </c>
      <c r="X47" s="2" t="s">
        <v>101</v>
      </c>
      <c r="Y47" s="2" t="s">
        <v>170</v>
      </c>
      <c r="Z47" s="4">
        <v>409</v>
      </c>
      <c r="AA47" s="4">
        <f>=ROUNDDOWN(60.1470588235294,0)</f>
      </c>
      <c r="AB47" s="5">
        <v>6.8</v>
      </c>
      <c r="AC47" s="2" t="s">
        <v>101</v>
      </c>
      <c r="AD47" s="4"/>
      <c r="AE47" s="4"/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24</v>
      </c>
      <c r="AQ47" s="8">
        <v>687.12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0.0394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260</v>
      </c>
      <c r="BK47" s="8">
        <v>6594.22</v>
      </c>
      <c r="BL47" s="2" t="s">
        <v>211</v>
      </c>
      <c r="BM47" s="7">
        <v>0.0923</v>
      </c>
      <c r="BN47" s="7">
        <v>0.1042</v>
      </c>
      <c r="BO47" s="4">
        <v>24</v>
      </c>
      <c r="BP47" s="8">
        <v>687.12</v>
      </c>
      <c r="BQ47" s="4"/>
      <c r="BR47" s="8"/>
      <c r="BS47" s="7"/>
      <c r="BT47" s="7"/>
      <c r="BU47" s="2" t="s">
        <v>110</v>
      </c>
      <c r="BV47" s="2" t="s">
        <v>98</v>
      </c>
      <c r="BW47" s="2" t="s">
        <v>101</v>
      </c>
      <c r="BX47" s="2" t="s">
        <v>168</v>
      </c>
      <c r="BY47" s="2" t="s">
        <v>112</v>
      </c>
      <c r="BZ47" s="2" t="s">
        <v>112</v>
      </c>
      <c r="CA47" s="2" t="s">
        <v>101</v>
      </c>
    </row>
    <row r="48">
      <c r="A48" s="2" t="s">
        <v>212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92</v>
      </c>
      <c r="G48" s="2" t="s">
        <v>93</v>
      </c>
      <c r="H48" s="2" t="s">
        <v>94</v>
      </c>
      <c r="I48" s="2" t="s">
        <v>95</v>
      </c>
      <c r="J48" s="2" t="s">
        <v>121</v>
      </c>
      <c r="K48" s="2" t="s">
        <v>208</v>
      </c>
      <c r="L48" s="3">
        <v>26.19</v>
      </c>
      <c r="M48" s="3">
        <v>27.5</v>
      </c>
      <c r="N48" s="3">
        <v>54.99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209</v>
      </c>
      <c r="T48" s="2" t="s">
        <v>103</v>
      </c>
      <c r="U48" s="2" t="s">
        <v>115</v>
      </c>
      <c r="V48" s="2" t="s">
        <v>105</v>
      </c>
      <c r="W48" s="2" t="s">
        <v>106</v>
      </c>
      <c r="X48" s="2" t="s">
        <v>101</v>
      </c>
      <c r="Y48" s="2" t="s">
        <v>132</v>
      </c>
      <c r="Z48" s="4">
        <v>3812</v>
      </c>
      <c r="AA48" s="4">
        <f>=ROUNDDOWN(90.7619047619048,0)</f>
      </c>
      <c r="AB48" s="5">
        <v>42</v>
      </c>
      <c r="AC48" s="2" t="s">
        <v>101</v>
      </c>
      <c r="AD48" s="4"/>
      <c r="AE48" s="4"/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184</v>
      </c>
      <c r="AQ48" s="8">
        <v>5280.8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0.3029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2734</v>
      </c>
      <c r="BK48" s="8">
        <v>75419.99</v>
      </c>
      <c r="BL48" s="2" t="s">
        <v>109</v>
      </c>
      <c r="BM48" s="7">
        <v>0.0673</v>
      </c>
      <c r="BN48" s="7">
        <v>0.07</v>
      </c>
      <c r="BO48" s="4">
        <v>184</v>
      </c>
      <c r="BP48" s="8">
        <v>5280.8</v>
      </c>
      <c r="BQ48" s="4"/>
      <c r="BR48" s="8"/>
      <c r="BS48" s="7"/>
      <c r="BT48" s="7"/>
      <c r="BU48" s="2" t="s">
        <v>110</v>
      </c>
      <c r="BV48" s="2" t="s">
        <v>98</v>
      </c>
      <c r="BW48" s="2" t="s">
        <v>101</v>
      </c>
      <c r="BX48" s="2" t="s">
        <v>133</v>
      </c>
      <c r="BY48" s="2" t="s">
        <v>112</v>
      </c>
      <c r="BZ48" s="2" t="s">
        <v>112</v>
      </c>
      <c r="CA48" s="2" t="s">
        <v>101</v>
      </c>
    </row>
    <row r="49">
      <c r="A49" s="2" t="s">
        <v>213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92</v>
      </c>
      <c r="G49" s="2" t="s">
        <v>93</v>
      </c>
      <c r="H49" s="2" t="s">
        <v>94</v>
      </c>
      <c r="I49" s="2" t="s">
        <v>95</v>
      </c>
      <c r="J49" s="2" t="s">
        <v>123</v>
      </c>
      <c r="K49" s="2" t="s">
        <v>208</v>
      </c>
      <c r="L49" s="3">
        <v>28.57</v>
      </c>
      <c r="M49" s="3">
        <v>30</v>
      </c>
      <c r="N49" s="3">
        <v>59.99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209</v>
      </c>
      <c r="T49" s="2" t="s">
        <v>103</v>
      </c>
      <c r="U49" s="2" t="s">
        <v>115</v>
      </c>
      <c r="V49" s="2" t="s">
        <v>105</v>
      </c>
      <c r="W49" s="2" t="s">
        <v>106</v>
      </c>
      <c r="X49" s="2" t="s">
        <v>101</v>
      </c>
      <c r="Y49" s="2" t="s">
        <v>138</v>
      </c>
      <c r="Z49" s="4">
        <v>4343</v>
      </c>
      <c r="AA49" s="4">
        <f>=ROUNDDOWN(124.085714285714,0)</f>
      </c>
      <c r="AB49" s="5">
        <v>35</v>
      </c>
      <c r="AC49" s="2" t="s">
        <v>101</v>
      </c>
      <c r="AD49" s="4"/>
      <c r="AE49" s="4"/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>
        <v>225</v>
      </c>
      <c r="AQ49" s="8">
        <v>7030.8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0.4032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2333</v>
      </c>
      <c r="BK49" s="8">
        <v>74361.93</v>
      </c>
      <c r="BL49" s="2" t="s">
        <v>139</v>
      </c>
      <c r="BM49" s="7">
        <v>0.0964</v>
      </c>
      <c r="BN49" s="7">
        <v>0.0945</v>
      </c>
      <c r="BO49" s="4">
        <v>225</v>
      </c>
      <c r="BP49" s="8">
        <v>7030.8</v>
      </c>
      <c r="BQ49" s="4"/>
      <c r="BR49" s="8"/>
      <c r="BS49" s="7"/>
      <c r="BT49" s="7"/>
      <c r="BU49" s="2" t="s">
        <v>110</v>
      </c>
      <c r="BV49" s="2" t="s">
        <v>98</v>
      </c>
      <c r="BW49" s="2" t="s">
        <v>101</v>
      </c>
      <c r="BX49" s="2" t="s">
        <v>133</v>
      </c>
      <c r="BY49" s="2" t="s">
        <v>112</v>
      </c>
      <c r="BZ49" s="2" t="s">
        <v>112</v>
      </c>
      <c r="CA49" s="2" t="s">
        <v>101</v>
      </c>
    </row>
    <row r="50">
      <c r="A50" s="2" t="s">
        <v>214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92</v>
      </c>
      <c r="G50" s="2" t="s">
        <v>93</v>
      </c>
      <c r="H50" s="2" t="s">
        <v>94</v>
      </c>
      <c r="I50" s="2" t="s">
        <v>95</v>
      </c>
      <c r="J50" s="2" t="s">
        <v>126</v>
      </c>
      <c r="K50" s="2" t="s">
        <v>208</v>
      </c>
      <c r="L50" s="3">
        <v>30.95</v>
      </c>
      <c r="M50" s="3">
        <v>32.5</v>
      </c>
      <c r="N50" s="3">
        <v>54.99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209</v>
      </c>
      <c r="T50" s="2" t="s">
        <v>103</v>
      </c>
      <c r="U50" s="2" t="s">
        <v>115</v>
      </c>
      <c r="V50" s="2" t="s">
        <v>105</v>
      </c>
      <c r="W50" s="2" t="s">
        <v>106</v>
      </c>
      <c r="X50" s="2" t="s">
        <v>101</v>
      </c>
      <c r="Y50" s="2" t="s">
        <v>135</v>
      </c>
      <c r="Z50" s="4">
        <v>564</v>
      </c>
      <c r="AA50" s="4">
        <f>=ROUNDDOWN(25.7534246575343,0)</f>
      </c>
      <c r="AB50" s="5">
        <v>21.9</v>
      </c>
      <c r="AC50" s="2" t="s">
        <v>101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>
        <v>55</v>
      </c>
      <c r="AQ50" s="8">
        <v>1815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0.1041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496</v>
      </c>
      <c r="BK50" s="8">
        <v>19359.66</v>
      </c>
      <c r="BL50" s="2" t="s">
        <v>147</v>
      </c>
      <c r="BM50" s="7">
        <v>0.1109</v>
      </c>
      <c r="BN50" s="7">
        <v>0.0938</v>
      </c>
      <c r="BO50" s="4">
        <v>55</v>
      </c>
      <c r="BP50" s="8">
        <v>1815</v>
      </c>
      <c r="BQ50" s="4"/>
      <c r="BR50" s="8"/>
      <c r="BS50" s="7"/>
      <c r="BT50" s="7"/>
      <c r="BU50" s="2" t="s">
        <v>110</v>
      </c>
      <c r="BV50" s="2" t="s">
        <v>98</v>
      </c>
      <c r="BW50" s="2" t="s">
        <v>101</v>
      </c>
      <c r="BX50" s="2" t="s">
        <v>168</v>
      </c>
      <c r="BY50" s="2" t="s">
        <v>112</v>
      </c>
      <c r="BZ50" s="2" t="s">
        <v>112</v>
      </c>
      <c r="CA50" s="2" t="s">
        <v>101</v>
      </c>
    </row>
    <row r="51">
      <c r="A51" s="2" t="s">
        <v>215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92</v>
      </c>
      <c r="G51" s="2" t="s">
        <v>93</v>
      </c>
      <c r="H51" s="2" t="s">
        <v>94</v>
      </c>
      <c r="I51" s="2" t="s">
        <v>95</v>
      </c>
      <c r="J51" s="2" t="s">
        <v>96</v>
      </c>
      <c r="K51" s="2" t="s">
        <v>216</v>
      </c>
      <c r="L51" s="3">
        <v>21.42</v>
      </c>
      <c r="M51" s="3">
        <v>22.49</v>
      </c>
      <c r="N51" s="3">
        <v>44.99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217</v>
      </c>
      <c r="T51" s="2" t="s">
        <v>103</v>
      </c>
      <c r="U51" s="2" t="s">
        <v>104</v>
      </c>
      <c r="V51" s="2" t="s">
        <v>105</v>
      </c>
      <c r="W51" s="2" t="s">
        <v>106</v>
      </c>
      <c r="X51" s="2" t="s">
        <v>101</v>
      </c>
      <c r="Y51" s="2" t="s">
        <v>138</v>
      </c>
      <c r="Z51" s="4">
        <v>256</v>
      </c>
      <c r="AA51" s="4">
        <f>=ROUNDDOWN(12.0754716981132,0)</f>
      </c>
      <c r="AB51" s="5">
        <v>21.2</v>
      </c>
      <c r="AC51" s="2" t="s">
        <v>101</v>
      </c>
      <c r="AD51" s="4"/>
      <c r="AE51" s="4"/>
      <c r="AF51" s="6">
        <v>63</v>
      </c>
      <c r="AG51" s="6">
        <v>46</v>
      </c>
      <c r="AH51" s="7">
        <v>0.9482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110</v>
      </c>
      <c r="AQ51" s="8">
        <v>2530</v>
      </c>
      <c r="AR51" s="4"/>
      <c r="AS51" s="8"/>
      <c r="AT51" s="7"/>
      <c r="AU51" s="7"/>
      <c r="AV51" s="4">
        <v>532</v>
      </c>
      <c r="AW51" s="8">
        <v>15348.26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0.1648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0.025</v>
      </c>
      <c r="BJ51" s="4">
        <v>1096</v>
      </c>
      <c r="BK51" s="8">
        <v>24097.07</v>
      </c>
      <c r="BL51" s="2" t="s">
        <v>145</v>
      </c>
      <c r="BM51" s="7">
        <v>0.1004</v>
      </c>
      <c r="BN51" s="7">
        <v>0.105</v>
      </c>
      <c r="BO51" s="4">
        <v>110</v>
      </c>
      <c r="BP51" s="8">
        <v>2530</v>
      </c>
      <c r="BQ51" s="4"/>
      <c r="BR51" s="8"/>
      <c r="BS51" s="7"/>
      <c r="BT51" s="7"/>
      <c r="BU51" s="2" t="s">
        <v>110</v>
      </c>
      <c r="BV51" s="2" t="s">
        <v>98</v>
      </c>
      <c r="BW51" s="2" t="s">
        <v>101</v>
      </c>
      <c r="BX51" s="2" t="s">
        <v>133</v>
      </c>
      <c r="BY51" s="2" t="s">
        <v>112</v>
      </c>
      <c r="BZ51" s="2" t="s">
        <v>112</v>
      </c>
      <c r="CA51" s="2" t="s">
        <v>101</v>
      </c>
    </row>
    <row r="52">
      <c r="A52" s="2" t="s">
        <v>218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92</v>
      </c>
      <c r="G52" s="2" t="s">
        <v>93</v>
      </c>
      <c r="H52" s="2" t="s">
        <v>94</v>
      </c>
      <c r="I52" s="2" t="s">
        <v>95</v>
      </c>
      <c r="J52" s="2" t="s">
        <v>114</v>
      </c>
      <c r="K52" s="2" t="s">
        <v>216</v>
      </c>
      <c r="L52" s="3">
        <v>25.23</v>
      </c>
      <c r="M52" s="3">
        <v>26.49</v>
      </c>
      <c r="N52" s="3">
        <v>49.99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217</v>
      </c>
      <c r="T52" s="2" t="s">
        <v>103</v>
      </c>
      <c r="U52" s="2" t="s">
        <v>115</v>
      </c>
      <c r="V52" s="2" t="s">
        <v>105</v>
      </c>
      <c r="W52" s="2" t="s">
        <v>106</v>
      </c>
      <c r="X52" s="2" t="s">
        <v>101</v>
      </c>
      <c r="Y52" s="2" t="s">
        <v>135</v>
      </c>
      <c r="Z52" s="4">
        <v>34</v>
      </c>
      <c r="AA52" s="4">
        <f>=ROUNDDOWN(3.09090909090909,0)</f>
      </c>
      <c r="AB52" s="5">
        <v>11</v>
      </c>
      <c r="AC52" s="2" t="s">
        <v>101</v>
      </c>
      <c r="AD52" s="4"/>
      <c r="AE52" s="4"/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22</v>
      </c>
      <c r="AQ52" s="8">
        <v>629.86</v>
      </c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0.041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 t="s">
        <v>101</v>
      </c>
      <c r="BJ52" s="4">
        <v>570</v>
      </c>
      <c r="BK52" s="8">
        <v>14577.49</v>
      </c>
      <c r="BL52" s="2" t="s">
        <v>118</v>
      </c>
      <c r="BM52" s="7">
        <v>0.0386</v>
      </c>
      <c r="BN52" s="7">
        <v>0.0432</v>
      </c>
      <c r="BO52" s="4">
        <v>22</v>
      </c>
      <c r="BP52" s="8">
        <v>629.86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101</v>
      </c>
      <c r="BX52" s="2" t="s">
        <v>136</v>
      </c>
      <c r="BY52" s="2" t="s">
        <v>112</v>
      </c>
      <c r="BZ52" s="2" t="s">
        <v>112</v>
      </c>
      <c r="CA52" s="2" t="s">
        <v>101</v>
      </c>
    </row>
    <row r="53">
      <c r="A53" s="2" t="s">
        <v>219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92</v>
      </c>
      <c r="G53" s="2" t="s">
        <v>93</v>
      </c>
      <c r="H53" s="2" t="s">
        <v>94</v>
      </c>
      <c r="I53" s="2" t="s">
        <v>95</v>
      </c>
      <c r="J53" s="2" t="s">
        <v>121</v>
      </c>
      <c r="K53" s="2" t="s">
        <v>216</v>
      </c>
      <c r="L53" s="3">
        <v>26.19</v>
      </c>
      <c r="M53" s="3">
        <v>27.5</v>
      </c>
      <c r="N53" s="3">
        <v>54.99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217</v>
      </c>
      <c r="T53" s="2" t="s">
        <v>103</v>
      </c>
      <c r="U53" s="2" t="s">
        <v>115</v>
      </c>
      <c r="V53" s="2" t="s">
        <v>105</v>
      </c>
      <c r="W53" s="2" t="s">
        <v>106</v>
      </c>
      <c r="X53" s="2" t="s">
        <v>101</v>
      </c>
      <c r="Y53" s="2" t="s">
        <v>138</v>
      </c>
      <c r="Z53" s="4">
        <v>1574</v>
      </c>
      <c r="AA53" s="4">
        <f>=ROUNDDOWN(22.8115942028986,0)</f>
      </c>
      <c r="AB53" s="5">
        <v>69</v>
      </c>
      <c r="AC53" s="2" t="s">
        <v>101</v>
      </c>
      <c r="AD53" s="4"/>
      <c r="AE53" s="4"/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>
        <v>162</v>
      </c>
      <c r="AQ53" s="8">
        <v>4649.4</v>
      </c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0.3029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3744</v>
      </c>
      <c r="BK53" s="8">
        <v>103142.34</v>
      </c>
      <c r="BL53" s="2" t="s">
        <v>109</v>
      </c>
      <c r="BM53" s="7">
        <v>0.0433</v>
      </c>
      <c r="BN53" s="7">
        <v>0.0451</v>
      </c>
      <c r="BO53" s="4">
        <v>162</v>
      </c>
      <c r="BP53" s="8">
        <v>4649.4</v>
      </c>
      <c r="BQ53" s="4"/>
      <c r="BR53" s="8"/>
      <c r="BS53" s="7"/>
      <c r="BT53" s="7"/>
      <c r="BU53" s="2" t="s">
        <v>110</v>
      </c>
      <c r="BV53" s="2" t="s">
        <v>98</v>
      </c>
      <c r="BW53" s="2" t="s">
        <v>101</v>
      </c>
      <c r="BX53" s="2" t="s">
        <v>133</v>
      </c>
      <c r="BY53" s="2" t="s">
        <v>112</v>
      </c>
      <c r="BZ53" s="2" t="s">
        <v>112</v>
      </c>
      <c r="CA53" s="2" t="s">
        <v>101</v>
      </c>
    </row>
    <row r="54">
      <c r="A54" s="2" t="s">
        <v>220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92</v>
      </c>
      <c r="G54" s="2" t="s">
        <v>93</v>
      </c>
      <c r="H54" s="2" t="s">
        <v>94</v>
      </c>
      <c r="I54" s="2" t="s">
        <v>95</v>
      </c>
      <c r="J54" s="2" t="s">
        <v>123</v>
      </c>
      <c r="K54" s="2" t="s">
        <v>216</v>
      </c>
      <c r="L54" s="3">
        <v>28.57</v>
      </c>
      <c r="M54" s="3">
        <v>30</v>
      </c>
      <c r="N54" s="3">
        <v>59.99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217</v>
      </c>
      <c r="T54" s="2" t="s">
        <v>103</v>
      </c>
      <c r="U54" s="2" t="s">
        <v>115</v>
      </c>
      <c r="V54" s="2" t="s">
        <v>105</v>
      </c>
      <c r="W54" s="2" t="s">
        <v>106</v>
      </c>
      <c r="X54" s="2" t="s">
        <v>101</v>
      </c>
      <c r="Y54" s="2" t="s">
        <v>132</v>
      </c>
      <c r="Z54" s="4">
        <v>3486</v>
      </c>
      <c r="AA54" s="4">
        <f>=ROUNDDOWN(67.0384615384615,0)</f>
      </c>
      <c r="AB54" s="5">
        <v>52</v>
      </c>
      <c r="AC54" s="2" t="s">
        <v>101</v>
      </c>
      <c r="AD54" s="4"/>
      <c r="AE54" s="4"/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>
        <v>210</v>
      </c>
      <c r="AQ54" s="8">
        <v>6615</v>
      </c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0.431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3123</v>
      </c>
      <c r="BK54" s="8">
        <v>97615.68</v>
      </c>
      <c r="BL54" s="2" t="s">
        <v>109</v>
      </c>
      <c r="BM54" s="7">
        <v>0.0672</v>
      </c>
      <c r="BN54" s="7">
        <v>0.0678</v>
      </c>
      <c r="BO54" s="4">
        <v>210</v>
      </c>
      <c r="BP54" s="8">
        <v>6615</v>
      </c>
      <c r="BQ54" s="4"/>
      <c r="BR54" s="8"/>
      <c r="BS54" s="7"/>
      <c r="BT54" s="7"/>
      <c r="BU54" s="2" t="s">
        <v>110</v>
      </c>
      <c r="BV54" s="2" t="s">
        <v>98</v>
      </c>
      <c r="BW54" s="2" t="s">
        <v>101</v>
      </c>
      <c r="BX54" s="2" t="s">
        <v>133</v>
      </c>
      <c r="BY54" s="2" t="s">
        <v>112</v>
      </c>
      <c r="BZ54" s="2" t="s">
        <v>112</v>
      </c>
      <c r="CA54" s="2" t="s">
        <v>101</v>
      </c>
    </row>
    <row r="55">
      <c r="A55" s="2" t="s">
        <v>221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92</v>
      </c>
      <c r="G55" s="2" t="s">
        <v>93</v>
      </c>
      <c r="H55" s="2" t="s">
        <v>94</v>
      </c>
      <c r="I55" s="2" t="s">
        <v>95</v>
      </c>
      <c r="J55" s="2" t="s">
        <v>126</v>
      </c>
      <c r="K55" s="2" t="s">
        <v>216</v>
      </c>
      <c r="L55" s="3">
        <v>30.95</v>
      </c>
      <c r="M55" s="3">
        <v>32.5</v>
      </c>
      <c r="N55" s="3">
        <v>54.99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217</v>
      </c>
      <c r="T55" s="2" t="s">
        <v>103</v>
      </c>
      <c r="U55" s="2" t="s">
        <v>115</v>
      </c>
      <c r="V55" s="2" t="s">
        <v>105</v>
      </c>
      <c r="W55" s="2" t="s">
        <v>106</v>
      </c>
      <c r="X55" s="2" t="s">
        <v>101</v>
      </c>
      <c r="Y55" s="2" t="s">
        <v>135</v>
      </c>
      <c r="Z55" s="4">
        <v>71</v>
      </c>
      <c r="AA55" s="4">
        <f>=ROUNDDOWN(3.02127659574468,0)</f>
      </c>
      <c r="AB55" s="5">
        <v>23.5</v>
      </c>
      <c r="AC55" s="2" t="s">
        <v>101</v>
      </c>
      <c r="AD55" s="4"/>
      <c r="AE55" s="4"/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>
        <v>28</v>
      </c>
      <c r="AQ55" s="8">
        <v>924</v>
      </c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0.0602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778</v>
      </c>
      <c r="BK55" s="8">
        <v>32006.1</v>
      </c>
      <c r="BL55" s="2" t="s">
        <v>222</v>
      </c>
      <c r="BM55" s="7">
        <v>0.036</v>
      </c>
      <c r="BN55" s="7">
        <v>0.0289</v>
      </c>
      <c r="BO55" s="4">
        <v>28</v>
      </c>
      <c r="BP55" s="8">
        <v>924</v>
      </c>
      <c r="BQ55" s="4"/>
      <c r="BR55" s="8"/>
      <c r="BS55" s="7"/>
      <c r="BT55" s="7"/>
      <c r="BU55" s="2" t="s">
        <v>110</v>
      </c>
      <c r="BV55" s="2" t="s">
        <v>98</v>
      </c>
      <c r="BW55" s="2" t="s">
        <v>101</v>
      </c>
      <c r="BX55" s="2" t="s">
        <v>223</v>
      </c>
      <c r="BY55" s="2" t="s">
        <v>112</v>
      </c>
      <c r="BZ55" s="2" t="s">
        <v>112</v>
      </c>
      <c r="CA55" s="2" t="s">
        <v>101</v>
      </c>
    </row>
    <row r="56">
      <c r="A56" s="2" t="s">
        <v>224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92</v>
      </c>
      <c r="G56" s="2" t="s">
        <v>93</v>
      </c>
      <c r="H56" s="2" t="s">
        <v>94</v>
      </c>
      <c r="I56" s="2" t="s">
        <v>95</v>
      </c>
      <c r="J56" s="2" t="s">
        <v>96</v>
      </c>
      <c r="K56" s="2" t="s">
        <v>225</v>
      </c>
      <c r="L56" s="3">
        <v>21.42</v>
      </c>
      <c r="M56" s="3">
        <v>22.49</v>
      </c>
      <c r="N56" s="3">
        <v>39.99</v>
      </c>
      <c r="O56" s="2" t="s">
        <v>98</v>
      </c>
      <c r="P56" s="2" t="s">
        <v>226</v>
      </c>
      <c r="Q56" s="2" t="s">
        <v>100</v>
      </c>
      <c r="R56" s="2" t="s">
        <v>101</v>
      </c>
      <c r="S56" s="2" t="s">
        <v>227</v>
      </c>
      <c r="T56" s="2" t="s">
        <v>103</v>
      </c>
      <c r="U56" s="2" t="s">
        <v>104</v>
      </c>
      <c r="V56" s="2" t="s">
        <v>105</v>
      </c>
      <c r="W56" s="2" t="s">
        <v>106</v>
      </c>
      <c r="X56" s="2" t="s">
        <v>101</v>
      </c>
      <c r="Y56" s="2" t="s">
        <v>165</v>
      </c>
      <c r="Z56" s="4">
        <v>198</v>
      </c>
      <c r="AA56" s="4">
        <f>=ROUNDDOWN(26.4,0)</f>
      </c>
      <c r="AB56" s="5">
        <v>7.5</v>
      </c>
      <c r="AC56" s="2" t="s">
        <v>101</v>
      </c>
      <c r="AD56" s="4"/>
      <c r="AE56" s="4"/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>
        <v>52</v>
      </c>
      <c r="AQ56" s="8">
        <v>1187.16</v>
      </c>
      <c r="AR56" s="4"/>
      <c r="AS56" s="8"/>
      <c r="AT56" s="7"/>
      <c r="AU56" s="7"/>
      <c r="AV56" s="4">
        <v>428</v>
      </c>
      <c r="AW56" s="8">
        <v>12523.17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0.0948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0.0204</v>
      </c>
      <c r="BJ56" s="4">
        <v>260</v>
      </c>
      <c r="BK56" s="8">
        <v>5893.05</v>
      </c>
      <c r="BL56" s="2" t="s">
        <v>176</v>
      </c>
      <c r="BM56" s="7">
        <v>0.2</v>
      </c>
      <c r="BN56" s="7">
        <v>0.2015</v>
      </c>
      <c r="BO56" s="4">
        <v>52</v>
      </c>
      <c r="BP56" s="8">
        <v>1187.16</v>
      </c>
      <c r="BQ56" s="4"/>
      <c r="BR56" s="8"/>
      <c r="BS56" s="7"/>
      <c r="BT56" s="7"/>
      <c r="BU56" s="2" t="s">
        <v>110</v>
      </c>
      <c r="BV56" s="2" t="s">
        <v>98</v>
      </c>
      <c r="BW56" s="2" t="s">
        <v>101</v>
      </c>
      <c r="BX56" s="2" t="s">
        <v>136</v>
      </c>
      <c r="BY56" s="2" t="s">
        <v>112</v>
      </c>
      <c r="BZ56" s="2" t="s">
        <v>112</v>
      </c>
      <c r="CA56" s="2" t="s">
        <v>101</v>
      </c>
    </row>
    <row r="57">
      <c r="A57" s="2" t="s">
        <v>228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92</v>
      </c>
      <c r="G57" s="2" t="s">
        <v>93</v>
      </c>
      <c r="H57" s="2" t="s">
        <v>94</v>
      </c>
      <c r="I57" s="2" t="s">
        <v>95</v>
      </c>
      <c r="J57" s="2" t="s">
        <v>114</v>
      </c>
      <c r="K57" s="2" t="s">
        <v>225</v>
      </c>
      <c r="L57" s="3">
        <v>25.23</v>
      </c>
      <c r="M57" s="3">
        <v>26.49</v>
      </c>
      <c r="N57" s="3">
        <v>49.99</v>
      </c>
      <c r="O57" s="2" t="s">
        <v>98</v>
      </c>
      <c r="P57" s="2" t="s">
        <v>226</v>
      </c>
      <c r="Q57" s="2" t="s">
        <v>100</v>
      </c>
      <c r="R57" s="2" t="s">
        <v>101</v>
      </c>
      <c r="S57" s="2" t="s">
        <v>227</v>
      </c>
      <c r="T57" s="2" t="s">
        <v>103</v>
      </c>
      <c r="U57" s="2" t="s">
        <v>115</v>
      </c>
      <c r="V57" s="2" t="s">
        <v>105</v>
      </c>
      <c r="W57" s="2" t="s">
        <v>106</v>
      </c>
      <c r="X57" s="2" t="s">
        <v>101</v>
      </c>
      <c r="Y57" s="2" t="s">
        <v>170</v>
      </c>
      <c r="Z57" s="4">
        <v>556</v>
      </c>
      <c r="AA57" s="4">
        <f>=ROUNDDOWN(77.2222222222222,0)</f>
      </c>
      <c r="AB57" s="5">
        <v>7.2</v>
      </c>
      <c r="AC57" s="2" t="s">
        <v>101</v>
      </c>
      <c r="AD57" s="4"/>
      <c r="AE57" s="4"/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>
        <v>44</v>
      </c>
      <c r="AQ57" s="8">
        <v>1259.72</v>
      </c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0.1006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232</v>
      </c>
      <c r="BK57" s="8">
        <v>6090.07</v>
      </c>
      <c r="BL57" s="2" t="s">
        <v>147</v>
      </c>
      <c r="BM57" s="7">
        <v>0.1897</v>
      </c>
      <c r="BN57" s="7">
        <v>0.2068</v>
      </c>
      <c r="BO57" s="4">
        <v>44</v>
      </c>
      <c r="BP57" s="8">
        <v>1259.72</v>
      </c>
      <c r="BQ57" s="4"/>
      <c r="BR57" s="8"/>
      <c r="BS57" s="7"/>
      <c r="BT57" s="7"/>
      <c r="BU57" s="2" t="s">
        <v>110</v>
      </c>
      <c r="BV57" s="2" t="s">
        <v>98</v>
      </c>
      <c r="BW57" s="2" t="s">
        <v>101</v>
      </c>
      <c r="BX57" s="2" t="s">
        <v>136</v>
      </c>
      <c r="BY57" s="2" t="s">
        <v>112</v>
      </c>
      <c r="BZ57" s="2" t="s">
        <v>112</v>
      </c>
      <c r="CA57" s="2" t="s">
        <v>101</v>
      </c>
    </row>
    <row r="58">
      <c r="A58" s="2" t="s">
        <v>229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92</v>
      </c>
      <c r="G58" s="2" t="s">
        <v>93</v>
      </c>
      <c r="H58" s="2" t="s">
        <v>94</v>
      </c>
      <c r="I58" s="2" t="s">
        <v>95</v>
      </c>
      <c r="J58" s="2" t="s">
        <v>121</v>
      </c>
      <c r="K58" s="2" t="s">
        <v>225</v>
      </c>
      <c r="L58" s="3">
        <v>26.19</v>
      </c>
      <c r="M58" s="3">
        <v>27.5</v>
      </c>
      <c r="N58" s="3">
        <v>49.99</v>
      </c>
      <c r="O58" s="2" t="s">
        <v>98</v>
      </c>
      <c r="P58" s="2" t="s">
        <v>226</v>
      </c>
      <c r="Q58" s="2" t="s">
        <v>100</v>
      </c>
      <c r="R58" s="2" t="s">
        <v>101</v>
      </c>
      <c r="S58" s="2" t="s">
        <v>227</v>
      </c>
      <c r="T58" s="2" t="s">
        <v>103</v>
      </c>
      <c r="U58" s="2" t="s">
        <v>115</v>
      </c>
      <c r="V58" s="2" t="s">
        <v>105</v>
      </c>
      <c r="W58" s="2" t="s">
        <v>106</v>
      </c>
      <c r="X58" s="2" t="s">
        <v>101</v>
      </c>
      <c r="Y58" s="2" t="s">
        <v>165</v>
      </c>
      <c r="Z58" s="4">
        <v>346</v>
      </c>
      <c r="AA58" s="4">
        <f>=ROUNDDOWN(7.99076212471132,0)</f>
      </c>
      <c r="AB58" s="5">
        <v>43.3</v>
      </c>
      <c r="AC58" s="2" t="s">
        <v>101</v>
      </c>
      <c r="AD58" s="4"/>
      <c r="AE58" s="4"/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>
        <v>133</v>
      </c>
      <c r="AQ58" s="8">
        <v>3807.79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0.3041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1250</v>
      </c>
      <c r="BK58" s="8">
        <v>37357.35</v>
      </c>
      <c r="BL58" s="2" t="s">
        <v>145</v>
      </c>
      <c r="BM58" s="7">
        <v>0.1064</v>
      </c>
      <c r="BN58" s="7">
        <v>0.1019</v>
      </c>
      <c r="BO58" s="4">
        <v>133</v>
      </c>
      <c r="BP58" s="8">
        <v>3807.79</v>
      </c>
      <c r="BQ58" s="4"/>
      <c r="BR58" s="8"/>
      <c r="BS58" s="7"/>
      <c r="BT58" s="7"/>
      <c r="BU58" s="2" t="s">
        <v>110</v>
      </c>
      <c r="BV58" s="2" t="s">
        <v>98</v>
      </c>
      <c r="BW58" s="2" t="s">
        <v>101</v>
      </c>
      <c r="BX58" s="2" t="s">
        <v>168</v>
      </c>
      <c r="BY58" s="2" t="s">
        <v>112</v>
      </c>
      <c r="BZ58" s="2" t="s">
        <v>112</v>
      </c>
      <c r="CA58" s="2" t="s">
        <v>101</v>
      </c>
    </row>
    <row r="59">
      <c r="A59" s="2" t="s">
        <v>230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92</v>
      </c>
      <c r="G59" s="2" t="s">
        <v>93</v>
      </c>
      <c r="H59" s="2" t="s">
        <v>94</v>
      </c>
      <c r="I59" s="2" t="s">
        <v>95</v>
      </c>
      <c r="J59" s="2" t="s">
        <v>123</v>
      </c>
      <c r="K59" s="2" t="s">
        <v>225</v>
      </c>
      <c r="L59" s="3">
        <v>28.57</v>
      </c>
      <c r="M59" s="3">
        <v>30</v>
      </c>
      <c r="N59" s="3">
        <v>54.99</v>
      </c>
      <c r="O59" s="2" t="s">
        <v>98</v>
      </c>
      <c r="P59" s="2" t="s">
        <v>226</v>
      </c>
      <c r="Q59" s="2" t="s">
        <v>100</v>
      </c>
      <c r="R59" s="2" t="s">
        <v>101</v>
      </c>
      <c r="S59" s="2" t="s">
        <v>227</v>
      </c>
      <c r="T59" s="2" t="s">
        <v>103</v>
      </c>
      <c r="U59" s="2" t="s">
        <v>115</v>
      </c>
      <c r="V59" s="2" t="s">
        <v>105</v>
      </c>
      <c r="W59" s="2" t="s">
        <v>106</v>
      </c>
      <c r="X59" s="2" t="s">
        <v>101</v>
      </c>
      <c r="Y59" s="2" t="s">
        <v>180</v>
      </c>
      <c r="Z59" s="4">
        <v>809</v>
      </c>
      <c r="AA59" s="4">
        <f>=ROUNDDOWN(14.0940766550523,0)</f>
      </c>
      <c r="AB59" s="5">
        <v>57.4</v>
      </c>
      <c r="AC59" s="2" t="s">
        <v>101</v>
      </c>
      <c r="AD59" s="4"/>
      <c r="AE59" s="4"/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>
        <v>100</v>
      </c>
      <c r="AQ59" s="8">
        <v>3150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0.2515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1269</v>
      </c>
      <c r="BK59" s="8">
        <v>44147.57</v>
      </c>
      <c r="BL59" s="2" t="s">
        <v>231</v>
      </c>
      <c r="BM59" s="7">
        <v>0.0788</v>
      </c>
      <c r="BN59" s="7">
        <v>0.0714</v>
      </c>
      <c r="BO59" s="4">
        <v>100</v>
      </c>
      <c r="BP59" s="8">
        <v>3150</v>
      </c>
      <c r="BQ59" s="4"/>
      <c r="BR59" s="8"/>
      <c r="BS59" s="7"/>
      <c r="BT59" s="7"/>
      <c r="BU59" s="2" t="s">
        <v>110</v>
      </c>
      <c r="BV59" s="2" t="s">
        <v>98</v>
      </c>
      <c r="BW59" s="2" t="s">
        <v>101</v>
      </c>
      <c r="BX59" s="2" t="s">
        <v>119</v>
      </c>
      <c r="BY59" s="2" t="s">
        <v>112</v>
      </c>
      <c r="BZ59" s="2" t="s">
        <v>112</v>
      </c>
      <c r="CA59" s="2" t="s">
        <v>101</v>
      </c>
    </row>
    <row r="60">
      <c r="A60" s="2" t="s">
        <v>232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92</v>
      </c>
      <c r="G60" s="2" t="s">
        <v>93</v>
      </c>
      <c r="H60" s="2" t="s">
        <v>94</v>
      </c>
      <c r="I60" s="2" t="s">
        <v>95</v>
      </c>
      <c r="J60" s="2" t="s">
        <v>126</v>
      </c>
      <c r="K60" s="2" t="s">
        <v>225</v>
      </c>
      <c r="L60" s="3">
        <v>30.95</v>
      </c>
      <c r="M60" s="3">
        <v>32.5</v>
      </c>
      <c r="N60" s="3">
        <v>54.99</v>
      </c>
      <c r="O60" s="2" t="s">
        <v>98</v>
      </c>
      <c r="P60" s="2" t="s">
        <v>226</v>
      </c>
      <c r="Q60" s="2" t="s">
        <v>100</v>
      </c>
      <c r="R60" s="2" t="s">
        <v>101</v>
      </c>
      <c r="S60" s="2" t="s">
        <v>227</v>
      </c>
      <c r="T60" s="2" t="s">
        <v>103</v>
      </c>
      <c r="U60" s="2" t="s">
        <v>115</v>
      </c>
      <c r="V60" s="2" t="s">
        <v>105</v>
      </c>
      <c r="W60" s="2" t="s">
        <v>106</v>
      </c>
      <c r="X60" s="2" t="s">
        <v>101</v>
      </c>
      <c r="Y60" s="2" t="s">
        <v>170</v>
      </c>
      <c r="Z60" s="4">
        <v>70</v>
      </c>
      <c r="AA60" s="4">
        <f>=ROUNDDOWN(3.41463414634146,0)</f>
      </c>
      <c r="AB60" s="5">
        <v>20.5</v>
      </c>
      <c r="AC60" s="2" t="s">
        <v>101</v>
      </c>
      <c r="AD60" s="4"/>
      <c r="AE60" s="4"/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>
        <v>99</v>
      </c>
      <c r="AQ60" s="8">
        <v>3118.5</v>
      </c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0.249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779</v>
      </c>
      <c r="BK60" s="8">
        <v>31961.17</v>
      </c>
      <c r="BL60" s="2" t="s">
        <v>147</v>
      </c>
      <c r="BM60" s="7">
        <v>0.1271</v>
      </c>
      <c r="BN60" s="7">
        <v>0.0976</v>
      </c>
      <c r="BO60" s="4">
        <v>99</v>
      </c>
      <c r="BP60" s="8">
        <v>3118.5</v>
      </c>
      <c r="BQ60" s="4"/>
      <c r="BR60" s="8"/>
      <c r="BS60" s="7"/>
      <c r="BT60" s="7"/>
      <c r="BU60" s="2" t="s">
        <v>110</v>
      </c>
      <c r="BV60" s="2" t="s">
        <v>98</v>
      </c>
      <c r="BW60" s="2" t="s">
        <v>101</v>
      </c>
      <c r="BX60" s="2" t="s">
        <v>119</v>
      </c>
      <c r="BY60" s="2" t="s">
        <v>112</v>
      </c>
      <c r="BZ60" s="2" t="s">
        <v>112</v>
      </c>
      <c r="CA60" s="2" t="s">
        <v>101</v>
      </c>
    </row>
    <row r="61">
      <c r="A61" s="2" t="s">
        <v>233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92</v>
      </c>
      <c r="G61" s="2" t="s">
        <v>93</v>
      </c>
      <c r="H61" s="2" t="s">
        <v>94</v>
      </c>
      <c r="I61" s="2" t="s">
        <v>95</v>
      </c>
      <c r="J61" s="2" t="s">
        <v>96</v>
      </c>
      <c r="K61" s="2" t="s">
        <v>234</v>
      </c>
      <c r="L61" s="3">
        <v>21.42</v>
      </c>
      <c r="M61" s="3">
        <v>22.49</v>
      </c>
      <c r="N61" s="3">
        <v>39.99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235</v>
      </c>
      <c r="T61" s="2" t="s">
        <v>103</v>
      </c>
      <c r="U61" s="2" t="s">
        <v>104</v>
      </c>
      <c r="V61" s="2" t="s">
        <v>105</v>
      </c>
      <c r="W61" s="2" t="s">
        <v>106</v>
      </c>
      <c r="X61" s="2" t="s">
        <v>101</v>
      </c>
      <c r="Y61" s="2" t="s">
        <v>165</v>
      </c>
      <c r="Z61" s="4">
        <v>75</v>
      </c>
      <c r="AA61" s="4">
        <f>=ROUNDDOWN(6.63716814159292,0)</f>
      </c>
      <c r="AB61" s="5">
        <v>11.3</v>
      </c>
      <c r="AC61" s="2" t="s">
        <v>117</v>
      </c>
      <c r="AD61" s="4">
        <v>90</v>
      </c>
      <c r="AE61" s="4">
        <v>150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51</v>
      </c>
      <c r="AQ61" s="8">
        <v>1164.33</v>
      </c>
      <c r="AR61" s="4"/>
      <c r="AS61" s="8"/>
      <c r="AT61" s="7"/>
      <c r="AU61" s="7"/>
      <c r="AV61" s="4">
        <v>419</v>
      </c>
      <c r="AW61" s="8">
        <v>12331.57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0.0944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0.0201</v>
      </c>
      <c r="BJ61" s="4">
        <v>413</v>
      </c>
      <c r="BK61" s="8">
        <v>9056.76</v>
      </c>
      <c r="BL61" s="2" t="s">
        <v>200</v>
      </c>
      <c r="BM61" s="7">
        <v>0.1235</v>
      </c>
      <c r="BN61" s="7">
        <v>0.1286</v>
      </c>
      <c r="BO61" s="4">
        <v>51</v>
      </c>
      <c r="BP61" s="8">
        <v>1164.33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101</v>
      </c>
      <c r="BX61" s="2" t="s">
        <v>119</v>
      </c>
      <c r="BY61" s="2" t="s">
        <v>112</v>
      </c>
      <c r="BZ61" s="2" t="s">
        <v>112</v>
      </c>
      <c r="CA61" s="2" t="s">
        <v>101</v>
      </c>
    </row>
    <row r="62">
      <c r="A62" s="2" t="s">
        <v>236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92</v>
      </c>
      <c r="G62" s="2" t="s">
        <v>93</v>
      </c>
      <c r="H62" s="2" t="s">
        <v>94</v>
      </c>
      <c r="I62" s="2" t="s">
        <v>95</v>
      </c>
      <c r="J62" s="2" t="s">
        <v>114</v>
      </c>
      <c r="K62" s="2" t="s">
        <v>234</v>
      </c>
      <c r="L62" s="3">
        <v>25.23</v>
      </c>
      <c r="M62" s="3">
        <v>26.49</v>
      </c>
      <c r="N62" s="3">
        <v>49.99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235</v>
      </c>
      <c r="T62" s="2" t="s">
        <v>103</v>
      </c>
      <c r="U62" s="2" t="s">
        <v>115</v>
      </c>
      <c r="V62" s="2" t="s">
        <v>105</v>
      </c>
      <c r="W62" s="2" t="s">
        <v>106</v>
      </c>
      <c r="X62" s="2" t="s">
        <v>101</v>
      </c>
      <c r="Y62" s="2" t="s">
        <v>170</v>
      </c>
      <c r="Z62" s="4">
        <v>340</v>
      </c>
      <c r="AA62" s="4">
        <f>=ROUNDDOWN(25.9541984732824,0)</f>
      </c>
      <c r="AB62" s="5">
        <v>13.1</v>
      </c>
      <c r="AC62" s="2" t="s">
        <v>101</v>
      </c>
      <c r="AD62" s="4"/>
      <c r="AE62" s="4"/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>
        <v>40</v>
      </c>
      <c r="AQ62" s="8">
        <v>1145.2</v>
      </c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0.0929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466</v>
      </c>
      <c r="BK62" s="8">
        <v>11864.52</v>
      </c>
      <c r="BL62" s="2" t="s">
        <v>237</v>
      </c>
      <c r="BM62" s="7">
        <v>0.0858</v>
      </c>
      <c r="BN62" s="7">
        <v>0.0965</v>
      </c>
      <c r="BO62" s="4">
        <v>40</v>
      </c>
      <c r="BP62" s="8">
        <v>1145.2</v>
      </c>
      <c r="BQ62" s="4"/>
      <c r="BR62" s="8"/>
      <c r="BS62" s="7"/>
      <c r="BT62" s="7"/>
      <c r="BU62" s="2" t="s">
        <v>110</v>
      </c>
      <c r="BV62" s="2" t="s">
        <v>98</v>
      </c>
      <c r="BW62" s="2" t="s">
        <v>101</v>
      </c>
      <c r="BX62" s="2" t="s">
        <v>119</v>
      </c>
      <c r="BY62" s="2" t="s">
        <v>112</v>
      </c>
      <c r="BZ62" s="2" t="s">
        <v>112</v>
      </c>
      <c r="CA62" s="2" t="s">
        <v>101</v>
      </c>
    </row>
    <row r="63">
      <c r="A63" s="2" t="s">
        <v>238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92</v>
      </c>
      <c r="G63" s="2" t="s">
        <v>93</v>
      </c>
      <c r="H63" s="2" t="s">
        <v>94</v>
      </c>
      <c r="I63" s="2" t="s">
        <v>95</v>
      </c>
      <c r="J63" s="2" t="s">
        <v>121</v>
      </c>
      <c r="K63" s="2" t="s">
        <v>234</v>
      </c>
      <c r="L63" s="3">
        <v>26.19</v>
      </c>
      <c r="M63" s="3">
        <v>27.5</v>
      </c>
      <c r="N63" s="3">
        <v>49.99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235</v>
      </c>
      <c r="T63" s="2" t="s">
        <v>103</v>
      </c>
      <c r="U63" s="2" t="s">
        <v>115</v>
      </c>
      <c r="V63" s="2" t="s">
        <v>105</v>
      </c>
      <c r="W63" s="2" t="s">
        <v>106</v>
      </c>
      <c r="X63" s="2" t="s">
        <v>101</v>
      </c>
      <c r="Y63" s="2" t="s">
        <v>165</v>
      </c>
      <c r="Z63" s="4">
        <v>176</v>
      </c>
      <c r="AA63" s="4">
        <f>=ROUNDDOWN(1.93194291986828,0)</f>
      </c>
      <c r="AB63" s="5">
        <v>91.1</v>
      </c>
      <c r="AC63" s="2" t="s">
        <v>184</v>
      </c>
      <c r="AD63" s="4">
        <v>150</v>
      </c>
      <c r="AE63" s="4">
        <v>690</v>
      </c>
      <c r="AF63" s="6">
        <v>63</v>
      </c>
      <c r="AG63" s="6">
        <v>46</v>
      </c>
      <c r="AH63" s="7">
        <v>0.9572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108</v>
      </c>
      <c r="AQ63" s="8">
        <v>3092.04</v>
      </c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0.2507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2379</v>
      </c>
      <c r="BK63" s="8">
        <v>69078.5</v>
      </c>
      <c r="BL63" s="2" t="s">
        <v>145</v>
      </c>
      <c r="BM63" s="7">
        <v>0.0454</v>
      </c>
      <c r="BN63" s="7">
        <v>0.0448</v>
      </c>
      <c r="BO63" s="4">
        <v>108</v>
      </c>
      <c r="BP63" s="8">
        <v>3092.04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101</v>
      </c>
      <c r="BX63" s="2" t="s">
        <v>239</v>
      </c>
      <c r="BY63" s="2" t="s">
        <v>112</v>
      </c>
      <c r="BZ63" s="2" t="s">
        <v>112</v>
      </c>
      <c r="CA63" s="2" t="s">
        <v>101</v>
      </c>
    </row>
    <row r="64">
      <c r="A64" s="2" t="s">
        <v>240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92</v>
      </c>
      <c r="G64" s="2" t="s">
        <v>93</v>
      </c>
      <c r="H64" s="2" t="s">
        <v>94</v>
      </c>
      <c r="I64" s="2" t="s">
        <v>95</v>
      </c>
      <c r="J64" s="2" t="s">
        <v>123</v>
      </c>
      <c r="K64" s="2" t="s">
        <v>234</v>
      </c>
      <c r="L64" s="3">
        <v>28.57</v>
      </c>
      <c r="M64" s="3">
        <v>30</v>
      </c>
      <c r="N64" s="3">
        <v>54.99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235</v>
      </c>
      <c r="T64" s="2" t="s">
        <v>103</v>
      </c>
      <c r="U64" s="2" t="s">
        <v>115</v>
      </c>
      <c r="V64" s="2" t="s">
        <v>105</v>
      </c>
      <c r="W64" s="2" t="s">
        <v>106</v>
      </c>
      <c r="X64" s="2" t="s">
        <v>101</v>
      </c>
      <c r="Y64" s="2" t="s">
        <v>241</v>
      </c>
      <c r="Z64" s="4">
        <v>23</v>
      </c>
      <c r="AA64" s="4">
        <f>=ROUNDDOWN(0.176787086856264,0)</f>
      </c>
      <c r="AB64" s="5">
        <v>130.1</v>
      </c>
      <c r="AC64" s="2" t="s">
        <v>173</v>
      </c>
      <c r="AD64" s="4">
        <v>450</v>
      </c>
      <c r="AE64" s="4">
        <v>960</v>
      </c>
      <c r="AF64" s="6">
        <v>63</v>
      </c>
      <c r="AG64" s="6">
        <v>46</v>
      </c>
      <c r="AH64" s="7">
        <v>0.8115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118</v>
      </c>
      <c r="AQ64" s="8">
        <v>3717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0.3014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2720</v>
      </c>
      <c r="BK64" s="8">
        <v>91689.08</v>
      </c>
      <c r="BL64" s="2" t="s">
        <v>145</v>
      </c>
      <c r="BM64" s="7">
        <v>0.0434</v>
      </c>
      <c r="BN64" s="7">
        <v>0.0405</v>
      </c>
      <c r="BO64" s="4">
        <v>118</v>
      </c>
      <c r="BP64" s="8">
        <v>3717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101</v>
      </c>
      <c r="BX64" s="2" t="s">
        <v>119</v>
      </c>
      <c r="BY64" s="2" t="s">
        <v>112</v>
      </c>
      <c r="BZ64" s="2" t="s">
        <v>112</v>
      </c>
      <c r="CA64" s="2" t="s">
        <v>101</v>
      </c>
    </row>
    <row r="65">
      <c r="A65" s="2" t="s">
        <v>242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92</v>
      </c>
      <c r="G65" s="2" t="s">
        <v>93</v>
      </c>
      <c r="H65" s="2" t="s">
        <v>94</v>
      </c>
      <c r="I65" s="2" t="s">
        <v>95</v>
      </c>
      <c r="J65" s="2" t="s">
        <v>126</v>
      </c>
      <c r="K65" s="2" t="s">
        <v>234</v>
      </c>
      <c r="L65" s="3">
        <v>30.95</v>
      </c>
      <c r="M65" s="3">
        <v>32.5</v>
      </c>
      <c r="N65" s="3">
        <v>54.99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235</v>
      </c>
      <c r="T65" s="2" t="s">
        <v>103</v>
      </c>
      <c r="U65" s="2" t="s">
        <v>115</v>
      </c>
      <c r="V65" s="2" t="s">
        <v>105</v>
      </c>
      <c r="W65" s="2" t="s">
        <v>106</v>
      </c>
      <c r="X65" s="2" t="s">
        <v>101</v>
      </c>
      <c r="Y65" s="2" t="s">
        <v>170</v>
      </c>
      <c r="Z65" s="4">
        <v>93</v>
      </c>
      <c r="AA65" s="4">
        <f>=ROUNDDOWN(1.23015873015873,0)</f>
      </c>
      <c r="AB65" s="5">
        <v>75.6</v>
      </c>
      <c r="AC65" s="2" t="s">
        <v>166</v>
      </c>
      <c r="AD65" s="4">
        <v>150</v>
      </c>
      <c r="AE65" s="4">
        <v>600</v>
      </c>
      <c r="AF65" s="6">
        <v>63</v>
      </c>
      <c r="AG65" s="6">
        <v>46</v>
      </c>
      <c r="AH65" s="7">
        <v>0.8282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102</v>
      </c>
      <c r="AQ65" s="8">
        <v>3213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0.2606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1436</v>
      </c>
      <c r="BK65" s="8">
        <v>58210.14</v>
      </c>
      <c r="BL65" s="2" t="s">
        <v>176</v>
      </c>
      <c r="BM65" s="7">
        <v>0.071</v>
      </c>
      <c r="BN65" s="7">
        <v>0.0552</v>
      </c>
      <c r="BO65" s="4">
        <v>102</v>
      </c>
      <c r="BP65" s="8">
        <v>3213</v>
      </c>
      <c r="BQ65" s="4"/>
      <c r="BR65" s="8"/>
      <c r="BS65" s="7"/>
      <c r="BT65" s="7"/>
      <c r="BU65" s="2" t="s">
        <v>110</v>
      </c>
      <c r="BV65" s="2" t="s">
        <v>98</v>
      </c>
      <c r="BW65" s="2" t="s">
        <v>101</v>
      </c>
      <c r="BX65" s="2" t="s">
        <v>119</v>
      </c>
      <c r="BY65" s="2" t="s">
        <v>112</v>
      </c>
      <c r="BZ65" s="2" t="s">
        <v>112</v>
      </c>
      <c r="CA65" s="2" t="s">
        <v>101</v>
      </c>
    </row>
    <row r="66">
      <c r="A66" s="2" t="s">
        <v>243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92</v>
      </c>
      <c r="G66" s="2" t="s">
        <v>93</v>
      </c>
      <c r="H66" s="2" t="s">
        <v>94</v>
      </c>
      <c r="I66" s="2" t="s">
        <v>95</v>
      </c>
      <c r="J66" s="2" t="s">
        <v>96</v>
      </c>
      <c r="K66" s="2" t="s">
        <v>244</v>
      </c>
      <c r="L66" s="3">
        <v>21.42</v>
      </c>
      <c r="M66" s="3">
        <v>22.49</v>
      </c>
      <c r="N66" s="3">
        <v>39.99</v>
      </c>
      <c r="O66" s="2" t="s">
        <v>98</v>
      </c>
      <c r="P66" s="2" t="s">
        <v>245</v>
      </c>
      <c r="Q66" s="2" t="s">
        <v>100</v>
      </c>
      <c r="R66" s="2" t="s">
        <v>101</v>
      </c>
      <c r="S66" s="2" t="s">
        <v>246</v>
      </c>
      <c r="T66" s="2" t="s">
        <v>103</v>
      </c>
      <c r="U66" s="2" t="s">
        <v>104</v>
      </c>
      <c r="V66" s="2" t="s">
        <v>105</v>
      </c>
      <c r="W66" s="2" t="s">
        <v>106</v>
      </c>
      <c r="X66" s="2" t="s">
        <v>101</v>
      </c>
      <c r="Y66" s="2" t="s">
        <v>186</v>
      </c>
      <c r="Z66" s="4">
        <v>141</v>
      </c>
      <c r="AA66" s="4">
        <f>=ROUNDDOWN(6.8780487804878,0)</f>
      </c>
      <c r="AB66" s="5">
        <v>20.5</v>
      </c>
      <c r="AC66" s="2" t="s">
        <v>117</v>
      </c>
      <c r="AD66" s="4">
        <v>60</v>
      </c>
      <c r="AE66" s="4">
        <v>60</v>
      </c>
      <c r="AF66" s="6">
        <v>63</v>
      </c>
      <c r="AG66" s="6">
        <v>46</v>
      </c>
      <c r="AH66" s="7">
        <v>0.8226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17</v>
      </c>
      <c r="AQ66" s="8">
        <v>388.11</v>
      </c>
      <c r="AR66" s="4"/>
      <c r="AS66" s="8"/>
      <c r="AT66" s="7"/>
      <c r="AU66" s="7"/>
      <c r="AV66" s="4">
        <v>209</v>
      </c>
      <c r="AW66" s="8">
        <v>6249.55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0.0621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0.0102</v>
      </c>
      <c r="BJ66" s="4">
        <v>457</v>
      </c>
      <c r="BK66" s="8">
        <v>10509.01</v>
      </c>
      <c r="BL66" s="2" t="s">
        <v>200</v>
      </c>
      <c r="BM66" s="7">
        <v>0.0372</v>
      </c>
      <c r="BN66" s="7">
        <v>0.0369</v>
      </c>
      <c r="BO66" s="4">
        <v>17</v>
      </c>
      <c r="BP66" s="8">
        <v>388.11</v>
      </c>
      <c r="BQ66" s="4"/>
      <c r="BR66" s="8"/>
      <c r="BS66" s="7"/>
      <c r="BT66" s="7"/>
      <c r="BU66" s="2" t="s">
        <v>110</v>
      </c>
      <c r="BV66" s="2" t="s">
        <v>98</v>
      </c>
      <c r="BW66" s="2" t="s">
        <v>101</v>
      </c>
      <c r="BX66" s="2" t="s">
        <v>136</v>
      </c>
      <c r="BY66" s="2" t="s">
        <v>112</v>
      </c>
      <c r="BZ66" s="2" t="s">
        <v>112</v>
      </c>
      <c r="CA66" s="2" t="s">
        <v>101</v>
      </c>
    </row>
    <row r="67">
      <c r="A67" s="2" t="s">
        <v>247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92</v>
      </c>
      <c r="G67" s="2" t="s">
        <v>93</v>
      </c>
      <c r="H67" s="2" t="s">
        <v>94</v>
      </c>
      <c r="I67" s="2" t="s">
        <v>95</v>
      </c>
      <c r="J67" s="2" t="s">
        <v>114</v>
      </c>
      <c r="K67" s="2" t="s">
        <v>244</v>
      </c>
      <c r="L67" s="3">
        <v>25.23</v>
      </c>
      <c r="M67" s="3">
        <v>26.49</v>
      </c>
      <c r="N67" s="3">
        <v>49.99</v>
      </c>
      <c r="O67" s="2" t="s">
        <v>98</v>
      </c>
      <c r="P67" s="2" t="s">
        <v>245</v>
      </c>
      <c r="Q67" s="2" t="s">
        <v>100</v>
      </c>
      <c r="R67" s="2" t="s">
        <v>101</v>
      </c>
      <c r="S67" s="2" t="s">
        <v>246</v>
      </c>
      <c r="T67" s="2" t="s">
        <v>103</v>
      </c>
      <c r="U67" s="2" t="s">
        <v>115</v>
      </c>
      <c r="V67" s="2" t="s">
        <v>105</v>
      </c>
      <c r="W67" s="2" t="s">
        <v>106</v>
      </c>
      <c r="X67" s="2" t="s">
        <v>101</v>
      </c>
      <c r="Y67" s="2" t="s">
        <v>182</v>
      </c>
      <c r="Z67" s="4">
        <v>149</v>
      </c>
      <c r="AA67" s="4">
        <f>=ROUNDDOWN(10.4195804195804,0)</f>
      </c>
      <c r="AB67" s="5">
        <v>14.3</v>
      </c>
      <c r="AC67" s="2" t="s">
        <v>101</v>
      </c>
      <c r="AD67" s="4"/>
      <c r="AE67" s="4"/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25</v>
      </c>
      <c r="AQ67" s="8">
        <v>715.75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0.1145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596</v>
      </c>
      <c r="BK67" s="8">
        <v>15634.41</v>
      </c>
      <c r="BL67" s="2" t="s">
        <v>248</v>
      </c>
      <c r="BM67" s="7">
        <v>0.0419</v>
      </c>
      <c r="BN67" s="7">
        <v>0.0458</v>
      </c>
      <c r="BO67" s="4">
        <v>25</v>
      </c>
      <c r="BP67" s="8">
        <v>715.75</v>
      </c>
      <c r="BQ67" s="4"/>
      <c r="BR67" s="8"/>
      <c r="BS67" s="7"/>
      <c r="BT67" s="7"/>
      <c r="BU67" s="2" t="s">
        <v>110</v>
      </c>
      <c r="BV67" s="2" t="s">
        <v>98</v>
      </c>
      <c r="BW67" s="2" t="s">
        <v>101</v>
      </c>
      <c r="BX67" s="2" t="s">
        <v>249</v>
      </c>
      <c r="BY67" s="2" t="s">
        <v>112</v>
      </c>
      <c r="BZ67" s="2" t="s">
        <v>112</v>
      </c>
      <c r="CA67" s="2" t="s">
        <v>101</v>
      </c>
    </row>
    <row r="68">
      <c r="A68" s="2" t="s">
        <v>250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92</v>
      </c>
      <c r="G68" s="2" t="s">
        <v>93</v>
      </c>
      <c r="H68" s="2" t="s">
        <v>94</v>
      </c>
      <c r="I68" s="2" t="s">
        <v>95</v>
      </c>
      <c r="J68" s="2" t="s">
        <v>121</v>
      </c>
      <c r="K68" s="2" t="s">
        <v>244</v>
      </c>
      <c r="L68" s="3">
        <v>26.19</v>
      </c>
      <c r="M68" s="3">
        <v>27.5</v>
      </c>
      <c r="N68" s="3">
        <v>49.99</v>
      </c>
      <c r="O68" s="2" t="s">
        <v>98</v>
      </c>
      <c r="P68" s="2" t="s">
        <v>245</v>
      </c>
      <c r="Q68" s="2" t="s">
        <v>100</v>
      </c>
      <c r="R68" s="2" t="s">
        <v>101</v>
      </c>
      <c r="S68" s="2" t="s">
        <v>246</v>
      </c>
      <c r="T68" s="2" t="s">
        <v>103</v>
      </c>
      <c r="U68" s="2" t="s">
        <v>115</v>
      </c>
      <c r="V68" s="2" t="s">
        <v>105</v>
      </c>
      <c r="W68" s="2" t="s">
        <v>106</v>
      </c>
      <c r="X68" s="2" t="s">
        <v>101</v>
      </c>
      <c r="Y68" s="2" t="s">
        <v>186</v>
      </c>
      <c r="Z68" s="4">
        <v>77</v>
      </c>
      <c r="AA68" s="4">
        <f>=ROUNDDOWN(0.911242603550296,0)</f>
      </c>
      <c r="AB68" s="5">
        <v>84.5</v>
      </c>
      <c r="AC68" s="2" t="s">
        <v>117</v>
      </c>
      <c r="AD68" s="4">
        <v>300</v>
      </c>
      <c r="AE68" s="4">
        <v>300</v>
      </c>
      <c r="AF68" s="6">
        <v>63</v>
      </c>
      <c r="AG68" s="6">
        <v>46</v>
      </c>
      <c r="AH68" s="7">
        <v>0.8441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63</v>
      </c>
      <c r="AQ68" s="8">
        <v>1803.69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0.2886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1879</v>
      </c>
      <c r="BK68" s="8">
        <v>54157.86</v>
      </c>
      <c r="BL68" s="2" t="s">
        <v>167</v>
      </c>
      <c r="BM68" s="7">
        <v>0.0335</v>
      </c>
      <c r="BN68" s="7">
        <v>0.0333</v>
      </c>
      <c r="BO68" s="4">
        <v>63</v>
      </c>
      <c r="BP68" s="8">
        <v>1803.69</v>
      </c>
      <c r="BQ68" s="4"/>
      <c r="BR68" s="8"/>
      <c r="BS68" s="7"/>
      <c r="BT68" s="7"/>
      <c r="BU68" s="2" t="s">
        <v>110</v>
      </c>
      <c r="BV68" s="2" t="s">
        <v>98</v>
      </c>
      <c r="BW68" s="2" t="s">
        <v>101</v>
      </c>
      <c r="BX68" s="2" t="s">
        <v>119</v>
      </c>
      <c r="BY68" s="2" t="s">
        <v>112</v>
      </c>
      <c r="BZ68" s="2" t="s">
        <v>112</v>
      </c>
      <c r="CA68" s="2" t="s">
        <v>101</v>
      </c>
    </row>
    <row r="69">
      <c r="A69" s="2" t="s">
        <v>251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92</v>
      </c>
      <c r="G69" s="2" t="s">
        <v>93</v>
      </c>
      <c r="H69" s="2" t="s">
        <v>94</v>
      </c>
      <c r="I69" s="2" t="s">
        <v>95</v>
      </c>
      <c r="J69" s="2" t="s">
        <v>123</v>
      </c>
      <c r="K69" s="2" t="s">
        <v>244</v>
      </c>
      <c r="L69" s="3">
        <v>28.57</v>
      </c>
      <c r="M69" s="3">
        <v>30</v>
      </c>
      <c r="N69" s="3">
        <v>54.99</v>
      </c>
      <c r="O69" s="2" t="s">
        <v>98</v>
      </c>
      <c r="P69" s="2" t="s">
        <v>245</v>
      </c>
      <c r="Q69" s="2" t="s">
        <v>100</v>
      </c>
      <c r="R69" s="2" t="s">
        <v>101</v>
      </c>
      <c r="S69" s="2" t="s">
        <v>246</v>
      </c>
      <c r="T69" s="2" t="s">
        <v>103</v>
      </c>
      <c r="U69" s="2" t="s">
        <v>115</v>
      </c>
      <c r="V69" s="2" t="s">
        <v>105</v>
      </c>
      <c r="W69" s="2" t="s">
        <v>106</v>
      </c>
      <c r="X69" s="2" t="s">
        <v>101</v>
      </c>
      <c r="Y69" s="2" t="s">
        <v>186</v>
      </c>
      <c r="Z69" s="4"/>
      <c r="AA69" s="4">
        <f>=ROUNDDOWN({0},0)</f>
      </c>
      <c r="AB69" s="5">
        <v>56.1</v>
      </c>
      <c r="AC69" s="2" t="s">
        <v>117</v>
      </c>
      <c r="AD69" s="4">
        <v>240</v>
      </c>
      <c r="AE69" s="4">
        <v>240</v>
      </c>
      <c r="AF69" s="6">
        <v>63</v>
      </c>
      <c r="AG69" s="6">
        <v>46</v>
      </c>
      <c r="AH69" s="7">
        <v>0.9731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60</v>
      </c>
      <c r="AQ69" s="8">
        <v>1890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0.3024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1790</v>
      </c>
      <c r="BK69" s="8">
        <v>57172.66</v>
      </c>
      <c r="BL69" s="2" t="s">
        <v>252</v>
      </c>
      <c r="BM69" s="7">
        <v>0.0335</v>
      </c>
      <c r="BN69" s="7">
        <v>0.0331</v>
      </c>
      <c r="BO69" s="4">
        <v>60</v>
      </c>
      <c r="BP69" s="8">
        <v>1890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101</v>
      </c>
      <c r="BX69" s="2" t="s">
        <v>168</v>
      </c>
      <c r="BY69" s="2" t="s">
        <v>112</v>
      </c>
      <c r="BZ69" s="2" t="s">
        <v>112</v>
      </c>
      <c r="CA69" s="2" t="s">
        <v>101</v>
      </c>
    </row>
    <row r="70">
      <c r="A70" s="2" t="s">
        <v>253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92</v>
      </c>
      <c r="G70" s="2" t="s">
        <v>93</v>
      </c>
      <c r="H70" s="2" t="s">
        <v>94</v>
      </c>
      <c r="I70" s="2" t="s">
        <v>95</v>
      </c>
      <c r="J70" s="2" t="s">
        <v>126</v>
      </c>
      <c r="K70" s="2" t="s">
        <v>244</v>
      </c>
      <c r="L70" s="3">
        <v>30.95</v>
      </c>
      <c r="M70" s="3">
        <v>32.5</v>
      </c>
      <c r="N70" s="3">
        <v>54.99</v>
      </c>
      <c r="O70" s="2" t="s">
        <v>98</v>
      </c>
      <c r="P70" s="2" t="s">
        <v>245</v>
      </c>
      <c r="Q70" s="2" t="s">
        <v>100</v>
      </c>
      <c r="R70" s="2" t="s">
        <v>101</v>
      </c>
      <c r="S70" s="2" t="s">
        <v>246</v>
      </c>
      <c r="T70" s="2" t="s">
        <v>103</v>
      </c>
      <c r="U70" s="2" t="s">
        <v>115</v>
      </c>
      <c r="V70" s="2" t="s">
        <v>105</v>
      </c>
      <c r="W70" s="2" t="s">
        <v>106</v>
      </c>
      <c r="X70" s="2" t="s">
        <v>101</v>
      </c>
      <c r="Y70" s="2" t="s">
        <v>170</v>
      </c>
      <c r="Z70" s="4">
        <v>282</v>
      </c>
      <c r="AA70" s="4">
        <f>=ROUNDDOWN(12.9357798165138,0)</f>
      </c>
      <c r="AB70" s="5">
        <v>21.8</v>
      </c>
      <c r="AC70" s="2" t="s">
        <v>101</v>
      </c>
      <c r="AD70" s="4"/>
      <c r="AE70" s="4"/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44</v>
      </c>
      <c r="AQ70" s="8">
        <v>1452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0.2323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675</v>
      </c>
      <c r="BK70" s="8">
        <v>26340.78</v>
      </c>
      <c r="BL70" s="2" t="s">
        <v>161</v>
      </c>
      <c r="BM70" s="7">
        <v>0.0652</v>
      </c>
      <c r="BN70" s="7">
        <v>0.0551</v>
      </c>
      <c r="BO70" s="4">
        <v>44</v>
      </c>
      <c r="BP70" s="8">
        <v>1452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101</v>
      </c>
      <c r="BX70" s="2" t="s">
        <v>168</v>
      </c>
      <c r="BY70" s="2" t="s">
        <v>112</v>
      </c>
      <c r="BZ70" s="2" t="s">
        <v>112</v>
      </c>
      <c r="CA70" s="2" t="s">
        <v>101</v>
      </c>
    </row>
    <row r="71">
      <c r="A71" s="2" t="s">
        <v>254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255</v>
      </c>
      <c r="G71" s="2" t="s">
        <v>256</v>
      </c>
      <c r="H71" s="2" t="s">
        <v>257</v>
      </c>
      <c r="I71" s="2" t="s">
        <v>258</v>
      </c>
      <c r="J71" s="2" t="s">
        <v>96</v>
      </c>
      <c r="K71" s="2" t="s">
        <v>143</v>
      </c>
      <c r="L71" s="3">
        <v>21.42</v>
      </c>
      <c r="M71" s="3">
        <v>22.49</v>
      </c>
      <c r="N71" s="3">
        <v>44.99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259</v>
      </c>
      <c r="T71" s="2" t="s">
        <v>260</v>
      </c>
      <c r="U71" s="2" t="s">
        <v>104</v>
      </c>
      <c r="V71" s="2" t="s">
        <v>105</v>
      </c>
      <c r="W71" s="2" t="s">
        <v>106</v>
      </c>
      <c r="X71" s="2" t="s">
        <v>101</v>
      </c>
      <c r="Y71" s="2" t="s">
        <v>107</v>
      </c>
      <c r="Z71" s="4">
        <v>1089</v>
      </c>
      <c r="AA71" s="4">
        <f>=ROUNDDOWN(64.8214285714286,0)</f>
      </c>
      <c r="AB71" s="5">
        <v>16.8</v>
      </c>
      <c r="AC71" s="2" t="s">
        <v>101</v>
      </c>
      <c r="AD71" s="4"/>
      <c r="AE71" s="4"/>
      <c r="AF71" s="6">
        <v>63</v>
      </c>
      <c r="AG71" s="6">
        <v>46</v>
      </c>
      <c r="AH71" s="7">
        <v>0.8643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1834</v>
      </c>
      <c r="AQ71" s="8">
        <v>42374.8</v>
      </c>
      <c r="AR71" s="4"/>
      <c r="AS71" s="8"/>
      <c r="AT71" s="7"/>
      <c r="AU71" s="7"/>
      <c r="AV71" s="4">
        <v>2926</v>
      </c>
      <c r="AW71" s="8">
        <v>74087.8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0.572</v>
      </c>
      <c r="BC71" s="4">
        <v>4736</v>
      </c>
      <c r="BD71" s="8">
        <v>125175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0.5919</v>
      </c>
      <c r="BJ71" s="4">
        <v>2641</v>
      </c>
      <c r="BK71" s="8">
        <v>64092.28</v>
      </c>
      <c r="BL71" s="2" t="s">
        <v>155</v>
      </c>
      <c r="BM71" s="7">
        <v>0.6944</v>
      </c>
      <c r="BN71" s="7">
        <v>0.6612</v>
      </c>
      <c r="BO71" s="4">
        <v>1834</v>
      </c>
      <c r="BP71" s="8">
        <v>42374.8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101</v>
      </c>
      <c r="BX71" s="2" t="s">
        <v>261</v>
      </c>
      <c r="BY71" s="2" t="s">
        <v>112</v>
      </c>
      <c r="BZ71" s="2" t="s">
        <v>112</v>
      </c>
      <c r="CA71" s="2" t="s">
        <v>101</v>
      </c>
    </row>
    <row r="72">
      <c r="A72" s="2" t="s">
        <v>262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255</v>
      </c>
      <c r="G72" s="2" t="s">
        <v>256</v>
      </c>
      <c r="H72" s="2" t="s">
        <v>257</v>
      </c>
      <c r="I72" s="2" t="s">
        <v>258</v>
      </c>
      <c r="J72" s="2" t="s">
        <v>263</v>
      </c>
      <c r="K72" s="2" t="s">
        <v>143</v>
      </c>
      <c r="L72" s="3">
        <v>26.19</v>
      </c>
      <c r="M72" s="3">
        <v>27.5</v>
      </c>
      <c r="N72" s="3">
        <v>54.99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259</v>
      </c>
      <c r="T72" s="2" t="s">
        <v>260</v>
      </c>
      <c r="U72" s="2" t="s">
        <v>115</v>
      </c>
      <c r="V72" s="2" t="s">
        <v>105</v>
      </c>
      <c r="W72" s="2" t="s">
        <v>106</v>
      </c>
      <c r="X72" s="2" t="s">
        <v>101</v>
      </c>
      <c r="Y72" s="2" t="s">
        <v>107</v>
      </c>
      <c r="Z72" s="4">
        <v>2562</v>
      </c>
      <c r="AA72" s="4">
        <f>=ROUNDDOWN(36.7048710601719,0)</f>
      </c>
      <c r="AB72" s="5">
        <v>69.8</v>
      </c>
      <c r="AC72" s="2" t="s">
        <v>101</v>
      </c>
      <c r="AD72" s="4"/>
      <c r="AE72" s="4"/>
      <c r="AF72" s="6">
        <v>63</v>
      </c>
      <c r="AG72" s="6">
        <v>46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680</v>
      </c>
      <c r="AQ72" s="8">
        <v>19380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0.2616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4576</v>
      </c>
      <c r="BK72" s="8">
        <v>148578.29</v>
      </c>
      <c r="BL72" s="2" t="s">
        <v>155</v>
      </c>
      <c r="BM72" s="7">
        <v>0.1486</v>
      </c>
      <c r="BN72" s="7">
        <v>0.1304</v>
      </c>
      <c r="BO72" s="4">
        <v>680</v>
      </c>
      <c r="BP72" s="8">
        <v>19380</v>
      </c>
      <c r="BQ72" s="4"/>
      <c r="BR72" s="8"/>
      <c r="BS72" s="7"/>
      <c r="BT72" s="7"/>
      <c r="BU72" s="2" t="s">
        <v>110</v>
      </c>
      <c r="BV72" s="2" t="s">
        <v>98</v>
      </c>
      <c r="BW72" s="2" t="s">
        <v>101</v>
      </c>
      <c r="BX72" s="2" t="s">
        <v>261</v>
      </c>
      <c r="BY72" s="2" t="s">
        <v>112</v>
      </c>
      <c r="BZ72" s="2" t="s">
        <v>112</v>
      </c>
      <c r="CA72" s="2" t="s">
        <v>101</v>
      </c>
    </row>
    <row r="73">
      <c r="A73" s="2" t="s">
        <v>264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255</v>
      </c>
      <c r="G73" s="2" t="s">
        <v>256</v>
      </c>
      <c r="H73" s="2" t="s">
        <v>257</v>
      </c>
      <c r="I73" s="2" t="s">
        <v>258</v>
      </c>
      <c r="J73" s="2" t="s">
        <v>265</v>
      </c>
      <c r="K73" s="2" t="s">
        <v>143</v>
      </c>
      <c r="L73" s="3">
        <v>28.57</v>
      </c>
      <c r="M73" s="3">
        <v>30</v>
      </c>
      <c r="N73" s="3">
        <v>59.99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259</v>
      </c>
      <c r="T73" s="2" t="s">
        <v>260</v>
      </c>
      <c r="U73" s="2" t="s">
        <v>115</v>
      </c>
      <c r="V73" s="2" t="s">
        <v>105</v>
      </c>
      <c r="W73" s="2" t="s">
        <v>106</v>
      </c>
      <c r="X73" s="2" t="s">
        <v>101</v>
      </c>
      <c r="Y73" s="2" t="s">
        <v>266</v>
      </c>
      <c r="Z73" s="4">
        <v>2340</v>
      </c>
      <c r="AA73" s="4">
        <f>=ROUNDDOWN(42.4682395644283,0)</f>
      </c>
      <c r="AB73" s="5">
        <v>55.1</v>
      </c>
      <c r="AC73" s="2" t="s">
        <v>101</v>
      </c>
      <c r="AD73" s="4"/>
      <c r="AE73" s="4"/>
      <c r="AF73" s="6">
        <v>63</v>
      </c>
      <c r="AG73" s="6">
        <v>46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412</v>
      </c>
      <c r="AQ73" s="8">
        <v>12333</v>
      </c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0.1665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3555</v>
      </c>
      <c r="BK73" s="8">
        <v>122749.74</v>
      </c>
      <c r="BL73" s="2" t="s">
        <v>109</v>
      </c>
      <c r="BM73" s="7">
        <v>0.1159</v>
      </c>
      <c r="BN73" s="7">
        <v>0.1005</v>
      </c>
      <c r="BO73" s="4">
        <v>412</v>
      </c>
      <c r="BP73" s="8">
        <v>12333</v>
      </c>
      <c r="BQ73" s="4"/>
      <c r="BR73" s="8"/>
      <c r="BS73" s="7"/>
      <c r="BT73" s="7"/>
      <c r="BU73" s="2" t="s">
        <v>110</v>
      </c>
      <c r="BV73" s="2" t="s">
        <v>98</v>
      </c>
      <c r="BW73" s="2" t="s">
        <v>101</v>
      </c>
      <c r="BX73" s="2" t="s">
        <v>261</v>
      </c>
      <c r="BY73" s="2" t="s">
        <v>112</v>
      </c>
      <c r="BZ73" s="2" t="s">
        <v>112</v>
      </c>
      <c r="CA73" s="2" t="s">
        <v>101</v>
      </c>
    </row>
    <row r="74">
      <c r="A74" s="2" t="s">
        <v>267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255</v>
      </c>
      <c r="G74" s="2" t="s">
        <v>256</v>
      </c>
      <c r="H74" s="2" t="s">
        <v>257</v>
      </c>
      <c r="I74" s="2" t="s">
        <v>258</v>
      </c>
      <c r="J74" s="2" t="s">
        <v>96</v>
      </c>
      <c r="K74" s="2" t="s">
        <v>97</v>
      </c>
      <c r="L74" s="3">
        <v>21.42</v>
      </c>
      <c r="M74" s="3">
        <v>22.49</v>
      </c>
      <c r="N74" s="3">
        <v>44.99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268</v>
      </c>
      <c r="T74" s="2" t="s">
        <v>260</v>
      </c>
      <c r="U74" s="2" t="s">
        <v>104</v>
      </c>
      <c r="V74" s="2" t="s">
        <v>105</v>
      </c>
      <c r="W74" s="2" t="s">
        <v>106</v>
      </c>
      <c r="X74" s="2" t="s">
        <v>101</v>
      </c>
      <c r="Y74" s="2" t="s">
        <v>269</v>
      </c>
      <c r="Z74" s="4">
        <v>792</v>
      </c>
      <c r="AA74" s="4">
        <f>=ROUNDDOWN(94.2857142857143,0)</f>
      </c>
      <c r="AB74" s="5">
        <v>8.4</v>
      </c>
      <c r="AC74" s="2" t="s">
        <v>101</v>
      </c>
      <c r="AD74" s="4"/>
      <c r="AE74" s="4"/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158</v>
      </c>
      <c r="AQ74" s="8">
        <v>3570.8</v>
      </c>
      <c r="AR74" s="4"/>
      <c r="AS74" s="8"/>
      <c r="AT74" s="7"/>
      <c r="AU74" s="7"/>
      <c r="AV74" s="4">
        <v>830</v>
      </c>
      <c r="AW74" s="8">
        <v>23363.3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0.1528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>
        <v>0.1866</v>
      </c>
      <c r="BJ74" s="4">
        <v>624</v>
      </c>
      <c r="BK74" s="8">
        <v>15508.56</v>
      </c>
      <c r="BL74" s="2" t="s">
        <v>155</v>
      </c>
      <c r="BM74" s="7">
        <v>0.2532</v>
      </c>
      <c r="BN74" s="7">
        <v>0.2302</v>
      </c>
      <c r="BO74" s="4">
        <v>158</v>
      </c>
      <c r="BP74" s="8">
        <v>3570.8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101</v>
      </c>
      <c r="BX74" s="2" t="s">
        <v>270</v>
      </c>
      <c r="BY74" s="2" t="s">
        <v>112</v>
      </c>
      <c r="BZ74" s="2" t="s">
        <v>112</v>
      </c>
      <c r="CA74" s="2" t="s">
        <v>101</v>
      </c>
    </row>
    <row r="75">
      <c r="A75" s="2" t="s">
        <v>271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255</v>
      </c>
      <c r="G75" s="2" t="s">
        <v>256</v>
      </c>
      <c r="H75" s="2" t="s">
        <v>257</v>
      </c>
      <c r="I75" s="2" t="s">
        <v>258</v>
      </c>
      <c r="J75" s="2" t="s">
        <v>263</v>
      </c>
      <c r="K75" s="2" t="s">
        <v>97</v>
      </c>
      <c r="L75" s="3">
        <v>26.19</v>
      </c>
      <c r="M75" s="3">
        <v>27.5</v>
      </c>
      <c r="N75" s="3">
        <v>54.99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268</v>
      </c>
      <c r="T75" s="2" t="s">
        <v>260</v>
      </c>
      <c r="U75" s="2" t="s">
        <v>115</v>
      </c>
      <c r="V75" s="2" t="s">
        <v>105</v>
      </c>
      <c r="W75" s="2" t="s">
        <v>106</v>
      </c>
      <c r="X75" s="2" t="s">
        <v>101</v>
      </c>
      <c r="Y75" s="2" t="s">
        <v>269</v>
      </c>
      <c r="Z75" s="4">
        <v>1463</v>
      </c>
      <c r="AA75" s="4">
        <f>=ROUNDDOWN(37.2264631043257,0)</f>
      </c>
      <c r="AB75" s="5">
        <v>39.3</v>
      </c>
      <c r="AC75" s="2" t="s">
        <v>101</v>
      </c>
      <c r="AD75" s="4"/>
      <c r="AE75" s="4"/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245</v>
      </c>
      <c r="AQ75" s="8">
        <v>6982.5</v>
      </c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0.2989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3079</v>
      </c>
      <c r="BK75" s="8">
        <v>96351.03</v>
      </c>
      <c r="BL75" s="2" t="s">
        <v>272</v>
      </c>
      <c r="BM75" s="7">
        <v>0.0796</v>
      </c>
      <c r="BN75" s="7">
        <v>0.0725</v>
      </c>
      <c r="BO75" s="4">
        <v>245</v>
      </c>
      <c r="BP75" s="8">
        <v>6982.5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101</v>
      </c>
      <c r="BX75" s="2" t="s">
        <v>270</v>
      </c>
      <c r="BY75" s="2" t="s">
        <v>112</v>
      </c>
      <c r="BZ75" s="2" t="s">
        <v>112</v>
      </c>
      <c r="CA75" s="2" t="s">
        <v>101</v>
      </c>
    </row>
    <row r="76">
      <c r="A76" s="2" t="s">
        <v>273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255</v>
      </c>
      <c r="G76" s="2" t="s">
        <v>256</v>
      </c>
      <c r="H76" s="2" t="s">
        <v>257</v>
      </c>
      <c r="I76" s="2" t="s">
        <v>258</v>
      </c>
      <c r="J76" s="2" t="s">
        <v>265</v>
      </c>
      <c r="K76" s="2" t="s">
        <v>97</v>
      </c>
      <c r="L76" s="3">
        <v>28.57</v>
      </c>
      <c r="M76" s="3">
        <v>30</v>
      </c>
      <c r="N76" s="3">
        <v>59.99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268</v>
      </c>
      <c r="T76" s="2" t="s">
        <v>260</v>
      </c>
      <c r="U76" s="2" t="s">
        <v>115</v>
      </c>
      <c r="V76" s="2" t="s">
        <v>105</v>
      </c>
      <c r="W76" s="2" t="s">
        <v>106</v>
      </c>
      <c r="X76" s="2" t="s">
        <v>101</v>
      </c>
      <c r="Y76" s="2" t="s">
        <v>269</v>
      </c>
      <c r="Z76" s="4">
        <v>1223</v>
      </c>
      <c r="AA76" s="4">
        <f>=ROUNDDOWN(17.5214899713467,0)</f>
      </c>
      <c r="AB76" s="5">
        <v>69.8</v>
      </c>
      <c r="AC76" s="2" t="s">
        <v>101</v>
      </c>
      <c r="AD76" s="4"/>
      <c r="AE76" s="4"/>
      <c r="AF76" s="6">
        <v>63</v>
      </c>
      <c r="AG76" s="6">
        <v>46</v>
      </c>
      <c r="AH76" s="7">
        <v>0.9667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427</v>
      </c>
      <c r="AQ76" s="8">
        <v>12810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0.5483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4130</v>
      </c>
      <c r="BK76" s="8">
        <v>139145.48</v>
      </c>
      <c r="BL76" s="2" t="s">
        <v>274</v>
      </c>
      <c r="BM76" s="7">
        <v>0.1034</v>
      </c>
      <c r="BN76" s="7">
        <v>0.0921</v>
      </c>
      <c r="BO76" s="4">
        <v>427</v>
      </c>
      <c r="BP76" s="8">
        <v>12810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101</v>
      </c>
      <c r="BX76" s="2" t="s">
        <v>275</v>
      </c>
      <c r="BY76" s="2" t="s">
        <v>112</v>
      </c>
      <c r="BZ76" s="2" t="s">
        <v>112</v>
      </c>
      <c r="CA76" s="2" t="s">
        <v>101</v>
      </c>
    </row>
    <row r="77">
      <c r="A77" s="2" t="s">
        <v>276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255</v>
      </c>
      <c r="G77" s="2" t="s">
        <v>256</v>
      </c>
      <c r="H77" s="2" t="s">
        <v>257</v>
      </c>
      <c r="I77" s="2" t="s">
        <v>258</v>
      </c>
      <c r="J77" s="2" t="s">
        <v>96</v>
      </c>
      <c r="K77" s="2" t="s">
        <v>277</v>
      </c>
      <c r="L77" s="3">
        <v>21.42</v>
      </c>
      <c r="M77" s="3">
        <v>22.49</v>
      </c>
      <c r="N77" s="3">
        <v>44.99</v>
      </c>
      <c r="O77" s="2" t="s">
        <v>98</v>
      </c>
      <c r="P77" s="2" t="s">
        <v>278</v>
      </c>
      <c r="Q77" s="2" t="s">
        <v>100</v>
      </c>
      <c r="R77" s="2" t="s">
        <v>101</v>
      </c>
      <c r="S77" s="2" t="s">
        <v>279</v>
      </c>
      <c r="T77" s="2" t="s">
        <v>260</v>
      </c>
      <c r="U77" s="2" t="s">
        <v>104</v>
      </c>
      <c r="V77" s="2" t="s">
        <v>105</v>
      </c>
      <c r="W77" s="2" t="s">
        <v>106</v>
      </c>
      <c r="X77" s="2" t="s">
        <v>101</v>
      </c>
      <c r="Y77" s="2" t="s">
        <v>107</v>
      </c>
      <c r="Z77" s="4">
        <v>555</v>
      </c>
      <c r="AA77" s="4">
        <f>=ROUNDDOWN(70.253164556962,0)</f>
      </c>
      <c r="AB77" s="5">
        <v>7.9</v>
      </c>
      <c r="AC77" s="2" t="s">
        <v>101</v>
      </c>
      <c r="AD77" s="4"/>
      <c r="AE77" s="4"/>
      <c r="AF77" s="6">
        <v>63</v>
      </c>
      <c r="AG77" s="6">
        <v>46</v>
      </c>
      <c r="AH77" s="7">
        <v>0.9762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139</v>
      </c>
      <c r="AQ77" s="8">
        <v>3141.4</v>
      </c>
      <c r="AR77" s="4"/>
      <c r="AS77" s="8"/>
      <c r="AT77" s="7"/>
      <c r="AU77" s="7"/>
      <c r="AV77" s="4">
        <v>466</v>
      </c>
      <c r="AW77" s="8">
        <v>12957.9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0.2424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0.1035</v>
      </c>
      <c r="BJ77" s="4">
        <v>667</v>
      </c>
      <c r="BK77" s="8">
        <v>17069.03</v>
      </c>
      <c r="BL77" s="2" t="s">
        <v>155</v>
      </c>
      <c r="BM77" s="7">
        <v>0.2084</v>
      </c>
      <c r="BN77" s="7">
        <v>0.184</v>
      </c>
      <c r="BO77" s="4">
        <v>139</v>
      </c>
      <c r="BP77" s="8">
        <v>3141.4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101</v>
      </c>
      <c r="BX77" s="2" t="s">
        <v>261</v>
      </c>
      <c r="BY77" s="2" t="s">
        <v>112</v>
      </c>
      <c r="BZ77" s="2" t="s">
        <v>112</v>
      </c>
      <c r="CA77" s="2" t="s">
        <v>101</v>
      </c>
    </row>
    <row r="78">
      <c r="A78" s="2" t="s">
        <v>280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255</v>
      </c>
      <c r="G78" s="2" t="s">
        <v>256</v>
      </c>
      <c r="H78" s="2" t="s">
        <v>257</v>
      </c>
      <c r="I78" s="2" t="s">
        <v>258</v>
      </c>
      <c r="J78" s="2" t="s">
        <v>263</v>
      </c>
      <c r="K78" s="2" t="s">
        <v>277</v>
      </c>
      <c r="L78" s="3">
        <v>26.19</v>
      </c>
      <c r="M78" s="3">
        <v>27.5</v>
      </c>
      <c r="N78" s="3">
        <v>54.99</v>
      </c>
      <c r="O78" s="2" t="s">
        <v>98</v>
      </c>
      <c r="P78" s="2" t="s">
        <v>278</v>
      </c>
      <c r="Q78" s="2" t="s">
        <v>100</v>
      </c>
      <c r="R78" s="2" t="s">
        <v>101</v>
      </c>
      <c r="S78" s="2" t="s">
        <v>279</v>
      </c>
      <c r="T78" s="2" t="s">
        <v>260</v>
      </c>
      <c r="U78" s="2" t="s">
        <v>115</v>
      </c>
      <c r="V78" s="2" t="s">
        <v>105</v>
      </c>
      <c r="W78" s="2" t="s">
        <v>106</v>
      </c>
      <c r="X78" s="2" t="s">
        <v>101</v>
      </c>
      <c r="Y78" s="2" t="s">
        <v>107</v>
      </c>
      <c r="Z78" s="4">
        <v>671</v>
      </c>
      <c r="AA78" s="4">
        <f>=ROUNDDOWN(21.5755627009646,0)</f>
      </c>
      <c r="AB78" s="5">
        <v>31.1</v>
      </c>
      <c r="AC78" s="2" t="s">
        <v>101</v>
      </c>
      <c r="AD78" s="4"/>
      <c r="AE78" s="4"/>
      <c r="AF78" s="6">
        <v>63</v>
      </c>
      <c r="AG78" s="6">
        <v>46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185</v>
      </c>
      <c r="AQ78" s="8">
        <v>5272.5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0.4069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2757</v>
      </c>
      <c r="BK78" s="8">
        <v>85126.57</v>
      </c>
      <c r="BL78" s="2" t="s">
        <v>109</v>
      </c>
      <c r="BM78" s="7">
        <v>0.0671</v>
      </c>
      <c r="BN78" s="7">
        <v>0.0619</v>
      </c>
      <c r="BO78" s="4">
        <v>185</v>
      </c>
      <c r="BP78" s="8">
        <v>5272.5</v>
      </c>
      <c r="BQ78" s="4"/>
      <c r="BR78" s="8"/>
      <c r="BS78" s="7"/>
      <c r="BT78" s="7"/>
      <c r="BU78" s="2" t="s">
        <v>110</v>
      </c>
      <c r="BV78" s="2" t="s">
        <v>98</v>
      </c>
      <c r="BW78" s="2" t="s">
        <v>101</v>
      </c>
      <c r="BX78" s="2" t="s">
        <v>261</v>
      </c>
      <c r="BY78" s="2" t="s">
        <v>112</v>
      </c>
      <c r="BZ78" s="2" t="s">
        <v>112</v>
      </c>
      <c r="CA78" s="2" t="s">
        <v>101</v>
      </c>
    </row>
    <row r="79">
      <c r="A79" s="2" t="s">
        <v>281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255</v>
      </c>
      <c r="G79" s="2" t="s">
        <v>256</v>
      </c>
      <c r="H79" s="2" t="s">
        <v>257</v>
      </c>
      <c r="I79" s="2" t="s">
        <v>258</v>
      </c>
      <c r="J79" s="2" t="s">
        <v>265</v>
      </c>
      <c r="K79" s="2" t="s">
        <v>277</v>
      </c>
      <c r="L79" s="3">
        <v>28.57</v>
      </c>
      <c r="M79" s="3">
        <v>30</v>
      </c>
      <c r="N79" s="3">
        <v>59.99</v>
      </c>
      <c r="O79" s="2" t="s">
        <v>98</v>
      </c>
      <c r="P79" s="2" t="s">
        <v>278</v>
      </c>
      <c r="Q79" s="2" t="s">
        <v>100</v>
      </c>
      <c r="R79" s="2" t="s">
        <v>101</v>
      </c>
      <c r="S79" s="2" t="s">
        <v>279</v>
      </c>
      <c r="T79" s="2" t="s">
        <v>260</v>
      </c>
      <c r="U79" s="2" t="s">
        <v>115</v>
      </c>
      <c r="V79" s="2" t="s">
        <v>105</v>
      </c>
      <c r="W79" s="2" t="s">
        <v>106</v>
      </c>
      <c r="X79" s="2" t="s">
        <v>101</v>
      </c>
      <c r="Y79" s="2" t="s">
        <v>282</v>
      </c>
      <c r="Z79" s="4">
        <v>1298</v>
      </c>
      <c r="AA79" s="4">
        <f>=ROUNDDOWN(39.3333333333333,0)</f>
      </c>
      <c r="AB79" s="5">
        <v>33</v>
      </c>
      <c r="AC79" s="2" t="s">
        <v>101</v>
      </c>
      <c r="AD79" s="4"/>
      <c r="AE79" s="4"/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142</v>
      </c>
      <c r="AQ79" s="8">
        <v>4544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0.3507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2513</v>
      </c>
      <c r="BK79" s="8">
        <v>82249.64</v>
      </c>
      <c r="BL79" s="2" t="s">
        <v>155</v>
      </c>
      <c r="BM79" s="7">
        <v>0.0565</v>
      </c>
      <c r="BN79" s="7">
        <v>0.0552</v>
      </c>
      <c r="BO79" s="4">
        <v>142</v>
      </c>
      <c r="BP79" s="8">
        <v>4544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101</v>
      </c>
      <c r="BX79" s="2" t="s">
        <v>261</v>
      </c>
      <c r="BY79" s="2" t="s">
        <v>112</v>
      </c>
      <c r="BZ79" s="2" t="s">
        <v>112</v>
      </c>
      <c r="CA79" s="2" t="s">
        <v>101</v>
      </c>
    </row>
    <row r="80">
      <c r="A80" s="2" t="s">
        <v>283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255</v>
      </c>
      <c r="G80" s="2" t="s">
        <v>255</v>
      </c>
      <c r="H80" s="2" t="s">
        <v>255</v>
      </c>
      <c r="I80" s="2" t="s">
        <v>258</v>
      </c>
      <c r="J80" s="2" t="s">
        <v>96</v>
      </c>
      <c r="K80" s="2" t="s">
        <v>284</v>
      </c>
      <c r="L80" s="3">
        <v>21.91</v>
      </c>
      <c r="M80" s="3">
        <v>23.01</v>
      </c>
      <c r="N80" s="3">
        <v>39.99</v>
      </c>
      <c r="O80" s="2" t="s">
        <v>285</v>
      </c>
      <c r="P80" s="2" t="s">
        <v>286</v>
      </c>
      <c r="Q80" s="2" t="s">
        <v>100</v>
      </c>
      <c r="R80" s="2" t="s">
        <v>16</v>
      </c>
      <c r="S80" s="2" t="s">
        <v>101</v>
      </c>
      <c r="T80" s="2" t="s">
        <v>101</v>
      </c>
      <c r="U80" s="2" t="s">
        <v>104</v>
      </c>
      <c r="V80" s="2" t="s">
        <v>105</v>
      </c>
      <c r="W80" s="2" t="s">
        <v>101</v>
      </c>
      <c r="X80" s="2" t="s">
        <v>101</v>
      </c>
      <c r="Y80" s="2" t="s">
        <v>287</v>
      </c>
      <c r="Z80" s="4">
        <v>519</v>
      </c>
      <c r="AA80" s="4">
        <f>=ROUNDDOWN(519,0)</f>
      </c>
      <c r="AB80" s="5">
        <v>1</v>
      </c>
      <c r="AC80" s="2" t="s">
        <v>101</v>
      </c>
      <c r="AD80" s="4"/>
      <c r="AE80" s="4"/>
      <c r="AF80" s="6">
        <v>63</v>
      </c>
      <c r="AG80" s="6">
        <v>46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9</v>
      </c>
      <c r="AQ80" s="8">
        <v>234</v>
      </c>
      <c r="AR80" s="4"/>
      <c r="AS80" s="8"/>
      <c r="AT80" s="7"/>
      <c r="AU80" s="7"/>
      <c r="AV80" s="4">
        <v>304</v>
      </c>
      <c r="AW80" s="8">
        <v>8848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0.0264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>
        <v>0.0707</v>
      </c>
      <c r="BJ80" s="4">
        <v>27</v>
      </c>
      <c r="BK80" s="8">
        <v>962.46</v>
      </c>
      <c r="BL80" s="2" t="s">
        <v>288</v>
      </c>
      <c r="BM80" s="7">
        <v>0.3333</v>
      </c>
      <c r="BN80" s="7">
        <v>0.2431</v>
      </c>
      <c r="BO80" s="4">
        <v>9</v>
      </c>
      <c r="BP80" s="8">
        <v>234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101</v>
      </c>
      <c r="BX80" s="2" t="s">
        <v>289</v>
      </c>
      <c r="BY80" s="2" t="s">
        <v>112</v>
      </c>
      <c r="BZ80" s="2" t="s">
        <v>112</v>
      </c>
      <c r="CA80" s="2" t="s">
        <v>101</v>
      </c>
    </row>
    <row r="81">
      <c r="A81" s="2" t="s">
        <v>290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255</v>
      </c>
      <c r="G81" s="2" t="s">
        <v>255</v>
      </c>
      <c r="H81" s="2" t="s">
        <v>255</v>
      </c>
      <c r="I81" s="2" t="s">
        <v>258</v>
      </c>
      <c r="J81" s="2" t="s">
        <v>263</v>
      </c>
      <c r="K81" s="2" t="s">
        <v>284</v>
      </c>
      <c r="L81" s="3">
        <v>27.39</v>
      </c>
      <c r="M81" s="3">
        <v>28.76</v>
      </c>
      <c r="N81" s="3">
        <v>49.99</v>
      </c>
      <c r="O81" s="2" t="s">
        <v>285</v>
      </c>
      <c r="P81" s="2" t="s">
        <v>286</v>
      </c>
      <c r="Q81" s="2" t="s">
        <v>100</v>
      </c>
      <c r="R81" s="2" t="s">
        <v>16</v>
      </c>
      <c r="S81" s="2" t="s">
        <v>101</v>
      </c>
      <c r="T81" s="2" t="s">
        <v>101</v>
      </c>
      <c r="U81" s="2" t="s">
        <v>115</v>
      </c>
      <c r="V81" s="2" t="s">
        <v>105</v>
      </c>
      <c r="W81" s="2" t="s">
        <v>101</v>
      </c>
      <c r="X81" s="2" t="s">
        <v>101</v>
      </c>
      <c r="Y81" s="2" t="s">
        <v>266</v>
      </c>
      <c r="Z81" s="4">
        <v>1054</v>
      </c>
      <c r="AA81" s="4">
        <f>=ROUNDDOWN(351.333333333333,0)</f>
      </c>
      <c r="AB81" s="5">
        <v>3</v>
      </c>
      <c r="AC81" s="2" t="s">
        <v>101</v>
      </c>
      <c r="AD81" s="4"/>
      <c r="AE81" s="4"/>
      <c r="AF81" s="6">
        <v>63</v>
      </c>
      <c r="AG81" s="6">
        <v>46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118</v>
      </c>
      <c r="AQ81" s="8">
        <v>3304</v>
      </c>
      <c r="AR81" s="4"/>
      <c r="AS81" s="8"/>
      <c r="AT81" s="7"/>
      <c r="AU81" s="7"/>
      <c r="AV81" s="4" t="s">
        <v>101</v>
      </c>
      <c r="AW81" s="8" t="s">
        <v>101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0.3734</v>
      </c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 t="s">
        <v>101</v>
      </c>
      <c r="BJ81" s="4">
        <v>143</v>
      </c>
      <c r="BK81" s="8">
        <v>4560.66</v>
      </c>
      <c r="BL81" s="2" t="s">
        <v>291</v>
      </c>
      <c r="BM81" s="7">
        <v>0.8252</v>
      </c>
      <c r="BN81" s="7">
        <v>0.7245</v>
      </c>
      <c r="BO81" s="4">
        <v>118</v>
      </c>
      <c r="BP81" s="8">
        <v>3304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101</v>
      </c>
      <c r="BX81" s="2" t="s">
        <v>261</v>
      </c>
      <c r="BY81" s="2" t="s">
        <v>112</v>
      </c>
      <c r="BZ81" s="2" t="s">
        <v>112</v>
      </c>
      <c r="CA81" s="2" t="s">
        <v>101</v>
      </c>
    </row>
    <row r="82">
      <c r="A82" s="2" t="s">
        <v>292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255</v>
      </c>
      <c r="G82" s="2" t="s">
        <v>255</v>
      </c>
      <c r="H82" s="2" t="s">
        <v>255</v>
      </c>
      <c r="I82" s="2" t="s">
        <v>258</v>
      </c>
      <c r="J82" s="2" t="s">
        <v>265</v>
      </c>
      <c r="K82" s="2" t="s">
        <v>284</v>
      </c>
      <c r="L82" s="3">
        <v>30.13</v>
      </c>
      <c r="M82" s="3">
        <v>31.64</v>
      </c>
      <c r="N82" s="3">
        <v>54.99</v>
      </c>
      <c r="O82" s="2" t="s">
        <v>98</v>
      </c>
      <c r="P82" s="2" t="s">
        <v>286</v>
      </c>
      <c r="Q82" s="2" t="s">
        <v>100</v>
      </c>
      <c r="R82" s="2" t="s">
        <v>16</v>
      </c>
      <c r="S82" s="2" t="s">
        <v>101</v>
      </c>
      <c r="T82" s="2" t="s">
        <v>101</v>
      </c>
      <c r="U82" s="2" t="s">
        <v>115</v>
      </c>
      <c r="V82" s="2" t="s">
        <v>105</v>
      </c>
      <c r="W82" s="2" t="s">
        <v>101</v>
      </c>
      <c r="X82" s="2" t="s">
        <v>101</v>
      </c>
      <c r="Y82" s="2" t="s">
        <v>266</v>
      </c>
      <c r="Z82" s="4">
        <v>618</v>
      </c>
      <c r="AA82" s="4">
        <f>=ROUNDDOWN(103,0)</f>
      </c>
      <c r="AB82" s="5">
        <v>6</v>
      </c>
      <c r="AC82" s="2" t="s">
        <v>101</v>
      </c>
      <c r="AD82" s="4"/>
      <c r="AE82" s="4"/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177</v>
      </c>
      <c r="AQ82" s="8">
        <v>5310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0.6001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299</v>
      </c>
      <c r="BK82" s="8">
        <v>11857.31</v>
      </c>
      <c r="BL82" s="2" t="s">
        <v>288</v>
      </c>
      <c r="BM82" s="7">
        <v>0.592</v>
      </c>
      <c r="BN82" s="7">
        <v>0.4478</v>
      </c>
      <c r="BO82" s="4">
        <v>177</v>
      </c>
      <c r="BP82" s="8">
        <v>5310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101</v>
      </c>
      <c r="BX82" s="2" t="s">
        <v>261</v>
      </c>
      <c r="BY82" s="2" t="s">
        <v>112</v>
      </c>
      <c r="BZ82" s="2" t="s">
        <v>112</v>
      </c>
      <c r="CA82" s="2" t="s">
        <v>101</v>
      </c>
    </row>
    <row r="83">
      <c r="A83" s="2" t="s">
        <v>293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255</v>
      </c>
      <c r="G83" s="2" t="s">
        <v>256</v>
      </c>
      <c r="H83" s="2" t="s">
        <v>257</v>
      </c>
      <c r="I83" s="2" t="s">
        <v>258</v>
      </c>
      <c r="J83" s="2" t="s">
        <v>96</v>
      </c>
      <c r="K83" s="2" t="s">
        <v>294</v>
      </c>
      <c r="L83" s="3">
        <v>21.42</v>
      </c>
      <c r="M83" s="3">
        <v>22.49</v>
      </c>
      <c r="N83" s="3">
        <v>44.99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295</v>
      </c>
      <c r="T83" s="2" t="s">
        <v>260</v>
      </c>
      <c r="U83" s="2" t="s">
        <v>104</v>
      </c>
      <c r="V83" s="2" t="s">
        <v>105</v>
      </c>
      <c r="W83" s="2" t="s">
        <v>106</v>
      </c>
      <c r="X83" s="2" t="s">
        <v>101</v>
      </c>
      <c r="Y83" s="2" t="s">
        <v>124</v>
      </c>
      <c r="Z83" s="4">
        <v>611</v>
      </c>
      <c r="AA83" s="4">
        <f>=ROUNDDOWN(76.375,0)</f>
      </c>
      <c r="AB83" s="5">
        <v>8</v>
      </c>
      <c r="AC83" s="2" t="s">
        <v>101</v>
      </c>
      <c r="AD83" s="4"/>
      <c r="AE83" s="4"/>
      <c r="AF83" s="6">
        <v>63</v>
      </c>
      <c r="AG83" s="6">
        <v>46</v>
      </c>
      <c r="AH83" s="7">
        <v>0.8786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21</v>
      </c>
      <c r="AQ83" s="8">
        <v>462</v>
      </c>
      <c r="AR83" s="4"/>
      <c r="AS83" s="8"/>
      <c r="AT83" s="7"/>
      <c r="AU83" s="7"/>
      <c r="AV83" s="4">
        <v>210</v>
      </c>
      <c r="AW83" s="8">
        <v>5918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0.0781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0.0473</v>
      </c>
      <c r="BJ83" s="4">
        <v>554</v>
      </c>
      <c r="BK83" s="8">
        <v>14942.74</v>
      </c>
      <c r="BL83" s="2" t="s">
        <v>296</v>
      </c>
      <c r="BM83" s="7">
        <v>0.0379</v>
      </c>
      <c r="BN83" s="7">
        <v>0.0309</v>
      </c>
      <c r="BO83" s="4">
        <v>21</v>
      </c>
      <c r="BP83" s="8">
        <v>462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101</v>
      </c>
      <c r="BX83" s="2" t="s">
        <v>297</v>
      </c>
      <c r="BY83" s="2" t="s">
        <v>112</v>
      </c>
      <c r="BZ83" s="2" t="s">
        <v>112</v>
      </c>
      <c r="CA83" s="2" t="s">
        <v>101</v>
      </c>
    </row>
    <row r="84">
      <c r="A84" s="2" t="s">
        <v>298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255</v>
      </c>
      <c r="G84" s="2" t="s">
        <v>256</v>
      </c>
      <c r="H84" s="2" t="s">
        <v>257</v>
      </c>
      <c r="I84" s="2" t="s">
        <v>258</v>
      </c>
      <c r="J84" s="2" t="s">
        <v>263</v>
      </c>
      <c r="K84" s="2" t="s">
        <v>294</v>
      </c>
      <c r="L84" s="3">
        <v>26.19</v>
      </c>
      <c r="M84" s="3">
        <v>27.5</v>
      </c>
      <c r="N84" s="3">
        <v>54.99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295</v>
      </c>
      <c r="T84" s="2" t="s">
        <v>260</v>
      </c>
      <c r="U84" s="2" t="s">
        <v>115</v>
      </c>
      <c r="V84" s="2" t="s">
        <v>105</v>
      </c>
      <c r="W84" s="2" t="s">
        <v>106</v>
      </c>
      <c r="X84" s="2" t="s">
        <v>101</v>
      </c>
      <c r="Y84" s="2" t="s">
        <v>299</v>
      </c>
      <c r="Z84" s="4">
        <v>2291</v>
      </c>
      <c r="AA84" s="4">
        <f>=ROUNDDOWN(57.275,0)</f>
      </c>
      <c r="AB84" s="5">
        <v>40</v>
      </c>
      <c r="AC84" s="2" t="s">
        <v>101</v>
      </c>
      <c r="AD84" s="4"/>
      <c r="AE84" s="4"/>
      <c r="AF84" s="6">
        <v>63</v>
      </c>
      <c r="AG84" s="6">
        <v>46</v>
      </c>
      <c r="AH84" s="7">
        <v>0.8571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107</v>
      </c>
      <c r="AQ84" s="8">
        <v>2996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0.5063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2580</v>
      </c>
      <c r="BK84" s="8">
        <v>81593.55</v>
      </c>
      <c r="BL84" s="2" t="s">
        <v>155</v>
      </c>
      <c r="BM84" s="7">
        <v>0.0415</v>
      </c>
      <c r="BN84" s="7">
        <v>0.0367</v>
      </c>
      <c r="BO84" s="4">
        <v>107</v>
      </c>
      <c r="BP84" s="8">
        <v>2996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101</v>
      </c>
      <c r="BX84" s="2" t="s">
        <v>297</v>
      </c>
      <c r="BY84" s="2" t="s">
        <v>112</v>
      </c>
      <c r="BZ84" s="2" t="s">
        <v>112</v>
      </c>
      <c r="CA84" s="2" t="s">
        <v>101</v>
      </c>
    </row>
    <row r="85">
      <c r="A85" s="2" t="s">
        <v>300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255</v>
      </c>
      <c r="G85" s="2" t="s">
        <v>256</v>
      </c>
      <c r="H85" s="2" t="s">
        <v>257</v>
      </c>
      <c r="I85" s="2" t="s">
        <v>258</v>
      </c>
      <c r="J85" s="2" t="s">
        <v>265</v>
      </c>
      <c r="K85" s="2" t="s">
        <v>294</v>
      </c>
      <c r="L85" s="3">
        <v>28.57</v>
      </c>
      <c r="M85" s="3">
        <v>30</v>
      </c>
      <c r="N85" s="3">
        <v>59.99</v>
      </c>
      <c r="O85" s="2" t="s">
        <v>98</v>
      </c>
      <c r="P85" s="2" t="s">
        <v>99</v>
      </c>
      <c r="Q85" s="2" t="s">
        <v>100</v>
      </c>
      <c r="R85" s="2" t="s">
        <v>101</v>
      </c>
      <c r="S85" s="2" t="s">
        <v>295</v>
      </c>
      <c r="T85" s="2" t="s">
        <v>260</v>
      </c>
      <c r="U85" s="2" t="s">
        <v>115</v>
      </c>
      <c r="V85" s="2" t="s">
        <v>105</v>
      </c>
      <c r="W85" s="2" t="s">
        <v>106</v>
      </c>
      <c r="X85" s="2" t="s">
        <v>101</v>
      </c>
      <c r="Y85" s="2" t="s">
        <v>299</v>
      </c>
      <c r="Z85" s="4">
        <v>1449</v>
      </c>
      <c r="AA85" s="4">
        <f>=ROUNDDOWN(31.5,0)</f>
      </c>
      <c r="AB85" s="5">
        <v>46</v>
      </c>
      <c r="AC85" s="2" t="s">
        <v>101</v>
      </c>
      <c r="AD85" s="4"/>
      <c r="AE85" s="4"/>
      <c r="AF85" s="6">
        <v>63</v>
      </c>
      <c r="AG85" s="6">
        <v>46</v>
      </c>
      <c r="AH85" s="7">
        <v>0.8452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82</v>
      </c>
      <c r="AQ85" s="8">
        <v>2460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0.4157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3084</v>
      </c>
      <c r="BK85" s="8">
        <v>102790.69</v>
      </c>
      <c r="BL85" s="2" t="s">
        <v>109</v>
      </c>
      <c r="BM85" s="7">
        <v>0.0266</v>
      </c>
      <c r="BN85" s="7">
        <v>0.0239</v>
      </c>
      <c r="BO85" s="4">
        <v>82</v>
      </c>
      <c r="BP85" s="8">
        <v>2460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101</v>
      </c>
      <c r="BX85" s="2" t="s">
        <v>297</v>
      </c>
      <c r="BY85" s="2" t="s">
        <v>112</v>
      </c>
      <c r="BZ85" s="2" t="s">
        <v>112</v>
      </c>
      <c r="CA85" s="2" t="s">
        <v>101</v>
      </c>
    </row>
    <row r="86">
      <c r="A86" s="2" t="s">
        <v>301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302</v>
      </c>
      <c r="G86" s="2" t="s">
        <v>303</v>
      </c>
      <c r="H86" s="2" t="s">
        <v>304</v>
      </c>
      <c r="I86" s="2" t="s">
        <v>305</v>
      </c>
      <c r="J86" s="2" t="s">
        <v>96</v>
      </c>
      <c r="K86" s="2" t="s">
        <v>306</v>
      </c>
      <c r="L86" s="3">
        <v>23.8</v>
      </c>
      <c r="M86" s="3">
        <v>24.99</v>
      </c>
      <c r="N86" s="3">
        <v>49.99</v>
      </c>
      <c r="O86" s="2" t="s">
        <v>98</v>
      </c>
      <c r="P86" s="2" t="s">
        <v>245</v>
      </c>
      <c r="Q86" s="2" t="s">
        <v>100</v>
      </c>
      <c r="R86" s="2" t="s">
        <v>101</v>
      </c>
      <c r="S86" s="2" t="s">
        <v>307</v>
      </c>
      <c r="T86" s="2" t="s">
        <v>308</v>
      </c>
      <c r="U86" s="2" t="s">
        <v>104</v>
      </c>
      <c r="V86" s="2" t="s">
        <v>309</v>
      </c>
      <c r="W86" s="2" t="s">
        <v>106</v>
      </c>
      <c r="X86" s="2" t="s">
        <v>310</v>
      </c>
      <c r="Y86" s="2" t="s">
        <v>107</v>
      </c>
      <c r="Z86" s="4">
        <v>440</v>
      </c>
      <c r="AA86" s="4">
        <f>=ROUNDDOWN(28.5714285714286,0)</f>
      </c>
      <c r="AB86" s="5">
        <v>15.4</v>
      </c>
      <c r="AC86" s="2" t="s">
        <v>101</v>
      </c>
      <c r="AD86" s="4"/>
      <c r="AE86" s="4"/>
      <c r="AF86" s="6">
        <v>63</v>
      </c>
      <c r="AG86" s="6">
        <v>46</v>
      </c>
      <c r="AH86" s="7">
        <v>0.8571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311</v>
      </c>
      <c r="AQ86" s="8">
        <v>7520</v>
      </c>
      <c r="AR86" s="4"/>
      <c r="AS86" s="8"/>
      <c r="AT86" s="7"/>
      <c r="AU86" s="7"/>
      <c r="AV86" s="4">
        <v>1252</v>
      </c>
      <c r="AW86" s="8">
        <v>36494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0.2061</v>
      </c>
      <c r="BC86" s="4">
        <v>2276</v>
      </c>
      <c r="BD86" s="8">
        <v>68265.5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0.5346</v>
      </c>
      <c r="BJ86" s="4">
        <v>1413</v>
      </c>
      <c r="BK86" s="8">
        <v>36266.95</v>
      </c>
      <c r="BL86" s="2" t="s">
        <v>167</v>
      </c>
      <c r="BM86" s="7">
        <v>0.2201</v>
      </c>
      <c r="BN86" s="7">
        <v>0.2074</v>
      </c>
      <c r="BO86" s="4">
        <v>311</v>
      </c>
      <c r="BP86" s="8">
        <v>7520</v>
      </c>
      <c r="BQ86" s="4"/>
      <c r="BR86" s="8"/>
      <c r="BS86" s="7"/>
      <c r="BT86" s="7"/>
      <c r="BU86" s="2" t="s">
        <v>110</v>
      </c>
      <c r="BV86" s="2" t="s">
        <v>98</v>
      </c>
      <c r="BW86" s="2" t="s">
        <v>101</v>
      </c>
      <c r="BX86" s="2" t="s">
        <v>261</v>
      </c>
      <c r="BY86" s="2" t="s">
        <v>112</v>
      </c>
      <c r="BZ86" s="2" t="s">
        <v>112</v>
      </c>
      <c r="CA86" s="2" t="s">
        <v>101</v>
      </c>
    </row>
    <row r="87">
      <c r="A87" s="2" t="s">
        <v>311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302</v>
      </c>
      <c r="G87" s="2" t="s">
        <v>303</v>
      </c>
      <c r="H87" s="2" t="s">
        <v>304</v>
      </c>
      <c r="I87" s="2" t="s">
        <v>305</v>
      </c>
      <c r="J87" s="2" t="s">
        <v>263</v>
      </c>
      <c r="K87" s="2" t="s">
        <v>306</v>
      </c>
      <c r="L87" s="3">
        <v>30.95</v>
      </c>
      <c r="M87" s="3">
        <v>32.5</v>
      </c>
      <c r="N87" s="3">
        <v>64.99</v>
      </c>
      <c r="O87" s="2" t="s">
        <v>98</v>
      </c>
      <c r="P87" s="2" t="s">
        <v>245</v>
      </c>
      <c r="Q87" s="2" t="s">
        <v>100</v>
      </c>
      <c r="R87" s="2" t="s">
        <v>101</v>
      </c>
      <c r="S87" s="2" t="s">
        <v>307</v>
      </c>
      <c r="T87" s="2" t="s">
        <v>308</v>
      </c>
      <c r="U87" s="2" t="s">
        <v>115</v>
      </c>
      <c r="V87" s="2" t="s">
        <v>309</v>
      </c>
      <c r="W87" s="2" t="s">
        <v>106</v>
      </c>
      <c r="X87" s="2" t="s">
        <v>310</v>
      </c>
      <c r="Y87" s="2" t="s">
        <v>107</v>
      </c>
      <c r="Z87" s="4">
        <v>1046</v>
      </c>
      <c r="AA87" s="4">
        <f>=ROUNDDOWN(16.2928348909657,0)</f>
      </c>
      <c r="AB87" s="5">
        <v>64.2</v>
      </c>
      <c r="AC87" s="2" t="s">
        <v>101</v>
      </c>
      <c r="AD87" s="4"/>
      <c r="AE87" s="4"/>
      <c r="AF87" s="6">
        <v>63</v>
      </c>
      <c r="AG87" s="6">
        <v>46</v>
      </c>
      <c r="AH87" s="7">
        <v>0.8905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693</v>
      </c>
      <c r="AQ87" s="8">
        <v>20790</v>
      </c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0.5697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4437</v>
      </c>
      <c r="BK87" s="8">
        <v>147439.79</v>
      </c>
      <c r="BL87" s="2" t="s">
        <v>312</v>
      </c>
      <c r="BM87" s="7">
        <v>0.1562</v>
      </c>
      <c r="BN87" s="7">
        <v>0.141</v>
      </c>
      <c r="BO87" s="4">
        <v>693</v>
      </c>
      <c r="BP87" s="8">
        <v>20790</v>
      </c>
      <c r="BQ87" s="4"/>
      <c r="BR87" s="8"/>
      <c r="BS87" s="7"/>
      <c r="BT87" s="7"/>
      <c r="BU87" s="2" t="s">
        <v>110</v>
      </c>
      <c r="BV87" s="2" t="s">
        <v>98</v>
      </c>
      <c r="BW87" s="2" t="s">
        <v>101</v>
      </c>
      <c r="BX87" s="2" t="s">
        <v>261</v>
      </c>
      <c r="BY87" s="2" t="s">
        <v>112</v>
      </c>
      <c r="BZ87" s="2" t="s">
        <v>112</v>
      </c>
      <c r="CA87" s="2" t="s">
        <v>101</v>
      </c>
    </row>
    <row r="88">
      <c r="A88" s="2" t="s">
        <v>313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302</v>
      </c>
      <c r="G88" s="2" t="s">
        <v>303</v>
      </c>
      <c r="H88" s="2" t="s">
        <v>304</v>
      </c>
      <c r="I88" s="2" t="s">
        <v>305</v>
      </c>
      <c r="J88" s="2" t="s">
        <v>265</v>
      </c>
      <c r="K88" s="2" t="s">
        <v>306</v>
      </c>
      <c r="L88" s="3">
        <v>33.33</v>
      </c>
      <c r="M88" s="3">
        <v>35</v>
      </c>
      <c r="N88" s="3">
        <v>69.99</v>
      </c>
      <c r="O88" s="2" t="s">
        <v>98</v>
      </c>
      <c r="P88" s="2" t="s">
        <v>245</v>
      </c>
      <c r="Q88" s="2" t="s">
        <v>100</v>
      </c>
      <c r="R88" s="2" t="s">
        <v>101</v>
      </c>
      <c r="S88" s="2" t="s">
        <v>307</v>
      </c>
      <c r="T88" s="2" t="s">
        <v>308</v>
      </c>
      <c r="U88" s="2" t="s">
        <v>115</v>
      </c>
      <c r="V88" s="2" t="s">
        <v>309</v>
      </c>
      <c r="W88" s="2" t="s">
        <v>106</v>
      </c>
      <c r="X88" s="2" t="s">
        <v>310</v>
      </c>
      <c r="Y88" s="2" t="s">
        <v>314</v>
      </c>
      <c r="Z88" s="4">
        <v>554</v>
      </c>
      <c r="AA88" s="4">
        <f>=ROUNDDOWN(13.0660377358491,0)</f>
      </c>
      <c r="AB88" s="5">
        <v>42.4</v>
      </c>
      <c r="AC88" s="2" t="s">
        <v>101</v>
      </c>
      <c r="AD88" s="4"/>
      <c r="AE88" s="4"/>
      <c r="AF88" s="6">
        <v>63</v>
      </c>
      <c r="AG88" s="6">
        <v>46</v>
      </c>
      <c r="AH88" s="7">
        <v>0.9214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248</v>
      </c>
      <c r="AQ88" s="8">
        <v>8184</v>
      </c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0.2243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2384</v>
      </c>
      <c r="BK88" s="8">
        <v>87623.23</v>
      </c>
      <c r="BL88" s="2" t="s">
        <v>315</v>
      </c>
      <c r="BM88" s="7">
        <v>0.104</v>
      </c>
      <c r="BN88" s="7">
        <v>0.0934</v>
      </c>
      <c r="BO88" s="4">
        <v>248</v>
      </c>
      <c r="BP88" s="8">
        <v>8184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101</v>
      </c>
      <c r="BX88" s="2" t="s">
        <v>261</v>
      </c>
      <c r="BY88" s="2" t="s">
        <v>112</v>
      </c>
      <c r="BZ88" s="2" t="s">
        <v>112</v>
      </c>
      <c r="CA88" s="2" t="s">
        <v>101</v>
      </c>
    </row>
    <row r="89">
      <c r="A89" s="2" t="s">
        <v>316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302</v>
      </c>
      <c r="G89" s="2" t="s">
        <v>303</v>
      </c>
      <c r="H89" s="2" t="s">
        <v>304</v>
      </c>
      <c r="I89" s="2" t="s">
        <v>305</v>
      </c>
      <c r="J89" s="2" t="s">
        <v>96</v>
      </c>
      <c r="K89" s="2" t="s">
        <v>317</v>
      </c>
      <c r="L89" s="3">
        <v>23.8</v>
      </c>
      <c r="M89" s="3">
        <v>24.99</v>
      </c>
      <c r="N89" s="3">
        <v>49.99</v>
      </c>
      <c r="O89" s="2" t="s">
        <v>98</v>
      </c>
      <c r="P89" s="2" t="s">
        <v>318</v>
      </c>
      <c r="Q89" s="2" t="s">
        <v>100</v>
      </c>
      <c r="R89" s="2" t="s">
        <v>101</v>
      </c>
      <c r="S89" s="2" t="s">
        <v>319</v>
      </c>
      <c r="T89" s="2" t="s">
        <v>308</v>
      </c>
      <c r="U89" s="2" t="s">
        <v>104</v>
      </c>
      <c r="V89" s="2" t="s">
        <v>309</v>
      </c>
      <c r="W89" s="2" t="s">
        <v>106</v>
      </c>
      <c r="X89" s="2" t="s">
        <v>310</v>
      </c>
      <c r="Y89" s="2" t="s">
        <v>320</v>
      </c>
      <c r="Z89" s="4">
        <v>205</v>
      </c>
      <c r="AA89" s="4">
        <f>=ROUNDDOWN(32.03125,0)</f>
      </c>
      <c r="AB89" s="5">
        <v>6.4</v>
      </c>
      <c r="AC89" s="2" t="s">
        <v>101</v>
      </c>
      <c r="AD89" s="4"/>
      <c r="AE89" s="4"/>
      <c r="AF89" s="6">
        <v>63</v>
      </c>
      <c r="AG89" s="6">
        <v>46</v>
      </c>
      <c r="AH89" s="7">
        <v>0.9762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66</v>
      </c>
      <c r="AQ89" s="8">
        <v>1620</v>
      </c>
      <c r="AR89" s="4"/>
      <c r="AS89" s="8"/>
      <c r="AT89" s="7"/>
      <c r="AU89" s="7"/>
      <c r="AV89" s="4">
        <v>461</v>
      </c>
      <c r="AW89" s="8">
        <v>14217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0.1139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0.2083</v>
      </c>
      <c r="BJ89" s="4">
        <v>367</v>
      </c>
      <c r="BK89" s="8">
        <v>9853.19</v>
      </c>
      <c r="BL89" s="2" t="s">
        <v>145</v>
      </c>
      <c r="BM89" s="7">
        <v>0.1798</v>
      </c>
      <c r="BN89" s="7">
        <v>0.1644</v>
      </c>
      <c r="BO89" s="4">
        <v>66</v>
      </c>
      <c r="BP89" s="8">
        <v>1620</v>
      </c>
      <c r="BQ89" s="4"/>
      <c r="BR89" s="8"/>
      <c r="BS89" s="7"/>
      <c r="BT89" s="7"/>
      <c r="BU89" s="2" t="s">
        <v>110</v>
      </c>
      <c r="BV89" s="2" t="s">
        <v>98</v>
      </c>
      <c r="BW89" s="2" t="s">
        <v>101</v>
      </c>
      <c r="BX89" s="2" t="s">
        <v>321</v>
      </c>
      <c r="BY89" s="2" t="s">
        <v>112</v>
      </c>
      <c r="BZ89" s="2" t="s">
        <v>112</v>
      </c>
      <c r="CA89" s="2" t="s">
        <v>101</v>
      </c>
    </row>
    <row r="90">
      <c r="A90" s="2" t="s">
        <v>322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302</v>
      </c>
      <c r="G90" s="2" t="s">
        <v>303</v>
      </c>
      <c r="H90" s="2" t="s">
        <v>304</v>
      </c>
      <c r="I90" s="2" t="s">
        <v>305</v>
      </c>
      <c r="J90" s="2" t="s">
        <v>263</v>
      </c>
      <c r="K90" s="2" t="s">
        <v>317</v>
      </c>
      <c r="L90" s="3">
        <v>30.95</v>
      </c>
      <c r="M90" s="3">
        <v>32.5</v>
      </c>
      <c r="N90" s="3">
        <v>64.99</v>
      </c>
      <c r="O90" s="2" t="s">
        <v>98</v>
      </c>
      <c r="P90" s="2" t="s">
        <v>318</v>
      </c>
      <c r="Q90" s="2" t="s">
        <v>100</v>
      </c>
      <c r="R90" s="2" t="s">
        <v>101</v>
      </c>
      <c r="S90" s="2" t="s">
        <v>319</v>
      </c>
      <c r="T90" s="2" t="s">
        <v>308</v>
      </c>
      <c r="U90" s="2" t="s">
        <v>115</v>
      </c>
      <c r="V90" s="2" t="s">
        <v>309</v>
      </c>
      <c r="W90" s="2" t="s">
        <v>106</v>
      </c>
      <c r="X90" s="2" t="s">
        <v>310</v>
      </c>
      <c r="Y90" s="2" t="s">
        <v>320</v>
      </c>
      <c r="Z90" s="4">
        <v>338</v>
      </c>
      <c r="AA90" s="4">
        <f>=ROUNDDOWN(11.8181818181818,0)</f>
      </c>
      <c r="AB90" s="5">
        <v>28.6</v>
      </c>
      <c r="AC90" s="2" t="s">
        <v>101</v>
      </c>
      <c r="AD90" s="4"/>
      <c r="AE90" s="4"/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>
        <v>146</v>
      </c>
      <c r="AQ90" s="8">
        <v>4380</v>
      </c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0.3081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1743</v>
      </c>
      <c r="BK90" s="8">
        <v>59982.1</v>
      </c>
      <c r="BL90" s="2" t="s">
        <v>167</v>
      </c>
      <c r="BM90" s="7">
        <v>0.0838</v>
      </c>
      <c r="BN90" s="7">
        <v>0.073</v>
      </c>
      <c r="BO90" s="4">
        <v>146</v>
      </c>
      <c r="BP90" s="8">
        <v>4380</v>
      </c>
      <c r="BQ90" s="4"/>
      <c r="BR90" s="8"/>
      <c r="BS90" s="7"/>
      <c r="BT90" s="7"/>
      <c r="BU90" s="2" t="s">
        <v>110</v>
      </c>
      <c r="BV90" s="2" t="s">
        <v>98</v>
      </c>
      <c r="BW90" s="2" t="s">
        <v>101</v>
      </c>
      <c r="BX90" s="2" t="s">
        <v>321</v>
      </c>
      <c r="BY90" s="2" t="s">
        <v>112</v>
      </c>
      <c r="BZ90" s="2" t="s">
        <v>112</v>
      </c>
      <c r="CA90" s="2" t="s">
        <v>101</v>
      </c>
    </row>
    <row r="91">
      <c r="A91" s="2" t="s">
        <v>323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302</v>
      </c>
      <c r="G91" s="2" t="s">
        <v>303</v>
      </c>
      <c r="H91" s="2" t="s">
        <v>304</v>
      </c>
      <c r="I91" s="2" t="s">
        <v>305</v>
      </c>
      <c r="J91" s="2" t="s">
        <v>265</v>
      </c>
      <c r="K91" s="2" t="s">
        <v>317</v>
      </c>
      <c r="L91" s="3">
        <v>33.33</v>
      </c>
      <c r="M91" s="3">
        <v>35</v>
      </c>
      <c r="N91" s="3">
        <v>69.99</v>
      </c>
      <c r="O91" s="2" t="s">
        <v>98</v>
      </c>
      <c r="P91" s="2" t="s">
        <v>318</v>
      </c>
      <c r="Q91" s="2" t="s">
        <v>100</v>
      </c>
      <c r="R91" s="2" t="s">
        <v>101</v>
      </c>
      <c r="S91" s="2" t="s">
        <v>319</v>
      </c>
      <c r="T91" s="2" t="s">
        <v>103</v>
      </c>
      <c r="U91" s="2" t="s">
        <v>115</v>
      </c>
      <c r="V91" s="2" t="s">
        <v>309</v>
      </c>
      <c r="W91" s="2" t="s">
        <v>106</v>
      </c>
      <c r="X91" s="2" t="s">
        <v>310</v>
      </c>
      <c r="Y91" s="2" t="s">
        <v>320</v>
      </c>
      <c r="Z91" s="4">
        <v>757</v>
      </c>
      <c r="AA91" s="4">
        <f>=ROUNDDOWN(23.8050314465409,0)</f>
      </c>
      <c r="AB91" s="5">
        <v>31.8</v>
      </c>
      <c r="AC91" s="2" t="s">
        <v>101</v>
      </c>
      <c r="AD91" s="4"/>
      <c r="AE91" s="4"/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249</v>
      </c>
      <c r="AQ91" s="8">
        <v>8217</v>
      </c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0.578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1935</v>
      </c>
      <c r="BK91" s="8">
        <v>72121.56</v>
      </c>
      <c r="BL91" s="2" t="s">
        <v>167</v>
      </c>
      <c r="BM91" s="7">
        <v>0.1287</v>
      </c>
      <c r="BN91" s="7">
        <v>0.1139</v>
      </c>
      <c r="BO91" s="4">
        <v>249</v>
      </c>
      <c r="BP91" s="8">
        <v>8217</v>
      </c>
      <c r="BQ91" s="4"/>
      <c r="BR91" s="8"/>
      <c r="BS91" s="7"/>
      <c r="BT91" s="7"/>
      <c r="BU91" s="2" t="s">
        <v>110</v>
      </c>
      <c r="BV91" s="2" t="s">
        <v>98</v>
      </c>
      <c r="BW91" s="2" t="s">
        <v>101</v>
      </c>
      <c r="BX91" s="2" t="s">
        <v>321</v>
      </c>
      <c r="BY91" s="2" t="s">
        <v>112</v>
      </c>
      <c r="BZ91" s="2" t="s">
        <v>112</v>
      </c>
      <c r="CA91" s="2" t="s">
        <v>101</v>
      </c>
    </row>
    <row r="92">
      <c r="A92" s="2" t="s">
        <v>324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302</v>
      </c>
      <c r="G92" s="2" t="s">
        <v>303</v>
      </c>
      <c r="H92" s="2" t="s">
        <v>304</v>
      </c>
      <c r="I92" s="2" t="s">
        <v>305</v>
      </c>
      <c r="J92" s="2" t="s">
        <v>96</v>
      </c>
      <c r="K92" s="2" t="s">
        <v>216</v>
      </c>
      <c r="L92" s="3">
        <v>23.8</v>
      </c>
      <c r="M92" s="3">
        <v>24.99</v>
      </c>
      <c r="N92" s="3">
        <v>49.99</v>
      </c>
      <c r="O92" s="2" t="s">
        <v>98</v>
      </c>
      <c r="P92" s="2" t="s">
        <v>245</v>
      </c>
      <c r="Q92" s="2" t="s">
        <v>100</v>
      </c>
      <c r="R92" s="2" t="s">
        <v>101</v>
      </c>
      <c r="S92" s="2" t="s">
        <v>325</v>
      </c>
      <c r="T92" s="2" t="s">
        <v>308</v>
      </c>
      <c r="U92" s="2" t="s">
        <v>104</v>
      </c>
      <c r="V92" s="2" t="s">
        <v>309</v>
      </c>
      <c r="W92" s="2" t="s">
        <v>106</v>
      </c>
      <c r="X92" s="2" t="s">
        <v>310</v>
      </c>
      <c r="Y92" s="2" t="s">
        <v>107</v>
      </c>
      <c r="Z92" s="4">
        <v>749</v>
      </c>
      <c r="AA92" s="4">
        <f>=ROUNDDOWN(83.2222222222222,0)</f>
      </c>
      <c r="AB92" s="5">
        <v>9</v>
      </c>
      <c r="AC92" s="2" t="s">
        <v>101</v>
      </c>
      <c r="AD92" s="4"/>
      <c r="AE92" s="4"/>
      <c r="AF92" s="6">
        <v>63</v>
      </c>
      <c r="AG92" s="6">
        <v>46</v>
      </c>
      <c r="AH92" s="7">
        <v>0.8476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75</v>
      </c>
      <c r="AQ92" s="8">
        <v>1987.5</v>
      </c>
      <c r="AR92" s="4"/>
      <c r="AS92" s="8"/>
      <c r="AT92" s="7"/>
      <c r="AU92" s="7"/>
      <c r="AV92" s="4">
        <v>412</v>
      </c>
      <c r="AW92" s="8">
        <v>13005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0.1528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0.1905</v>
      </c>
      <c r="BJ92" s="4">
        <v>724</v>
      </c>
      <c r="BK92" s="8">
        <v>18877.24</v>
      </c>
      <c r="BL92" s="2" t="s">
        <v>167</v>
      </c>
      <c r="BM92" s="7">
        <v>0.1036</v>
      </c>
      <c r="BN92" s="7">
        <v>0.1053</v>
      </c>
      <c r="BO92" s="4">
        <v>75</v>
      </c>
      <c r="BP92" s="8">
        <v>1987.5</v>
      </c>
      <c r="BQ92" s="4"/>
      <c r="BR92" s="8"/>
      <c r="BS92" s="7"/>
      <c r="BT92" s="7"/>
      <c r="BU92" s="2" t="s">
        <v>110</v>
      </c>
      <c r="BV92" s="2" t="s">
        <v>98</v>
      </c>
      <c r="BW92" s="2" t="s">
        <v>101</v>
      </c>
      <c r="BX92" s="2" t="s">
        <v>261</v>
      </c>
      <c r="BY92" s="2" t="s">
        <v>112</v>
      </c>
      <c r="BZ92" s="2" t="s">
        <v>112</v>
      </c>
      <c r="CA92" s="2" t="s">
        <v>101</v>
      </c>
    </row>
    <row r="93">
      <c r="A93" s="2" t="s">
        <v>326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302</v>
      </c>
      <c r="G93" s="2" t="s">
        <v>303</v>
      </c>
      <c r="H93" s="2" t="s">
        <v>304</v>
      </c>
      <c r="I93" s="2" t="s">
        <v>305</v>
      </c>
      <c r="J93" s="2" t="s">
        <v>263</v>
      </c>
      <c r="K93" s="2" t="s">
        <v>216</v>
      </c>
      <c r="L93" s="3">
        <v>30.95</v>
      </c>
      <c r="M93" s="3">
        <v>32.5</v>
      </c>
      <c r="N93" s="3">
        <v>64.99</v>
      </c>
      <c r="O93" s="2" t="s">
        <v>98</v>
      </c>
      <c r="P93" s="2" t="s">
        <v>245</v>
      </c>
      <c r="Q93" s="2" t="s">
        <v>100</v>
      </c>
      <c r="R93" s="2" t="s">
        <v>101</v>
      </c>
      <c r="S93" s="2" t="s">
        <v>325</v>
      </c>
      <c r="T93" s="2" t="s">
        <v>308</v>
      </c>
      <c r="U93" s="2" t="s">
        <v>115</v>
      </c>
      <c r="V93" s="2" t="s">
        <v>309</v>
      </c>
      <c r="W93" s="2" t="s">
        <v>106</v>
      </c>
      <c r="X93" s="2" t="s">
        <v>310</v>
      </c>
      <c r="Y93" s="2" t="s">
        <v>107</v>
      </c>
      <c r="Z93" s="4">
        <v>2009</v>
      </c>
      <c r="AA93" s="4">
        <f>=ROUNDDOWN(54.005376344086,0)</f>
      </c>
      <c r="AB93" s="5">
        <v>37.2</v>
      </c>
      <c r="AC93" s="2" t="s">
        <v>101</v>
      </c>
      <c r="AD93" s="4"/>
      <c r="AE93" s="4"/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203</v>
      </c>
      <c r="AQ93" s="8">
        <v>6394.5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0.4917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3304</v>
      </c>
      <c r="BK93" s="8">
        <v>109116.16</v>
      </c>
      <c r="BL93" s="2" t="s">
        <v>167</v>
      </c>
      <c r="BM93" s="7">
        <v>0.0614</v>
      </c>
      <c r="BN93" s="7">
        <v>0.0586</v>
      </c>
      <c r="BO93" s="4">
        <v>203</v>
      </c>
      <c r="BP93" s="8">
        <v>6394.5</v>
      </c>
      <c r="BQ93" s="4"/>
      <c r="BR93" s="8"/>
      <c r="BS93" s="7"/>
      <c r="BT93" s="7"/>
      <c r="BU93" s="2" t="s">
        <v>110</v>
      </c>
      <c r="BV93" s="2" t="s">
        <v>98</v>
      </c>
      <c r="BW93" s="2" t="s">
        <v>101</v>
      </c>
      <c r="BX93" s="2" t="s">
        <v>261</v>
      </c>
      <c r="BY93" s="2" t="s">
        <v>112</v>
      </c>
      <c r="BZ93" s="2" t="s">
        <v>112</v>
      </c>
      <c r="CA93" s="2" t="s">
        <v>101</v>
      </c>
    </row>
    <row r="94">
      <c r="A94" s="2" t="s">
        <v>327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302</v>
      </c>
      <c r="G94" s="2" t="s">
        <v>303</v>
      </c>
      <c r="H94" s="2" t="s">
        <v>304</v>
      </c>
      <c r="I94" s="2" t="s">
        <v>305</v>
      </c>
      <c r="J94" s="2" t="s">
        <v>265</v>
      </c>
      <c r="K94" s="2" t="s">
        <v>216</v>
      </c>
      <c r="L94" s="3">
        <v>33.33</v>
      </c>
      <c r="M94" s="3">
        <v>35</v>
      </c>
      <c r="N94" s="3">
        <v>69.99</v>
      </c>
      <c r="O94" s="2" t="s">
        <v>98</v>
      </c>
      <c r="P94" s="2" t="s">
        <v>245</v>
      </c>
      <c r="Q94" s="2" t="s">
        <v>100</v>
      </c>
      <c r="R94" s="2" t="s">
        <v>101</v>
      </c>
      <c r="S94" s="2" t="s">
        <v>325</v>
      </c>
      <c r="T94" s="2" t="s">
        <v>103</v>
      </c>
      <c r="U94" s="2" t="s">
        <v>115</v>
      </c>
      <c r="V94" s="2" t="s">
        <v>309</v>
      </c>
      <c r="W94" s="2" t="s">
        <v>106</v>
      </c>
      <c r="X94" s="2" t="s">
        <v>310</v>
      </c>
      <c r="Y94" s="2" t="s">
        <v>314</v>
      </c>
      <c r="Z94" s="4">
        <v>680</v>
      </c>
      <c r="AA94" s="4">
        <f>=ROUNDDOWN(25,0)</f>
      </c>
      <c r="AB94" s="5">
        <v>27.2</v>
      </c>
      <c r="AC94" s="2" t="s">
        <v>101</v>
      </c>
      <c r="AD94" s="4"/>
      <c r="AE94" s="4"/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134</v>
      </c>
      <c r="AQ94" s="8">
        <v>4623</v>
      </c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0.3555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1771</v>
      </c>
      <c r="BK94" s="8">
        <v>65419.96</v>
      </c>
      <c r="BL94" s="2" t="s">
        <v>296</v>
      </c>
      <c r="BM94" s="7">
        <v>0.0757</v>
      </c>
      <c r="BN94" s="7">
        <v>0.0707</v>
      </c>
      <c r="BO94" s="4">
        <v>134</v>
      </c>
      <c r="BP94" s="8">
        <v>4623</v>
      </c>
      <c r="BQ94" s="4"/>
      <c r="BR94" s="8"/>
      <c r="BS94" s="7"/>
      <c r="BT94" s="7"/>
      <c r="BU94" s="2" t="s">
        <v>110</v>
      </c>
      <c r="BV94" s="2" t="s">
        <v>98</v>
      </c>
      <c r="BW94" s="2" t="s">
        <v>101</v>
      </c>
      <c r="BX94" s="2" t="s">
        <v>261</v>
      </c>
      <c r="BY94" s="2" t="s">
        <v>112</v>
      </c>
      <c r="BZ94" s="2" t="s">
        <v>112</v>
      </c>
      <c r="CA94" s="2" t="s">
        <v>101</v>
      </c>
    </row>
    <row r="95">
      <c r="A95" s="2" t="s">
        <v>328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302</v>
      </c>
      <c r="G95" s="2" t="s">
        <v>303</v>
      </c>
      <c r="H95" s="2" t="s">
        <v>304</v>
      </c>
      <c r="I95" s="2" t="s">
        <v>305</v>
      </c>
      <c r="J95" s="2" t="s">
        <v>96</v>
      </c>
      <c r="K95" s="2" t="s">
        <v>329</v>
      </c>
      <c r="L95" s="3">
        <v>23.8</v>
      </c>
      <c r="M95" s="3">
        <v>24.99</v>
      </c>
      <c r="N95" s="3">
        <v>44.99</v>
      </c>
      <c r="O95" s="2" t="s">
        <v>98</v>
      </c>
      <c r="P95" s="2" t="s">
        <v>318</v>
      </c>
      <c r="Q95" s="2" t="s">
        <v>100</v>
      </c>
      <c r="R95" s="2" t="s">
        <v>101</v>
      </c>
      <c r="S95" s="2" t="s">
        <v>330</v>
      </c>
      <c r="T95" s="2" t="s">
        <v>308</v>
      </c>
      <c r="U95" s="2" t="s">
        <v>104</v>
      </c>
      <c r="V95" s="2" t="s">
        <v>309</v>
      </c>
      <c r="W95" s="2" t="s">
        <v>106</v>
      </c>
      <c r="X95" s="2" t="s">
        <v>310</v>
      </c>
      <c r="Y95" s="2" t="s">
        <v>331</v>
      </c>
      <c r="Z95" s="4">
        <v>228</v>
      </c>
      <c r="AA95" s="4">
        <f>=ROUNDDOWN(87.6923076923077,0)</f>
      </c>
      <c r="AB95" s="5">
        <v>2.6</v>
      </c>
      <c r="AC95" s="2" t="s">
        <v>332</v>
      </c>
      <c r="AD95" s="4">
        <v>300</v>
      </c>
      <c r="AE95" s="4">
        <v>300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20</v>
      </c>
      <c r="AQ95" s="8">
        <v>510</v>
      </c>
      <c r="AR95" s="4"/>
      <c r="AS95" s="8"/>
      <c r="AT95" s="7"/>
      <c r="AU95" s="7"/>
      <c r="AV95" s="4">
        <v>62</v>
      </c>
      <c r="AW95" s="8">
        <v>1836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0.2778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>
        <v>0.0269</v>
      </c>
      <c r="BJ95" s="4">
        <v>131</v>
      </c>
      <c r="BK95" s="8">
        <v>3423.98</v>
      </c>
      <c r="BL95" s="2" t="s">
        <v>333</v>
      </c>
      <c r="BM95" s="7">
        <v>0.1527</v>
      </c>
      <c r="BN95" s="7">
        <v>0.1489</v>
      </c>
      <c r="BO95" s="4">
        <v>20</v>
      </c>
      <c r="BP95" s="8">
        <v>510</v>
      </c>
      <c r="BQ95" s="4"/>
      <c r="BR95" s="8"/>
      <c r="BS95" s="7"/>
      <c r="BT95" s="7"/>
      <c r="BU95" s="2" t="s">
        <v>110</v>
      </c>
      <c r="BV95" s="2" t="s">
        <v>98</v>
      </c>
      <c r="BW95" s="2" t="s">
        <v>101</v>
      </c>
      <c r="BX95" s="2" t="s">
        <v>334</v>
      </c>
      <c r="BY95" s="2" t="s">
        <v>112</v>
      </c>
      <c r="BZ95" s="2" t="s">
        <v>112</v>
      </c>
      <c r="CA95" s="2" t="s">
        <v>101</v>
      </c>
    </row>
    <row r="96">
      <c r="A96" s="2" t="s">
        <v>335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302</v>
      </c>
      <c r="G96" s="2" t="s">
        <v>303</v>
      </c>
      <c r="H96" s="2" t="s">
        <v>304</v>
      </c>
      <c r="I96" s="2" t="s">
        <v>305</v>
      </c>
      <c r="J96" s="2" t="s">
        <v>263</v>
      </c>
      <c r="K96" s="2" t="s">
        <v>329</v>
      </c>
      <c r="L96" s="3">
        <v>30.95</v>
      </c>
      <c r="M96" s="3">
        <v>32.5</v>
      </c>
      <c r="N96" s="3">
        <v>54.99</v>
      </c>
      <c r="O96" s="2" t="s">
        <v>98</v>
      </c>
      <c r="P96" s="2" t="s">
        <v>318</v>
      </c>
      <c r="Q96" s="2" t="s">
        <v>100</v>
      </c>
      <c r="R96" s="2" t="s">
        <v>101</v>
      </c>
      <c r="S96" s="2" t="s">
        <v>330</v>
      </c>
      <c r="T96" s="2" t="s">
        <v>308</v>
      </c>
      <c r="U96" s="2" t="s">
        <v>115</v>
      </c>
      <c r="V96" s="2" t="s">
        <v>309</v>
      </c>
      <c r="W96" s="2" t="s">
        <v>106</v>
      </c>
      <c r="X96" s="2" t="s">
        <v>310</v>
      </c>
      <c r="Y96" s="2" t="s">
        <v>331</v>
      </c>
      <c r="Z96" s="4">
        <v>223</v>
      </c>
      <c r="AA96" s="4">
        <f>=ROUNDDOWN(10.0904977375566,0)</f>
      </c>
      <c r="AB96" s="5">
        <v>22.1</v>
      </c>
      <c r="AC96" s="2" t="s">
        <v>336</v>
      </c>
      <c r="AD96" s="4">
        <v>300</v>
      </c>
      <c r="AE96" s="4">
        <v>300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27</v>
      </c>
      <c r="AQ96" s="8">
        <v>823.5</v>
      </c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0.4485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715</v>
      </c>
      <c r="BK96" s="8">
        <v>23543.13</v>
      </c>
      <c r="BL96" s="2" t="s">
        <v>167</v>
      </c>
      <c r="BM96" s="7">
        <v>0.0378</v>
      </c>
      <c r="BN96" s="7">
        <v>0.035</v>
      </c>
      <c r="BO96" s="4">
        <v>27</v>
      </c>
      <c r="BP96" s="8">
        <v>823.5</v>
      </c>
      <c r="BQ96" s="4"/>
      <c r="BR96" s="8"/>
      <c r="BS96" s="7"/>
      <c r="BT96" s="7"/>
      <c r="BU96" s="2" t="s">
        <v>110</v>
      </c>
      <c r="BV96" s="2" t="s">
        <v>98</v>
      </c>
      <c r="BW96" s="2" t="s">
        <v>101</v>
      </c>
      <c r="BX96" s="2" t="s">
        <v>249</v>
      </c>
      <c r="BY96" s="2" t="s">
        <v>112</v>
      </c>
      <c r="BZ96" s="2" t="s">
        <v>112</v>
      </c>
      <c r="CA96" s="2" t="s">
        <v>101</v>
      </c>
    </row>
    <row r="97">
      <c r="A97" s="2" t="s">
        <v>337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302</v>
      </c>
      <c r="G97" s="2" t="s">
        <v>303</v>
      </c>
      <c r="H97" s="2" t="s">
        <v>304</v>
      </c>
      <c r="I97" s="2" t="s">
        <v>305</v>
      </c>
      <c r="J97" s="2" t="s">
        <v>265</v>
      </c>
      <c r="K97" s="2" t="s">
        <v>329</v>
      </c>
      <c r="L97" s="3">
        <v>33.33</v>
      </c>
      <c r="M97" s="3">
        <v>35</v>
      </c>
      <c r="N97" s="3">
        <v>59.99</v>
      </c>
      <c r="O97" s="2" t="s">
        <v>98</v>
      </c>
      <c r="P97" s="2" t="s">
        <v>318</v>
      </c>
      <c r="Q97" s="2" t="s">
        <v>100</v>
      </c>
      <c r="R97" s="2" t="s">
        <v>101</v>
      </c>
      <c r="S97" s="2" t="s">
        <v>330</v>
      </c>
      <c r="T97" s="2" t="s">
        <v>308</v>
      </c>
      <c r="U97" s="2" t="s">
        <v>115</v>
      </c>
      <c r="V97" s="2" t="s">
        <v>309</v>
      </c>
      <c r="W97" s="2" t="s">
        <v>106</v>
      </c>
      <c r="X97" s="2" t="s">
        <v>310</v>
      </c>
      <c r="Y97" s="2" t="s">
        <v>331</v>
      </c>
      <c r="Z97" s="4">
        <v>525</v>
      </c>
      <c r="AA97" s="4">
        <f>=ROUNDDOWN(22.8260869565217,0)</f>
      </c>
      <c r="AB97" s="5">
        <v>23</v>
      </c>
      <c r="AC97" s="2" t="s">
        <v>332</v>
      </c>
      <c r="AD97" s="4">
        <v>400</v>
      </c>
      <c r="AE97" s="4">
        <v>400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>
        <v>15</v>
      </c>
      <c r="AQ97" s="8">
        <v>502.5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0.2737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782</v>
      </c>
      <c r="BK97" s="8">
        <v>28729.15</v>
      </c>
      <c r="BL97" s="2" t="s">
        <v>145</v>
      </c>
      <c r="BM97" s="7">
        <v>0.0192</v>
      </c>
      <c r="BN97" s="7">
        <v>0.0175</v>
      </c>
      <c r="BO97" s="4">
        <v>15</v>
      </c>
      <c r="BP97" s="8">
        <v>502.5</v>
      </c>
      <c r="BQ97" s="4"/>
      <c r="BR97" s="8"/>
      <c r="BS97" s="7"/>
      <c r="BT97" s="7"/>
      <c r="BU97" s="2" t="s">
        <v>110</v>
      </c>
      <c r="BV97" s="2" t="s">
        <v>98</v>
      </c>
      <c r="BW97" s="2" t="s">
        <v>101</v>
      </c>
      <c r="BX97" s="2" t="s">
        <v>334</v>
      </c>
      <c r="BY97" s="2" t="s">
        <v>112</v>
      </c>
      <c r="BZ97" s="2" t="s">
        <v>112</v>
      </c>
      <c r="CA97" s="2" t="s">
        <v>101</v>
      </c>
    </row>
    <row r="98">
      <c r="A98" s="2" t="s">
        <v>338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302</v>
      </c>
      <c r="G98" s="2" t="s">
        <v>303</v>
      </c>
      <c r="H98" s="2" t="s">
        <v>304</v>
      </c>
      <c r="I98" s="2" t="s">
        <v>305</v>
      </c>
      <c r="J98" s="2" t="s">
        <v>96</v>
      </c>
      <c r="K98" s="2" t="s">
        <v>244</v>
      </c>
      <c r="L98" s="3">
        <v>23.8</v>
      </c>
      <c r="M98" s="3">
        <v>24.99</v>
      </c>
      <c r="N98" s="3">
        <v>44.99</v>
      </c>
      <c r="O98" s="2" t="s">
        <v>98</v>
      </c>
      <c r="P98" s="2" t="s">
        <v>318</v>
      </c>
      <c r="Q98" s="2" t="s">
        <v>100</v>
      </c>
      <c r="R98" s="2" t="s">
        <v>101</v>
      </c>
      <c r="S98" s="2" t="s">
        <v>339</v>
      </c>
      <c r="T98" s="2" t="s">
        <v>308</v>
      </c>
      <c r="U98" s="2" t="s">
        <v>104</v>
      </c>
      <c r="V98" s="2" t="s">
        <v>309</v>
      </c>
      <c r="W98" s="2" t="s">
        <v>106</v>
      </c>
      <c r="X98" s="2" t="s">
        <v>310</v>
      </c>
      <c r="Y98" s="2" t="s">
        <v>331</v>
      </c>
      <c r="Z98" s="4">
        <v>375</v>
      </c>
      <c r="AA98" s="4">
        <f>=ROUNDDOWN(70.7547169811321,0)</f>
      </c>
      <c r="AB98" s="5">
        <v>5.3</v>
      </c>
      <c r="AC98" s="2" t="s">
        <v>332</v>
      </c>
      <c r="AD98" s="4">
        <v>300</v>
      </c>
      <c r="AE98" s="4">
        <v>300</v>
      </c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8</v>
      </c>
      <c r="AQ98" s="8">
        <v>204</v>
      </c>
      <c r="AR98" s="4"/>
      <c r="AS98" s="8"/>
      <c r="AT98" s="7"/>
      <c r="AU98" s="7"/>
      <c r="AV98" s="4">
        <v>44</v>
      </c>
      <c r="AW98" s="8">
        <v>1362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0.1498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0.02</v>
      </c>
      <c r="BJ98" s="4">
        <v>151</v>
      </c>
      <c r="BK98" s="8">
        <v>3918.55</v>
      </c>
      <c r="BL98" s="2" t="s">
        <v>340</v>
      </c>
      <c r="BM98" s="7">
        <v>0.053</v>
      </c>
      <c r="BN98" s="7">
        <v>0.0521</v>
      </c>
      <c r="BO98" s="4">
        <v>8</v>
      </c>
      <c r="BP98" s="8">
        <v>204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101</v>
      </c>
      <c r="BX98" s="2" t="s">
        <v>341</v>
      </c>
      <c r="BY98" s="2" t="s">
        <v>112</v>
      </c>
      <c r="BZ98" s="2" t="s">
        <v>112</v>
      </c>
      <c r="CA98" s="2" t="s">
        <v>101</v>
      </c>
    </row>
    <row r="99">
      <c r="A99" s="2" t="s">
        <v>342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302</v>
      </c>
      <c r="G99" s="2" t="s">
        <v>303</v>
      </c>
      <c r="H99" s="2" t="s">
        <v>304</v>
      </c>
      <c r="I99" s="2" t="s">
        <v>305</v>
      </c>
      <c r="J99" s="2" t="s">
        <v>263</v>
      </c>
      <c r="K99" s="2" t="s">
        <v>244</v>
      </c>
      <c r="L99" s="3">
        <v>30.95</v>
      </c>
      <c r="M99" s="3">
        <v>32.5</v>
      </c>
      <c r="N99" s="3">
        <v>54.99</v>
      </c>
      <c r="O99" s="2" t="s">
        <v>98</v>
      </c>
      <c r="P99" s="2" t="s">
        <v>318</v>
      </c>
      <c r="Q99" s="2" t="s">
        <v>100</v>
      </c>
      <c r="R99" s="2" t="s">
        <v>101</v>
      </c>
      <c r="S99" s="2" t="s">
        <v>339</v>
      </c>
      <c r="T99" s="2" t="s">
        <v>308</v>
      </c>
      <c r="U99" s="2" t="s">
        <v>115</v>
      </c>
      <c r="V99" s="2" t="s">
        <v>309</v>
      </c>
      <c r="W99" s="2" t="s">
        <v>106</v>
      </c>
      <c r="X99" s="2" t="s">
        <v>310</v>
      </c>
      <c r="Y99" s="2" t="s">
        <v>331</v>
      </c>
      <c r="Z99" s="4">
        <v>517</v>
      </c>
      <c r="AA99" s="4">
        <f>=ROUNDDOWN(27.9459459459459,0)</f>
      </c>
      <c r="AB99" s="5">
        <v>18.5</v>
      </c>
      <c r="AC99" s="2" t="s">
        <v>332</v>
      </c>
      <c r="AD99" s="4">
        <v>400</v>
      </c>
      <c r="AE99" s="4">
        <v>400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16</v>
      </c>
      <c r="AQ99" s="8">
        <v>488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0.3583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743</v>
      </c>
      <c r="BK99" s="8">
        <v>24728.31</v>
      </c>
      <c r="BL99" s="2" t="s">
        <v>145</v>
      </c>
      <c r="BM99" s="7">
        <v>0.0215</v>
      </c>
      <c r="BN99" s="7">
        <v>0.0197</v>
      </c>
      <c r="BO99" s="4">
        <v>16</v>
      </c>
      <c r="BP99" s="8">
        <v>488</v>
      </c>
      <c r="BQ99" s="4"/>
      <c r="BR99" s="8"/>
      <c r="BS99" s="7"/>
      <c r="BT99" s="7"/>
      <c r="BU99" s="2" t="s">
        <v>110</v>
      </c>
      <c r="BV99" s="2" t="s">
        <v>98</v>
      </c>
      <c r="BW99" s="2" t="s">
        <v>101</v>
      </c>
      <c r="BX99" s="2" t="s">
        <v>341</v>
      </c>
      <c r="BY99" s="2" t="s">
        <v>112</v>
      </c>
      <c r="BZ99" s="2" t="s">
        <v>112</v>
      </c>
      <c r="CA99" s="2" t="s">
        <v>101</v>
      </c>
    </row>
    <row r="100">
      <c r="A100" s="2" t="s">
        <v>343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302</v>
      </c>
      <c r="G100" s="2" t="s">
        <v>303</v>
      </c>
      <c r="H100" s="2" t="s">
        <v>304</v>
      </c>
      <c r="I100" s="2" t="s">
        <v>305</v>
      </c>
      <c r="J100" s="2" t="s">
        <v>265</v>
      </c>
      <c r="K100" s="2" t="s">
        <v>244</v>
      </c>
      <c r="L100" s="3">
        <v>33.33</v>
      </c>
      <c r="M100" s="3">
        <v>35</v>
      </c>
      <c r="N100" s="3">
        <v>59.99</v>
      </c>
      <c r="O100" s="2" t="s">
        <v>98</v>
      </c>
      <c r="P100" s="2" t="s">
        <v>318</v>
      </c>
      <c r="Q100" s="2" t="s">
        <v>100</v>
      </c>
      <c r="R100" s="2" t="s">
        <v>101</v>
      </c>
      <c r="S100" s="2" t="s">
        <v>339</v>
      </c>
      <c r="T100" s="2" t="s">
        <v>103</v>
      </c>
      <c r="U100" s="2" t="s">
        <v>115</v>
      </c>
      <c r="V100" s="2" t="s">
        <v>309</v>
      </c>
      <c r="W100" s="2" t="s">
        <v>106</v>
      </c>
      <c r="X100" s="2" t="s">
        <v>310</v>
      </c>
      <c r="Y100" s="2" t="s">
        <v>331</v>
      </c>
      <c r="Z100" s="4">
        <v>272</v>
      </c>
      <c r="AA100" s="4">
        <f>=ROUNDDOWN(14.3157894736842,0)</f>
      </c>
      <c r="AB100" s="5">
        <v>19</v>
      </c>
      <c r="AC100" s="2" t="s">
        <v>336</v>
      </c>
      <c r="AD100" s="4">
        <v>300</v>
      </c>
      <c r="AE100" s="4">
        <v>300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20</v>
      </c>
      <c r="AQ100" s="8">
        <v>670</v>
      </c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0.4919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 t="s">
        <v>101</v>
      </c>
      <c r="BJ100" s="4">
        <v>730</v>
      </c>
      <c r="BK100" s="8">
        <v>26277.7</v>
      </c>
      <c r="BL100" s="2" t="s">
        <v>145</v>
      </c>
      <c r="BM100" s="7">
        <v>0.0274</v>
      </c>
      <c r="BN100" s="7">
        <v>0.0255</v>
      </c>
      <c r="BO100" s="4">
        <v>20</v>
      </c>
      <c r="BP100" s="8">
        <v>670</v>
      </c>
      <c r="BQ100" s="4"/>
      <c r="BR100" s="8"/>
      <c r="BS100" s="7"/>
      <c r="BT100" s="7"/>
      <c r="BU100" s="2" t="s">
        <v>110</v>
      </c>
      <c r="BV100" s="2" t="s">
        <v>98</v>
      </c>
      <c r="BW100" s="2" t="s">
        <v>101</v>
      </c>
      <c r="BX100" s="2" t="s">
        <v>344</v>
      </c>
      <c r="BY100" s="2" t="s">
        <v>112</v>
      </c>
      <c r="BZ100" s="2" t="s">
        <v>112</v>
      </c>
      <c r="CA100" s="2" t="s">
        <v>101</v>
      </c>
    </row>
    <row r="101">
      <c r="A101" s="2" t="s">
        <v>345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302</v>
      </c>
      <c r="G101" s="2" t="s">
        <v>303</v>
      </c>
      <c r="H101" s="2" t="s">
        <v>304</v>
      </c>
      <c r="I101" s="2" t="s">
        <v>305</v>
      </c>
      <c r="J101" s="2" t="s">
        <v>96</v>
      </c>
      <c r="K101" s="2" t="s">
        <v>346</v>
      </c>
      <c r="L101" s="3">
        <v>23.8</v>
      </c>
      <c r="M101" s="3">
        <v>24.99</v>
      </c>
      <c r="N101" s="3">
        <v>44.99</v>
      </c>
      <c r="O101" s="2" t="s">
        <v>98</v>
      </c>
      <c r="P101" s="2" t="s">
        <v>226</v>
      </c>
      <c r="Q101" s="2" t="s">
        <v>100</v>
      </c>
      <c r="R101" s="2" t="s">
        <v>101</v>
      </c>
      <c r="S101" s="2" t="s">
        <v>347</v>
      </c>
      <c r="T101" s="2" t="s">
        <v>308</v>
      </c>
      <c r="U101" s="2" t="s">
        <v>104</v>
      </c>
      <c r="V101" s="2" t="s">
        <v>309</v>
      </c>
      <c r="W101" s="2" t="s">
        <v>106</v>
      </c>
      <c r="X101" s="2" t="s">
        <v>310</v>
      </c>
      <c r="Y101" s="2" t="s">
        <v>331</v>
      </c>
      <c r="Z101" s="4">
        <v>440</v>
      </c>
      <c r="AA101" s="4">
        <f>=ROUNDDOWN(41.1214953271028,0)</f>
      </c>
      <c r="AB101" s="5">
        <v>10.7</v>
      </c>
      <c r="AC101" s="2" t="s">
        <v>101</v>
      </c>
      <c r="AD101" s="4"/>
      <c r="AE101" s="4"/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12</v>
      </c>
      <c r="AQ101" s="8">
        <v>306</v>
      </c>
      <c r="AR101" s="4"/>
      <c r="AS101" s="8"/>
      <c r="AT101" s="7"/>
      <c r="AU101" s="7"/>
      <c r="AV101" s="4">
        <v>45</v>
      </c>
      <c r="AW101" s="8">
        <v>1351.5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0.2264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0.0198</v>
      </c>
      <c r="BJ101" s="4">
        <v>251</v>
      </c>
      <c r="BK101" s="8">
        <v>6944.93</v>
      </c>
      <c r="BL101" s="2" t="s">
        <v>348</v>
      </c>
      <c r="BM101" s="7">
        <v>0.0478</v>
      </c>
      <c r="BN101" s="7">
        <v>0.0441</v>
      </c>
      <c r="BO101" s="4">
        <v>12</v>
      </c>
      <c r="BP101" s="8">
        <v>306</v>
      </c>
      <c r="BQ101" s="4"/>
      <c r="BR101" s="8"/>
      <c r="BS101" s="7"/>
      <c r="BT101" s="7"/>
      <c r="BU101" s="2" t="s">
        <v>110</v>
      </c>
      <c r="BV101" s="2" t="s">
        <v>98</v>
      </c>
      <c r="BW101" s="2" t="s">
        <v>101</v>
      </c>
      <c r="BX101" s="2" t="s">
        <v>349</v>
      </c>
      <c r="BY101" s="2" t="s">
        <v>112</v>
      </c>
      <c r="BZ101" s="2" t="s">
        <v>112</v>
      </c>
      <c r="CA101" s="2" t="s">
        <v>101</v>
      </c>
    </row>
    <row r="102">
      <c r="A102" s="2" t="s">
        <v>350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302</v>
      </c>
      <c r="G102" s="2" t="s">
        <v>303</v>
      </c>
      <c r="H102" s="2" t="s">
        <v>304</v>
      </c>
      <c r="I102" s="2" t="s">
        <v>305</v>
      </c>
      <c r="J102" s="2" t="s">
        <v>263</v>
      </c>
      <c r="K102" s="2" t="s">
        <v>346</v>
      </c>
      <c r="L102" s="3">
        <v>30.95</v>
      </c>
      <c r="M102" s="3">
        <v>32.5</v>
      </c>
      <c r="N102" s="3">
        <v>54.99</v>
      </c>
      <c r="O102" s="2" t="s">
        <v>98</v>
      </c>
      <c r="P102" s="2" t="s">
        <v>226</v>
      </c>
      <c r="Q102" s="2" t="s">
        <v>100</v>
      </c>
      <c r="R102" s="2" t="s">
        <v>101</v>
      </c>
      <c r="S102" s="2" t="s">
        <v>347</v>
      </c>
      <c r="T102" s="2" t="s">
        <v>308</v>
      </c>
      <c r="U102" s="2" t="s">
        <v>115</v>
      </c>
      <c r="V102" s="2" t="s">
        <v>309</v>
      </c>
      <c r="W102" s="2" t="s">
        <v>106</v>
      </c>
      <c r="X102" s="2" t="s">
        <v>310</v>
      </c>
      <c r="Y102" s="2" t="s">
        <v>331</v>
      </c>
      <c r="Z102" s="4">
        <v>1379</v>
      </c>
      <c r="AA102" s="4">
        <f>=ROUNDDOWN(52.6335877862595,0)</f>
      </c>
      <c r="AB102" s="5"/>
      <c r="AC102" s="2" t="s">
        <v>101</v>
      </c>
      <c r="AD102" s="4"/>
      <c r="AE102" s="4"/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20</v>
      </c>
      <c r="AQ102" s="8">
        <v>610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0.4514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1087</v>
      </c>
      <c r="BK102" s="8">
        <v>36306.98</v>
      </c>
      <c r="BL102" s="2" t="s">
        <v>167</v>
      </c>
      <c r="BM102" s="7">
        <v>0.0184</v>
      </c>
      <c r="BN102" s="7">
        <v>0.0168</v>
      </c>
      <c r="BO102" s="4">
        <v>20</v>
      </c>
      <c r="BP102" s="8">
        <v>610</v>
      </c>
      <c r="BQ102" s="4"/>
      <c r="BR102" s="8"/>
      <c r="BS102" s="7"/>
      <c r="BT102" s="7"/>
      <c r="BU102" s="2" t="s">
        <v>110</v>
      </c>
      <c r="BV102" s="2" t="s">
        <v>98</v>
      </c>
      <c r="BW102" s="2" t="s">
        <v>101</v>
      </c>
      <c r="BX102" s="2" t="s">
        <v>351</v>
      </c>
      <c r="BY102" s="2" t="s">
        <v>112</v>
      </c>
      <c r="BZ102" s="2" t="s">
        <v>112</v>
      </c>
      <c r="CA102" s="2" t="s">
        <v>101</v>
      </c>
    </row>
    <row r="103">
      <c r="A103" s="2" t="s">
        <v>352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302</v>
      </c>
      <c r="G103" s="2" t="s">
        <v>303</v>
      </c>
      <c r="H103" s="2" t="s">
        <v>304</v>
      </c>
      <c r="I103" s="2" t="s">
        <v>305</v>
      </c>
      <c r="J103" s="2" t="s">
        <v>265</v>
      </c>
      <c r="K103" s="2" t="s">
        <v>346</v>
      </c>
      <c r="L103" s="3">
        <v>33.33</v>
      </c>
      <c r="M103" s="3">
        <v>35</v>
      </c>
      <c r="N103" s="3">
        <v>59.99</v>
      </c>
      <c r="O103" s="2" t="s">
        <v>98</v>
      </c>
      <c r="P103" s="2" t="s">
        <v>226</v>
      </c>
      <c r="Q103" s="2" t="s">
        <v>100</v>
      </c>
      <c r="R103" s="2" t="s">
        <v>101</v>
      </c>
      <c r="S103" s="2" t="s">
        <v>347</v>
      </c>
      <c r="T103" s="2" t="s">
        <v>308</v>
      </c>
      <c r="U103" s="2" t="s">
        <v>115</v>
      </c>
      <c r="V103" s="2" t="s">
        <v>309</v>
      </c>
      <c r="W103" s="2" t="s">
        <v>106</v>
      </c>
      <c r="X103" s="2" t="s">
        <v>310</v>
      </c>
      <c r="Y103" s="2" t="s">
        <v>331</v>
      </c>
      <c r="Z103" s="4">
        <v>816</v>
      </c>
      <c r="AA103" s="4">
        <f>=ROUNDDOWN(25.2631578947368,0)</f>
      </c>
      <c r="AB103" s="5">
        <v>32.3</v>
      </c>
      <c r="AC103" s="2" t="s">
        <v>101</v>
      </c>
      <c r="AD103" s="4"/>
      <c r="AE103" s="4"/>
      <c r="AF103" s="6">
        <v>63</v>
      </c>
      <c r="AG103" s="6">
        <v>46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>
        <v>13</v>
      </c>
      <c r="AQ103" s="8">
        <v>435.5</v>
      </c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0.3222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953</v>
      </c>
      <c r="BK103" s="8">
        <v>34581.6</v>
      </c>
      <c r="BL103" s="2" t="s">
        <v>167</v>
      </c>
      <c r="BM103" s="7">
        <v>0.0136</v>
      </c>
      <c r="BN103" s="7">
        <v>0.0126</v>
      </c>
      <c r="BO103" s="4">
        <v>13</v>
      </c>
      <c r="BP103" s="8">
        <v>435.5</v>
      </c>
      <c r="BQ103" s="4"/>
      <c r="BR103" s="8"/>
      <c r="BS103" s="7"/>
      <c r="BT103" s="7"/>
      <c r="BU103" s="2" t="s">
        <v>110</v>
      </c>
      <c r="BV103" s="2" t="s">
        <v>98</v>
      </c>
      <c r="BW103" s="2" t="s">
        <v>101</v>
      </c>
      <c r="BX103" s="2" t="s">
        <v>119</v>
      </c>
      <c r="BY103" s="2" t="s">
        <v>112</v>
      </c>
      <c r="BZ103" s="2" t="s">
        <v>112</v>
      </c>
      <c r="CA103" s="2" t="s">
        <v>101</v>
      </c>
    </row>
    <row r="104">
      <c r="A104" s="2" t="s">
        <v>353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354</v>
      </c>
      <c r="G104" s="2" t="s">
        <v>355</v>
      </c>
      <c r="H104" s="2" t="s">
        <v>356</v>
      </c>
      <c r="I104" s="2" t="s">
        <v>357</v>
      </c>
      <c r="J104" s="2" t="s">
        <v>96</v>
      </c>
      <c r="K104" s="2" t="s">
        <v>358</v>
      </c>
      <c r="L104" s="3">
        <v>22.85</v>
      </c>
      <c r="M104" s="3">
        <v>23.99</v>
      </c>
      <c r="N104" s="3">
        <v>43.99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359</v>
      </c>
      <c r="T104" s="2" t="s">
        <v>103</v>
      </c>
      <c r="U104" s="2" t="s">
        <v>104</v>
      </c>
      <c r="V104" s="2" t="s">
        <v>360</v>
      </c>
      <c r="W104" s="2" t="s">
        <v>361</v>
      </c>
      <c r="X104" s="2" t="s">
        <v>310</v>
      </c>
      <c r="Y104" s="2" t="s">
        <v>362</v>
      </c>
      <c r="Z104" s="4">
        <v>1865</v>
      </c>
      <c r="AA104" s="4">
        <f>=ROUNDDOWN(75.5060728744939,0)</f>
      </c>
      <c r="AB104" s="5">
        <v>24.7</v>
      </c>
      <c r="AC104" s="2" t="s">
        <v>101</v>
      </c>
      <c r="AD104" s="4"/>
      <c r="AE104" s="4"/>
      <c r="AF104" s="6">
        <v>63</v>
      </c>
      <c r="AG104" s="6">
        <v>46</v>
      </c>
      <c r="AH104" s="7">
        <v>0.7185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747</v>
      </c>
      <c r="AQ104" s="8">
        <v>20142</v>
      </c>
      <c r="AR104" s="4"/>
      <c r="AS104" s="8"/>
      <c r="AT104" s="7"/>
      <c r="AU104" s="7"/>
      <c r="AV104" s="4">
        <v>892</v>
      </c>
      <c r="AW104" s="8">
        <v>25206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0.7991</v>
      </c>
      <c r="BC104" s="4">
        <v>1401</v>
      </c>
      <c r="BD104" s="8">
        <v>40144.7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0.6279</v>
      </c>
      <c r="BJ104" s="4">
        <v>1797</v>
      </c>
      <c r="BK104" s="8">
        <v>45400.45</v>
      </c>
      <c r="BL104" s="2" t="s">
        <v>109</v>
      </c>
      <c r="BM104" s="7">
        <v>0.4157</v>
      </c>
      <c r="BN104" s="7">
        <v>0.4437</v>
      </c>
      <c r="BO104" s="4">
        <v>747</v>
      </c>
      <c r="BP104" s="8">
        <v>20142</v>
      </c>
      <c r="BQ104" s="4"/>
      <c r="BR104" s="8"/>
      <c r="BS104" s="7"/>
      <c r="BT104" s="7"/>
      <c r="BU104" s="2" t="s">
        <v>110</v>
      </c>
      <c r="BV104" s="2" t="s">
        <v>98</v>
      </c>
      <c r="BW104" s="2" t="s">
        <v>101</v>
      </c>
      <c r="BX104" s="2" t="s">
        <v>363</v>
      </c>
      <c r="BY104" s="2" t="s">
        <v>112</v>
      </c>
      <c r="BZ104" s="2" t="s">
        <v>112</v>
      </c>
      <c r="CA104" s="2" t="s">
        <v>101</v>
      </c>
    </row>
    <row r="105">
      <c r="A105" s="2" t="s">
        <v>364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354</v>
      </c>
      <c r="G105" s="2" t="s">
        <v>355</v>
      </c>
      <c r="H105" s="2" t="s">
        <v>356</v>
      </c>
      <c r="I105" s="2" t="s">
        <v>357</v>
      </c>
      <c r="J105" s="2" t="s">
        <v>263</v>
      </c>
      <c r="K105" s="2" t="s">
        <v>358</v>
      </c>
      <c r="L105" s="3">
        <v>27.61</v>
      </c>
      <c r="M105" s="3">
        <v>28.99</v>
      </c>
      <c r="N105" s="3">
        <v>49.99</v>
      </c>
      <c r="O105" s="2" t="s">
        <v>98</v>
      </c>
      <c r="P105" s="2" t="s">
        <v>99</v>
      </c>
      <c r="Q105" s="2" t="s">
        <v>100</v>
      </c>
      <c r="R105" s="2" t="s">
        <v>101</v>
      </c>
      <c r="S105" s="2" t="s">
        <v>359</v>
      </c>
      <c r="T105" s="2" t="s">
        <v>103</v>
      </c>
      <c r="U105" s="2" t="s">
        <v>115</v>
      </c>
      <c r="V105" s="2" t="s">
        <v>360</v>
      </c>
      <c r="W105" s="2" t="s">
        <v>361</v>
      </c>
      <c r="X105" s="2" t="s">
        <v>310</v>
      </c>
      <c r="Y105" s="2" t="s">
        <v>362</v>
      </c>
      <c r="Z105" s="4">
        <v>1707</v>
      </c>
      <c r="AA105" s="4">
        <f>=ROUNDDOWN(29.8426573426573,0)</f>
      </c>
      <c r="AB105" s="5">
        <v>57.2</v>
      </c>
      <c r="AC105" s="2" t="s">
        <v>101</v>
      </c>
      <c r="AD105" s="4"/>
      <c r="AE105" s="4"/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103</v>
      </c>
      <c r="AQ105" s="8">
        <v>3399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0.1348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2781</v>
      </c>
      <c r="BK105" s="8">
        <v>83978.67</v>
      </c>
      <c r="BL105" s="2" t="s">
        <v>365</v>
      </c>
      <c r="BM105" s="7">
        <v>0.037</v>
      </c>
      <c r="BN105" s="7">
        <v>0.0405</v>
      </c>
      <c r="BO105" s="4">
        <v>103</v>
      </c>
      <c r="BP105" s="8">
        <v>3399</v>
      </c>
      <c r="BQ105" s="4"/>
      <c r="BR105" s="8"/>
      <c r="BS105" s="7"/>
      <c r="BT105" s="7"/>
      <c r="BU105" s="2" t="s">
        <v>110</v>
      </c>
      <c r="BV105" s="2" t="s">
        <v>98</v>
      </c>
      <c r="BW105" s="2" t="s">
        <v>101</v>
      </c>
      <c r="BX105" s="2" t="s">
        <v>366</v>
      </c>
      <c r="BY105" s="2" t="s">
        <v>112</v>
      </c>
      <c r="BZ105" s="2" t="s">
        <v>112</v>
      </c>
      <c r="CA105" s="2" t="s">
        <v>101</v>
      </c>
    </row>
    <row r="106">
      <c r="A106" s="2" t="s">
        <v>367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354</v>
      </c>
      <c r="G106" s="2" t="s">
        <v>355</v>
      </c>
      <c r="H106" s="2" t="s">
        <v>356</v>
      </c>
      <c r="I106" s="2" t="s">
        <v>357</v>
      </c>
      <c r="J106" s="2" t="s">
        <v>265</v>
      </c>
      <c r="K106" s="2" t="s">
        <v>358</v>
      </c>
      <c r="L106" s="3">
        <v>30.95</v>
      </c>
      <c r="M106" s="3">
        <v>32.5</v>
      </c>
      <c r="N106" s="3">
        <v>54.99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359</v>
      </c>
      <c r="T106" s="2" t="s">
        <v>103</v>
      </c>
      <c r="U106" s="2" t="s">
        <v>115</v>
      </c>
      <c r="V106" s="2" t="s">
        <v>360</v>
      </c>
      <c r="W106" s="2" t="s">
        <v>361</v>
      </c>
      <c r="X106" s="2" t="s">
        <v>310</v>
      </c>
      <c r="Y106" s="2" t="s">
        <v>368</v>
      </c>
      <c r="Z106" s="4">
        <v>671</v>
      </c>
      <c r="AA106" s="4">
        <f>=ROUNDDOWN(19.1168091168091,0)</f>
      </c>
      <c r="AB106" s="5">
        <v>35.1</v>
      </c>
      <c r="AC106" s="2" t="s">
        <v>101</v>
      </c>
      <c r="AD106" s="4"/>
      <c r="AE106" s="4"/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>
        <v>42</v>
      </c>
      <c r="AQ106" s="8">
        <v>1665</v>
      </c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0.0661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 t="s">
        <v>101</v>
      </c>
      <c r="BJ106" s="4">
        <v>1210</v>
      </c>
      <c r="BK106" s="8">
        <v>40535.13</v>
      </c>
      <c r="BL106" s="2" t="s">
        <v>109</v>
      </c>
      <c r="BM106" s="7">
        <v>0.0347</v>
      </c>
      <c r="BN106" s="7">
        <v>0.0411</v>
      </c>
      <c r="BO106" s="4">
        <v>42</v>
      </c>
      <c r="BP106" s="8">
        <v>1665</v>
      </c>
      <c r="BQ106" s="4"/>
      <c r="BR106" s="8"/>
      <c r="BS106" s="7"/>
      <c r="BT106" s="7"/>
      <c r="BU106" s="2" t="s">
        <v>110</v>
      </c>
      <c r="BV106" s="2" t="s">
        <v>98</v>
      </c>
      <c r="BW106" s="2" t="s">
        <v>101</v>
      </c>
      <c r="BX106" s="2" t="s">
        <v>363</v>
      </c>
      <c r="BY106" s="2" t="s">
        <v>112</v>
      </c>
      <c r="BZ106" s="2" t="s">
        <v>112</v>
      </c>
      <c r="CA106" s="2" t="s">
        <v>101</v>
      </c>
    </row>
    <row r="107">
      <c r="A107" s="2" t="s">
        <v>369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354</v>
      </c>
      <c r="G107" s="2" t="s">
        <v>355</v>
      </c>
      <c r="H107" s="2" t="s">
        <v>356</v>
      </c>
      <c r="I107" s="2" t="s">
        <v>357</v>
      </c>
      <c r="J107" s="2" t="s">
        <v>96</v>
      </c>
      <c r="K107" s="2" t="s">
        <v>189</v>
      </c>
      <c r="L107" s="3">
        <v>22.85</v>
      </c>
      <c r="M107" s="3">
        <v>23.99</v>
      </c>
      <c r="N107" s="3">
        <v>43.99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370</v>
      </c>
      <c r="T107" s="2" t="s">
        <v>103</v>
      </c>
      <c r="U107" s="2" t="s">
        <v>104</v>
      </c>
      <c r="V107" s="2" t="s">
        <v>360</v>
      </c>
      <c r="W107" s="2" t="s">
        <v>361</v>
      </c>
      <c r="X107" s="2" t="s">
        <v>310</v>
      </c>
      <c r="Y107" s="2" t="s">
        <v>371</v>
      </c>
      <c r="Z107" s="4">
        <v>904</v>
      </c>
      <c r="AA107" s="4">
        <f>=ROUNDDOWN(29.2556634304207,0)</f>
      </c>
      <c r="AB107" s="5">
        <v>30.9</v>
      </c>
      <c r="AC107" s="2" t="s">
        <v>101</v>
      </c>
      <c r="AD107" s="4"/>
      <c r="AE107" s="4"/>
      <c r="AF107" s="6">
        <v>63</v>
      </c>
      <c r="AG107" s="6">
        <v>46</v>
      </c>
      <c r="AH107" s="7">
        <v>0.7952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>
        <v>222</v>
      </c>
      <c r="AQ107" s="8">
        <v>5994</v>
      </c>
      <c r="AR107" s="4"/>
      <c r="AS107" s="8"/>
      <c r="AT107" s="7"/>
      <c r="AU107" s="7"/>
      <c r="AV107" s="4">
        <v>382</v>
      </c>
      <c r="AW107" s="8">
        <v>11247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0.5329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>
        <v>0.2802</v>
      </c>
      <c r="BJ107" s="4">
        <v>1567</v>
      </c>
      <c r="BK107" s="8">
        <v>38866.9</v>
      </c>
      <c r="BL107" s="2" t="s">
        <v>109</v>
      </c>
      <c r="BM107" s="7">
        <v>0.1417</v>
      </c>
      <c r="BN107" s="7">
        <v>0.1542</v>
      </c>
      <c r="BO107" s="4">
        <v>222</v>
      </c>
      <c r="BP107" s="8">
        <v>5994</v>
      </c>
      <c r="BQ107" s="4"/>
      <c r="BR107" s="8"/>
      <c r="BS107" s="7"/>
      <c r="BT107" s="7"/>
      <c r="BU107" s="2" t="s">
        <v>110</v>
      </c>
      <c r="BV107" s="2" t="s">
        <v>98</v>
      </c>
      <c r="BW107" s="2" t="s">
        <v>101</v>
      </c>
      <c r="BX107" s="2" t="s">
        <v>372</v>
      </c>
      <c r="BY107" s="2" t="s">
        <v>112</v>
      </c>
      <c r="BZ107" s="2" t="s">
        <v>112</v>
      </c>
      <c r="CA107" s="2" t="s">
        <v>101</v>
      </c>
    </row>
    <row r="108">
      <c r="A108" s="2" t="s">
        <v>373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354</v>
      </c>
      <c r="G108" s="2" t="s">
        <v>355</v>
      </c>
      <c r="H108" s="2" t="s">
        <v>356</v>
      </c>
      <c r="I108" s="2" t="s">
        <v>357</v>
      </c>
      <c r="J108" s="2" t="s">
        <v>263</v>
      </c>
      <c r="K108" s="2" t="s">
        <v>189</v>
      </c>
      <c r="L108" s="3">
        <v>27.61</v>
      </c>
      <c r="M108" s="3">
        <v>28.99</v>
      </c>
      <c r="N108" s="3">
        <v>49.99</v>
      </c>
      <c r="O108" s="2" t="s">
        <v>98</v>
      </c>
      <c r="P108" s="2" t="s">
        <v>99</v>
      </c>
      <c r="Q108" s="2" t="s">
        <v>100</v>
      </c>
      <c r="R108" s="2" t="s">
        <v>101</v>
      </c>
      <c r="S108" s="2" t="s">
        <v>370</v>
      </c>
      <c r="T108" s="2" t="s">
        <v>103</v>
      </c>
      <c r="U108" s="2" t="s">
        <v>115</v>
      </c>
      <c r="V108" s="2" t="s">
        <v>360</v>
      </c>
      <c r="W108" s="2" t="s">
        <v>361</v>
      </c>
      <c r="X108" s="2" t="s">
        <v>310</v>
      </c>
      <c r="Y108" s="2" t="s">
        <v>371</v>
      </c>
      <c r="Z108" s="4">
        <v>221</v>
      </c>
      <c r="AA108" s="4">
        <f>=ROUNDDOWN(3.68948247078464,0)</f>
      </c>
      <c r="AB108" s="5">
        <v>59.9</v>
      </c>
      <c r="AC108" s="2" t="s">
        <v>374</v>
      </c>
      <c r="AD108" s="4">
        <v>360</v>
      </c>
      <c r="AE108" s="4">
        <v>990</v>
      </c>
      <c r="AF108" s="6">
        <v>63</v>
      </c>
      <c r="AG108" s="6">
        <v>46</v>
      </c>
      <c r="AH108" s="7">
        <v>0.9044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>
        <v>139</v>
      </c>
      <c r="AQ108" s="8">
        <v>4587</v>
      </c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>
        <v>0.4078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 t="s">
        <v>101</v>
      </c>
      <c r="BJ108" s="4">
        <v>2995</v>
      </c>
      <c r="BK108" s="8">
        <v>91385.62</v>
      </c>
      <c r="BL108" s="2" t="s">
        <v>109</v>
      </c>
      <c r="BM108" s="7">
        <v>0.0464</v>
      </c>
      <c r="BN108" s="7">
        <v>0.0502</v>
      </c>
      <c r="BO108" s="4">
        <v>139</v>
      </c>
      <c r="BP108" s="8">
        <v>4587</v>
      </c>
      <c r="BQ108" s="4"/>
      <c r="BR108" s="8"/>
      <c r="BS108" s="7"/>
      <c r="BT108" s="7"/>
      <c r="BU108" s="2" t="s">
        <v>110</v>
      </c>
      <c r="BV108" s="2" t="s">
        <v>98</v>
      </c>
      <c r="BW108" s="2" t="s">
        <v>101</v>
      </c>
      <c r="BX108" s="2" t="s">
        <v>372</v>
      </c>
      <c r="BY108" s="2" t="s">
        <v>112</v>
      </c>
      <c r="BZ108" s="2" t="s">
        <v>112</v>
      </c>
      <c r="CA108" s="2" t="s">
        <v>101</v>
      </c>
    </row>
    <row r="109">
      <c r="A109" s="2" t="s">
        <v>375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354</v>
      </c>
      <c r="G109" s="2" t="s">
        <v>355</v>
      </c>
      <c r="H109" s="2" t="s">
        <v>356</v>
      </c>
      <c r="I109" s="2" t="s">
        <v>357</v>
      </c>
      <c r="J109" s="2" t="s">
        <v>265</v>
      </c>
      <c r="K109" s="2" t="s">
        <v>189</v>
      </c>
      <c r="L109" s="3">
        <v>30.95</v>
      </c>
      <c r="M109" s="3">
        <v>32.5</v>
      </c>
      <c r="N109" s="3">
        <v>54.99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370</v>
      </c>
      <c r="T109" s="2" t="s">
        <v>103</v>
      </c>
      <c r="U109" s="2" t="s">
        <v>115</v>
      </c>
      <c r="V109" s="2" t="s">
        <v>360</v>
      </c>
      <c r="W109" s="2" t="s">
        <v>361</v>
      </c>
      <c r="X109" s="2" t="s">
        <v>310</v>
      </c>
      <c r="Y109" s="2" t="s">
        <v>368</v>
      </c>
      <c r="Z109" s="4">
        <v>702</v>
      </c>
      <c r="AA109" s="4">
        <f>=ROUNDDOWN(31.2,0)</f>
      </c>
      <c r="AB109" s="5">
        <v>22.5</v>
      </c>
      <c r="AC109" s="2" t="s">
        <v>101</v>
      </c>
      <c r="AD109" s="4"/>
      <c r="AE109" s="4"/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>
        <v>21</v>
      </c>
      <c r="AQ109" s="8">
        <v>666</v>
      </c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0.0592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756</v>
      </c>
      <c r="BK109" s="8">
        <v>25290.82</v>
      </c>
      <c r="BL109" s="2" t="s">
        <v>109</v>
      </c>
      <c r="BM109" s="7">
        <v>0.0278</v>
      </c>
      <c r="BN109" s="7">
        <v>0.0263</v>
      </c>
      <c r="BO109" s="4">
        <v>21</v>
      </c>
      <c r="BP109" s="8">
        <v>666</v>
      </c>
      <c r="BQ109" s="4"/>
      <c r="BR109" s="8"/>
      <c r="BS109" s="7"/>
      <c r="BT109" s="7"/>
      <c r="BU109" s="2" t="s">
        <v>110</v>
      </c>
      <c r="BV109" s="2" t="s">
        <v>98</v>
      </c>
      <c r="BW109" s="2" t="s">
        <v>101</v>
      </c>
      <c r="BX109" s="2" t="s">
        <v>376</v>
      </c>
      <c r="BY109" s="2" t="s">
        <v>112</v>
      </c>
      <c r="BZ109" s="2" t="s">
        <v>112</v>
      </c>
      <c r="CA109" s="2" t="s">
        <v>101</v>
      </c>
    </row>
    <row r="110">
      <c r="A110" s="2" t="s">
        <v>377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354</v>
      </c>
      <c r="G110" s="2" t="s">
        <v>355</v>
      </c>
      <c r="H110" s="2" t="s">
        <v>356</v>
      </c>
      <c r="I110" s="2" t="s">
        <v>357</v>
      </c>
      <c r="J110" s="2" t="s">
        <v>96</v>
      </c>
      <c r="K110" s="2" t="s">
        <v>378</v>
      </c>
      <c r="L110" s="3">
        <v>22.85</v>
      </c>
      <c r="M110" s="3">
        <v>23.99</v>
      </c>
      <c r="N110" s="3">
        <v>43.99</v>
      </c>
      <c r="O110" s="2" t="s">
        <v>98</v>
      </c>
      <c r="P110" s="2" t="s">
        <v>245</v>
      </c>
      <c r="Q110" s="2" t="s">
        <v>100</v>
      </c>
      <c r="R110" s="2" t="s">
        <v>101</v>
      </c>
      <c r="S110" s="2" t="s">
        <v>379</v>
      </c>
      <c r="T110" s="2" t="s">
        <v>103</v>
      </c>
      <c r="U110" s="2" t="s">
        <v>104</v>
      </c>
      <c r="V110" s="2" t="s">
        <v>360</v>
      </c>
      <c r="W110" s="2" t="s">
        <v>361</v>
      </c>
      <c r="X110" s="2" t="s">
        <v>310</v>
      </c>
      <c r="Y110" s="2" t="s">
        <v>371</v>
      </c>
      <c r="Z110" s="4">
        <v>428</v>
      </c>
      <c r="AA110" s="4">
        <f>=ROUNDDOWN(58.6301369863014,0)</f>
      </c>
      <c r="AB110" s="5">
        <v>7.3</v>
      </c>
      <c r="AC110" s="2" t="s">
        <v>380</v>
      </c>
      <c r="AD110" s="4">
        <v>120</v>
      </c>
      <c r="AE110" s="4">
        <v>120</v>
      </c>
      <c r="AF110" s="6">
        <v>63</v>
      </c>
      <c r="AG110" s="6">
        <v>46</v>
      </c>
      <c r="AH110" s="7">
        <v>0.9044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>
        <v>74</v>
      </c>
      <c r="AQ110" s="8">
        <v>1998</v>
      </c>
      <c r="AR110" s="4"/>
      <c r="AS110" s="8"/>
      <c r="AT110" s="7"/>
      <c r="AU110" s="7"/>
      <c r="AV110" s="4">
        <v>127</v>
      </c>
      <c r="AW110" s="8">
        <v>3691.7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>
        <v>0.5412</v>
      </c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>
        <v>0.092</v>
      </c>
      <c r="BJ110" s="4">
        <v>440</v>
      </c>
      <c r="BK110" s="8">
        <v>11010.6</v>
      </c>
      <c r="BL110" s="2" t="s">
        <v>155</v>
      </c>
      <c r="BM110" s="7">
        <v>0.1682</v>
      </c>
      <c r="BN110" s="7">
        <v>0.1815</v>
      </c>
      <c r="BO110" s="4">
        <v>74</v>
      </c>
      <c r="BP110" s="8">
        <v>1998</v>
      </c>
      <c r="BQ110" s="4"/>
      <c r="BR110" s="8"/>
      <c r="BS110" s="7"/>
      <c r="BT110" s="7"/>
      <c r="BU110" s="2" t="s">
        <v>110</v>
      </c>
      <c r="BV110" s="2" t="s">
        <v>98</v>
      </c>
      <c r="BW110" s="2" t="s">
        <v>101</v>
      </c>
      <c r="BX110" s="2" t="s">
        <v>372</v>
      </c>
      <c r="BY110" s="2" t="s">
        <v>112</v>
      </c>
      <c r="BZ110" s="2" t="s">
        <v>112</v>
      </c>
      <c r="CA110" s="2" t="s">
        <v>101</v>
      </c>
    </row>
    <row r="111">
      <c r="A111" s="2" t="s">
        <v>381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354</v>
      </c>
      <c r="G111" s="2" t="s">
        <v>355</v>
      </c>
      <c r="H111" s="2" t="s">
        <v>356</v>
      </c>
      <c r="I111" s="2" t="s">
        <v>357</v>
      </c>
      <c r="J111" s="2" t="s">
        <v>263</v>
      </c>
      <c r="K111" s="2" t="s">
        <v>378</v>
      </c>
      <c r="L111" s="3">
        <v>27.61</v>
      </c>
      <c r="M111" s="3">
        <v>28.99</v>
      </c>
      <c r="N111" s="3">
        <v>49.99</v>
      </c>
      <c r="O111" s="2" t="s">
        <v>98</v>
      </c>
      <c r="P111" s="2" t="s">
        <v>245</v>
      </c>
      <c r="Q111" s="2" t="s">
        <v>100</v>
      </c>
      <c r="R111" s="2" t="s">
        <v>101</v>
      </c>
      <c r="S111" s="2" t="s">
        <v>379</v>
      </c>
      <c r="T111" s="2" t="s">
        <v>103</v>
      </c>
      <c r="U111" s="2" t="s">
        <v>115</v>
      </c>
      <c r="V111" s="2" t="s">
        <v>360</v>
      </c>
      <c r="W111" s="2" t="s">
        <v>361</v>
      </c>
      <c r="X111" s="2" t="s">
        <v>310</v>
      </c>
      <c r="Y111" s="2" t="s">
        <v>371</v>
      </c>
      <c r="Z111" s="4">
        <v>776</v>
      </c>
      <c r="AA111" s="4">
        <f>=ROUNDDOWN(33.7391304347826,0)</f>
      </c>
      <c r="AB111" s="5">
        <v>23</v>
      </c>
      <c r="AC111" s="2" t="s">
        <v>380</v>
      </c>
      <c r="AD111" s="4">
        <v>690</v>
      </c>
      <c r="AE111" s="4">
        <v>690</v>
      </c>
      <c r="AF111" s="6">
        <v>63</v>
      </c>
      <c r="AG111" s="6">
        <v>46</v>
      </c>
      <c r="AH111" s="7">
        <v>0.9044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39</v>
      </c>
      <c r="AQ111" s="8">
        <v>1287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0.3486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1088</v>
      </c>
      <c r="BK111" s="8">
        <v>32045.6</v>
      </c>
      <c r="BL111" s="2" t="s">
        <v>155</v>
      </c>
      <c r="BM111" s="7">
        <v>0.0358</v>
      </c>
      <c r="BN111" s="7">
        <v>0.0402</v>
      </c>
      <c r="BO111" s="4">
        <v>39</v>
      </c>
      <c r="BP111" s="8">
        <v>1287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101</v>
      </c>
      <c r="BX111" s="2" t="s">
        <v>372</v>
      </c>
      <c r="BY111" s="2" t="s">
        <v>112</v>
      </c>
      <c r="BZ111" s="2" t="s">
        <v>112</v>
      </c>
      <c r="CA111" s="2" t="s">
        <v>101</v>
      </c>
    </row>
    <row r="112">
      <c r="A112" s="2" t="s">
        <v>382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354</v>
      </c>
      <c r="G112" s="2" t="s">
        <v>355</v>
      </c>
      <c r="H112" s="2" t="s">
        <v>356</v>
      </c>
      <c r="I112" s="2" t="s">
        <v>357</v>
      </c>
      <c r="J112" s="2" t="s">
        <v>265</v>
      </c>
      <c r="K112" s="2" t="s">
        <v>378</v>
      </c>
      <c r="L112" s="3">
        <v>30.95</v>
      </c>
      <c r="M112" s="3">
        <v>32.5</v>
      </c>
      <c r="N112" s="3">
        <v>54.99</v>
      </c>
      <c r="O112" s="2" t="s">
        <v>98</v>
      </c>
      <c r="P112" s="2" t="s">
        <v>245</v>
      </c>
      <c r="Q112" s="2" t="s">
        <v>100</v>
      </c>
      <c r="R112" s="2" t="s">
        <v>101</v>
      </c>
      <c r="S112" s="2" t="s">
        <v>379</v>
      </c>
      <c r="T112" s="2" t="s">
        <v>103</v>
      </c>
      <c r="U112" s="2" t="s">
        <v>115</v>
      </c>
      <c r="V112" s="2" t="s">
        <v>360</v>
      </c>
      <c r="W112" s="2" t="s">
        <v>361</v>
      </c>
      <c r="X112" s="2" t="s">
        <v>310</v>
      </c>
      <c r="Y112" s="2" t="s">
        <v>383</v>
      </c>
      <c r="Z112" s="4">
        <v>689</v>
      </c>
      <c r="AA112" s="4">
        <f>=ROUNDDOWN(32.9665071770335,0)</f>
      </c>
      <c r="AB112" s="5">
        <v>20.9</v>
      </c>
      <c r="AC112" s="2" t="s">
        <v>380</v>
      </c>
      <c r="AD112" s="4">
        <v>450</v>
      </c>
      <c r="AE112" s="4">
        <v>450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14</v>
      </c>
      <c r="AQ112" s="8">
        <v>406.7</v>
      </c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0.1102</v>
      </c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 t="s">
        <v>101</v>
      </c>
      <c r="BJ112" s="4">
        <v>783</v>
      </c>
      <c r="BK112" s="8">
        <v>25360.63</v>
      </c>
      <c r="BL112" s="2" t="s">
        <v>155</v>
      </c>
      <c r="BM112" s="7">
        <v>0.0179</v>
      </c>
      <c r="BN112" s="7">
        <v>0.016</v>
      </c>
      <c r="BO112" s="4">
        <v>14</v>
      </c>
      <c r="BP112" s="8">
        <v>406.7</v>
      </c>
      <c r="BQ112" s="4"/>
      <c r="BR112" s="8"/>
      <c r="BS112" s="7"/>
      <c r="BT112" s="7"/>
      <c r="BU112" s="2" t="s">
        <v>110</v>
      </c>
      <c r="BV112" s="2" t="s">
        <v>98</v>
      </c>
      <c r="BW112" s="2" t="s">
        <v>101</v>
      </c>
      <c r="BX112" s="2" t="s">
        <v>384</v>
      </c>
      <c r="BY112" s="2" t="s">
        <v>112</v>
      </c>
      <c r="BZ112" s="2" t="s">
        <v>112</v>
      </c>
      <c r="CA112" s="2" t="s">
        <v>101</v>
      </c>
    </row>
    <row r="113">
      <c r="A113" s="2" t="s">
        <v>385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354</v>
      </c>
      <c r="G113" s="2" t="s">
        <v>355</v>
      </c>
      <c r="H113" s="2" t="s">
        <v>356</v>
      </c>
      <c r="I113" s="2" t="s">
        <v>357</v>
      </c>
      <c r="J113" s="2" t="s">
        <v>96</v>
      </c>
      <c r="K113" s="2" t="s">
        <v>97</v>
      </c>
      <c r="L113" s="3">
        <v>22.85</v>
      </c>
      <c r="M113" s="3">
        <v>23.99</v>
      </c>
      <c r="N113" s="3">
        <v>47.99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386</v>
      </c>
      <c r="T113" s="2" t="s">
        <v>103</v>
      </c>
      <c r="U113" s="2" t="s">
        <v>104</v>
      </c>
      <c r="V113" s="2" t="s">
        <v>360</v>
      </c>
      <c r="W113" s="2" t="s">
        <v>361</v>
      </c>
      <c r="X113" s="2" t="s">
        <v>310</v>
      </c>
      <c r="Y113" s="2" t="s">
        <v>371</v>
      </c>
      <c r="Z113" s="4">
        <v>414</v>
      </c>
      <c r="AA113" s="4">
        <f>=ROUNDDOWN(45.4945054945055,0)</f>
      </c>
      <c r="AB113" s="5">
        <v>9.1</v>
      </c>
      <c r="AC113" s="2" t="s">
        <v>101</v>
      </c>
      <c r="AD113" s="4"/>
      <c r="AE113" s="4"/>
      <c r="AF113" s="6">
        <v>63</v>
      </c>
      <c r="AG113" s="6">
        <v>46</v>
      </c>
      <c r="AH113" s="7">
        <v>0.7235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 t="s">
        <v>101</v>
      </c>
      <c r="BJ113" s="4">
        <v>375</v>
      </c>
      <c r="BK113" s="8">
        <v>9514.62</v>
      </c>
      <c r="BL113" s="2" t="s">
        <v>387</v>
      </c>
      <c r="BM113" s="7"/>
      <c r="BN113" s="7"/>
      <c r="BO113" s="4"/>
      <c r="BP113" s="8"/>
      <c r="BQ113" s="4"/>
      <c r="BR113" s="8"/>
      <c r="BS113" s="7"/>
      <c r="BT113" s="7"/>
      <c r="BU113" s="2" t="s">
        <v>388</v>
      </c>
      <c r="BV113" s="2" t="s">
        <v>98</v>
      </c>
      <c r="BW113" s="2" t="s">
        <v>101</v>
      </c>
      <c r="BX113" s="2" t="s">
        <v>101</v>
      </c>
      <c r="BY113" s="2" t="s">
        <v>112</v>
      </c>
      <c r="BZ113" s="2" t="s">
        <v>112</v>
      </c>
      <c r="CA113" s="2" t="s">
        <v>101</v>
      </c>
    </row>
    <row r="114">
      <c r="A114" s="2" t="s">
        <v>389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354</v>
      </c>
      <c r="G114" s="2" t="s">
        <v>355</v>
      </c>
      <c r="H114" s="2" t="s">
        <v>356</v>
      </c>
      <c r="I114" s="2" t="s">
        <v>357</v>
      </c>
      <c r="J114" s="2" t="s">
        <v>263</v>
      </c>
      <c r="K114" s="2" t="s">
        <v>97</v>
      </c>
      <c r="L114" s="3">
        <v>27.61</v>
      </c>
      <c r="M114" s="3">
        <v>28.99</v>
      </c>
      <c r="N114" s="3">
        <v>57.99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386</v>
      </c>
      <c r="T114" s="2" t="s">
        <v>103</v>
      </c>
      <c r="U114" s="2" t="s">
        <v>115</v>
      </c>
      <c r="V114" s="2" t="s">
        <v>360</v>
      </c>
      <c r="W114" s="2" t="s">
        <v>361</v>
      </c>
      <c r="X114" s="2" t="s">
        <v>310</v>
      </c>
      <c r="Y114" s="2" t="s">
        <v>371</v>
      </c>
      <c r="Z114" s="4">
        <v>637</v>
      </c>
      <c r="AA114" s="4">
        <f>=ROUNDDOWN({0},0)</f>
      </c>
      <c r="AB114" s="5">
        <v>27</v>
      </c>
      <c r="AC114" s="2" t="s">
        <v>101</v>
      </c>
      <c r="AD114" s="4"/>
      <c r="AE114" s="4"/>
      <c r="AF114" s="6">
        <v>63</v>
      </c>
      <c r="AG114" s="6">
        <v>46</v>
      </c>
      <c r="AH114" s="7">
        <v>0.8294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 t="s">
        <v>101</v>
      </c>
      <c r="BJ114" s="4">
        <v>1113</v>
      </c>
      <c r="BK114" s="8">
        <v>33437.47</v>
      </c>
      <c r="BL114" s="2" t="s">
        <v>387</v>
      </c>
      <c r="BM114" s="7"/>
      <c r="BN114" s="7"/>
      <c r="BO114" s="4"/>
      <c r="BP114" s="8"/>
      <c r="BQ114" s="4"/>
      <c r="BR114" s="8"/>
      <c r="BS114" s="7"/>
      <c r="BT114" s="7"/>
      <c r="BU114" s="2" t="s">
        <v>388</v>
      </c>
      <c r="BV114" s="2" t="s">
        <v>98</v>
      </c>
      <c r="BW114" s="2" t="s">
        <v>101</v>
      </c>
      <c r="BX114" s="2" t="s">
        <v>101</v>
      </c>
      <c r="BY114" s="2" t="s">
        <v>112</v>
      </c>
      <c r="BZ114" s="2" t="s">
        <v>112</v>
      </c>
      <c r="CA114" s="2" t="s">
        <v>101</v>
      </c>
    </row>
    <row r="115">
      <c r="A115" s="2" t="s">
        <v>390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354</v>
      </c>
      <c r="G115" s="2" t="s">
        <v>355</v>
      </c>
      <c r="H115" s="2" t="s">
        <v>356</v>
      </c>
      <c r="I115" s="2" t="s">
        <v>357</v>
      </c>
      <c r="J115" s="2" t="s">
        <v>265</v>
      </c>
      <c r="K115" s="2" t="s">
        <v>97</v>
      </c>
      <c r="L115" s="3">
        <v>30.95</v>
      </c>
      <c r="M115" s="3">
        <v>32.5</v>
      </c>
      <c r="N115" s="3">
        <v>64.99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386</v>
      </c>
      <c r="T115" s="2" t="s">
        <v>103</v>
      </c>
      <c r="U115" s="2" t="s">
        <v>115</v>
      </c>
      <c r="V115" s="2" t="s">
        <v>360</v>
      </c>
      <c r="W115" s="2" t="s">
        <v>361</v>
      </c>
      <c r="X115" s="2" t="s">
        <v>310</v>
      </c>
      <c r="Y115" s="2" t="s">
        <v>368</v>
      </c>
      <c r="Z115" s="4">
        <v>277</v>
      </c>
      <c r="AA115" s="4">
        <f>=ROUNDDOWN(7.91428571428571,0)</f>
      </c>
      <c r="AB115" s="5">
        <v>35</v>
      </c>
      <c r="AC115" s="2" t="s">
        <v>101</v>
      </c>
      <c r="AD115" s="4"/>
      <c r="AE115" s="4"/>
      <c r="AF115" s="6">
        <v>63</v>
      </c>
      <c r="AG115" s="6">
        <v>46</v>
      </c>
      <c r="AH115" s="7">
        <v>0.8657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 t="s">
        <v>101</v>
      </c>
      <c r="BJ115" s="4">
        <v>1065</v>
      </c>
      <c r="BK115" s="8">
        <v>35529.77</v>
      </c>
      <c r="BL115" s="2" t="s">
        <v>391</v>
      </c>
      <c r="BM115" s="7"/>
      <c r="BN115" s="7"/>
      <c r="BO115" s="4"/>
      <c r="BP115" s="8"/>
      <c r="BQ115" s="4"/>
      <c r="BR115" s="8"/>
      <c r="BS115" s="7"/>
      <c r="BT115" s="7"/>
      <c r="BU115" s="2" t="s">
        <v>388</v>
      </c>
      <c r="BV115" s="2" t="s">
        <v>98</v>
      </c>
      <c r="BW115" s="2" t="s">
        <v>101</v>
      </c>
      <c r="BX115" s="2" t="s">
        <v>101</v>
      </c>
      <c r="BY115" s="2" t="s">
        <v>112</v>
      </c>
      <c r="BZ115" s="2" t="s">
        <v>112</v>
      </c>
      <c r="CA115" s="2" t="s">
        <v>101</v>
      </c>
    </row>
    <row r="116">
      <c r="A116" s="2" t="s">
        <v>392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354</v>
      </c>
      <c r="G116" s="2" t="s">
        <v>355</v>
      </c>
      <c r="H116" s="2" t="s">
        <v>356</v>
      </c>
      <c r="I116" s="2" t="s">
        <v>357</v>
      </c>
      <c r="J116" s="2" t="s">
        <v>96</v>
      </c>
      <c r="K116" s="2" t="s">
        <v>208</v>
      </c>
      <c r="L116" s="3">
        <v>22.85</v>
      </c>
      <c r="M116" s="3">
        <v>23.99</v>
      </c>
      <c r="N116" s="3">
        <v>47.99</v>
      </c>
      <c r="O116" s="2" t="s">
        <v>98</v>
      </c>
      <c r="P116" s="2" t="s">
        <v>99</v>
      </c>
      <c r="Q116" s="2" t="s">
        <v>100</v>
      </c>
      <c r="R116" s="2" t="s">
        <v>101</v>
      </c>
      <c r="S116" s="2" t="s">
        <v>393</v>
      </c>
      <c r="T116" s="2" t="s">
        <v>103</v>
      </c>
      <c r="U116" s="2" t="s">
        <v>104</v>
      </c>
      <c r="V116" s="2" t="s">
        <v>360</v>
      </c>
      <c r="W116" s="2" t="s">
        <v>361</v>
      </c>
      <c r="X116" s="2" t="s">
        <v>310</v>
      </c>
      <c r="Y116" s="2" t="s">
        <v>371</v>
      </c>
      <c r="Z116" s="4">
        <v>848</v>
      </c>
      <c r="AA116" s="4">
        <f>=ROUNDDOWN(64.7328244274809,0)</f>
      </c>
      <c r="AB116" s="5">
        <v>13.1</v>
      </c>
      <c r="AC116" s="2" t="s">
        <v>101</v>
      </c>
      <c r="AD116" s="4"/>
      <c r="AE116" s="4"/>
      <c r="AF116" s="6">
        <v>63</v>
      </c>
      <c r="AG116" s="6">
        <v>46</v>
      </c>
      <c r="AH116" s="7">
        <v>0.6621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 t="s">
        <v>101</v>
      </c>
      <c r="BJ116" s="4">
        <v>622</v>
      </c>
      <c r="BK116" s="8">
        <v>14796.03</v>
      </c>
      <c r="BL116" s="2" t="s">
        <v>387</v>
      </c>
      <c r="BM116" s="7"/>
      <c r="BN116" s="7"/>
      <c r="BO116" s="4"/>
      <c r="BP116" s="8"/>
      <c r="BQ116" s="4"/>
      <c r="BR116" s="8"/>
      <c r="BS116" s="7"/>
      <c r="BT116" s="7"/>
      <c r="BU116" s="2" t="s">
        <v>388</v>
      </c>
      <c r="BV116" s="2" t="s">
        <v>98</v>
      </c>
      <c r="BW116" s="2" t="s">
        <v>101</v>
      </c>
      <c r="BX116" s="2" t="s">
        <v>101</v>
      </c>
      <c r="BY116" s="2" t="s">
        <v>112</v>
      </c>
      <c r="BZ116" s="2" t="s">
        <v>112</v>
      </c>
      <c r="CA116" s="2" t="s">
        <v>101</v>
      </c>
    </row>
    <row r="117">
      <c r="A117" s="2" t="s">
        <v>394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354</v>
      </c>
      <c r="G117" s="2" t="s">
        <v>355</v>
      </c>
      <c r="H117" s="2" t="s">
        <v>356</v>
      </c>
      <c r="I117" s="2" t="s">
        <v>357</v>
      </c>
      <c r="J117" s="2" t="s">
        <v>263</v>
      </c>
      <c r="K117" s="2" t="s">
        <v>208</v>
      </c>
      <c r="L117" s="3">
        <v>27.61</v>
      </c>
      <c r="M117" s="3">
        <v>28.99</v>
      </c>
      <c r="N117" s="3">
        <v>57.99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393</v>
      </c>
      <c r="T117" s="2" t="s">
        <v>103</v>
      </c>
      <c r="U117" s="2" t="s">
        <v>115</v>
      </c>
      <c r="V117" s="2" t="s">
        <v>360</v>
      </c>
      <c r="W117" s="2" t="s">
        <v>361</v>
      </c>
      <c r="X117" s="2" t="s">
        <v>310</v>
      </c>
      <c r="Y117" s="2" t="s">
        <v>371</v>
      </c>
      <c r="Z117" s="4">
        <v>423</v>
      </c>
      <c r="AA117" s="4">
        <f>=ROUNDDOWN(15.5514705882353,0)</f>
      </c>
      <c r="AB117" s="5">
        <v>27.2</v>
      </c>
      <c r="AC117" s="2" t="s">
        <v>374</v>
      </c>
      <c r="AD117" s="4">
        <v>150</v>
      </c>
      <c r="AE117" s="4">
        <v>600</v>
      </c>
      <c r="AF117" s="6">
        <v>63</v>
      </c>
      <c r="AG117" s="6">
        <v>46</v>
      </c>
      <c r="AH117" s="7">
        <v>0.9147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 t="s">
        <v>101</v>
      </c>
      <c r="BJ117" s="4">
        <v>1521</v>
      </c>
      <c r="BK117" s="8">
        <v>45008.96</v>
      </c>
      <c r="BL117" s="2" t="s">
        <v>395</v>
      </c>
      <c r="BM117" s="7"/>
      <c r="BN117" s="7"/>
      <c r="BO117" s="4"/>
      <c r="BP117" s="8"/>
      <c r="BQ117" s="4"/>
      <c r="BR117" s="8"/>
      <c r="BS117" s="7"/>
      <c r="BT117" s="7"/>
      <c r="BU117" s="2" t="s">
        <v>388</v>
      </c>
      <c r="BV117" s="2" t="s">
        <v>98</v>
      </c>
      <c r="BW117" s="2" t="s">
        <v>101</v>
      </c>
      <c r="BX117" s="2" t="s">
        <v>101</v>
      </c>
      <c r="BY117" s="2" t="s">
        <v>112</v>
      </c>
      <c r="BZ117" s="2" t="s">
        <v>112</v>
      </c>
      <c r="CA117" s="2" t="s">
        <v>101</v>
      </c>
    </row>
    <row r="118">
      <c r="A118" s="2" t="s">
        <v>396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354</v>
      </c>
      <c r="G118" s="2" t="s">
        <v>355</v>
      </c>
      <c r="H118" s="2" t="s">
        <v>356</v>
      </c>
      <c r="I118" s="2" t="s">
        <v>357</v>
      </c>
      <c r="J118" s="2" t="s">
        <v>265</v>
      </c>
      <c r="K118" s="2" t="s">
        <v>208</v>
      </c>
      <c r="L118" s="3">
        <v>30.95</v>
      </c>
      <c r="M118" s="3">
        <v>32.5</v>
      </c>
      <c r="N118" s="3">
        <v>64.99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393</v>
      </c>
      <c r="T118" s="2" t="s">
        <v>103</v>
      </c>
      <c r="U118" s="2" t="s">
        <v>115</v>
      </c>
      <c r="V118" s="2" t="s">
        <v>360</v>
      </c>
      <c r="W118" s="2" t="s">
        <v>361</v>
      </c>
      <c r="X118" s="2" t="s">
        <v>310</v>
      </c>
      <c r="Y118" s="2" t="s">
        <v>368</v>
      </c>
      <c r="Z118" s="4"/>
      <c r="AA118" s="4">
        <f>=ROUNDDOWN(5.94594594594595,0)</f>
      </c>
      <c r="AB118" s="5">
        <v>25.9</v>
      </c>
      <c r="AC118" s="2" t="s">
        <v>397</v>
      </c>
      <c r="AD118" s="4">
        <v>390</v>
      </c>
      <c r="AE118" s="4">
        <v>390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 t="s">
        <v>101</v>
      </c>
      <c r="BJ118" s="4">
        <v>867</v>
      </c>
      <c r="BK118" s="8">
        <v>28329.02</v>
      </c>
      <c r="BL118" s="2" t="s">
        <v>395</v>
      </c>
      <c r="BM118" s="7"/>
      <c r="BN118" s="7"/>
      <c r="BO118" s="4"/>
      <c r="BP118" s="8"/>
      <c r="BQ118" s="4"/>
      <c r="BR118" s="8"/>
      <c r="BS118" s="7"/>
      <c r="BT118" s="7"/>
      <c r="BU118" s="2" t="s">
        <v>388</v>
      </c>
      <c r="BV118" s="2" t="s">
        <v>98</v>
      </c>
      <c r="BW118" s="2" t="s">
        <v>101</v>
      </c>
      <c r="BX118" s="2" t="s">
        <v>101</v>
      </c>
      <c r="BY118" s="2" t="s">
        <v>112</v>
      </c>
      <c r="BZ118" s="2" t="s">
        <v>112</v>
      </c>
      <c r="CA118" s="2" t="s">
        <v>101</v>
      </c>
    </row>
    <row r="119">
      <c r="A119" s="2" t="s">
        <v>398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399</v>
      </c>
      <c r="G119" s="2" t="s">
        <v>400</v>
      </c>
      <c r="H119" s="2" t="s">
        <v>401</v>
      </c>
      <c r="I119" s="2" t="s">
        <v>402</v>
      </c>
      <c r="J119" s="2" t="s">
        <v>263</v>
      </c>
      <c r="K119" s="2" t="s">
        <v>306</v>
      </c>
      <c r="L119" s="3">
        <v>23.8</v>
      </c>
      <c r="M119" s="3">
        <v>24.99</v>
      </c>
      <c r="N119" s="3">
        <v>49.99</v>
      </c>
      <c r="O119" s="2" t="s">
        <v>98</v>
      </c>
      <c r="P119" s="2" t="s">
        <v>403</v>
      </c>
      <c r="Q119" s="2" t="s">
        <v>100</v>
      </c>
      <c r="R119" s="2" t="s">
        <v>101</v>
      </c>
      <c r="S119" s="2" t="s">
        <v>404</v>
      </c>
      <c r="T119" s="2" t="s">
        <v>103</v>
      </c>
      <c r="U119" s="2" t="s">
        <v>115</v>
      </c>
      <c r="V119" s="2" t="s">
        <v>405</v>
      </c>
      <c r="W119" s="2" t="s">
        <v>406</v>
      </c>
      <c r="X119" s="2" t="s">
        <v>106</v>
      </c>
      <c r="Y119" s="2" t="s">
        <v>107</v>
      </c>
      <c r="Z119" s="4">
        <v>45</v>
      </c>
      <c r="AA119" s="4">
        <f>=ROUNDDOWN(2.45901639344262,0)</f>
      </c>
      <c r="AB119" s="5">
        <v>18.3</v>
      </c>
      <c r="AC119" s="2" t="s">
        <v>101</v>
      </c>
      <c r="AD119" s="4"/>
      <c r="AE119" s="4"/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>
        <v>152</v>
      </c>
      <c r="AQ119" s="8">
        <v>3723</v>
      </c>
      <c r="AR119" s="4"/>
      <c r="AS119" s="8"/>
      <c r="AT119" s="7"/>
      <c r="AU119" s="7"/>
      <c r="AV119" s="4">
        <v>314</v>
      </c>
      <c r="AW119" s="8">
        <v>7989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0.466</v>
      </c>
      <c r="BC119" s="4">
        <v>804</v>
      </c>
      <c r="BD119" s="8">
        <v>20318.6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0.3932</v>
      </c>
      <c r="BJ119" s="4">
        <v>1328</v>
      </c>
      <c r="BK119" s="8">
        <v>29992.52</v>
      </c>
      <c r="BL119" s="2" t="s">
        <v>167</v>
      </c>
      <c r="BM119" s="7">
        <v>0.1145</v>
      </c>
      <c r="BN119" s="7">
        <v>0.1241</v>
      </c>
      <c r="BO119" s="4">
        <v>152</v>
      </c>
      <c r="BP119" s="8">
        <v>3723</v>
      </c>
      <c r="BQ119" s="4"/>
      <c r="BR119" s="8"/>
      <c r="BS119" s="7"/>
      <c r="BT119" s="7"/>
      <c r="BU119" s="2" t="s">
        <v>110</v>
      </c>
      <c r="BV119" s="2" t="s">
        <v>98</v>
      </c>
      <c r="BW119" s="2" t="s">
        <v>101</v>
      </c>
      <c r="BX119" s="2" t="s">
        <v>111</v>
      </c>
      <c r="BY119" s="2" t="s">
        <v>112</v>
      </c>
      <c r="BZ119" s="2" t="s">
        <v>112</v>
      </c>
      <c r="CA119" s="2" t="s">
        <v>101</v>
      </c>
    </row>
    <row r="120">
      <c r="A120" s="2" t="s">
        <v>407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399</v>
      </c>
      <c r="G120" s="2" t="s">
        <v>400</v>
      </c>
      <c r="H120" s="2" t="s">
        <v>401</v>
      </c>
      <c r="I120" s="2" t="s">
        <v>402</v>
      </c>
      <c r="J120" s="2" t="s">
        <v>265</v>
      </c>
      <c r="K120" s="2" t="s">
        <v>306</v>
      </c>
      <c r="L120" s="3">
        <v>26.19</v>
      </c>
      <c r="M120" s="3">
        <v>27.5</v>
      </c>
      <c r="N120" s="3">
        <v>54.99</v>
      </c>
      <c r="O120" s="2" t="s">
        <v>408</v>
      </c>
      <c r="P120" s="2" t="s">
        <v>403</v>
      </c>
      <c r="Q120" s="2" t="s">
        <v>100</v>
      </c>
      <c r="R120" s="2" t="s">
        <v>101</v>
      </c>
      <c r="S120" s="2" t="s">
        <v>404</v>
      </c>
      <c r="T120" s="2" t="s">
        <v>103</v>
      </c>
      <c r="U120" s="2" t="s">
        <v>115</v>
      </c>
      <c r="V120" s="2" t="s">
        <v>405</v>
      </c>
      <c r="W120" s="2" t="s">
        <v>406</v>
      </c>
      <c r="X120" s="2" t="s">
        <v>106</v>
      </c>
      <c r="Y120" s="2" t="s">
        <v>409</v>
      </c>
      <c r="Z120" s="4"/>
      <c r="AA120" s="4">
        <f>=ROUNDDOWN({0},0)</f>
      </c>
      <c r="AB120" s="5">
        <v>2.5</v>
      </c>
      <c r="AC120" s="2" t="s">
        <v>101</v>
      </c>
      <c r="AD120" s="4"/>
      <c r="AE120" s="4"/>
      <c r="AF120" s="6">
        <v>63</v>
      </c>
      <c r="AG120" s="6">
        <v>46</v>
      </c>
      <c r="AH120" s="7">
        <v>0.8262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>
        <v>162</v>
      </c>
      <c r="AQ120" s="8">
        <v>4266</v>
      </c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>
        <v>0.534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 t="s">
        <v>101</v>
      </c>
      <c r="BJ120" s="4">
        <v>1158</v>
      </c>
      <c r="BK120" s="8">
        <v>29000.65</v>
      </c>
      <c r="BL120" s="2" t="s">
        <v>167</v>
      </c>
      <c r="BM120" s="7">
        <v>0.1399</v>
      </c>
      <c r="BN120" s="7">
        <v>0.1471</v>
      </c>
      <c r="BO120" s="4">
        <v>162</v>
      </c>
      <c r="BP120" s="8">
        <v>4266</v>
      </c>
      <c r="BQ120" s="4"/>
      <c r="BR120" s="8"/>
      <c r="BS120" s="7"/>
      <c r="BT120" s="7"/>
      <c r="BU120" s="2" t="s">
        <v>110</v>
      </c>
      <c r="BV120" s="2" t="s">
        <v>410</v>
      </c>
      <c r="BW120" s="2" t="s">
        <v>101</v>
      </c>
      <c r="BX120" s="2" t="s">
        <v>111</v>
      </c>
      <c r="BY120" s="2" t="s">
        <v>112</v>
      </c>
      <c r="BZ120" s="2" t="s">
        <v>112</v>
      </c>
      <c r="CA120" s="2" t="s">
        <v>101</v>
      </c>
    </row>
    <row r="121">
      <c r="A121" s="2" t="s">
        <v>411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399</v>
      </c>
      <c r="G121" s="2" t="s">
        <v>400</v>
      </c>
      <c r="H121" s="2" t="s">
        <v>401</v>
      </c>
      <c r="I121" s="2" t="s">
        <v>412</v>
      </c>
      <c r="J121" s="2" t="s">
        <v>96</v>
      </c>
      <c r="K121" s="2" t="s">
        <v>208</v>
      </c>
      <c r="L121" s="3">
        <v>19.04</v>
      </c>
      <c r="M121" s="3">
        <v>19.99</v>
      </c>
      <c r="N121" s="3">
        <v>39.99</v>
      </c>
      <c r="O121" s="2" t="s">
        <v>285</v>
      </c>
      <c r="P121" s="2" t="s">
        <v>403</v>
      </c>
      <c r="Q121" s="2" t="s">
        <v>100</v>
      </c>
      <c r="R121" s="2" t="s">
        <v>101</v>
      </c>
      <c r="S121" s="2" t="s">
        <v>413</v>
      </c>
      <c r="T121" s="2" t="s">
        <v>103</v>
      </c>
      <c r="U121" s="2" t="s">
        <v>104</v>
      </c>
      <c r="V121" s="2" t="s">
        <v>405</v>
      </c>
      <c r="W121" s="2" t="s">
        <v>406</v>
      </c>
      <c r="X121" s="2" t="s">
        <v>106</v>
      </c>
      <c r="Y121" s="2" t="s">
        <v>409</v>
      </c>
      <c r="Z121" s="4">
        <v>209</v>
      </c>
      <c r="AA121" s="4">
        <f>=ROUNDDOWN(34.8333333333333,0)</f>
      </c>
      <c r="AB121" s="5">
        <v>6</v>
      </c>
      <c r="AC121" s="2" t="s">
        <v>101</v>
      </c>
      <c r="AD121" s="4"/>
      <c r="AE121" s="4"/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270</v>
      </c>
      <c r="AW121" s="8">
        <v>6682.6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0.3289</v>
      </c>
      <c r="BJ121" s="4">
        <v>392</v>
      </c>
      <c r="BK121" s="8">
        <v>8065.67</v>
      </c>
      <c r="BL121" s="2" t="s">
        <v>414</v>
      </c>
      <c r="BM121" s="7"/>
      <c r="BN121" s="7"/>
      <c r="BO121" s="4"/>
      <c r="BP121" s="8"/>
      <c r="BQ121" s="4"/>
      <c r="BR121" s="8"/>
      <c r="BS121" s="7"/>
      <c r="BT121" s="7"/>
      <c r="BU121" s="2" t="s">
        <v>415</v>
      </c>
      <c r="BV121" s="2" t="s">
        <v>98</v>
      </c>
      <c r="BW121" s="2" t="s">
        <v>101</v>
      </c>
      <c r="BX121" s="2" t="s">
        <v>101</v>
      </c>
      <c r="BY121" s="2" t="s">
        <v>112</v>
      </c>
      <c r="BZ121" s="2" t="s">
        <v>112</v>
      </c>
      <c r="CA121" s="2" t="s">
        <v>101</v>
      </c>
    </row>
    <row r="122">
      <c r="A122" s="2" t="s">
        <v>416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399</v>
      </c>
      <c r="G122" s="2" t="s">
        <v>400</v>
      </c>
      <c r="H122" s="2" t="s">
        <v>401</v>
      </c>
      <c r="I122" s="2" t="s">
        <v>412</v>
      </c>
      <c r="J122" s="2" t="s">
        <v>263</v>
      </c>
      <c r="K122" s="2" t="s">
        <v>208</v>
      </c>
      <c r="L122" s="3">
        <v>23.8</v>
      </c>
      <c r="M122" s="3">
        <v>24.99</v>
      </c>
      <c r="N122" s="3">
        <v>49.99</v>
      </c>
      <c r="O122" s="2" t="s">
        <v>285</v>
      </c>
      <c r="P122" s="2" t="s">
        <v>403</v>
      </c>
      <c r="Q122" s="2" t="s">
        <v>100</v>
      </c>
      <c r="R122" s="2" t="s">
        <v>101</v>
      </c>
      <c r="S122" s="2" t="s">
        <v>413</v>
      </c>
      <c r="T122" s="2" t="s">
        <v>103</v>
      </c>
      <c r="U122" s="2" t="s">
        <v>115</v>
      </c>
      <c r="V122" s="2" t="s">
        <v>405</v>
      </c>
      <c r="W122" s="2" t="s">
        <v>406</v>
      </c>
      <c r="X122" s="2" t="s">
        <v>106</v>
      </c>
      <c r="Y122" s="2" t="s">
        <v>409</v>
      </c>
      <c r="Z122" s="4">
        <v>460</v>
      </c>
      <c r="AA122" s="4">
        <f>=ROUNDDOWN(25.6983240223464,0)</f>
      </c>
      <c r="AB122" s="5">
        <v>17.9</v>
      </c>
      <c r="AC122" s="2" t="s">
        <v>101</v>
      </c>
      <c r="AD122" s="4"/>
      <c r="AE122" s="4"/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>
        <v>161</v>
      </c>
      <c r="AQ122" s="8">
        <v>3782.8</v>
      </c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0.5661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1019</v>
      </c>
      <c r="BK122" s="8">
        <v>23904.85</v>
      </c>
      <c r="BL122" s="2" t="s">
        <v>417</v>
      </c>
      <c r="BM122" s="7">
        <v>0.158</v>
      </c>
      <c r="BN122" s="7">
        <v>0.1582</v>
      </c>
      <c r="BO122" s="4">
        <v>161</v>
      </c>
      <c r="BP122" s="8">
        <v>3782.8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101</v>
      </c>
      <c r="BX122" s="2" t="s">
        <v>111</v>
      </c>
      <c r="BY122" s="2" t="s">
        <v>112</v>
      </c>
      <c r="BZ122" s="2" t="s">
        <v>112</v>
      </c>
      <c r="CA122" s="2" t="s">
        <v>101</v>
      </c>
    </row>
    <row r="123">
      <c r="A123" s="2" t="s">
        <v>418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399</v>
      </c>
      <c r="G123" s="2" t="s">
        <v>400</v>
      </c>
      <c r="H123" s="2" t="s">
        <v>401</v>
      </c>
      <c r="I123" s="2" t="s">
        <v>412</v>
      </c>
      <c r="J123" s="2" t="s">
        <v>265</v>
      </c>
      <c r="K123" s="2" t="s">
        <v>208</v>
      </c>
      <c r="L123" s="3">
        <v>26.19</v>
      </c>
      <c r="M123" s="3">
        <v>27.5</v>
      </c>
      <c r="N123" s="3">
        <v>54.99</v>
      </c>
      <c r="O123" s="2" t="s">
        <v>285</v>
      </c>
      <c r="P123" s="2" t="s">
        <v>403</v>
      </c>
      <c r="Q123" s="2" t="s">
        <v>100</v>
      </c>
      <c r="R123" s="2" t="s">
        <v>101</v>
      </c>
      <c r="S123" s="2" t="s">
        <v>413</v>
      </c>
      <c r="T123" s="2" t="s">
        <v>103</v>
      </c>
      <c r="U123" s="2" t="s">
        <v>115</v>
      </c>
      <c r="V123" s="2" t="s">
        <v>405</v>
      </c>
      <c r="W123" s="2" t="s">
        <v>406</v>
      </c>
      <c r="X123" s="2" t="s">
        <v>106</v>
      </c>
      <c r="Y123" s="2" t="s">
        <v>124</v>
      </c>
      <c r="Z123" s="4">
        <v>482</v>
      </c>
      <c r="AA123" s="4">
        <f>=ROUNDDOWN(38.8709677419355,0)</f>
      </c>
      <c r="AB123" s="5">
        <v>12.4</v>
      </c>
      <c r="AC123" s="2" t="s">
        <v>101</v>
      </c>
      <c r="AD123" s="4"/>
      <c r="AE123" s="4"/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109</v>
      </c>
      <c r="AQ123" s="8">
        <v>2899.8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0.4339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685</v>
      </c>
      <c r="BK123" s="8">
        <v>18315.34</v>
      </c>
      <c r="BL123" s="2" t="s">
        <v>176</v>
      </c>
      <c r="BM123" s="7">
        <v>0.1591</v>
      </c>
      <c r="BN123" s="7">
        <v>0.1583</v>
      </c>
      <c r="BO123" s="4">
        <v>109</v>
      </c>
      <c r="BP123" s="8">
        <v>2899.8</v>
      </c>
      <c r="BQ123" s="4"/>
      <c r="BR123" s="8"/>
      <c r="BS123" s="7"/>
      <c r="BT123" s="7"/>
      <c r="BU123" s="2" t="s">
        <v>110</v>
      </c>
      <c r="BV123" s="2" t="s">
        <v>98</v>
      </c>
      <c r="BW123" s="2" t="s">
        <v>101</v>
      </c>
      <c r="BX123" s="2" t="s">
        <v>111</v>
      </c>
      <c r="BY123" s="2" t="s">
        <v>112</v>
      </c>
      <c r="BZ123" s="2" t="s">
        <v>112</v>
      </c>
      <c r="CA123" s="2" t="s">
        <v>101</v>
      </c>
    </row>
    <row r="124">
      <c r="A124" s="2" t="s">
        <v>419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399</v>
      </c>
      <c r="G124" s="2" t="s">
        <v>400</v>
      </c>
      <c r="H124" s="2" t="s">
        <v>401</v>
      </c>
      <c r="I124" s="2" t="s">
        <v>412</v>
      </c>
      <c r="J124" s="2" t="s">
        <v>96</v>
      </c>
      <c r="K124" s="2" t="s">
        <v>378</v>
      </c>
      <c r="L124" s="3">
        <v>19.04</v>
      </c>
      <c r="M124" s="3">
        <v>19.99</v>
      </c>
      <c r="N124" s="3">
        <v>39.99</v>
      </c>
      <c r="O124" s="2" t="s">
        <v>285</v>
      </c>
      <c r="P124" s="2" t="s">
        <v>403</v>
      </c>
      <c r="Q124" s="2" t="s">
        <v>100</v>
      </c>
      <c r="R124" s="2" t="s">
        <v>101</v>
      </c>
      <c r="S124" s="2" t="s">
        <v>420</v>
      </c>
      <c r="T124" s="2" t="s">
        <v>103</v>
      </c>
      <c r="U124" s="2" t="s">
        <v>104</v>
      </c>
      <c r="V124" s="2" t="s">
        <v>405</v>
      </c>
      <c r="W124" s="2" t="s">
        <v>406</v>
      </c>
      <c r="X124" s="2" t="s">
        <v>106</v>
      </c>
      <c r="Y124" s="2" t="s">
        <v>409</v>
      </c>
      <c r="Z124" s="4"/>
      <c r="AA124" s="4">
        <f>=ROUNDDOWN({0},0)</f>
      </c>
      <c r="AB124" s="5">
        <v>5.9</v>
      </c>
      <c r="AC124" s="2" t="s">
        <v>101</v>
      </c>
      <c r="AD124" s="4"/>
      <c r="AE124" s="4"/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202</v>
      </c>
      <c r="AW124" s="8">
        <v>5333.5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0.2625</v>
      </c>
      <c r="BJ124" s="4">
        <v>195</v>
      </c>
      <c r="BK124" s="8">
        <v>4224.05</v>
      </c>
      <c r="BL124" s="2" t="s">
        <v>421</v>
      </c>
      <c r="BM124" s="7"/>
      <c r="BN124" s="7"/>
      <c r="BO124" s="4"/>
      <c r="BP124" s="8"/>
      <c r="BQ124" s="4"/>
      <c r="BR124" s="8"/>
      <c r="BS124" s="7"/>
      <c r="BT124" s="7"/>
      <c r="BU124" s="2" t="s">
        <v>415</v>
      </c>
      <c r="BV124" s="2" t="s">
        <v>98</v>
      </c>
      <c r="BW124" s="2" t="s">
        <v>101</v>
      </c>
      <c r="BX124" s="2" t="s">
        <v>101</v>
      </c>
      <c r="BY124" s="2" t="s">
        <v>112</v>
      </c>
      <c r="BZ124" s="2" t="s">
        <v>112</v>
      </c>
      <c r="CA124" s="2" t="s">
        <v>101</v>
      </c>
    </row>
    <row r="125">
      <c r="A125" s="2" t="s">
        <v>422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399</v>
      </c>
      <c r="G125" s="2" t="s">
        <v>400</v>
      </c>
      <c r="H125" s="2" t="s">
        <v>401</v>
      </c>
      <c r="I125" s="2" t="s">
        <v>412</v>
      </c>
      <c r="J125" s="2" t="s">
        <v>263</v>
      </c>
      <c r="K125" s="2" t="s">
        <v>378</v>
      </c>
      <c r="L125" s="3">
        <v>23.8</v>
      </c>
      <c r="M125" s="3">
        <v>24.99</v>
      </c>
      <c r="N125" s="3">
        <v>49.99</v>
      </c>
      <c r="O125" s="2" t="s">
        <v>285</v>
      </c>
      <c r="P125" s="2" t="s">
        <v>403</v>
      </c>
      <c r="Q125" s="2" t="s">
        <v>100</v>
      </c>
      <c r="R125" s="2" t="s">
        <v>101</v>
      </c>
      <c r="S125" s="2" t="s">
        <v>420</v>
      </c>
      <c r="T125" s="2" t="s">
        <v>103</v>
      </c>
      <c r="U125" s="2" t="s">
        <v>115</v>
      </c>
      <c r="V125" s="2" t="s">
        <v>405</v>
      </c>
      <c r="W125" s="2" t="s">
        <v>406</v>
      </c>
      <c r="X125" s="2" t="s">
        <v>106</v>
      </c>
      <c r="Y125" s="2" t="s">
        <v>124</v>
      </c>
      <c r="Z125" s="4">
        <v>1801</v>
      </c>
      <c r="AA125" s="4">
        <f>=ROUNDDOWN(137.480916030534,0)</f>
      </c>
      <c r="AB125" s="5">
        <v>13.1</v>
      </c>
      <c r="AC125" s="2" t="s">
        <v>101</v>
      </c>
      <c r="AD125" s="4"/>
      <c r="AE125" s="4"/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129</v>
      </c>
      <c r="AQ125" s="8">
        <v>3289.5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0.6168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735</v>
      </c>
      <c r="BK125" s="8">
        <v>17509.09</v>
      </c>
      <c r="BL125" s="2" t="s">
        <v>423</v>
      </c>
      <c r="BM125" s="7">
        <v>0.1755</v>
      </c>
      <c r="BN125" s="7">
        <v>0.1879</v>
      </c>
      <c r="BO125" s="4">
        <v>129</v>
      </c>
      <c r="BP125" s="8">
        <v>3289.5</v>
      </c>
      <c r="BQ125" s="4"/>
      <c r="BR125" s="8"/>
      <c r="BS125" s="7"/>
      <c r="BT125" s="7"/>
      <c r="BU125" s="2" t="s">
        <v>110</v>
      </c>
      <c r="BV125" s="2" t="s">
        <v>98</v>
      </c>
      <c r="BW125" s="2" t="s">
        <v>101</v>
      </c>
      <c r="BX125" s="2" t="s">
        <v>111</v>
      </c>
      <c r="BY125" s="2" t="s">
        <v>112</v>
      </c>
      <c r="BZ125" s="2" t="s">
        <v>112</v>
      </c>
      <c r="CA125" s="2" t="s">
        <v>101</v>
      </c>
    </row>
    <row r="126">
      <c r="A126" s="2" t="s">
        <v>424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399</v>
      </c>
      <c r="G126" s="2" t="s">
        <v>400</v>
      </c>
      <c r="H126" s="2" t="s">
        <v>401</v>
      </c>
      <c r="I126" s="2" t="s">
        <v>412</v>
      </c>
      <c r="J126" s="2" t="s">
        <v>265</v>
      </c>
      <c r="K126" s="2" t="s">
        <v>378</v>
      </c>
      <c r="L126" s="3">
        <v>26.19</v>
      </c>
      <c r="M126" s="3">
        <v>27.5</v>
      </c>
      <c r="N126" s="3">
        <v>54.99</v>
      </c>
      <c r="O126" s="2" t="s">
        <v>285</v>
      </c>
      <c r="P126" s="2" t="s">
        <v>403</v>
      </c>
      <c r="Q126" s="2" t="s">
        <v>100</v>
      </c>
      <c r="R126" s="2" t="s">
        <v>101</v>
      </c>
      <c r="S126" s="2" t="s">
        <v>420</v>
      </c>
      <c r="T126" s="2" t="s">
        <v>103</v>
      </c>
      <c r="U126" s="2" t="s">
        <v>115</v>
      </c>
      <c r="V126" s="2" t="s">
        <v>405</v>
      </c>
      <c r="W126" s="2" t="s">
        <v>406</v>
      </c>
      <c r="X126" s="2" t="s">
        <v>106</v>
      </c>
      <c r="Y126" s="2" t="s">
        <v>124</v>
      </c>
      <c r="Z126" s="4"/>
      <c r="AA126" s="4">
        <f>=ROUNDDOWN({0},0)</f>
      </c>
      <c r="AB126" s="5">
        <v>1.6</v>
      </c>
      <c r="AC126" s="2" t="s">
        <v>101</v>
      </c>
      <c r="AD126" s="4"/>
      <c r="AE126" s="4"/>
      <c r="AF126" s="6">
        <v>63</v>
      </c>
      <c r="AG126" s="6">
        <v>46</v>
      </c>
      <c r="AH126" s="7">
        <v>0.8619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73</v>
      </c>
      <c r="AQ126" s="8">
        <v>2044</v>
      </c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0.3832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534</v>
      </c>
      <c r="BK126" s="8">
        <v>14303.27</v>
      </c>
      <c r="BL126" s="2" t="s">
        <v>176</v>
      </c>
      <c r="BM126" s="7">
        <v>0.1367</v>
      </c>
      <c r="BN126" s="7">
        <v>0.1429</v>
      </c>
      <c r="BO126" s="4">
        <v>73</v>
      </c>
      <c r="BP126" s="8">
        <v>2044</v>
      </c>
      <c r="BQ126" s="4"/>
      <c r="BR126" s="8"/>
      <c r="BS126" s="7"/>
      <c r="BT126" s="7"/>
      <c r="BU126" s="2" t="s">
        <v>110</v>
      </c>
      <c r="BV126" s="2" t="s">
        <v>410</v>
      </c>
      <c r="BW126" s="2" t="s">
        <v>101</v>
      </c>
      <c r="BX126" s="2" t="s">
        <v>111</v>
      </c>
      <c r="BY126" s="2" t="s">
        <v>112</v>
      </c>
      <c r="BZ126" s="2" t="s">
        <v>112</v>
      </c>
      <c r="CA126" s="2" t="s">
        <v>101</v>
      </c>
    </row>
    <row r="127">
      <c r="A127" s="2" t="s">
        <v>425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399</v>
      </c>
      <c r="G127" s="2" t="s">
        <v>400</v>
      </c>
      <c r="H127" s="2" t="s">
        <v>401</v>
      </c>
      <c r="I127" s="2" t="s">
        <v>402</v>
      </c>
      <c r="J127" s="2" t="s">
        <v>96</v>
      </c>
      <c r="K127" s="2" t="s">
        <v>216</v>
      </c>
      <c r="L127" s="3">
        <v>19.04</v>
      </c>
      <c r="M127" s="3">
        <v>19.99</v>
      </c>
      <c r="N127" s="3">
        <v>39.99</v>
      </c>
      <c r="O127" s="2" t="s">
        <v>285</v>
      </c>
      <c r="P127" s="2" t="s">
        <v>403</v>
      </c>
      <c r="Q127" s="2" t="s">
        <v>100</v>
      </c>
      <c r="R127" s="2" t="s">
        <v>101</v>
      </c>
      <c r="S127" s="2" t="s">
        <v>426</v>
      </c>
      <c r="T127" s="2" t="s">
        <v>103</v>
      </c>
      <c r="U127" s="2" t="s">
        <v>104</v>
      </c>
      <c r="V127" s="2" t="s">
        <v>405</v>
      </c>
      <c r="W127" s="2" t="s">
        <v>406</v>
      </c>
      <c r="X127" s="2" t="s">
        <v>106</v>
      </c>
      <c r="Y127" s="2" t="s">
        <v>107</v>
      </c>
      <c r="Z127" s="4">
        <v>171</v>
      </c>
      <c r="AA127" s="4">
        <f>=ROUNDDOWN(71.25,0)</f>
      </c>
      <c r="AB127" s="5">
        <v>2.4</v>
      </c>
      <c r="AC127" s="2" t="s">
        <v>101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>
        <v>18</v>
      </c>
      <c r="AW127" s="8">
        <v>313.5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0.0154</v>
      </c>
      <c r="BJ127" s="4">
        <v>152</v>
      </c>
      <c r="BK127" s="8">
        <v>2776.73</v>
      </c>
      <c r="BL127" s="2" t="s">
        <v>427</v>
      </c>
      <c r="BM127" s="7"/>
      <c r="BN127" s="7"/>
      <c r="BO127" s="4"/>
      <c r="BP127" s="8"/>
      <c r="BQ127" s="4"/>
      <c r="BR127" s="8"/>
      <c r="BS127" s="7"/>
      <c r="BT127" s="7"/>
      <c r="BU127" s="2" t="s">
        <v>388</v>
      </c>
      <c r="BV127" s="2" t="s">
        <v>98</v>
      </c>
      <c r="BW127" s="2" t="s">
        <v>101</v>
      </c>
      <c r="BX127" s="2" t="s">
        <v>101</v>
      </c>
      <c r="BY127" s="2" t="s">
        <v>112</v>
      </c>
      <c r="BZ127" s="2" t="s">
        <v>112</v>
      </c>
      <c r="CA127" s="2" t="s">
        <v>101</v>
      </c>
    </row>
    <row r="128">
      <c r="A128" s="2" t="s">
        <v>428</v>
      </c>
      <c r="B128" s="2" t="s">
        <v>88</v>
      </c>
      <c r="C128" s="2" t="s">
        <v>89</v>
      </c>
      <c r="D128" s="2" t="s">
        <v>90</v>
      </c>
      <c r="E128" s="2" t="s">
        <v>91</v>
      </c>
      <c r="F128" s="2" t="s">
        <v>399</v>
      </c>
      <c r="G128" s="2" t="s">
        <v>400</v>
      </c>
      <c r="H128" s="2" t="s">
        <v>401</v>
      </c>
      <c r="I128" s="2" t="s">
        <v>402</v>
      </c>
      <c r="J128" s="2" t="s">
        <v>263</v>
      </c>
      <c r="K128" s="2" t="s">
        <v>216</v>
      </c>
      <c r="L128" s="3">
        <v>23.8</v>
      </c>
      <c r="M128" s="3">
        <v>24.99</v>
      </c>
      <c r="N128" s="3">
        <v>49.99</v>
      </c>
      <c r="O128" s="2" t="s">
        <v>285</v>
      </c>
      <c r="P128" s="2" t="s">
        <v>403</v>
      </c>
      <c r="Q128" s="2" t="s">
        <v>100</v>
      </c>
      <c r="R128" s="2" t="s">
        <v>101</v>
      </c>
      <c r="S128" s="2" t="s">
        <v>426</v>
      </c>
      <c r="T128" s="2" t="s">
        <v>103</v>
      </c>
      <c r="U128" s="2" t="s">
        <v>115</v>
      </c>
      <c r="V128" s="2" t="s">
        <v>405</v>
      </c>
      <c r="W128" s="2" t="s">
        <v>406</v>
      </c>
      <c r="X128" s="2" t="s">
        <v>106</v>
      </c>
      <c r="Y128" s="2" t="s">
        <v>107</v>
      </c>
      <c r="Z128" s="4">
        <v>2286</v>
      </c>
      <c r="AA128" s="4">
        <f>=ROUNDDOWN(190.5,0)</f>
      </c>
      <c r="AB128" s="5">
        <v>12</v>
      </c>
      <c r="AC128" s="2" t="s">
        <v>101</v>
      </c>
      <c r="AD128" s="4"/>
      <c r="AE128" s="4"/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>
        <v>15</v>
      </c>
      <c r="AQ128" s="8">
        <v>229.5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0.7321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856</v>
      </c>
      <c r="BK128" s="8">
        <v>18696.76</v>
      </c>
      <c r="BL128" s="2" t="s">
        <v>296</v>
      </c>
      <c r="BM128" s="7">
        <v>0.0175</v>
      </c>
      <c r="BN128" s="7">
        <v>0.0123</v>
      </c>
      <c r="BO128" s="4">
        <v>15</v>
      </c>
      <c r="BP128" s="8">
        <v>229.5</v>
      </c>
      <c r="BQ128" s="4"/>
      <c r="BR128" s="8"/>
      <c r="BS128" s="7"/>
      <c r="BT128" s="7"/>
      <c r="BU128" s="2" t="s">
        <v>110</v>
      </c>
      <c r="BV128" s="2" t="s">
        <v>98</v>
      </c>
      <c r="BW128" s="2" t="s">
        <v>101</v>
      </c>
      <c r="BX128" s="2" t="s">
        <v>111</v>
      </c>
      <c r="BY128" s="2" t="s">
        <v>112</v>
      </c>
      <c r="BZ128" s="2" t="s">
        <v>112</v>
      </c>
      <c r="CA128" s="2" t="s">
        <v>101</v>
      </c>
    </row>
    <row r="129">
      <c r="A129" s="2" t="s">
        <v>429</v>
      </c>
      <c r="B129" s="2" t="s">
        <v>88</v>
      </c>
      <c r="C129" s="2" t="s">
        <v>89</v>
      </c>
      <c r="D129" s="2" t="s">
        <v>90</v>
      </c>
      <c r="E129" s="2" t="s">
        <v>91</v>
      </c>
      <c r="F129" s="2" t="s">
        <v>399</v>
      </c>
      <c r="G129" s="2" t="s">
        <v>400</v>
      </c>
      <c r="H129" s="2" t="s">
        <v>401</v>
      </c>
      <c r="I129" s="2" t="s">
        <v>402</v>
      </c>
      <c r="J129" s="2" t="s">
        <v>265</v>
      </c>
      <c r="K129" s="2" t="s">
        <v>216</v>
      </c>
      <c r="L129" s="3">
        <v>26.19</v>
      </c>
      <c r="M129" s="3">
        <v>27.5</v>
      </c>
      <c r="N129" s="3">
        <v>54.99</v>
      </c>
      <c r="O129" s="2" t="s">
        <v>285</v>
      </c>
      <c r="P129" s="2" t="s">
        <v>403</v>
      </c>
      <c r="Q129" s="2" t="s">
        <v>100</v>
      </c>
      <c r="R129" s="2" t="s">
        <v>101</v>
      </c>
      <c r="S129" s="2" t="s">
        <v>426</v>
      </c>
      <c r="T129" s="2" t="s">
        <v>103</v>
      </c>
      <c r="U129" s="2" t="s">
        <v>115</v>
      </c>
      <c r="V129" s="2" t="s">
        <v>405</v>
      </c>
      <c r="W129" s="2" t="s">
        <v>406</v>
      </c>
      <c r="X129" s="2" t="s">
        <v>106</v>
      </c>
      <c r="Y129" s="2" t="s">
        <v>409</v>
      </c>
      <c r="Z129" s="4">
        <v>462</v>
      </c>
      <c r="AA129" s="4">
        <f>=ROUNDDOWN(57.75,0)</f>
      </c>
      <c r="AB129" s="5">
        <v>8</v>
      </c>
      <c r="AC129" s="2" t="s">
        <v>101</v>
      </c>
      <c r="AD129" s="4"/>
      <c r="AE129" s="4"/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3</v>
      </c>
      <c r="AQ129" s="8">
        <v>84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0.2679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606</v>
      </c>
      <c r="BK129" s="8">
        <v>15028.36</v>
      </c>
      <c r="BL129" s="2" t="s">
        <v>252</v>
      </c>
      <c r="BM129" s="7">
        <v>0.005</v>
      </c>
      <c r="BN129" s="7">
        <v>0.0056</v>
      </c>
      <c r="BO129" s="4">
        <v>3</v>
      </c>
      <c r="BP129" s="8">
        <v>84</v>
      </c>
      <c r="BQ129" s="4"/>
      <c r="BR129" s="8"/>
      <c r="BS129" s="7"/>
      <c r="BT129" s="7"/>
      <c r="BU129" s="2" t="s">
        <v>110</v>
      </c>
      <c r="BV129" s="2" t="s">
        <v>98</v>
      </c>
      <c r="BW129" s="2" t="s">
        <v>101</v>
      </c>
      <c r="BX129" s="2" t="s">
        <v>111</v>
      </c>
      <c r="BY129" s="2" t="s">
        <v>112</v>
      </c>
      <c r="BZ129" s="2" t="s">
        <v>112</v>
      </c>
      <c r="CA129" s="2" t="s">
        <v>101</v>
      </c>
    </row>
    <row r="130">
      <c r="A130" s="2" t="s">
        <v>430</v>
      </c>
      <c r="B130" s="2" t="s">
        <v>88</v>
      </c>
      <c r="C130" s="2" t="s">
        <v>89</v>
      </c>
      <c r="D130" s="2" t="s">
        <v>90</v>
      </c>
      <c r="E130" s="2" t="s">
        <v>91</v>
      </c>
      <c r="F130" s="2" t="s">
        <v>431</v>
      </c>
      <c r="G130" s="2" t="s">
        <v>432</v>
      </c>
      <c r="H130" s="2" t="s">
        <v>433</v>
      </c>
      <c r="I130" s="2" t="s">
        <v>434</v>
      </c>
      <c r="J130" s="2" t="s">
        <v>96</v>
      </c>
      <c r="K130" s="2" t="s">
        <v>294</v>
      </c>
      <c r="L130" s="3">
        <v>19.04</v>
      </c>
      <c r="M130" s="3">
        <v>19.99</v>
      </c>
      <c r="N130" s="3">
        <v>39.99</v>
      </c>
      <c r="O130" s="2" t="s">
        <v>98</v>
      </c>
      <c r="P130" s="2" t="s">
        <v>278</v>
      </c>
      <c r="Q130" s="2" t="s">
        <v>100</v>
      </c>
      <c r="R130" s="2" t="s">
        <v>101</v>
      </c>
      <c r="S130" s="2" t="s">
        <v>435</v>
      </c>
      <c r="T130" s="2" t="s">
        <v>103</v>
      </c>
      <c r="U130" s="2" t="s">
        <v>104</v>
      </c>
      <c r="V130" s="2" t="s">
        <v>436</v>
      </c>
      <c r="W130" s="2" t="s">
        <v>106</v>
      </c>
      <c r="X130" s="2" t="s">
        <v>101</v>
      </c>
      <c r="Y130" s="2" t="s">
        <v>107</v>
      </c>
      <c r="Z130" s="4">
        <v>911</v>
      </c>
      <c r="AA130" s="4">
        <f>=ROUNDDOWN(66.4963503649635,0)</f>
      </c>
      <c r="AB130" s="5">
        <v>13.7</v>
      </c>
      <c r="AC130" s="2" t="s">
        <v>101</v>
      </c>
      <c r="AD130" s="4"/>
      <c r="AE130" s="4"/>
      <c r="AF130" s="6">
        <v>63</v>
      </c>
      <c r="AG130" s="6">
        <v>46</v>
      </c>
      <c r="AH130" s="7">
        <v>0.9071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154</v>
      </c>
      <c r="AQ130" s="8">
        <v>2956.8</v>
      </c>
      <c r="AR130" s="4"/>
      <c r="AS130" s="8"/>
      <c r="AT130" s="7"/>
      <c r="AU130" s="7"/>
      <c r="AV130" s="4">
        <v>325</v>
      </c>
      <c r="AW130" s="8">
        <v>7461.3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0.3963</v>
      </c>
      <c r="BC130" s="4">
        <v>587</v>
      </c>
      <c r="BD130" s="8">
        <v>13875.96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0.5377</v>
      </c>
      <c r="BJ130" s="4">
        <v>1446</v>
      </c>
      <c r="BK130" s="8">
        <v>29354.04</v>
      </c>
      <c r="BL130" s="2" t="s">
        <v>155</v>
      </c>
      <c r="BM130" s="7">
        <v>0.1065</v>
      </c>
      <c r="BN130" s="7">
        <v>0.1007</v>
      </c>
      <c r="BO130" s="4">
        <v>154</v>
      </c>
      <c r="BP130" s="8">
        <v>2956.8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101</v>
      </c>
      <c r="BX130" s="2" t="s">
        <v>261</v>
      </c>
      <c r="BY130" s="2" t="s">
        <v>112</v>
      </c>
      <c r="BZ130" s="2" t="s">
        <v>112</v>
      </c>
      <c r="CA130" s="2" t="s">
        <v>101</v>
      </c>
    </row>
    <row r="131">
      <c r="A131" s="2" t="s">
        <v>437</v>
      </c>
      <c r="B131" s="2" t="s">
        <v>88</v>
      </c>
      <c r="C131" s="2" t="s">
        <v>89</v>
      </c>
      <c r="D131" s="2" t="s">
        <v>90</v>
      </c>
      <c r="E131" s="2" t="s">
        <v>91</v>
      </c>
      <c r="F131" s="2" t="s">
        <v>431</v>
      </c>
      <c r="G131" s="2" t="s">
        <v>432</v>
      </c>
      <c r="H131" s="2" t="s">
        <v>433</v>
      </c>
      <c r="I131" s="2" t="s">
        <v>434</v>
      </c>
      <c r="J131" s="2" t="s">
        <v>263</v>
      </c>
      <c r="K131" s="2" t="s">
        <v>294</v>
      </c>
      <c r="L131" s="3">
        <v>21.42</v>
      </c>
      <c r="M131" s="3">
        <v>22.49</v>
      </c>
      <c r="N131" s="3">
        <v>44.99</v>
      </c>
      <c r="O131" s="2" t="s">
        <v>98</v>
      </c>
      <c r="P131" s="2" t="s">
        <v>278</v>
      </c>
      <c r="Q131" s="2" t="s">
        <v>100</v>
      </c>
      <c r="R131" s="2" t="s">
        <v>101</v>
      </c>
      <c r="S131" s="2" t="s">
        <v>435</v>
      </c>
      <c r="T131" s="2" t="s">
        <v>103</v>
      </c>
      <c r="U131" s="2" t="s">
        <v>115</v>
      </c>
      <c r="V131" s="2" t="s">
        <v>436</v>
      </c>
      <c r="W131" s="2" t="s">
        <v>106</v>
      </c>
      <c r="X131" s="2" t="s">
        <v>101</v>
      </c>
      <c r="Y131" s="2" t="s">
        <v>438</v>
      </c>
      <c r="Z131" s="4">
        <v>2490</v>
      </c>
      <c r="AA131" s="4">
        <f>=ROUNDDOWN(75.226586102719,0)</f>
      </c>
      <c r="AB131" s="5">
        <v>33.1</v>
      </c>
      <c r="AC131" s="2" t="s">
        <v>101</v>
      </c>
      <c r="AD131" s="4"/>
      <c r="AE131" s="4"/>
      <c r="AF131" s="6">
        <v>63</v>
      </c>
      <c r="AG131" s="6">
        <v>46</v>
      </c>
      <c r="AH131" s="7">
        <v>0.9476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66</v>
      </c>
      <c r="AQ131" s="8">
        <v>1617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0.2167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3823</v>
      </c>
      <c r="BK131" s="8">
        <v>96969.18</v>
      </c>
      <c r="BL131" s="2" t="s">
        <v>439</v>
      </c>
      <c r="BM131" s="7">
        <v>0.0173</v>
      </c>
      <c r="BN131" s="7">
        <v>0.0167</v>
      </c>
      <c r="BO131" s="4">
        <v>66</v>
      </c>
      <c r="BP131" s="8">
        <v>1617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101</v>
      </c>
      <c r="BX131" s="2" t="s">
        <v>261</v>
      </c>
      <c r="BY131" s="2" t="s">
        <v>112</v>
      </c>
      <c r="BZ131" s="2" t="s">
        <v>112</v>
      </c>
      <c r="CA131" s="2" t="s">
        <v>101</v>
      </c>
    </row>
    <row r="132">
      <c r="A132" s="2" t="s">
        <v>440</v>
      </c>
      <c r="B132" s="2" t="s">
        <v>88</v>
      </c>
      <c r="C132" s="2" t="s">
        <v>89</v>
      </c>
      <c r="D132" s="2" t="s">
        <v>90</v>
      </c>
      <c r="E132" s="2" t="s">
        <v>91</v>
      </c>
      <c r="F132" s="2" t="s">
        <v>431</v>
      </c>
      <c r="G132" s="2" t="s">
        <v>432</v>
      </c>
      <c r="H132" s="2" t="s">
        <v>433</v>
      </c>
      <c r="I132" s="2" t="s">
        <v>434</v>
      </c>
      <c r="J132" s="2" t="s">
        <v>265</v>
      </c>
      <c r="K132" s="2" t="s">
        <v>294</v>
      </c>
      <c r="L132" s="3">
        <v>26.19</v>
      </c>
      <c r="M132" s="3">
        <v>27.5</v>
      </c>
      <c r="N132" s="3">
        <v>54.99</v>
      </c>
      <c r="O132" s="2" t="s">
        <v>98</v>
      </c>
      <c r="P132" s="2" t="s">
        <v>278</v>
      </c>
      <c r="Q132" s="2" t="s">
        <v>100</v>
      </c>
      <c r="R132" s="2" t="s">
        <v>101</v>
      </c>
      <c r="S132" s="2" t="s">
        <v>435</v>
      </c>
      <c r="T132" s="2" t="s">
        <v>103</v>
      </c>
      <c r="U132" s="2" t="s">
        <v>115</v>
      </c>
      <c r="V132" s="2" t="s">
        <v>436</v>
      </c>
      <c r="W132" s="2" t="s">
        <v>106</v>
      </c>
      <c r="X132" s="2" t="s">
        <v>101</v>
      </c>
      <c r="Y132" s="2" t="s">
        <v>438</v>
      </c>
      <c r="Z132" s="4">
        <v>1101</v>
      </c>
      <c r="AA132" s="4">
        <f>=ROUNDDOWN(43.1764705882353,0)</f>
      </c>
      <c r="AB132" s="5">
        <v>25.5</v>
      </c>
      <c r="AC132" s="2" t="s">
        <v>101</v>
      </c>
      <c r="AD132" s="4"/>
      <c r="AE132" s="4"/>
      <c r="AF132" s="6">
        <v>63</v>
      </c>
      <c r="AG132" s="6">
        <v>46</v>
      </c>
      <c r="AH132" s="7">
        <v>0.9262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105</v>
      </c>
      <c r="AQ132" s="8">
        <v>2887.5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0.387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2264</v>
      </c>
      <c r="BK132" s="8">
        <v>65403.4</v>
      </c>
      <c r="BL132" s="2" t="s">
        <v>155</v>
      </c>
      <c r="BM132" s="7">
        <v>0.0464</v>
      </c>
      <c r="BN132" s="7">
        <v>0.0441</v>
      </c>
      <c r="BO132" s="4">
        <v>105</v>
      </c>
      <c r="BP132" s="8">
        <v>2887.5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101</v>
      </c>
      <c r="BX132" s="2" t="s">
        <v>261</v>
      </c>
      <c r="BY132" s="2" t="s">
        <v>112</v>
      </c>
      <c r="BZ132" s="2" t="s">
        <v>112</v>
      </c>
      <c r="CA132" s="2" t="s">
        <v>101</v>
      </c>
    </row>
    <row r="133">
      <c r="A133" s="2" t="s">
        <v>441</v>
      </c>
      <c r="B133" s="2" t="s">
        <v>88</v>
      </c>
      <c r="C133" s="2" t="s">
        <v>89</v>
      </c>
      <c r="D133" s="2" t="s">
        <v>90</v>
      </c>
      <c r="E133" s="2" t="s">
        <v>91</v>
      </c>
      <c r="F133" s="2" t="s">
        <v>431</v>
      </c>
      <c r="G133" s="2" t="s">
        <v>432</v>
      </c>
      <c r="H133" s="2" t="s">
        <v>433</v>
      </c>
      <c r="I133" s="2" t="s">
        <v>434</v>
      </c>
      <c r="J133" s="2" t="s">
        <v>96</v>
      </c>
      <c r="K133" s="2" t="s">
        <v>163</v>
      </c>
      <c r="L133" s="3">
        <v>19.04</v>
      </c>
      <c r="M133" s="3">
        <v>19.99</v>
      </c>
      <c r="N133" s="3">
        <v>39.99</v>
      </c>
      <c r="O133" s="2" t="s">
        <v>98</v>
      </c>
      <c r="P133" s="2" t="s">
        <v>245</v>
      </c>
      <c r="Q133" s="2" t="s">
        <v>100</v>
      </c>
      <c r="R133" s="2" t="s">
        <v>101</v>
      </c>
      <c r="S133" s="2" t="s">
        <v>442</v>
      </c>
      <c r="T133" s="2" t="s">
        <v>103</v>
      </c>
      <c r="U133" s="2" t="s">
        <v>104</v>
      </c>
      <c r="V133" s="2" t="s">
        <v>436</v>
      </c>
      <c r="W133" s="2" t="s">
        <v>106</v>
      </c>
      <c r="X133" s="2" t="s">
        <v>101</v>
      </c>
      <c r="Y133" s="2" t="s">
        <v>107</v>
      </c>
      <c r="Z133" s="4">
        <v>1181</v>
      </c>
      <c r="AA133" s="4">
        <f>=ROUNDDOWN(173.676470588235,0)</f>
      </c>
      <c r="AB133" s="5">
        <v>6.8</v>
      </c>
      <c r="AC133" s="2" t="s">
        <v>101</v>
      </c>
      <c r="AD133" s="4"/>
      <c r="AE133" s="4"/>
      <c r="AF133" s="6">
        <v>63</v>
      </c>
      <c r="AG133" s="6">
        <v>46</v>
      </c>
      <c r="AH133" s="7">
        <v>0.8976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58</v>
      </c>
      <c r="AQ133" s="8">
        <v>1090.56</v>
      </c>
      <c r="AR133" s="4"/>
      <c r="AS133" s="8"/>
      <c r="AT133" s="7"/>
      <c r="AU133" s="7"/>
      <c r="AV133" s="4">
        <v>130</v>
      </c>
      <c r="AW133" s="8">
        <v>3034.56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0.3594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0.2187</v>
      </c>
      <c r="BJ133" s="4">
        <v>830</v>
      </c>
      <c r="BK133" s="8">
        <v>16528.17</v>
      </c>
      <c r="BL133" s="2" t="s">
        <v>155</v>
      </c>
      <c r="BM133" s="7">
        <v>0.0699</v>
      </c>
      <c r="BN133" s="7">
        <v>0.066</v>
      </c>
      <c r="BO133" s="4">
        <v>58</v>
      </c>
      <c r="BP133" s="8">
        <v>1090.56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101</v>
      </c>
      <c r="BX133" s="2" t="s">
        <v>261</v>
      </c>
      <c r="BY133" s="2" t="s">
        <v>112</v>
      </c>
      <c r="BZ133" s="2" t="s">
        <v>112</v>
      </c>
      <c r="CA133" s="2" t="s">
        <v>101</v>
      </c>
    </row>
    <row r="134">
      <c r="A134" s="2" t="s">
        <v>443</v>
      </c>
      <c r="B134" s="2" t="s">
        <v>88</v>
      </c>
      <c r="C134" s="2" t="s">
        <v>89</v>
      </c>
      <c r="D134" s="2" t="s">
        <v>90</v>
      </c>
      <c r="E134" s="2" t="s">
        <v>91</v>
      </c>
      <c r="F134" s="2" t="s">
        <v>431</v>
      </c>
      <c r="G134" s="2" t="s">
        <v>432</v>
      </c>
      <c r="H134" s="2" t="s">
        <v>433</v>
      </c>
      <c r="I134" s="2" t="s">
        <v>434</v>
      </c>
      <c r="J134" s="2" t="s">
        <v>263</v>
      </c>
      <c r="K134" s="2" t="s">
        <v>163</v>
      </c>
      <c r="L134" s="3">
        <v>21.42</v>
      </c>
      <c r="M134" s="3">
        <v>22.49</v>
      </c>
      <c r="N134" s="3">
        <v>44.99</v>
      </c>
      <c r="O134" s="2" t="s">
        <v>98</v>
      </c>
      <c r="P134" s="2" t="s">
        <v>245</v>
      </c>
      <c r="Q134" s="2" t="s">
        <v>100</v>
      </c>
      <c r="R134" s="2" t="s">
        <v>101</v>
      </c>
      <c r="S134" s="2" t="s">
        <v>442</v>
      </c>
      <c r="T134" s="2" t="s">
        <v>103</v>
      </c>
      <c r="U134" s="2" t="s">
        <v>115</v>
      </c>
      <c r="V134" s="2" t="s">
        <v>436</v>
      </c>
      <c r="W134" s="2" t="s">
        <v>106</v>
      </c>
      <c r="X134" s="2" t="s">
        <v>101</v>
      </c>
      <c r="Y134" s="2" t="s">
        <v>107</v>
      </c>
      <c r="Z134" s="4">
        <v>1305</v>
      </c>
      <c r="AA134" s="4">
        <f>=ROUNDDOWN(63.9705882352941,0)</f>
      </c>
      <c r="AB134" s="5">
        <v>20.4</v>
      </c>
      <c r="AC134" s="2" t="s">
        <v>101</v>
      </c>
      <c r="AD134" s="4"/>
      <c r="AE134" s="4"/>
      <c r="AF134" s="6">
        <v>63</v>
      </c>
      <c r="AG134" s="6">
        <v>46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12</v>
      </c>
      <c r="AQ134" s="8">
        <v>294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0.0969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2051</v>
      </c>
      <c r="BK134" s="8">
        <v>50898.6</v>
      </c>
      <c r="BL134" s="2" t="s">
        <v>444</v>
      </c>
      <c r="BM134" s="7">
        <v>0.0059</v>
      </c>
      <c r="BN134" s="7">
        <v>0.0058</v>
      </c>
      <c r="BO134" s="4">
        <v>12</v>
      </c>
      <c r="BP134" s="8">
        <v>294</v>
      </c>
      <c r="BQ134" s="4"/>
      <c r="BR134" s="8"/>
      <c r="BS134" s="7"/>
      <c r="BT134" s="7"/>
      <c r="BU134" s="2" t="s">
        <v>110</v>
      </c>
      <c r="BV134" s="2" t="s">
        <v>98</v>
      </c>
      <c r="BW134" s="2" t="s">
        <v>101</v>
      </c>
      <c r="BX134" s="2" t="s">
        <v>261</v>
      </c>
      <c r="BY134" s="2" t="s">
        <v>112</v>
      </c>
      <c r="BZ134" s="2" t="s">
        <v>112</v>
      </c>
      <c r="CA134" s="2" t="s">
        <v>101</v>
      </c>
    </row>
    <row r="135">
      <c r="A135" s="2" t="s">
        <v>445</v>
      </c>
      <c r="B135" s="2" t="s">
        <v>88</v>
      </c>
      <c r="C135" s="2" t="s">
        <v>89</v>
      </c>
      <c r="D135" s="2" t="s">
        <v>90</v>
      </c>
      <c r="E135" s="2" t="s">
        <v>91</v>
      </c>
      <c r="F135" s="2" t="s">
        <v>431</v>
      </c>
      <c r="G135" s="2" t="s">
        <v>432</v>
      </c>
      <c r="H135" s="2" t="s">
        <v>433</v>
      </c>
      <c r="I135" s="2" t="s">
        <v>434</v>
      </c>
      <c r="J135" s="2" t="s">
        <v>265</v>
      </c>
      <c r="K135" s="2" t="s">
        <v>163</v>
      </c>
      <c r="L135" s="3">
        <v>26.19</v>
      </c>
      <c r="M135" s="3">
        <v>27.5</v>
      </c>
      <c r="N135" s="3">
        <v>54.99</v>
      </c>
      <c r="O135" s="2" t="s">
        <v>98</v>
      </c>
      <c r="P135" s="2" t="s">
        <v>245</v>
      </c>
      <c r="Q135" s="2" t="s">
        <v>100</v>
      </c>
      <c r="R135" s="2" t="s">
        <v>101</v>
      </c>
      <c r="S135" s="2" t="s">
        <v>442</v>
      </c>
      <c r="T135" s="2" t="s">
        <v>103</v>
      </c>
      <c r="U135" s="2" t="s">
        <v>115</v>
      </c>
      <c r="V135" s="2" t="s">
        <v>436</v>
      </c>
      <c r="W135" s="2" t="s">
        <v>106</v>
      </c>
      <c r="X135" s="2" t="s">
        <v>101</v>
      </c>
      <c r="Y135" s="2" t="s">
        <v>438</v>
      </c>
      <c r="Z135" s="4">
        <v>867</v>
      </c>
      <c r="AA135" s="4">
        <f>=ROUNDDOWN(49.8275862068965,0)</f>
      </c>
      <c r="AB135" s="5">
        <v>17.4</v>
      </c>
      <c r="AC135" s="2" t="s">
        <v>101</v>
      </c>
      <c r="AD135" s="4"/>
      <c r="AE135" s="4"/>
      <c r="AF135" s="6">
        <v>63</v>
      </c>
      <c r="AG135" s="6">
        <v>46</v>
      </c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60</v>
      </c>
      <c r="AQ135" s="8">
        <v>1650</v>
      </c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0.5437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1552</v>
      </c>
      <c r="BK135" s="8">
        <v>42923.72</v>
      </c>
      <c r="BL135" s="2" t="s">
        <v>446</v>
      </c>
      <c r="BM135" s="7">
        <v>0.0387</v>
      </c>
      <c r="BN135" s="7">
        <v>0.0384</v>
      </c>
      <c r="BO135" s="4">
        <v>60</v>
      </c>
      <c r="BP135" s="8">
        <v>1650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101</v>
      </c>
      <c r="BX135" s="2" t="s">
        <v>261</v>
      </c>
      <c r="BY135" s="2" t="s">
        <v>112</v>
      </c>
      <c r="BZ135" s="2" t="s">
        <v>112</v>
      </c>
      <c r="CA135" s="2" t="s">
        <v>101</v>
      </c>
    </row>
    <row r="136">
      <c r="A136" s="2" t="s">
        <v>447</v>
      </c>
      <c r="B136" s="2" t="s">
        <v>88</v>
      </c>
      <c r="C136" s="2" t="s">
        <v>89</v>
      </c>
      <c r="D136" s="2" t="s">
        <v>90</v>
      </c>
      <c r="E136" s="2" t="s">
        <v>91</v>
      </c>
      <c r="F136" s="2" t="s">
        <v>431</v>
      </c>
      <c r="G136" s="2" t="s">
        <v>432</v>
      </c>
      <c r="H136" s="2" t="s">
        <v>433</v>
      </c>
      <c r="I136" s="2" t="s">
        <v>434</v>
      </c>
      <c r="J136" s="2" t="s">
        <v>96</v>
      </c>
      <c r="K136" s="2" t="s">
        <v>97</v>
      </c>
      <c r="L136" s="3">
        <v>19.04</v>
      </c>
      <c r="M136" s="3">
        <v>19.99</v>
      </c>
      <c r="N136" s="3">
        <v>39.99</v>
      </c>
      <c r="O136" s="2" t="s">
        <v>98</v>
      </c>
      <c r="P136" s="2" t="s">
        <v>245</v>
      </c>
      <c r="Q136" s="2" t="s">
        <v>100</v>
      </c>
      <c r="R136" s="2" t="s">
        <v>101</v>
      </c>
      <c r="S136" s="2" t="s">
        <v>448</v>
      </c>
      <c r="T136" s="2" t="s">
        <v>103</v>
      </c>
      <c r="U136" s="2" t="s">
        <v>104</v>
      </c>
      <c r="V136" s="2" t="s">
        <v>436</v>
      </c>
      <c r="W136" s="2" t="s">
        <v>106</v>
      </c>
      <c r="X136" s="2" t="s">
        <v>101</v>
      </c>
      <c r="Y136" s="2" t="s">
        <v>107</v>
      </c>
      <c r="Z136" s="4">
        <v>496</v>
      </c>
      <c r="AA136" s="4">
        <f>=ROUNDDOWN(130.526315789474,0)</f>
      </c>
      <c r="AB136" s="5">
        <v>3.8</v>
      </c>
      <c r="AC136" s="2" t="s">
        <v>101</v>
      </c>
      <c r="AD136" s="4"/>
      <c r="AE136" s="4"/>
      <c r="AF136" s="6">
        <v>63</v>
      </c>
      <c r="AG136" s="6">
        <v>46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>
        <v>24</v>
      </c>
      <c r="AQ136" s="8">
        <v>487.2</v>
      </c>
      <c r="AR136" s="4"/>
      <c r="AS136" s="8"/>
      <c r="AT136" s="7"/>
      <c r="AU136" s="7"/>
      <c r="AV136" s="4">
        <v>99</v>
      </c>
      <c r="AW136" s="8">
        <v>2540.4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0.1918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>
        <v>0.1831</v>
      </c>
      <c r="BJ136" s="4">
        <v>502</v>
      </c>
      <c r="BK136" s="8">
        <v>10314.25</v>
      </c>
      <c r="BL136" s="2" t="s">
        <v>296</v>
      </c>
      <c r="BM136" s="7">
        <v>0.0478</v>
      </c>
      <c r="BN136" s="7">
        <v>0.0472</v>
      </c>
      <c r="BO136" s="4">
        <v>24</v>
      </c>
      <c r="BP136" s="8">
        <v>487.2</v>
      </c>
      <c r="BQ136" s="4"/>
      <c r="BR136" s="8"/>
      <c r="BS136" s="7"/>
      <c r="BT136" s="7"/>
      <c r="BU136" s="2" t="s">
        <v>110</v>
      </c>
      <c r="BV136" s="2" t="s">
        <v>98</v>
      </c>
      <c r="BW136" s="2" t="s">
        <v>101</v>
      </c>
      <c r="BX136" s="2" t="s">
        <v>261</v>
      </c>
      <c r="BY136" s="2" t="s">
        <v>112</v>
      </c>
      <c r="BZ136" s="2" t="s">
        <v>112</v>
      </c>
      <c r="CA136" s="2" t="s">
        <v>101</v>
      </c>
    </row>
    <row r="137">
      <c r="A137" s="2" t="s">
        <v>449</v>
      </c>
      <c r="B137" s="2" t="s">
        <v>88</v>
      </c>
      <c r="C137" s="2" t="s">
        <v>89</v>
      </c>
      <c r="D137" s="2" t="s">
        <v>90</v>
      </c>
      <c r="E137" s="2" t="s">
        <v>91</v>
      </c>
      <c r="F137" s="2" t="s">
        <v>431</v>
      </c>
      <c r="G137" s="2" t="s">
        <v>432</v>
      </c>
      <c r="H137" s="2" t="s">
        <v>433</v>
      </c>
      <c r="I137" s="2" t="s">
        <v>434</v>
      </c>
      <c r="J137" s="2" t="s">
        <v>263</v>
      </c>
      <c r="K137" s="2" t="s">
        <v>97</v>
      </c>
      <c r="L137" s="3">
        <v>21.42</v>
      </c>
      <c r="M137" s="3">
        <v>22.49</v>
      </c>
      <c r="N137" s="3">
        <v>44.99</v>
      </c>
      <c r="O137" s="2" t="s">
        <v>98</v>
      </c>
      <c r="P137" s="2" t="s">
        <v>245</v>
      </c>
      <c r="Q137" s="2" t="s">
        <v>100</v>
      </c>
      <c r="R137" s="2" t="s">
        <v>101</v>
      </c>
      <c r="S137" s="2" t="s">
        <v>448</v>
      </c>
      <c r="T137" s="2" t="s">
        <v>103</v>
      </c>
      <c r="U137" s="2" t="s">
        <v>115</v>
      </c>
      <c r="V137" s="2" t="s">
        <v>436</v>
      </c>
      <c r="W137" s="2" t="s">
        <v>106</v>
      </c>
      <c r="X137" s="2" t="s">
        <v>101</v>
      </c>
      <c r="Y137" s="2" t="s">
        <v>107</v>
      </c>
      <c r="Z137" s="4">
        <v>1762</v>
      </c>
      <c r="AA137" s="4">
        <f>=ROUNDDOWN(151.896551724138,0)</f>
      </c>
      <c r="AB137" s="5">
        <v>11.6</v>
      </c>
      <c r="AC137" s="2" t="s">
        <v>101</v>
      </c>
      <c r="AD137" s="4"/>
      <c r="AE137" s="4"/>
      <c r="AF137" s="6">
        <v>63</v>
      </c>
      <c r="AG137" s="6">
        <v>46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>
        <v>12</v>
      </c>
      <c r="AQ137" s="8">
        <v>306</v>
      </c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0.1205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 t="s">
        <v>101</v>
      </c>
      <c r="BJ137" s="4">
        <v>1425</v>
      </c>
      <c r="BK137" s="8">
        <v>34668.02</v>
      </c>
      <c r="BL137" s="2" t="s">
        <v>439</v>
      </c>
      <c r="BM137" s="7">
        <v>0.0084</v>
      </c>
      <c r="BN137" s="7">
        <v>0.0088</v>
      </c>
      <c r="BO137" s="4">
        <v>12</v>
      </c>
      <c r="BP137" s="8">
        <v>306</v>
      </c>
      <c r="BQ137" s="4"/>
      <c r="BR137" s="8"/>
      <c r="BS137" s="7"/>
      <c r="BT137" s="7"/>
      <c r="BU137" s="2" t="s">
        <v>110</v>
      </c>
      <c r="BV137" s="2" t="s">
        <v>98</v>
      </c>
      <c r="BW137" s="2" t="s">
        <v>101</v>
      </c>
      <c r="BX137" s="2" t="s">
        <v>261</v>
      </c>
      <c r="BY137" s="2" t="s">
        <v>112</v>
      </c>
      <c r="BZ137" s="2" t="s">
        <v>112</v>
      </c>
      <c r="CA137" s="2" t="s">
        <v>101</v>
      </c>
    </row>
    <row r="138">
      <c r="A138" s="2" t="s">
        <v>450</v>
      </c>
      <c r="B138" s="2" t="s">
        <v>88</v>
      </c>
      <c r="C138" s="2" t="s">
        <v>89</v>
      </c>
      <c r="D138" s="2" t="s">
        <v>90</v>
      </c>
      <c r="E138" s="2" t="s">
        <v>91</v>
      </c>
      <c r="F138" s="2" t="s">
        <v>431</v>
      </c>
      <c r="G138" s="2" t="s">
        <v>432</v>
      </c>
      <c r="H138" s="2" t="s">
        <v>433</v>
      </c>
      <c r="I138" s="2" t="s">
        <v>434</v>
      </c>
      <c r="J138" s="2" t="s">
        <v>265</v>
      </c>
      <c r="K138" s="2" t="s">
        <v>97</v>
      </c>
      <c r="L138" s="3">
        <v>26.19</v>
      </c>
      <c r="M138" s="3">
        <v>27.5</v>
      </c>
      <c r="N138" s="3">
        <v>54.99</v>
      </c>
      <c r="O138" s="2" t="s">
        <v>98</v>
      </c>
      <c r="P138" s="2" t="s">
        <v>245</v>
      </c>
      <c r="Q138" s="2" t="s">
        <v>100</v>
      </c>
      <c r="R138" s="2" t="s">
        <v>101</v>
      </c>
      <c r="S138" s="2" t="s">
        <v>448</v>
      </c>
      <c r="T138" s="2" t="s">
        <v>103</v>
      </c>
      <c r="U138" s="2" t="s">
        <v>115</v>
      </c>
      <c r="V138" s="2" t="s">
        <v>436</v>
      </c>
      <c r="W138" s="2" t="s">
        <v>106</v>
      </c>
      <c r="X138" s="2" t="s">
        <v>101</v>
      </c>
      <c r="Y138" s="2" t="s">
        <v>438</v>
      </c>
      <c r="Z138" s="4">
        <v>1317</v>
      </c>
      <c r="AA138" s="4">
        <f>=ROUNDDOWN(98.2835820895522,0)</f>
      </c>
      <c r="AB138" s="5">
        <v>13.4</v>
      </c>
      <c r="AC138" s="2" t="s">
        <v>101</v>
      </c>
      <c r="AD138" s="4"/>
      <c r="AE138" s="4"/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63</v>
      </c>
      <c r="AQ138" s="8">
        <v>1747.2</v>
      </c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0.6878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1348</v>
      </c>
      <c r="BK138" s="8">
        <v>38308.21</v>
      </c>
      <c r="BL138" s="2" t="s">
        <v>451</v>
      </c>
      <c r="BM138" s="7">
        <v>0.0467</v>
      </c>
      <c r="BN138" s="7">
        <v>0.0456</v>
      </c>
      <c r="BO138" s="4">
        <v>63</v>
      </c>
      <c r="BP138" s="8">
        <v>1747.2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101</v>
      </c>
      <c r="BX138" s="2" t="s">
        <v>261</v>
      </c>
      <c r="BY138" s="2" t="s">
        <v>112</v>
      </c>
      <c r="BZ138" s="2" t="s">
        <v>112</v>
      </c>
      <c r="CA138" s="2" t="s">
        <v>101</v>
      </c>
    </row>
    <row r="139">
      <c r="A139" s="2" t="s">
        <v>452</v>
      </c>
      <c r="B139" s="2" t="s">
        <v>88</v>
      </c>
      <c r="C139" s="2" t="s">
        <v>89</v>
      </c>
      <c r="D139" s="2" t="s">
        <v>90</v>
      </c>
      <c r="E139" s="2" t="s">
        <v>91</v>
      </c>
      <c r="F139" s="2" t="s">
        <v>431</v>
      </c>
      <c r="G139" s="2" t="s">
        <v>432</v>
      </c>
      <c r="H139" s="2" t="s">
        <v>433</v>
      </c>
      <c r="I139" s="2" t="s">
        <v>434</v>
      </c>
      <c r="J139" s="2" t="s">
        <v>96</v>
      </c>
      <c r="K139" s="2" t="s">
        <v>153</v>
      </c>
      <c r="L139" s="3">
        <v>19.04</v>
      </c>
      <c r="M139" s="3">
        <v>19.99</v>
      </c>
      <c r="N139" s="3">
        <v>39.99</v>
      </c>
      <c r="O139" s="2" t="s">
        <v>98</v>
      </c>
      <c r="P139" s="2" t="s">
        <v>245</v>
      </c>
      <c r="Q139" s="2" t="s">
        <v>100</v>
      </c>
      <c r="R139" s="2" t="s">
        <v>101</v>
      </c>
      <c r="S139" s="2" t="s">
        <v>453</v>
      </c>
      <c r="T139" s="2" t="s">
        <v>103</v>
      </c>
      <c r="U139" s="2" t="s">
        <v>104</v>
      </c>
      <c r="V139" s="2" t="s">
        <v>436</v>
      </c>
      <c r="W139" s="2" t="s">
        <v>106</v>
      </c>
      <c r="X139" s="2" t="s">
        <v>101</v>
      </c>
      <c r="Y139" s="2" t="s">
        <v>107</v>
      </c>
      <c r="Z139" s="4">
        <v>1223</v>
      </c>
      <c r="AA139" s="4">
        <f>=ROUNDDOWN(339.722222222222,0)</f>
      </c>
      <c r="AB139" s="5">
        <v>3.6</v>
      </c>
      <c r="AC139" s="2" t="s">
        <v>101</v>
      </c>
      <c r="AD139" s="4"/>
      <c r="AE139" s="4"/>
      <c r="AF139" s="6">
        <v>63</v>
      </c>
      <c r="AG139" s="6">
        <v>46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9</v>
      </c>
      <c r="AQ139" s="8">
        <v>182.7</v>
      </c>
      <c r="AR139" s="4"/>
      <c r="AS139" s="8"/>
      <c r="AT139" s="7"/>
      <c r="AU139" s="7"/>
      <c r="AV139" s="4">
        <v>33</v>
      </c>
      <c r="AW139" s="8">
        <v>839.7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0.2176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>
        <v>0.0605</v>
      </c>
      <c r="BJ139" s="4">
        <v>581</v>
      </c>
      <c r="BK139" s="8">
        <v>11566.6</v>
      </c>
      <c r="BL139" s="2" t="s">
        <v>296</v>
      </c>
      <c r="BM139" s="7">
        <v>0.0155</v>
      </c>
      <c r="BN139" s="7">
        <v>0.0158</v>
      </c>
      <c r="BO139" s="4">
        <v>9</v>
      </c>
      <c r="BP139" s="8">
        <v>182.7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101</v>
      </c>
      <c r="BX139" s="2" t="s">
        <v>261</v>
      </c>
      <c r="BY139" s="2" t="s">
        <v>112</v>
      </c>
      <c r="BZ139" s="2" t="s">
        <v>112</v>
      </c>
      <c r="CA139" s="2" t="s">
        <v>101</v>
      </c>
    </row>
    <row r="140">
      <c r="A140" s="2" t="s">
        <v>454</v>
      </c>
      <c r="B140" s="2" t="s">
        <v>88</v>
      </c>
      <c r="C140" s="2" t="s">
        <v>89</v>
      </c>
      <c r="D140" s="2" t="s">
        <v>90</v>
      </c>
      <c r="E140" s="2" t="s">
        <v>91</v>
      </c>
      <c r="F140" s="2" t="s">
        <v>431</v>
      </c>
      <c r="G140" s="2" t="s">
        <v>432</v>
      </c>
      <c r="H140" s="2" t="s">
        <v>433</v>
      </c>
      <c r="I140" s="2" t="s">
        <v>434</v>
      </c>
      <c r="J140" s="2" t="s">
        <v>263</v>
      </c>
      <c r="K140" s="2" t="s">
        <v>153</v>
      </c>
      <c r="L140" s="3">
        <v>21.42</v>
      </c>
      <c r="M140" s="3">
        <v>22.49</v>
      </c>
      <c r="N140" s="3">
        <v>44.99</v>
      </c>
      <c r="O140" s="2" t="s">
        <v>98</v>
      </c>
      <c r="P140" s="2" t="s">
        <v>245</v>
      </c>
      <c r="Q140" s="2" t="s">
        <v>100</v>
      </c>
      <c r="R140" s="2" t="s">
        <v>101</v>
      </c>
      <c r="S140" s="2" t="s">
        <v>453</v>
      </c>
      <c r="T140" s="2" t="s">
        <v>103</v>
      </c>
      <c r="U140" s="2" t="s">
        <v>115</v>
      </c>
      <c r="V140" s="2" t="s">
        <v>436</v>
      </c>
      <c r="W140" s="2" t="s">
        <v>106</v>
      </c>
      <c r="X140" s="2" t="s">
        <v>101</v>
      </c>
      <c r="Y140" s="2" t="s">
        <v>107</v>
      </c>
      <c r="Z140" s="4">
        <v>1791</v>
      </c>
      <c r="AA140" s="4">
        <f>=ROUNDDOWN(118.609271523179,0)</f>
      </c>
      <c r="AB140" s="5">
        <v>15.1</v>
      </c>
      <c r="AC140" s="2" t="s">
        <v>101</v>
      </c>
      <c r="AD140" s="4"/>
      <c r="AE140" s="4"/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>
        <v>6</v>
      </c>
      <c r="AQ140" s="8">
        <v>153</v>
      </c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>
        <v>0.1822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>
        <v>1979</v>
      </c>
      <c r="BK140" s="8">
        <v>49728.84</v>
      </c>
      <c r="BL140" s="2" t="s">
        <v>439</v>
      </c>
      <c r="BM140" s="7">
        <v>0.003</v>
      </c>
      <c r="BN140" s="7">
        <v>0.0031</v>
      </c>
      <c r="BO140" s="4">
        <v>6</v>
      </c>
      <c r="BP140" s="8">
        <v>153</v>
      </c>
      <c r="BQ140" s="4"/>
      <c r="BR140" s="8"/>
      <c r="BS140" s="7"/>
      <c r="BT140" s="7"/>
      <c r="BU140" s="2" t="s">
        <v>110</v>
      </c>
      <c r="BV140" s="2" t="s">
        <v>98</v>
      </c>
      <c r="BW140" s="2" t="s">
        <v>101</v>
      </c>
      <c r="BX140" s="2" t="s">
        <v>261</v>
      </c>
      <c r="BY140" s="2" t="s">
        <v>112</v>
      </c>
      <c r="BZ140" s="2" t="s">
        <v>112</v>
      </c>
      <c r="CA140" s="2" t="s">
        <v>101</v>
      </c>
    </row>
    <row r="141">
      <c r="A141" s="2" t="s">
        <v>455</v>
      </c>
      <c r="B141" s="2" t="s">
        <v>88</v>
      </c>
      <c r="C141" s="2" t="s">
        <v>89</v>
      </c>
      <c r="D141" s="2" t="s">
        <v>90</v>
      </c>
      <c r="E141" s="2" t="s">
        <v>91</v>
      </c>
      <c r="F141" s="2" t="s">
        <v>431</v>
      </c>
      <c r="G141" s="2" t="s">
        <v>432</v>
      </c>
      <c r="H141" s="2" t="s">
        <v>433</v>
      </c>
      <c r="I141" s="2" t="s">
        <v>434</v>
      </c>
      <c r="J141" s="2" t="s">
        <v>265</v>
      </c>
      <c r="K141" s="2" t="s">
        <v>153</v>
      </c>
      <c r="L141" s="3">
        <v>26.19</v>
      </c>
      <c r="M141" s="3">
        <v>27.5</v>
      </c>
      <c r="N141" s="3">
        <v>54.99</v>
      </c>
      <c r="O141" s="2" t="s">
        <v>98</v>
      </c>
      <c r="P141" s="2" t="s">
        <v>245</v>
      </c>
      <c r="Q141" s="2" t="s">
        <v>100</v>
      </c>
      <c r="R141" s="2" t="s">
        <v>101</v>
      </c>
      <c r="S141" s="2" t="s">
        <v>453</v>
      </c>
      <c r="T141" s="2" t="s">
        <v>103</v>
      </c>
      <c r="U141" s="2" t="s">
        <v>115</v>
      </c>
      <c r="V141" s="2" t="s">
        <v>436</v>
      </c>
      <c r="W141" s="2" t="s">
        <v>106</v>
      </c>
      <c r="X141" s="2" t="s">
        <v>101</v>
      </c>
      <c r="Y141" s="2" t="s">
        <v>438</v>
      </c>
      <c r="Z141" s="4">
        <v>1458</v>
      </c>
      <c r="AA141" s="4">
        <f>=ROUNDDOWN(113.023255813953,0)</f>
      </c>
      <c r="AB141" s="5">
        <v>12.9</v>
      </c>
      <c r="AC141" s="2" t="s">
        <v>101</v>
      </c>
      <c r="AD141" s="4"/>
      <c r="AE141" s="4"/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18</v>
      </c>
      <c r="AQ141" s="8">
        <v>504</v>
      </c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0.6002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1417</v>
      </c>
      <c r="BK141" s="8">
        <v>39149.24</v>
      </c>
      <c r="BL141" s="2" t="s">
        <v>456</v>
      </c>
      <c r="BM141" s="7">
        <v>0.0127</v>
      </c>
      <c r="BN141" s="7">
        <v>0.0129</v>
      </c>
      <c r="BO141" s="4">
        <v>18</v>
      </c>
      <c r="BP141" s="8">
        <v>504</v>
      </c>
      <c r="BQ141" s="4"/>
      <c r="BR141" s="8"/>
      <c r="BS141" s="7"/>
      <c r="BT141" s="7"/>
      <c r="BU141" s="2" t="s">
        <v>110</v>
      </c>
      <c r="BV141" s="2" t="s">
        <v>98</v>
      </c>
      <c r="BW141" s="2" t="s">
        <v>101</v>
      </c>
      <c r="BX141" s="2" t="s">
        <v>261</v>
      </c>
      <c r="BY141" s="2" t="s">
        <v>112</v>
      </c>
      <c r="BZ141" s="2" t="s">
        <v>112</v>
      </c>
      <c r="CA141" s="2" t="s">
        <v>101</v>
      </c>
    </row>
    <row r="142">
      <c r="A142" s="2" t="s">
        <v>457</v>
      </c>
      <c r="B142" s="2" t="s">
        <v>88</v>
      </c>
      <c r="C142" s="2" t="s">
        <v>89</v>
      </c>
      <c r="D142" s="2" t="s">
        <v>90</v>
      </c>
      <c r="E142" s="2" t="s">
        <v>91</v>
      </c>
      <c r="F142" s="2" t="s">
        <v>458</v>
      </c>
      <c r="G142" s="2" t="s">
        <v>459</v>
      </c>
      <c r="H142" s="2" t="s">
        <v>460</v>
      </c>
      <c r="I142" s="2" t="s">
        <v>461</v>
      </c>
      <c r="J142" s="2" t="s">
        <v>96</v>
      </c>
      <c r="K142" s="2" t="s">
        <v>306</v>
      </c>
      <c r="L142" s="3">
        <v>19.04</v>
      </c>
      <c r="M142" s="3">
        <v>19.99</v>
      </c>
      <c r="N142" s="3">
        <v>39.99</v>
      </c>
      <c r="O142" s="2" t="s">
        <v>462</v>
      </c>
      <c r="P142" s="2" t="s">
        <v>403</v>
      </c>
      <c r="Q142" s="2" t="s">
        <v>100</v>
      </c>
      <c r="R142" s="2" t="s">
        <v>101</v>
      </c>
      <c r="S142" s="2" t="s">
        <v>463</v>
      </c>
      <c r="T142" s="2" t="s">
        <v>103</v>
      </c>
      <c r="U142" s="2" t="s">
        <v>104</v>
      </c>
      <c r="V142" s="2" t="s">
        <v>464</v>
      </c>
      <c r="W142" s="2" t="s">
        <v>310</v>
      </c>
      <c r="X142" s="2" t="s">
        <v>106</v>
      </c>
      <c r="Y142" s="2" t="s">
        <v>107</v>
      </c>
      <c r="Z142" s="4"/>
      <c r="AA142" s="4">
        <f>=ROUNDDOWN({0},0)</f>
      </c>
      <c r="AB142" s="5">
        <v>15.3</v>
      </c>
      <c r="AC142" s="2" t="s">
        <v>465</v>
      </c>
      <c r="AD142" s="4">
        <v>75</v>
      </c>
      <c r="AE142" s="4">
        <v>75</v>
      </c>
      <c r="AF142" s="6">
        <v>63</v>
      </c>
      <c r="AG142" s="6">
        <v>46</v>
      </c>
      <c r="AH142" s="7">
        <v>0.7738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/>
      <c r="BJ142" s="4">
        <v>736</v>
      </c>
      <c r="BK142" s="8">
        <v>12677.96</v>
      </c>
      <c r="BL142" s="2" t="s">
        <v>466</v>
      </c>
      <c r="BM142" s="7"/>
      <c r="BN142" s="7"/>
      <c r="BO142" s="4"/>
      <c r="BP142" s="8"/>
      <c r="BQ142" s="4"/>
      <c r="BR142" s="8"/>
      <c r="BS142" s="7"/>
      <c r="BT142" s="7"/>
      <c r="BU142" s="2" t="s">
        <v>467</v>
      </c>
      <c r="BV142" s="2" t="s">
        <v>98</v>
      </c>
      <c r="BW142" s="2" t="s">
        <v>101</v>
      </c>
      <c r="BX142" s="2" t="s">
        <v>101</v>
      </c>
      <c r="BY142" s="2" t="s">
        <v>112</v>
      </c>
      <c r="BZ142" s="2" t="s">
        <v>112</v>
      </c>
      <c r="CA142" s="2" t="s">
        <v>101</v>
      </c>
    </row>
    <row r="143">
      <c r="A143" s="2" t="s">
        <v>468</v>
      </c>
      <c r="B143" s="2" t="s">
        <v>88</v>
      </c>
      <c r="C143" s="2" t="s">
        <v>89</v>
      </c>
      <c r="D143" s="2" t="s">
        <v>90</v>
      </c>
      <c r="E143" s="2" t="s">
        <v>91</v>
      </c>
      <c r="F143" s="2" t="s">
        <v>458</v>
      </c>
      <c r="G143" s="2" t="s">
        <v>459</v>
      </c>
      <c r="H143" s="2" t="s">
        <v>460</v>
      </c>
      <c r="I143" s="2" t="s">
        <v>461</v>
      </c>
      <c r="J143" s="2" t="s">
        <v>263</v>
      </c>
      <c r="K143" s="2" t="s">
        <v>306</v>
      </c>
      <c r="L143" s="3">
        <v>21.42</v>
      </c>
      <c r="M143" s="3">
        <v>22.49</v>
      </c>
      <c r="N143" s="3">
        <v>44.99</v>
      </c>
      <c r="O143" s="2" t="s">
        <v>285</v>
      </c>
      <c r="P143" s="2" t="s">
        <v>403</v>
      </c>
      <c r="Q143" s="2" t="s">
        <v>100</v>
      </c>
      <c r="R143" s="2" t="s">
        <v>101</v>
      </c>
      <c r="S143" s="2" t="s">
        <v>463</v>
      </c>
      <c r="T143" s="2" t="s">
        <v>103</v>
      </c>
      <c r="U143" s="2" t="s">
        <v>115</v>
      </c>
      <c r="V143" s="2" t="s">
        <v>464</v>
      </c>
      <c r="W143" s="2" t="s">
        <v>310</v>
      </c>
      <c r="X143" s="2" t="s">
        <v>106</v>
      </c>
      <c r="Y143" s="2" t="s">
        <v>107</v>
      </c>
      <c r="Z143" s="4"/>
      <c r="AA143" s="4">
        <f>=ROUNDDOWN({0},0)</f>
      </c>
      <c r="AB143" s="5">
        <v>16.3</v>
      </c>
      <c r="AC143" s="2" t="s">
        <v>465</v>
      </c>
      <c r="AD143" s="4">
        <v>60</v>
      </c>
      <c r="AE143" s="4">
        <v>60</v>
      </c>
      <c r="AF143" s="6">
        <v>63</v>
      </c>
      <c r="AG143" s="6">
        <v>46</v>
      </c>
      <c r="AH143" s="7">
        <v>0.8024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>
        <v>1036</v>
      </c>
      <c r="BK143" s="8">
        <v>22130.34</v>
      </c>
      <c r="BL143" s="2" t="s">
        <v>466</v>
      </c>
      <c r="BM143" s="7"/>
      <c r="BN143" s="7"/>
      <c r="BO143" s="4"/>
      <c r="BP143" s="8"/>
      <c r="BQ143" s="4"/>
      <c r="BR143" s="8"/>
      <c r="BS143" s="7"/>
      <c r="BT143" s="7"/>
      <c r="BU143" s="2" t="s">
        <v>467</v>
      </c>
      <c r="BV143" s="2" t="s">
        <v>98</v>
      </c>
      <c r="BW143" s="2" t="s">
        <v>101</v>
      </c>
      <c r="BX143" s="2" t="s">
        <v>101</v>
      </c>
      <c r="BY143" s="2" t="s">
        <v>112</v>
      </c>
      <c r="BZ143" s="2" t="s">
        <v>112</v>
      </c>
      <c r="CA143" s="2" t="s">
        <v>101</v>
      </c>
    </row>
    <row r="144">
      <c r="A144" s="2" t="s">
        <v>469</v>
      </c>
      <c r="B144" s="2" t="s">
        <v>88</v>
      </c>
      <c r="C144" s="2" t="s">
        <v>89</v>
      </c>
      <c r="D144" s="2" t="s">
        <v>90</v>
      </c>
      <c r="E144" s="2" t="s">
        <v>91</v>
      </c>
      <c r="F144" s="2" t="s">
        <v>458</v>
      </c>
      <c r="G144" s="2" t="s">
        <v>459</v>
      </c>
      <c r="H144" s="2" t="s">
        <v>460</v>
      </c>
      <c r="I144" s="2" t="s">
        <v>461</v>
      </c>
      <c r="J144" s="2" t="s">
        <v>265</v>
      </c>
      <c r="K144" s="2" t="s">
        <v>306</v>
      </c>
      <c r="L144" s="3">
        <v>26.19</v>
      </c>
      <c r="M144" s="3">
        <v>27.5</v>
      </c>
      <c r="N144" s="3">
        <v>54.99</v>
      </c>
      <c r="O144" s="2" t="s">
        <v>285</v>
      </c>
      <c r="P144" s="2" t="s">
        <v>403</v>
      </c>
      <c r="Q144" s="2" t="s">
        <v>100</v>
      </c>
      <c r="R144" s="2" t="s">
        <v>101</v>
      </c>
      <c r="S144" s="2" t="s">
        <v>463</v>
      </c>
      <c r="T144" s="2" t="s">
        <v>103</v>
      </c>
      <c r="U144" s="2" t="s">
        <v>115</v>
      </c>
      <c r="V144" s="2" t="s">
        <v>464</v>
      </c>
      <c r="W144" s="2" t="s">
        <v>310</v>
      </c>
      <c r="X144" s="2" t="s">
        <v>106</v>
      </c>
      <c r="Y144" s="2" t="s">
        <v>124</v>
      </c>
      <c r="Z144" s="4">
        <v>341</v>
      </c>
      <c r="AA144" s="4">
        <f>=ROUNDDOWN(48.0281690140845,0)</f>
      </c>
      <c r="AB144" s="5">
        <v>7.1</v>
      </c>
      <c r="AC144" s="2" t="s">
        <v>465</v>
      </c>
      <c r="AD144" s="4">
        <v>261</v>
      </c>
      <c r="AE144" s="4">
        <v>261</v>
      </c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471</v>
      </c>
      <c r="BK144" s="8">
        <v>11389.53</v>
      </c>
      <c r="BL144" s="2" t="s">
        <v>466</v>
      </c>
      <c r="BM144" s="7"/>
      <c r="BN144" s="7"/>
      <c r="BO144" s="4"/>
      <c r="BP144" s="8"/>
      <c r="BQ144" s="4"/>
      <c r="BR144" s="8"/>
      <c r="BS144" s="7"/>
      <c r="BT144" s="7"/>
      <c r="BU144" s="2" t="s">
        <v>467</v>
      </c>
      <c r="BV144" s="2" t="s">
        <v>98</v>
      </c>
      <c r="BW144" s="2" t="s">
        <v>101</v>
      </c>
      <c r="BX144" s="2" t="s">
        <v>101</v>
      </c>
      <c r="BY144" s="2" t="s">
        <v>112</v>
      </c>
      <c r="BZ144" s="2" t="s">
        <v>112</v>
      </c>
      <c r="CA144" s="2" t="s">
        <v>101</v>
      </c>
    </row>
    <row r="145">
      <c r="A145" s="2" t="s">
        <v>470</v>
      </c>
      <c r="B145" s="2" t="s">
        <v>88</v>
      </c>
      <c r="C145" s="2" t="s">
        <v>89</v>
      </c>
      <c r="D145" s="2" t="s">
        <v>90</v>
      </c>
      <c r="E145" s="2" t="s">
        <v>91</v>
      </c>
      <c r="F145" s="2" t="s">
        <v>458</v>
      </c>
      <c r="G145" s="2" t="s">
        <v>459</v>
      </c>
      <c r="H145" s="2" t="s">
        <v>460</v>
      </c>
      <c r="I145" s="2" t="s">
        <v>461</v>
      </c>
      <c r="J145" s="2" t="s">
        <v>96</v>
      </c>
      <c r="K145" s="2" t="s">
        <v>471</v>
      </c>
      <c r="L145" s="3">
        <v>19.04</v>
      </c>
      <c r="M145" s="3">
        <v>19.99</v>
      </c>
      <c r="N145" s="3">
        <v>39.99</v>
      </c>
      <c r="O145" s="2" t="s">
        <v>285</v>
      </c>
      <c r="P145" s="2" t="s">
        <v>403</v>
      </c>
      <c r="Q145" s="2" t="s">
        <v>100</v>
      </c>
      <c r="R145" s="2" t="s">
        <v>101</v>
      </c>
      <c r="S145" s="2" t="s">
        <v>472</v>
      </c>
      <c r="T145" s="2" t="s">
        <v>103</v>
      </c>
      <c r="U145" s="2" t="s">
        <v>104</v>
      </c>
      <c r="V145" s="2" t="s">
        <v>464</v>
      </c>
      <c r="W145" s="2" t="s">
        <v>310</v>
      </c>
      <c r="X145" s="2" t="s">
        <v>106</v>
      </c>
      <c r="Y145" s="2" t="s">
        <v>107</v>
      </c>
      <c r="Z145" s="4">
        <v>234</v>
      </c>
      <c r="AA145" s="4">
        <f>=ROUNDDOWN(30.3896103896104,0)</f>
      </c>
      <c r="AB145" s="5">
        <v>7.7</v>
      </c>
      <c r="AC145" s="2" t="s">
        <v>465</v>
      </c>
      <c r="AD145" s="4">
        <v>36</v>
      </c>
      <c r="AE145" s="4">
        <v>36</v>
      </c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>
        <v>675</v>
      </c>
      <c r="BK145" s="8">
        <v>11613.01</v>
      </c>
      <c r="BL145" s="2" t="s">
        <v>473</v>
      </c>
      <c r="BM145" s="7"/>
      <c r="BN145" s="7"/>
      <c r="BO145" s="4"/>
      <c r="BP145" s="8"/>
      <c r="BQ145" s="4"/>
      <c r="BR145" s="8"/>
      <c r="BS145" s="7"/>
      <c r="BT145" s="7"/>
      <c r="BU145" s="2" t="s">
        <v>467</v>
      </c>
      <c r="BV145" s="2" t="s">
        <v>98</v>
      </c>
      <c r="BW145" s="2" t="s">
        <v>101</v>
      </c>
      <c r="BX145" s="2" t="s">
        <v>101</v>
      </c>
      <c r="BY145" s="2" t="s">
        <v>112</v>
      </c>
      <c r="BZ145" s="2" t="s">
        <v>112</v>
      </c>
      <c r="CA145" s="2" t="s">
        <v>101</v>
      </c>
    </row>
    <row r="146">
      <c r="A146" s="2" t="s">
        <v>474</v>
      </c>
      <c r="B146" s="2" t="s">
        <v>88</v>
      </c>
      <c r="C146" s="2" t="s">
        <v>89</v>
      </c>
      <c r="D146" s="2" t="s">
        <v>90</v>
      </c>
      <c r="E146" s="2" t="s">
        <v>91</v>
      </c>
      <c r="F146" s="2" t="s">
        <v>458</v>
      </c>
      <c r="G146" s="2" t="s">
        <v>459</v>
      </c>
      <c r="H146" s="2" t="s">
        <v>460</v>
      </c>
      <c r="I146" s="2" t="s">
        <v>461</v>
      </c>
      <c r="J146" s="2" t="s">
        <v>263</v>
      </c>
      <c r="K146" s="2" t="s">
        <v>471</v>
      </c>
      <c r="L146" s="3">
        <v>21.42</v>
      </c>
      <c r="M146" s="3">
        <v>22.49</v>
      </c>
      <c r="N146" s="3">
        <v>44.99</v>
      </c>
      <c r="O146" s="2" t="s">
        <v>285</v>
      </c>
      <c r="P146" s="2" t="s">
        <v>403</v>
      </c>
      <c r="Q146" s="2" t="s">
        <v>100</v>
      </c>
      <c r="R146" s="2" t="s">
        <v>101</v>
      </c>
      <c r="S146" s="2" t="s">
        <v>472</v>
      </c>
      <c r="T146" s="2" t="s">
        <v>103</v>
      </c>
      <c r="U146" s="2" t="s">
        <v>115</v>
      </c>
      <c r="V146" s="2" t="s">
        <v>464</v>
      </c>
      <c r="W146" s="2" t="s">
        <v>310</v>
      </c>
      <c r="X146" s="2" t="s">
        <v>106</v>
      </c>
      <c r="Y146" s="2" t="s">
        <v>107</v>
      </c>
      <c r="Z146" s="4">
        <v>437</v>
      </c>
      <c r="AA146" s="4">
        <f>=ROUNDDOWN(24.5505617977528,0)</f>
      </c>
      <c r="AB146" s="5">
        <v>17.8</v>
      </c>
      <c r="AC146" s="2" t="s">
        <v>465</v>
      </c>
      <c r="AD146" s="4">
        <v>69</v>
      </c>
      <c r="AE146" s="4">
        <v>69</v>
      </c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1328</v>
      </c>
      <c r="BK146" s="8">
        <v>27541.38</v>
      </c>
      <c r="BL146" s="2" t="s">
        <v>473</v>
      </c>
      <c r="BM146" s="7"/>
      <c r="BN146" s="7"/>
      <c r="BO146" s="4"/>
      <c r="BP146" s="8"/>
      <c r="BQ146" s="4"/>
      <c r="BR146" s="8"/>
      <c r="BS146" s="7"/>
      <c r="BT146" s="7"/>
      <c r="BU146" s="2" t="s">
        <v>467</v>
      </c>
      <c r="BV146" s="2" t="s">
        <v>98</v>
      </c>
      <c r="BW146" s="2" t="s">
        <v>101</v>
      </c>
      <c r="BX146" s="2" t="s">
        <v>101</v>
      </c>
      <c r="BY146" s="2" t="s">
        <v>112</v>
      </c>
      <c r="BZ146" s="2" t="s">
        <v>112</v>
      </c>
      <c r="CA146" s="2" t="s">
        <v>101</v>
      </c>
    </row>
    <row r="147">
      <c r="A147" s="2" t="s">
        <v>475</v>
      </c>
      <c r="B147" s="2" t="s">
        <v>88</v>
      </c>
      <c r="C147" s="2" t="s">
        <v>89</v>
      </c>
      <c r="D147" s="2" t="s">
        <v>90</v>
      </c>
      <c r="E147" s="2" t="s">
        <v>91</v>
      </c>
      <c r="F147" s="2" t="s">
        <v>458</v>
      </c>
      <c r="G147" s="2" t="s">
        <v>459</v>
      </c>
      <c r="H147" s="2" t="s">
        <v>460</v>
      </c>
      <c r="I147" s="2" t="s">
        <v>461</v>
      </c>
      <c r="J147" s="2" t="s">
        <v>265</v>
      </c>
      <c r="K147" s="2" t="s">
        <v>471</v>
      </c>
      <c r="L147" s="3">
        <v>26.19</v>
      </c>
      <c r="M147" s="3">
        <v>27.5</v>
      </c>
      <c r="N147" s="3">
        <v>54.99</v>
      </c>
      <c r="O147" s="2" t="s">
        <v>285</v>
      </c>
      <c r="P147" s="2" t="s">
        <v>403</v>
      </c>
      <c r="Q147" s="2" t="s">
        <v>100</v>
      </c>
      <c r="R147" s="2" t="s">
        <v>101</v>
      </c>
      <c r="S147" s="2" t="s">
        <v>472</v>
      </c>
      <c r="T147" s="2" t="s">
        <v>103</v>
      </c>
      <c r="U147" s="2" t="s">
        <v>115</v>
      </c>
      <c r="V147" s="2" t="s">
        <v>464</v>
      </c>
      <c r="W147" s="2" t="s">
        <v>310</v>
      </c>
      <c r="X147" s="2" t="s">
        <v>106</v>
      </c>
      <c r="Y147" s="2" t="s">
        <v>124</v>
      </c>
      <c r="Z147" s="4">
        <v>172</v>
      </c>
      <c r="AA147" s="4">
        <f>=ROUNDDOWN(12.6470588235294,0)</f>
      </c>
      <c r="AB147" s="5">
        <v>13.6</v>
      </c>
      <c r="AC147" s="2" t="s">
        <v>465</v>
      </c>
      <c r="AD147" s="4">
        <v>291</v>
      </c>
      <c r="AE147" s="4">
        <v>291</v>
      </c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/>
      <c r="BJ147" s="4">
        <v>631</v>
      </c>
      <c r="BK147" s="8">
        <v>14606.87</v>
      </c>
      <c r="BL147" s="2" t="s">
        <v>466</v>
      </c>
      <c r="BM147" s="7"/>
      <c r="BN147" s="7"/>
      <c r="BO147" s="4"/>
      <c r="BP147" s="8"/>
      <c r="BQ147" s="4"/>
      <c r="BR147" s="8"/>
      <c r="BS147" s="7"/>
      <c r="BT147" s="7"/>
      <c r="BU147" s="2" t="s">
        <v>467</v>
      </c>
      <c r="BV147" s="2" t="s">
        <v>98</v>
      </c>
      <c r="BW147" s="2" t="s">
        <v>101</v>
      </c>
      <c r="BX147" s="2" t="s">
        <v>101</v>
      </c>
      <c r="BY147" s="2" t="s">
        <v>112</v>
      </c>
      <c r="BZ147" s="2" t="s">
        <v>112</v>
      </c>
      <c r="CA147" s="2" t="s">
        <v>101</v>
      </c>
    </row>
    <row r="148">
      <c r="A148" s="2" t="s">
        <v>476</v>
      </c>
      <c r="B148" s="2" t="s">
        <v>88</v>
      </c>
      <c r="C148" s="2" t="s">
        <v>89</v>
      </c>
      <c r="D148" s="2" t="s">
        <v>90</v>
      </c>
      <c r="E148" s="2" t="s">
        <v>91</v>
      </c>
      <c r="F148" s="2" t="s">
        <v>477</v>
      </c>
      <c r="G148" s="2" t="s">
        <v>478</v>
      </c>
      <c r="H148" s="2" t="s">
        <v>479</v>
      </c>
      <c r="I148" s="2" t="s">
        <v>480</v>
      </c>
      <c r="J148" s="2" t="s">
        <v>96</v>
      </c>
      <c r="K148" s="2" t="s">
        <v>306</v>
      </c>
      <c r="L148" s="3">
        <v>19.04</v>
      </c>
      <c r="M148" s="3">
        <v>19.99</v>
      </c>
      <c r="N148" s="3">
        <v>39.99</v>
      </c>
      <c r="O148" s="2" t="s">
        <v>98</v>
      </c>
      <c r="P148" s="2" t="s">
        <v>481</v>
      </c>
      <c r="Q148" s="2" t="s">
        <v>100</v>
      </c>
      <c r="R148" s="2" t="s">
        <v>101</v>
      </c>
      <c r="S148" s="2" t="s">
        <v>482</v>
      </c>
      <c r="T148" s="2" t="s">
        <v>103</v>
      </c>
      <c r="U148" s="2" t="s">
        <v>104</v>
      </c>
      <c r="V148" s="2" t="s">
        <v>105</v>
      </c>
      <c r="W148" s="2" t="s">
        <v>106</v>
      </c>
      <c r="X148" s="2" t="s">
        <v>310</v>
      </c>
      <c r="Y148" s="2" t="s">
        <v>483</v>
      </c>
      <c r="Z148" s="4">
        <v>329</v>
      </c>
      <c r="AA148" s="4">
        <f>=ROUNDDOWN(54.8333333333333,0)</f>
      </c>
      <c r="AB148" s="5">
        <v>6</v>
      </c>
      <c r="AC148" s="2" t="s">
        <v>101</v>
      </c>
      <c r="AD148" s="4"/>
      <c r="AE148" s="4"/>
      <c r="AF148" s="6">
        <v>63</v>
      </c>
      <c r="AG148" s="6"/>
      <c r="AH148" s="7">
        <v>0.8833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/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/>
      <c r="BJ148" s="4">
        <v>206</v>
      </c>
      <c r="BK148" s="8">
        <v>4238.23</v>
      </c>
      <c r="BL148" s="2" t="s">
        <v>484</v>
      </c>
      <c r="BM148" s="7"/>
      <c r="BN148" s="7"/>
      <c r="BO148" s="4"/>
      <c r="BP148" s="8"/>
      <c r="BQ148" s="4"/>
      <c r="BR148" s="8"/>
      <c r="BS148" s="7"/>
      <c r="BT148" s="7"/>
      <c r="BU148" s="2" t="s">
        <v>388</v>
      </c>
      <c r="BV148" s="2" t="s">
        <v>98</v>
      </c>
      <c r="BW148" s="2" t="s">
        <v>101</v>
      </c>
      <c r="BX148" s="2" t="s">
        <v>101</v>
      </c>
      <c r="BY148" s="2" t="s">
        <v>112</v>
      </c>
      <c r="BZ148" s="2" t="s">
        <v>112</v>
      </c>
      <c r="CA148" s="2" t="s">
        <v>101</v>
      </c>
    </row>
    <row r="149">
      <c r="A149" s="2" t="s">
        <v>485</v>
      </c>
      <c r="B149" s="2" t="s">
        <v>88</v>
      </c>
      <c r="C149" s="2" t="s">
        <v>89</v>
      </c>
      <c r="D149" s="2" t="s">
        <v>90</v>
      </c>
      <c r="E149" s="2" t="s">
        <v>91</v>
      </c>
      <c r="F149" s="2" t="s">
        <v>477</v>
      </c>
      <c r="G149" s="2" t="s">
        <v>478</v>
      </c>
      <c r="H149" s="2" t="s">
        <v>479</v>
      </c>
      <c r="I149" s="2" t="s">
        <v>480</v>
      </c>
      <c r="J149" s="2" t="s">
        <v>263</v>
      </c>
      <c r="K149" s="2" t="s">
        <v>306</v>
      </c>
      <c r="L149" s="3">
        <v>23.8</v>
      </c>
      <c r="M149" s="3">
        <v>24.99</v>
      </c>
      <c r="N149" s="3">
        <v>49.99</v>
      </c>
      <c r="O149" s="2" t="s">
        <v>98</v>
      </c>
      <c r="P149" s="2" t="s">
        <v>481</v>
      </c>
      <c r="Q149" s="2" t="s">
        <v>100</v>
      </c>
      <c r="R149" s="2" t="s">
        <v>101</v>
      </c>
      <c r="S149" s="2" t="s">
        <v>482</v>
      </c>
      <c r="T149" s="2" t="s">
        <v>103</v>
      </c>
      <c r="U149" s="2" t="s">
        <v>115</v>
      </c>
      <c r="V149" s="2" t="s">
        <v>105</v>
      </c>
      <c r="W149" s="2" t="s">
        <v>106</v>
      </c>
      <c r="X149" s="2" t="s">
        <v>310</v>
      </c>
      <c r="Y149" s="2" t="s">
        <v>483</v>
      </c>
      <c r="Z149" s="4">
        <v>1255</v>
      </c>
      <c r="AA149" s="4">
        <f>=ROUNDDOWN(139.444444444444,0)</f>
      </c>
      <c r="AB149" s="5">
        <v>9</v>
      </c>
      <c r="AC149" s="2" t="s">
        <v>101</v>
      </c>
      <c r="AD149" s="4"/>
      <c r="AE149" s="4"/>
      <c r="AF149" s="6">
        <v>63</v>
      </c>
      <c r="AG149" s="6"/>
      <c r="AH149" s="7">
        <v>0.8833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/>
      <c r="BJ149" s="4">
        <v>362</v>
      </c>
      <c r="BK149" s="8">
        <v>9436.83</v>
      </c>
      <c r="BL149" s="2" t="s">
        <v>486</v>
      </c>
      <c r="BM149" s="7"/>
      <c r="BN149" s="7"/>
      <c r="BO149" s="4"/>
      <c r="BP149" s="8"/>
      <c r="BQ149" s="4"/>
      <c r="BR149" s="8"/>
      <c r="BS149" s="7"/>
      <c r="BT149" s="7"/>
      <c r="BU149" s="2" t="s">
        <v>388</v>
      </c>
      <c r="BV149" s="2" t="s">
        <v>98</v>
      </c>
      <c r="BW149" s="2" t="s">
        <v>101</v>
      </c>
      <c r="BX149" s="2" t="s">
        <v>101</v>
      </c>
      <c r="BY149" s="2" t="s">
        <v>112</v>
      </c>
      <c r="BZ149" s="2" t="s">
        <v>112</v>
      </c>
      <c r="CA149" s="2" t="s">
        <v>101</v>
      </c>
    </row>
    <row r="150">
      <c r="A150" s="2" t="s">
        <v>487</v>
      </c>
      <c r="B150" s="2" t="s">
        <v>88</v>
      </c>
      <c r="C150" s="2" t="s">
        <v>89</v>
      </c>
      <c r="D150" s="2" t="s">
        <v>90</v>
      </c>
      <c r="E150" s="2" t="s">
        <v>91</v>
      </c>
      <c r="F150" s="2" t="s">
        <v>477</v>
      </c>
      <c r="G150" s="2" t="s">
        <v>478</v>
      </c>
      <c r="H150" s="2" t="s">
        <v>479</v>
      </c>
      <c r="I150" s="2" t="s">
        <v>480</v>
      </c>
      <c r="J150" s="2" t="s">
        <v>265</v>
      </c>
      <c r="K150" s="2" t="s">
        <v>306</v>
      </c>
      <c r="L150" s="3">
        <v>26.19</v>
      </c>
      <c r="M150" s="3">
        <v>27.5</v>
      </c>
      <c r="N150" s="3">
        <v>54.99</v>
      </c>
      <c r="O150" s="2" t="s">
        <v>98</v>
      </c>
      <c r="P150" s="2" t="s">
        <v>481</v>
      </c>
      <c r="Q150" s="2" t="s">
        <v>100</v>
      </c>
      <c r="R150" s="2" t="s">
        <v>101</v>
      </c>
      <c r="S150" s="2" t="s">
        <v>482</v>
      </c>
      <c r="T150" s="2" t="s">
        <v>103</v>
      </c>
      <c r="U150" s="2" t="s">
        <v>115</v>
      </c>
      <c r="V150" s="2" t="s">
        <v>105</v>
      </c>
      <c r="W150" s="2" t="s">
        <v>106</v>
      </c>
      <c r="X150" s="2" t="s">
        <v>310</v>
      </c>
      <c r="Y150" s="2" t="s">
        <v>383</v>
      </c>
      <c r="Z150" s="4">
        <v>1059</v>
      </c>
      <c r="AA150" s="4">
        <f>=ROUNDDOWN(179.491525423729,0)</f>
      </c>
      <c r="AB150" s="5">
        <v>5.9</v>
      </c>
      <c r="AC150" s="2" t="s">
        <v>101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203</v>
      </c>
      <c r="BK150" s="8">
        <v>5399.76</v>
      </c>
      <c r="BL150" s="2" t="s">
        <v>488</v>
      </c>
      <c r="BM150" s="7"/>
      <c r="BN150" s="7"/>
      <c r="BO150" s="4"/>
      <c r="BP150" s="8"/>
      <c r="BQ150" s="4"/>
      <c r="BR150" s="8"/>
      <c r="BS150" s="7"/>
      <c r="BT150" s="7"/>
      <c r="BU150" s="2" t="s">
        <v>388</v>
      </c>
      <c r="BV150" s="2" t="s">
        <v>98</v>
      </c>
      <c r="BW150" s="2" t="s">
        <v>101</v>
      </c>
      <c r="BX150" s="2" t="s">
        <v>101</v>
      </c>
      <c r="BY150" s="2" t="s">
        <v>112</v>
      </c>
      <c r="BZ150" s="2" t="s">
        <v>112</v>
      </c>
      <c r="CA150" s="2" t="s">
        <v>101</v>
      </c>
    </row>
    <row r="151">
      <c r="A151" s="2" t="s">
        <v>489</v>
      </c>
      <c r="B151" s="2" t="s">
        <v>88</v>
      </c>
      <c r="C151" s="2" t="s">
        <v>89</v>
      </c>
      <c r="D151" s="2" t="s">
        <v>90</v>
      </c>
      <c r="E151" s="2" t="s">
        <v>91</v>
      </c>
      <c r="F151" s="2" t="s">
        <v>477</v>
      </c>
      <c r="G151" s="2" t="s">
        <v>478</v>
      </c>
      <c r="H151" s="2" t="s">
        <v>479</v>
      </c>
      <c r="I151" s="2" t="s">
        <v>480</v>
      </c>
      <c r="J151" s="2" t="s">
        <v>96</v>
      </c>
      <c r="K151" s="2" t="s">
        <v>153</v>
      </c>
      <c r="L151" s="3">
        <v>19.04</v>
      </c>
      <c r="M151" s="3">
        <v>19.99</v>
      </c>
      <c r="N151" s="3">
        <v>39.99</v>
      </c>
      <c r="O151" s="2" t="s">
        <v>98</v>
      </c>
      <c r="P151" s="2" t="s">
        <v>481</v>
      </c>
      <c r="Q151" s="2" t="s">
        <v>100</v>
      </c>
      <c r="R151" s="2" t="s">
        <v>101</v>
      </c>
      <c r="S151" s="2" t="s">
        <v>490</v>
      </c>
      <c r="T151" s="2" t="s">
        <v>103</v>
      </c>
      <c r="U151" s="2" t="s">
        <v>104</v>
      </c>
      <c r="V151" s="2" t="s">
        <v>105</v>
      </c>
      <c r="W151" s="2" t="s">
        <v>106</v>
      </c>
      <c r="X151" s="2" t="s">
        <v>310</v>
      </c>
      <c r="Y151" s="2" t="s">
        <v>483</v>
      </c>
      <c r="Z151" s="4">
        <v>473</v>
      </c>
      <c r="AA151" s="4">
        <f>=ROUNDDOWN(118.25,0)</f>
      </c>
      <c r="AB151" s="5">
        <v>4</v>
      </c>
      <c r="AC151" s="2" t="s">
        <v>101</v>
      </c>
      <c r="AD151" s="4"/>
      <c r="AE151" s="4"/>
      <c r="AF151" s="6">
        <v>63</v>
      </c>
      <c r="AG151" s="6"/>
      <c r="AH151" s="7">
        <v>0.8933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/>
      <c r="BJ151" s="4">
        <v>139</v>
      </c>
      <c r="BK151" s="8">
        <v>2580.7</v>
      </c>
      <c r="BL151" s="2" t="s">
        <v>488</v>
      </c>
      <c r="BM151" s="7"/>
      <c r="BN151" s="7"/>
      <c r="BO151" s="4"/>
      <c r="BP151" s="8"/>
      <c r="BQ151" s="4"/>
      <c r="BR151" s="8"/>
      <c r="BS151" s="7"/>
      <c r="BT151" s="7"/>
      <c r="BU151" s="2" t="s">
        <v>388</v>
      </c>
      <c r="BV151" s="2" t="s">
        <v>98</v>
      </c>
      <c r="BW151" s="2" t="s">
        <v>101</v>
      </c>
      <c r="BX151" s="2" t="s">
        <v>101</v>
      </c>
      <c r="BY151" s="2" t="s">
        <v>112</v>
      </c>
      <c r="BZ151" s="2" t="s">
        <v>112</v>
      </c>
      <c r="CA151" s="2" t="s">
        <v>101</v>
      </c>
    </row>
    <row r="152">
      <c r="A152" s="2" t="s">
        <v>491</v>
      </c>
      <c r="B152" s="2" t="s">
        <v>88</v>
      </c>
      <c r="C152" s="2" t="s">
        <v>89</v>
      </c>
      <c r="D152" s="2" t="s">
        <v>90</v>
      </c>
      <c r="E152" s="2" t="s">
        <v>91</v>
      </c>
      <c r="F152" s="2" t="s">
        <v>477</v>
      </c>
      <c r="G152" s="2" t="s">
        <v>478</v>
      </c>
      <c r="H152" s="2" t="s">
        <v>479</v>
      </c>
      <c r="I152" s="2" t="s">
        <v>480</v>
      </c>
      <c r="J152" s="2" t="s">
        <v>263</v>
      </c>
      <c r="K152" s="2" t="s">
        <v>153</v>
      </c>
      <c r="L152" s="3">
        <v>23.8</v>
      </c>
      <c r="M152" s="3">
        <v>24.99</v>
      </c>
      <c r="N152" s="3">
        <v>49.99</v>
      </c>
      <c r="O152" s="2" t="s">
        <v>98</v>
      </c>
      <c r="P152" s="2" t="s">
        <v>481</v>
      </c>
      <c r="Q152" s="2" t="s">
        <v>100</v>
      </c>
      <c r="R152" s="2" t="s">
        <v>101</v>
      </c>
      <c r="S152" s="2" t="s">
        <v>490</v>
      </c>
      <c r="T152" s="2" t="s">
        <v>103</v>
      </c>
      <c r="U152" s="2" t="s">
        <v>115</v>
      </c>
      <c r="V152" s="2" t="s">
        <v>105</v>
      </c>
      <c r="W152" s="2" t="s">
        <v>106</v>
      </c>
      <c r="X152" s="2" t="s">
        <v>310</v>
      </c>
      <c r="Y152" s="2" t="s">
        <v>483</v>
      </c>
      <c r="Z152" s="4">
        <v>1797</v>
      </c>
      <c r="AA152" s="4">
        <f>=ROUNDDOWN(199.666666666667,0)</f>
      </c>
      <c r="AB152" s="5">
        <v>9</v>
      </c>
      <c r="AC152" s="2" t="s">
        <v>101</v>
      </c>
      <c r="AD152" s="4"/>
      <c r="AE152" s="4"/>
      <c r="AF152" s="6">
        <v>63</v>
      </c>
      <c r="AG152" s="6"/>
      <c r="AH152" s="7">
        <v>0.8933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380</v>
      </c>
      <c r="BK152" s="8">
        <v>9171.27</v>
      </c>
      <c r="BL152" s="2" t="s">
        <v>486</v>
      </c>
      <c r="BM152" s="7"/>
      <c r="BN152" s="7"/>
      <c r="BO152" s="4"/>
      <c r="BP152" s="8"/>
      <c r="BQ152" s="4"/>
      <c r="BR152" s="8"/>
      <c r="BS152" s="7"/>
      <c r="BT152" s="7"/>
      <c r="BU152" s="2" t="s">
        <v>388</v>
      </c>
      <c r="BV152" s="2" t="s">
        <v>98</v>
      </c>
      <c r="BW152" s="2" t="s">
        <v>101</v>
      </c>
      <c r="BX152" s="2" t="s">
        <v>101</v>
      </c>
      <c r="BY152" s="2" t="s">
        <v>112</v>
      </c>
      <c r="BZ152" s="2" t="s">
        <v>112</v>
      </c>
      <c r="CA152" s="2" t="s">
        <v>101</v>
      </c>
    </row>
    <row r="153">
      <c r="A153" s="2" t="s">
        <v>492</v>
      </c>
      <c r="B153" s="2" t="s">
        <v>88</v>
      </c>
      <c r="C153" s="2" t="s">
        <v>89</v>
      </c>
      <c r="D153" s="2" t="s">
        <v>90</v>
      </c>
      <c r="E153" s="2" t="s">
        <v>91</v>
      </c>
      <c r="F153" s="2" t="s">
        <v>477</v>
      </c>
      <c r="G153" s="2" t="s">
        <v>478</v>
      </c>
      <c r="H153" s="2" t="s">
        <v>479</v>
      </c>
      <c r="I153" s="2" t="s">
        <v>480</v>
      </c>
      <c r="J153" s="2" t="s">
        <v>265</v>
      </c>
      <c r="K153" s="2" t="s">
        <v>153</v>
      </c>
      <c r="L153" s="3">
        <v>26.19</v>
      </c>
      <c r="M153" s="3">
        <v>27.5</v>
      </c>
      <c r="N153" s="3">
        <v>54.99</v>
      </c>
      <c r="O153" s="2" t="s">
        <v>98</v>
      </c>
      <c r="P153" s="2" t="s">
        <v>481</v>
      </c>
      <c r="Q153" s="2" t="s">
        <v>100</v>
      </c>
      <c r="R153" s="2" t="s">
        <v>101</v>
      </c>
      <c r="S153" s="2" t="s">
        <v>490</v>
      </c>
      <c r="T153" s="2" t="s">
        <v>103</v>
      </c>
      <c r="U153" s="2" t="s">
        <v>115</v>
      </c>
      <c r="V153" s="2" t="s">
        <v>105</v>
      </c>
      <c r="W153" s="2" t="s">
        <v>106</v>
      </c>
      <c r="X153" s="2" t="s">
        <v>310</v>
      </c>
      <c r="Y153" s="2" t="s">
        <v>368</v>
      </c>
      <c r="Z153" s="4">
        <v>1613</v>
      </c>
      <c r="AA153" s="4">
        <f>=ROUNDDOWN(273.389830508475,0)</f>
      </c>
      <c r="AB153" s="5">
        <v>5.9</v>
      </c>
      <c r="AC153" s="2" t="s">
        <v>101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/>
      <c r="BJ153" s="4">
        <v>222</v>
      </c>
      <c r="BK153" s="8">
        <v>5770.28</v>
      </c>
      <c r="BL153" s="2" t="s">
        <v>488</v>
      </c>
      <c r="BM153" s="7"/>
      <c r="BN153" s="7"/>
      <c r="BO153" s="4"/>
      <c r="BP153" s="8"/>
      <c r="BQ153" s="4"/>
      <c r="BR153" s="8"/>
      <c r="BS153" s="7"/>
      <c r="BT153" s="7"/>
      <c r="BU153" s="2" t="s">
        <v>388</v>
      </c>
      <c r="BV153" s="2" t="s">
        <v>98</v>
      </c>
      <c r="BW153" s="2" t="s">
        <v>101</v>
      </c>
      <c r="BX153" s="2" t="s">
        <v>101</v>
      </c>
      <c r="BY153" s="2" t="s">
        <v>112</v>
      </c>
      <c r="BZ153" s="2" t="s">
        <v>112</v>
      </c>
      <c r="CA153" s="2" t="s">
        <v>101</v>
      </c>
    </row>
    <row r="154">
      <c r="A154" s="2" t="s">
        <v>493</v>
      </c>
      <c r="B154" s="2" t="s">
        <v>88</v>
      </c>
      <c r="C154" s="2" t="s">
        <v>89</v>
      </c>
      <c r="D154" s="2" t="s">
        <v>90</v>
      </c>
      <c r="E154" s="2" t="s">
        <v>91</v>
      </c>
      <c r="F154" s="2" t="s">
        <v>477</v>
      </c>
      <c r="G154" s="2" t="s">
        <v>478</v>
      </c>
      <c r="H154" s="2" t="s">
        <v>479</v>
      </c>
      <c r="I154" s="2" t="s">
        <v>480</v>
      </c>
      <c r="J154" s="2" t="s">
        <v>96</v>
      </c>
      <c r="K154" s="2" t="s">
        <v>494</v>
      </c>
      <c r="L154" s="3">
        <v>19.04</v>
      </c>
      <c r="M154" s="3">
        <v>19.99</v>
      </c>
      <c r="N154" s="3">
        <v>39.99</v>
      </c>
      <c r="O154" s="2" t="s">
        <v>98</v>
      </c>
      <c r="P154" s="2" t="s">
        <v>481</v>
      </c>
      <c r="Q154" s="2" t="s">
        <v>100</v>
      </c>
      <c r="R154" s="2" t="s">
        <v>101</v>
      </c>
      <c r="S154" s="2" t="s">
        <v>495</v>
      </c>
      <c r="T154" s="2" t="s">
        <v>103</v>
      </c>
      <c r="U154" s="2" t="s">
        <v>104</v>
      </c>
      <c r="V154" s="2" t="s">
        <v>105</v>
      </c>
      <c r="W154" s="2" t="s">
        <v>106</v>
      </c>
      <c r="X154" s="2" t="s">
        <v>310</v>
      </c>
      <c r="Y154" s="2" t="s">
        <v>368</v>
      </c>
      <c r="Z154" s="4">
        <v>478</v>
      </c>
      <c r="AA154" s="4">
        <f>=ROUNDDOWN(239,0)</f>
      </c>
      <c r="AB154" s="5">
        <v>2</v>
      </c>
      <c r="AC154" s="2" t="s">
        <v>101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/>
      <c r="BJ154" s="4">
        <v>49</v>
      </c>
      <c r="BK154" s="8">
        <v>1200.38</v>
      </c>
      <c r="BL154" s="2" t="s">
        <v>488</v>
      </c>
      <c r="BM154" s="7"/>
      <c r="BN154" s="7"/>
      <c r="BO154" s="4"/>
      <c r="BP154" s="8"/>
      <c r="BQ154" s="4"/>
      <c r="BR154" s="8"/>
      <c r="BS154" s="7"/>
      <c r="BT154" s="7"/>
      <c r="BU154" s="2" t="s">
        <v>388</v>
      </c>
      <c r="BV154" s="2" t="s">
        <v>98</v>
      </c>
      <c r="BW154" s="2" t="s">
        <v>101</v>
      </c>
      <c r="BX154" s="2" t="s">
        <v>101</v>
      </c>
      <c r="BY154" s="2" t="s">
        <v>112</v>
      </c>
      <c r="BZ154" s="2" t="s">
        <v>112</v>
      </c>
      <c r="CA154" s="2" t="s">
        <v>101</v>
      </c>
    </row>
    <row r="155">
      <c r="A155" s="2" t="s">
        <v>496</v>
      </c>
      <c r="B155" s="2" t="s">
        <v>88</v>
      </c>
      <c r="C155" s="2" t="s">
        <v>89</v>
      </c>
      <c r="D155" s="2" t="s">
        <v>90</v>
      </c>
      <c r="E155" s="2" t="s">
        <v>91</v>
      </c>
      <c r="F155" s="2" t="s">
        <v>477</v>
      </c>
      <c r="G155" s="2" t="s">
        <v>478</v>
      </c>
      <c r="H155" s="2" t="s">
        <v>479</v>
      </c>
      <c r="I155" s="2" t="s">
        <v>480</v>
      </c>
      <c r="J155" s="2" t="s">
        <v>263</v>
      </c>
      <c r="K155" s="2" t="s">
        <v>494</v>
      </c>
      <c r="L155" s="3">
        <v>23.8</v>
      </c>
      <c r="M155" s="3">
        <v>24.99</v>
      </c>
      <c r="N155" s="3">
        <v>49.99</v>
      </c>
      <c r="O155" s="2" t="s">
        <v>98</v>
      </c>
      <c r="P155" s="2" t="s">
        <v>481</v>
      </c>
      <c r="Q155" s="2" t="s">
        <v>100</v>
      </c>
      <c r="R155" s="2" t="s">
        <v>101</v>
      </c>
      <c r="S155" s="2" t="s">
        <v>495</v>
      </c>
      <c r="T155" s="2" t="s">
        <v>103</v>
      </c>
      <c r="U155" s="2" t="s">
        <v>115</v>
      </c>
      <c r="V155" s="2" t="s">
        <v>105</v>
      </c>
      <c r="W155" s="2" t="s">
        <v>106</v>
      </c>
      <c r="X155" s="2" t="s">
        <v>310</v>
      </c>
      <c r="Y155" s="2" t="s">
        <v>383</v>
      </c>
      <c r="Z155" s="4">
        <v>1386</v>
      </c>
      <c r="AA155" s="4">
        <f>=ROUNDDOWN(247.5,0)</f>
      </c>
      <c r="AB155" s="5">
        <v>5.6</v>
      </c>
      <c r="AC155" s="2" t="s">
        <v>101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148</v>
      </c>
      <c r="BK155" s="8">
        <v>4397.05</v>
      </c>
      <c r="BL155" s="2" t="s">
        <v>497</v>
      </c>
      <c r="BM155" s="7"/>
      <c r="BN155" s="7"/>
      <c r="BO155" s="4"/>
      <c r="BP155" s="8"/>
      <c r="BQ155" s="4"/>
      <c r="BR155" s="8"/>
      <c r="BS155" s="7"/>
      <c r="BT155" s="7"/>
      <c r="BU155" s="2" t="s">
        <v>388</v>
      </c>
      <c r="BV155" s="2" t="s">
        <v>98</v>
      </c>
      <c r="BW155" s="2" t="s">
        <v>101</v>
      </c>
      <c r="BX155" s="2" t="s">
        <v>101</v>
      </c>
      <c r="BY155" s="2" t="s">
        <v>112</v>
      </c>
      <c r="BZ155" s="2" t="s">
        <v>112</v>
      </c>
      <c r="CA155" s="2" t="s">
        <v>101</v>
      </c>
    </row>
    <row r="156">
      <c r="A156" s="2" t="s">
        <v>498</v>
      </c>
      <c r="B156" s="2" t="s">
        <v>88</v>
      </c>
      <c r="C156" s="2" t="s">
        <v>89</v>
      </c>
      <c r="D156" s="2" t="s">
        <v>90</v>
      </c>
      <c r="E156" s="2" t="s">
        <v>91</v>
      </c>
      <c r="F156" s="2" t="s">
        <v>477</v>
      </c>
      <c r="G156" s="2" t="s">
        <v>478</v>
      </c>
      <c r="H156" s="2" t="s">
        <v>479</v>
      </c>
      <c r="I156" s="2" t="s">
        <v>480</v>
      </c>
      <c r="J156" s="2" t="s">
        <v>265</v>
      </c>
      <c r="K156" s="2" t="s">
        <v>494</v>
      </c>
      <c r="L156" s="3">
        <v>26.19</v>
      </c>
      <c r="M156" s="3">
        <v>27.5</v>
      </c>
      <c r="N156" s="3">
        <v>54.99</v>
      </c>
      <c r="O156" s="2" t="s">
        <v>98</v>
      </c>
      <c r="P156" s="2" t="s">
        <v>481</v>
      </c>
      <c r="Q156" s="2" t="s">
        <v>100</v>
      </c>
      <c r="R156" s="2" t="s">
        <v>101</v>
      </c>
      <c r="S156" s="2" t="s">
        <v>495</v>
      </c>
      <c r="T156" s="2" t="s">
        <v>103</v>
      </c>
      <c r="U156" s="2" t="s">
        <v>115</v>
      </c>
      <c r="V156" s="2" t="s">
        <v>105</v>
      </c>
      <c r="W156" s="2" t="s">
        <v>106</v>
      </c>
      <c r="X156" s="2" t="s">
        <v>310</v>
      </c>
      <c r="Y156" s="2" t="s">
        <v>383</v>
      </c>
      <c r="Z156" s="4">
        <v>1205</v>
      </c>
      <c r="AA156" s="4">
        <f>=ROUNDDOWN(1338.88888888889,0)</f>
      </c>
      <c r="AB156" s="5">
        <v>0.9</v>
      </c>
      <c r="AC156" s="2" t="s">
        <v>101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>
        <v>44</v>
      </c>
      <c r="BK156" s="8">
        <v>1325.65</v>
      </c>
      <c r="BL156" s="2" t="s">
        <v>499</v>
      </c>
      <c r="BM156" s="7"/>
      <c r="BN156" s="7"/>
      <c r="BO156" s="4"/>
      <c r="BP156" s="8"/>
      <c r="BQ156" s="4"/>
      <c r="BR156" s="8"/>
      <c r="BS156" s="7"/>
      <c r="BT156" s="7"/>
      <c r="BU156" s="2" t="s">
        <v>388</v>
      </c>
      <c r="BV156" s="2" t="s">
        <v>98</v>
      </c>
      <c r="BW156" s="2" t="s">
        <v>101</v>
      </c>
      <c r="BX156" s="2" t="s">
        <v>101</v>
      </c>
      <c r="BY156" s="2" t="s">
        <v>112</v>
      </c>
      <c r="BZ156" s="2" t="s">
        <v>112</v>
      </c>
      <c r="CA156" s="2" t="s">
        <v>101</v>
      </c>
    </row>
    <row r="157">
      <c r="A157" s="2" t="s">
        <v>500</v>
      </c>
      <c r="B157" s="2" t="s">
        <v>88</v>
      </c>
      <c r="C157" s="2" t="s">
        <v>89</v>
      </c>
      <c r="D157" s="2" t="s">
        <v>90</v>
      </c>
      <c r="E157" s="2" t="s">
        <v>501</v>
      </c>
      <c r="F157" s="2" t="s">
        <v>431</v>
      </c>
      <c r="G157" s="2" t="s">
        <v>432</v>
      </c>
      <c r="H157" s="2" t="s">
        <v>433</v>
      </c>
      <c r="I157" s="2" t="s">
        <v>502</v>
      </c>
      <c r="J157" s="2" t="s">
        <v>96</v>
      </c>
      <c r="K157" s="2" t="s">
        <v>163</v>
      </c>
      <c r="L157" s="3">
        <v>28.59</v>
      </c>
      <c r="M157" s="3">
        <v>30.02</v>
      </c>
      <c r="N157" s="3">
        <v>54.99</v>
      </c>
      <c r="O157" s="2" t="s">
        <v>98</v>
      </c>
      <c r="P157" s="2" t="s">
        <v>245</v>
      </c>
      <c r="Q157" s="2" t="s">
        <v>100</v>
      </c>
      <c r="R157" s="2" t="s">
        <v>101</v>
      </c>
      <c r="S157" s="2" t="s">
        <v>442</v>
      </c>
      <c r="T157" s="2" t="s">
        <v>103</v>
      </c>
      <c r="U157" s="2" t="s">
        <v>503</v>
      </c>
      <c r="V157" s="2" t="s">
        <v>436</v>
      </c>
      <c r="W157" s="2" t="s">
        <v>106</v>
      </c>
      <c r="X157" s="2" t="s">
        <v>101</v>
      </c>
      <c r="Y157" s="2" t="s">
        <v>438</v>
      </c>
      <c r="Z157" s="4">
        <v>181</v>
      </c>
      <c r="AA157" s="4">
        <f>=ROUNDDOWN(45.25,0)</f>
      </c>
      <c r="AB157" s="5">
        <v>4</v>
      </c>
      <c r="AC157" s="2" t="s">
        <v>101</v>
      </c>
      <c r="AD157" s="4"/>
      <c r="AE157" s="4"/>
      <c r="AF157" s="6">
        <v>63</v>
      </c>
      <c r="AG157" s="6"/>
      <c r="AH157" s="7">
        <v>0.7881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>
        <v>129</v>
      </c>
      <c r="AQ157" s="8">
        <v>3547.5</v>
      </c>
      <c r="AR157" s="4"/>
      <c r="AS157" s="8"/>
      <c r="AT157" s="7"/>
      <c r="AU157" s="7"/>
      <c r="AV157" s="4">
        <v>584</v>
      </c>
      <c r="AW157" s="8">
        <v>18197.2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>
        <v>0.1949</v>
      </c>
      <c r="BC157" s="4">
        <v>1649</v>
      </c>
      <c r="BD157" s="8">
        <v>50951.7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>
        <v>0.3571</v>
      </c>
      <c r="BJ157" s="4">
        <v>180</v>
      </c>
      <c r="BK157" s="8">
        <v>5195.21</v>
      </c>
      <c r="BL157" s="2" t="s">
        <v>176</v>
      </c>
      <c r="BM157" s="7">
        <v>0.7167</v>
      </c>
      <c r="BN157" s="7">
        <v>0.6828</v>
      </c>
      <c r="BO157" s="4">
        <v>129</v>
      </c>
      <c r="BP157" s="8">
        <v>3547.5</v>
      </c>
      <c r="BQ157" s="4"/>
      <c r="BR157" s="8"/>
      <c r="BS157" s="7"/>
      <c r="BT157" s="7"/>
      <c r="BU157" s="2" t="s">
        <v>110</v>
      </c>
      <c r="BV157" s="2" t="s">
        <v>98</v>
      </c>
      <c r="BW157" s="2" t="s">
        <v>101</v>
      </c>
      <c r="BX157" s="2" t="s">
        <v>261</v>
      </c>
      <c r="BY157" s="2" t="s">
        <v>112</v>
      </c>
      <c r="BZ157" s="2" t="s">
        <v>112</v>
      </c>
      <c r="CA157" s="2" t="s">
        <v>101</v>
      </c>
    </row>
    <row r="158">
      <c r="A158" s="2" t="s">
        <v>504</v>
      </c>
      <c r="B158" s="2" t="s">
        <v>88</v>
      </c>
      <c r="C158" s="2" t="s">
        <v>89</v>
      </c>
      <c r="D158" s="2" t="s">
        <v>90</v>
      </c>
      <c r="E158" s="2" t="s">
        <v>501</v>
      </c>
      <c r="F158" s="2" t="s">
        <v>431</v>
      </c>
      <c r="G158" s="2" t="s">
        <v>432</v>
      </c>
      <c r="H158" s="2" t="s">
        <v>433</v>
      </c>
      <c r="I158" s="2" t="s">
        <v>502</v>
      </c>
      <c r="J158" s="2" t="s">
        <v>114</v>
      </c>
      <c r="K158" s="2" t="s">
        <v>163</v>
      </c>
      <c r="L158" s="3">
        <v>31.19</v>
      </c>
      <c r="M158" s="3">
        <v>32.75</v>
      </c>
      <c r="N158" s="3">
        <v>59.99</v>
      </c>
      <c r="O158" s="2" t="s">
        <v>98</v>
      </c>
      <c r="P158" s="2" t="s">
        <v>245</v>
      </c>
      <c r="Q158" s="2" t="s">
        <v>100</v>
      </c>
      <c r="R158" s="2" t="s">
        <v>101</v>
      </c>
      <c r="S158" s="2" t="s">
        <v>442</v>
      </c>
      <c r="T158" s="2" t="s">
        <v>103</v>
      </c>
      <c r="U158" s="2" t="s">
        <v>505</v>
      </c>
      <c r="V158" s="2" t="s">
        <v>436</v>
      </c>
      <c r="W158" s="2" t="s">
        <v>106</v>
      </c>
      <c r="X158" s="2" t="s">
        <v>101</v>
      </c>
      <c r="Y158" s="2" t="s">
        <v>438</v>
      </c>
      <c r="Z158" s="4">
        <v>101</v>
      </c>
      <c r="AA158" s="4">
        <f>=ROUNDDOWN(8.93805309734513,0)</f>
      </c>
      <c r="AB158" s="5">
        <v>11.3</v>
      </c>
      <c r="AC158" s="2" t="s">
        <v>101</v>
      </c>
      <c r="AD158" s="4"/>
      <c r="AE158" s="4"/>
      <c r="AF158" s="6">
        <v>63</v>
      </c>
      <c r="AG158" s="6"/>
      <c r="AH158" s="7">
        <v>0.7714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>
        <v>238</v>
      </c>
      <c r="AQ158" s="8">
        <v>7368.7</v>
      </c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>
        <v>0.4049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 t="s">
        <v>101</v>
      </c>
      <c r="BJ158" s="4">
        <v>344</v>
      </c>
      <c r="BK158" s="8">
        <v>12151.37</v>
      </c>
      <c r="BL158" s="2" t="s">
        <v>506</v>
      </c>
      <c r="BM158" s="7">
        <v>0.6919</v>
      </c>
      <c r="BN158" s="7">
        <v>0.6064</v>
      </c>
      <c r="BO158" s="4">
        <v>238</v>
      </c>
      <c r="BP158" s="8">
        <v>7368.7</v>
      </c>
      <c r="BQ158" s="4"/>
      <c r="BR158" s="8"/>
      <c r="BS158" s="7"/>
      <c r="BT158" s="7"/>
      <c r="BU158" s="2" t="s">
        <v>110</v>
      </c>
      <c r="BV158" s="2" t="s">
        <v>98</v>
      </c>
      <c r="BW158" s="2" t="s">
        <v>101</v>
      </c>
      <c r="BX158" s="2" t="s">
        <v>261</v>
      </c>
      <c r="BY158" s="2" t="s">
        <v>112</v>
      </c>
      <c r="BZ158" s="2" t="s">
        <v>112</v>
      </c>
      <c r="CA158" s="2" t="s">
        <v>101</v>
      </c>
    </row>
    <row r="159">
      <c r="A159" s="2" t="s">
        <v>507</v>
      </c>
      <c r="B159" s="2" t="s">
        <v>88</v>
      </c>
      <c r="C159" s="2" t="s">
        <v>89</v>
      </c>
      <c r="D159" s="2" t="s">
        <v>90</v>
      </c>
      <c r="E159" s="2" t="s">
        <v>501</v>
      </c>
      <c r="F159" s="2" t="s">
        <v>431</v>
      </c>
      <c r="G159" s="2" t="s">
        <v>432</v>
      </c>
      <c r="H159" s="2" t="s">
        <v>433</v>
      </c>
      <c r="I159" s="2" t="s">
        <v>502</v>
      </c>
      <c r="J159" s="2" t="s">
        <v>121</v>
      </c>
      <c r="K159" s="2" t="s">
        <v>163</v>
      </c>
      <c r="L159" s="3">
        <v>33.79</v>
      </c>
      <c r="M159" s="3">
        <v>35.48</v>
      </c>
      <c r="N159" s="3">
        <v>64.99</v>
      </c>
      <c r="O159" s="2" t="s">
        <v>98</v>
      </c>
      <c r="P159" s="2" t="s">
        <v>245</v>
      </c>
      <c r="Q159" s="2" t="s">
        <v>100</v>
      </c>
      <c r="R159" s="2" t="s">
        <v>101</v>
      </c>
      <c r="S159" s="2" t="s">
        <v>442</v>
      </c>
      <c r="T159" s="2" t="s">
        <v>103</v>
      </c>
      <c r="U159" s="2" t="s">
        <v>505</v>
      </c>
      <c r="V159" s="2" t="s">
        <v>436</v>
      </c>
      <c r="W159" s="2" t="s">
        <v>106</v>
      </c>
      <c r="X159" s="2" t="s">
        <v>101</v>
      </c>
      <c r="Y159" s="2" t="s">
        <v>438</v>
      </c>
      <c r="Z159" s="4">
        <v>507</v>
      </c>
      <c r="AA159" s="4">
        <f>=ROUNDDOWN(64.1772151898734,0)</f>
      </c>
      <c r="AB159" s="5">
        <v>7.9</v>
      </c>
      <c r="AC159" s="2" t="s">
        <v>101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>
        <v>193</v>
      </c>
      <c r="AQ159" s="8">
        <v>6369</v>
      </c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0.35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313</v>
      </c>
      <c r="BK159" s="8">
        <v>11669.12</v>
      </c>
      <c r="BL159" s="2" t="s">
        <v>176</v>
      </c>
      <c r="BM159" s="7">
        <v>0.6166</v>
      </c>
      <c r="BN159" s="7">
        <v>0.5458</v>
      </c>
      <c r="BO159" s="4">
        <v>193</v>
      </c>
      <c r="BP159" s="8">
        <v>6369</v>
      </c>
      <c r="BQ159" s="4"/>
      <c r="BR159" s="8"/>
      <c r="BS159" s="7"/>
      <c r="BT159" s="7"/>
      <c r="BU159" s="2" t="s">
        <v>110</v>
      </c>
      <c r="BV159" s="2" t="s">
        <v>98</v>
      </c>
      <c r="BW159" s="2" t="s">
        <v>101</v>
      </c>
      <c r="BX159" s="2" t="s">
        <v>261</v>
      </c>
      <c r="BY159" s="2" t="s">
        <v>112</v>
      </c>
      <c r="BZ159" s="2" t="s">
        <v>112</v>
      </c>
      <c r="CA159" s="2" t="s">
        <v>101</v>
      </c>
    </row>
    <row r="160">
      <c r="A160" s="2" t="s">
        <v>508</v>
      </c>
      <c r="B160" s="2" t="s">
        <v>88</v>
      </c>
      <c r="C160" s="2" t="s">
        <v>89</v>
      </c>
      <c r="D160" s="2" t="s">
        <v>90</v>
      </c>
      <c r="E160" s="2" t="s">
        <v>501</v>
      </c>
      <c r="F160" s="2" t="s">
        <v>431</v>
      </c>
      <c r="G160" s="2" t="s">
        <v>432</v>
      </c>
      <c r="H160" s="2" t="s">
        <v>433</v>
      </c>
      <c r="I160" s="2" t="s">
        <v>502</v>
      </c>
      <c r="J160" s="2" t="s">
        <v>123</v>
      </c>
      <c r="K160" s="2" t="s">
        <v>163</v>
      </c>
      <c r="L160" s="3">
        <v>38.99</v>
      </c>
      <c r="M160" s="3">
        <v>40.94</v>
      </c>
      <c r="N160" s="3">
        <v>74.99</v>
      </c>
      <c r="O160" s="2" t="s">
        <v>98</v>
      </c>
      <c r="P160" s="2" t="s">
        <v>245</v>
      </c>
      <c r="Q160" s="2" t="s">
        <v>100</v>
      </c>
      <c r="R160" s="2" t="s">
        <v>101</v>
      </c>
      <c r="S160" s="2" t="s">
        <v>442</v>
      </c>
      <c r="T160" s="2" t="s">
        <v>103</v>
      </c>
      <c r="U160" s="2" t="s">
        <v>505</v>
      </c>
      <c r="V160" s="2" t="s">
        <v>436</v>
      </c>
      <c r="W160" s="2" t="s">
        <v>106</v>
      </c>
      <c r="X160" s="2" t="s">
        <v>101</v>
      </c>
      <c r="Y160" s="2" t="s">
        <v>438</v>
      </c>
      <c r="Z160" s="4">
        <v>180</v>
      </c>
      <c r="AA160" s="4">
        <f>=ROUNDDOWN(37.5,0)</f>
      </c>
      <c r="AB160" s="5">
        <v>4.8</v>
      </c>
      <c r="AC160" s="2" t="s">
        <v>101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>
        <v>24</v>
      </c>
      <c r="AQ160" s="8">
        <v>912</v>
      </c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>
        <v>0.0501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86</v>
      </c>
      <c r="BK160" s="8">
        <v>4523.95</v>
      </c>
      <c r="BL160" s="2" t="s">
        <v>509</v>
      </c>
      <c r="BM160" s="7">
        <v>0.2791</v>
      </c>
      <c r="BN160" s="7">
        <v>0.2016</v>
      </c>
      <c r="BO160" s="4">
        <v>24</v>
      </c>
      <c r="BP160" s="8">
        <v>912</v>
      </c>
      <c r="BQ160" s="4"/>
      <c r="BR160" s="8"/>
      <c r="BS160" s="7"/>
      <c r="BT160" s="7"/>
      <c r="BU160" s="2" t="s">
        <v>110</v>
      </c>
      <c r="BV160" s="2" t="s">
        <v>98</v>
      </c>
      <c r="BW160" s="2" t="s">
        <v>101</v>
      </c>
      <c r="BX160" s="2" t="s">
        <v>261</v>
      </c>
      <c r="BY160" s="2" t="s">
        <v>112</v>
      </c>
      <c r="BZ160" s="2" t="s">
        <v>112</v>
      </c>
      <c r="CA160" s="2" t="s">
        <v>101</v>
      </c>
    </row>
    <row r="161">
      <c r="A161" s="2" t="s">
        <v>510</v>
      </c>
      <c r="B161" s="2" t="s">
        <v>88</v>
      </c>
      <c r="C161" s="2" t="s">
        <v>89</v>
      </c>
      <c r="D161" s="2" t="s">
        <v>90</v>
      </c>
      <c r="E161" s="2" t="s">
        <v>501</v>
      </c>
      <c r="F161" s="2" t="s">
        <v>431</v>
      </c>
      <c r="G161" s="2" t="s">
        <v>432</v>
      </c>
      <c r="H161" s="2" t="s">
        <v>433</v>
      </c>
      <c r="I161" s="2" t="s">
        <v>502</v>
      </c>
      <c r="J161" s="2" t="s">
        <v>96</v>
      </c>
      <c r="K161" s="2" t="s">
        <v>294</v>
      </c>
      <c r="L161" s="3">
        <v>28.59</v>
      </c>
      <c r="M161" s="3">
        <v>30.02</v>
      </c>
      <c r="N161" s="3">
        <v>54.99</v>
      </c>
      <c r="O161" s="2" t="s">
        <v>98</v>
      </c>
      <c r="P161" s="2" t="s">
        <v>278</v>
      </c>
      <c r="Q161" s="2" t="s">
        <v>100</v>
      </c>
      <c r="R161" s="2" t="s">
        <v>101</v>
      </c>
      <c r="S161" s="2" t="s">
        <v>435</v>
      </c>
      <c r="T161" s="2" t="s">
        <v>103</v>
      </c>
      <c r="U161" s="2" t="s">
        <v>503</v>
      </c>
      <c r="V161" s="2" t="s">
        <v>436</v>
      </c>
      <c r="W161" s="2" t="s">
        <v>106</v>
      </c>
      <c r="X161" s="2" t="s">
        <v>101</v>
      </c>
      <c r="Y161" s="2" t="s">
        <v>438</v>
      </c>
      <c r="Z161" s="4">
        <v>3</v>
      </c>
      <c r="AA161" s="4">
        <f>=ROUNDDOWN(0.428571428571429,0)</f>
      </c>
      <c r="AB161" s="5">
        <v>7</v>
      </c>
      <c r="AC161" s="2" t="s">
        <v>101</v>
      </c>
      <c r="AD161" s="4"/>
      <c r="AE161" s="4"/>
      <c r="AF161" s="6">
        <v>63</v>
      </c>
      <c r="AG161" s="6"/>
      <c r="AH161" s="7">
        <v>0.581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225</v>
      </c>
      <c r="AQ161" s="8">
        <v>6187.5</v>
      </c>
      <c r="AR161" s="4"/>
      <c r="AS161" s="8"/>
      <c r="AT161" s="7"/>
      <c r="AU161" s="7"/>
      <c r="AV161" s="4">
        <v>422</v>
      </c>
      <c r="AW161" s="8">
        <v>12658.5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0.4888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0.2484</v>
      </c>
      <c r="BJ161" s="4">
        <v>319</v>
      </c>
      <c r="BK161" s="8">
        <v>8669.79</v>
      </c>
      <c r="BL161" s="2" t="s">
        <v>511</v>
      </c>
      <c r="BM161" s="7">
        <v>0.7053</v>
      </c>
      <c r="BN161" s="7">
        <v>0.7137</v>
      </c>
      <c r="BO161" s="4">
        <v>225</v>
      </c>
      <c r="BP161" s="8">
        <v>6187.5</v>
      </c>
      <c r="BQ161" s="4"/>
      <c r="BR161" s="8"/>
      <c r="BS161" s="7"/>
      <c r="BT161" s="7"/>
      <c r="BU161" s="2" t="s">
        <v>110</v>
      </c>
      <c r="BV161" s="2" t="s">
        <v>98</v>
      </c>
      <c r="BW161" s="2" t="s">
        <v>101</v>
      </c>
      <c r="BX161" s="2" t="s">
        <v>261</v>
      </c>
      <c r="BY161" s="2" t="s">
        <v>112</v>
      </c>
      <c r="BZ161" s="2" t="s">
        <v>112</v>
      </c>
      <c r="CA161" s="2" t="s">
        <v>101</v>
      </c>
    </row>
    <row r="162">
      <c r="A162" s="2" t="s">
        <v>512</v>
      </c>
      <c r="B162" s="2" t="s">
        <v>88</v>
      </c>
      <c r="C162" s="2" t="s">
        <v>89</v>
      </c>
      <c r="D162" s="2" t="s">
        <v>90</v>
      </c>
      <c r="E162" s="2" t="s">
        <v>501</v>
      </c>
      <c r="F162" s="2" t="s">
        <v>431</v>
      </c>
      <c r="G162" s="2" t="s">
        <v>432</v>
      </c>
      <c r="H162" s="2" t="s">
        <v>433</v>
      </c>
      <c r="I162" s="2" t="s">
        <v>502</v>
      </c>
      <c r="J162" s="2" t="s">
        <v>114</v>
      </c>
      <c r="K162" s="2" t="s">
        <v>294</v>
      </c>
      <c r="L162" s="3">
        <v>31.19</v>
      </c>
      <c r="M162" s="3">
        <v>32.75</v>
      </c>
      <c r="N162" s="3">
        <v>59.99</v>
      </c>
      <c r="O162" s="2" t="s">
        <v>98</v>
      </c>
      <c r="P162" s="2" t="s">
        <v>278</v>
      </c>
      <c r="Q162" s="2" t="s">
        <v>100</v>
      </c>
      <c r="R162" s="2" t="s">
        <v>101</v>
      </c>
      <c r="S162" s="2" t="s">
        <v>435</v>
      </c>
      <c r="T162" s="2" t="s">
        <v>103</v>
      </c>
      <c r="U162" s="2" t="s">
        <v>505</v>
      </c>
      <c r="V162" s="2" t="s">
        <v>436</v>
      </c>
      <c r="W162" s="2" t="s">
        <v>106</v>
      </c>
      <c r="X162" s="2" t="s">
        <v>101</v>
      </c>
      <c r="Y162" s="2" t="s">
        <v>438</v>
      </c>
      <c r="Z162" s="4">
        <v>3</v>
      </c>
      <c r="AA162" s="4">
        <f>=ROUNDDOWN(0.714285714285714,0)</f>
      </c>
      <c r="AB162" s="5">
        <v>4.2</v>
      </c>
      <c r="AC162" s="2" t="s">
        <v>101</v>
      </c>
      <c r="AD162" s="4"/>
      <c r="AE162" s="4"/>
      <c r="AF162" s="6">
        <v>63</v>
      </c>
      <c r="AG162" s="6"/>
      <c r="AH162" s="7">
        <v>0.9714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>
        <v>60</v>
      </c>
      <c r="AQ162" s="8">
        <v>1890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0.1493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228</v>
      </c>
      <c r="BK162" s="8">
        <v>8369.12</v>
      </c>
      <c r="BL162" s="2" t="s">
        <v>423</v>
      </c>
      <c r="BM162" s="7">
        <v>0.2632</v>
      </c>
      <c r="BN162" s="7">
        <v>0.2258</v>
      </c>
      <c r="BO162" s="4">
        <v>60</v>
      </c>
      <c r="BP162" s="8">
        <v>1890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101</v>
      </c>
      <c r="BX162" s="2" t="s">
        <v>261</v>
      </c>
      <c r="BY162" s="2" t="s">
        <v>112</v>
      </c>
      <c r="BZ162" s="2" t="s">
        <v>112</v>
      </c>
      <c r="CA162" s="2" t="s">
        <v>101</v>
      </c>
    </row>
    <row r="163">
      <c r="A163" s="2" t="s">
        <v>513</v>
      </c>
      <c r="B163" s="2" t="s">
        <v>88</v>
      </c>
      <c r="C163" s="2" t="s">
        <v>89</v>
      </c>
      <c r="D163" s="2" t="s">
        <v>90</v>
      </c>
      <c r="E163" s="2" t="s">
        <v>501</v>
      </c>
      <c r="F163" s="2" t="s">
        <v>431</v>
      </c>
      <c r="G163" s="2" t="s">
        <v>432</v>
      </c>
      <c r="H163" s="2" t="s">
        <v>433</v>
      </c>
      <c r="I163" s="2" t="s">
        <v>502</v>
      </c>
      <c r="J163" s="2" t="s">
        <v>121</v>
      </c>
      <c r="K163" s="2" t="s">
        <v>294</v>
      </c>
      <c r="L163" s="3">
        <v>33.79</v>
      </c>
      <c r="M163" s="3">
        <v>35.48</v>
      </c>
      <c r="N163" s="3">
        <v>64.99</v>
      </c>
      <c r="O163" s="2" t="s">
        <v>98</v>
      </c>
      <c r="P163" s="2" t="s">
        <v>278</v>
      </c>
      <c r="Q163" s="2" t="s">
        <v>100</v>
      </c>
      <c r="R163" s="2" t="s">
        <v>101</v>
      </c>
      <c r="S163" s="2" t="s">
        <v>435</v>
      </c>
      <c r="T163" s="2" t="s">
        <v>103</v>
      </c>
      <c r="U163" s="2" t="s">
        <v>505</v>
      </c>
      <c r="V163" s="2" t="s">
        <v>436</v>
      </c>
      <c r="W163" s="2" t="s">
        <v>106</v>
      </c>
      <c r="X163" s="2" t="s">
        <v>101</v>
      </c>
      <c r="Y163" s="2" t="s">
        <v>438</v>
      </c>
      <c r="Z163" s="4">
        <v>169</v>
      </c>
      <c r="AA163" s="4">
        <f>=ROUNDDOWN(9.08602150537634,0)</f>
      </c>
      <c r="AB163" s="5">
        <v>18.6</v>
      </c>
      <c r="AC163" s="2" t="s">
        <v>101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>
        <v>125</v>
      </c>
      <c r="AQ163" s="8">
        <v>4125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0.3259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458</v>
      </c>
      <c r="BK163" s="8">
        <v>19030.64</v>
      </c>
      <c r="BL163" s="2" t="s">
        <v>161</v>
      </c>
      <c r="BM163" s="7">
        <v>0.2729</v>
      </c>
      <c r="BN163" s="7">
        <v>0.2168</v>
      </c>
      <c r="BO163" s="4">
        <v>125</v>
      </c>
      <c r="BP163" s="8">
        <v>4125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101</v>
      </c>
      <c r="BX163" s="2" t="s">
        <v>261</v>
      </c>
      <c r="BY163" s="2" t="s">
        <v>112</v>
      </c>
      <c r="BZ163" s="2" t="s">
        <v>112</v>
      </c>
      <c r="CA163" s="2" t="s">
        <v>101</v>
      </c>
    </row>
    <row r="164">
      <c r="A164" s="2" t="s">
        <v>514</v>
      </c>
      <c r="B164" s="2" t="s">
        <v>88</v>
      </c>
      <c r="C164" s="2" t="s">
        <v>89</v>
      </c>
      <c r="D164" s="2" t="s">
        <v>90</v>
      </c>
      <c r="E164" s="2" t="s">
        <v>501</v>
      </c>
      <c r="F164" s="2" t="s">
        <v>431</v>
      </c>
      <c r="G164" s="2" t="s">
        <v>432</v>
      </c>
      <c r="H164" s="2" t="s">
        <v>433</v>
      </c>
      <c r="I164" s="2" t="s">
        <v>502</v>
      </c>
      <c r="J164" s="2" t="s">
        <v>123</v>
      </c>
      <c r="K164" s="2" t="s">
        <v>294</v>
      </c>
      <c r="L164" s="3">
        <v>38.99</v>
      </c>
      <c r="M164" s="3">
        <v>40.94</v>
      </c>
      <c r="N164" s="3">
        <v>74.99</v>
      </c>
      <c r="O164" s="2" t="s">
        <v>98</v>
      </c>
      <c r="P164" s="2" t="s">
        <v>278</v>
      </c>
      <c r="Q164" s="2" t="s">
        <v>100</v>
      </c>
      <c r="R164" s="2" t="s">
        <v>101</v>
      </c>
      <c r="S164" s="2" t="s">
        <v>435</v>
      </c>
      <c r="T164" s="2" t="s">
        <v>103</v>
      </c>
      <c r="U164" s="2" t="s">
        <v>505</v>
      </c>
      <c r="V164" s="2" t="s">
        <v>436</v>
      </c>
      <c r="W164" s="2" t="s">
        <v>106</v>
      </c>
      <c r="X164" s="2" t="s">
        <v>101</v>
      </c>
      <c r="Y164" s="2" t="s">
        <v>438</v>
      </c>
      <c r="Z164" s="4">
        <v>68</v>
      </c>
      <c r="AA164" s="4">
        <f>=ROUNDDOWN(5.96491228070175,0)</f>
      </c>
      <c r="AB164" s="5">
        <v>11.4</v>
      </c>
      <c r="AC164" s="2" t="s">
        <v>101</v>
      </c>
      <c r="AD164" s="4"/>
      <c r="AE164" s="4"/>
      <c r="AF164" s="6">
        <v>63</v>
      </c>
      <c r="AG164" s="6"/>
      <c r="AH164" s="7">
        <v>0.9881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>
        <v>12</v>
      </c>
      <c r="AQ164" s="8">
        <v>456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0.036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196</v>
      </c>
      <c r="BK164" s="8">
        <v>9860.23</v>
      </c>
      <c r="BL164" s="2" t="s">
        <v>509</v>
      </c>
      <c r="BM164" s="7">
        <v>0.0612</v>
      </c>
      <c r="BN164" s="7">
        <v>0.0462</v>
      </c>
      <c r="BO164" s="4">
        <v>12</v>
      </c>
      <c r="BP164" s="8">
        <v>456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101</v>
      </c>
      <c r="BX164" s="2" t="s">
        <v>261</v>
      </c>
      <c r="BY164" s="2" t="s">
        <v>112</v>
      </c>
      <c r="BZ164" s="2" t="s">
        <v>112</v>
      </c>
      <c r="CA164" s="2" t="s">
        <v>101</v>
      </c>
    </row>
    <row r="165">
      <c r="A165" s="2" t="s">
        <v>515</v>
      </c>
      <c r="B165" s="2" t="s">
        <v>88</v>
      </c>
      <c r="C165" s="2" t="s">
        <v>89</v>
      </c>
      <c r="D165" s="2" t="s">
        <v>90</v>
      </c>
      <c r="E165" s="2" t="s">
        <v>501</v>
      </c>
      <c r="F165" s="2" t="s">
        <v>431</v>
      </c>
      <c r="G165" s="2" t="s">
        <v>432</v>
      </c>
      <c r="H165" s="2" t="s">
        <v>433</v>
      </c>
      <c r="I165" s="2" t="s">
        <v>502</v>
      </c>
      <c r="J165" s="2" t="s">
        <v>96</v>
      </c>
      <c r="K165" s="2" t="s">
        <v>97</v>
      </c>
      <c r="L165" s="3">
        <v>28.59</v>
      </c>
      <c r="M165" s="3">
        <v>30.02</v>
      </c>
      <c r="N165" s="3">
        <v>54.99</v>
      </c>
      <c r="O165" s="2" t="s">
        <v>98</v>
      </c>
      <c r="P165" s="2" t="s">
        <v>245</v>
      </c>
      <c r="Q165" s="2" t="s">
        <v>100</v>
      </c>
      <c r="R165" s="2" t="s">
        <v>101</v>
      </c>
      <c r="S165" s="2" t="s">
        <v>448</v>
      </c>
      <c r="T165" s="2" t="s">
        <v>103</v>
      </c>
      <c r="U165" s="2" t="s">
        <v>503</v>
      </c>
      <c r="V165" s="2" t="s">
        <v>436</v>
      </c>
      <c r="W165" s="2" t="s">
        <v>106</v>
      </c>
      <c r="X165" s="2" t="s">
        <v>101</v>
      </c>
      <c r="Y165" s="2" t="s">
        <v>438</v>
      </c>
      <c r="Z165" s="4">
        <v>3</v>
      </c>
      <c r="AA165" s="4">
        <f>=ROUNDDOWN(1.5,0)</f>
      </c>
      <c r="AB165" s="5">
        <v>2</v>
      </c>
      <c r="AC165" s="2" t="s">
        <v>516</v>
      </c>
      <c r="AD165" s="4">
        <v>21</v>
      </c>
      <c r="AE165" s="4">
        <v>66</v>
      </c>
      <c r="AF165" s="6">
        <v>63</v>
      </c>
      <c r="AG165" s="6"/>
      <c r="AH165" s="7">
        <v>0.8333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>
        <v>139</v>
      </c>
      <c r="AQ165" s="8">
        <v>3822.5</v>
      </c>
      <c r="AR165" s="4"/>
      <c r="AS165" s="8"/>
      <c r="AT165" s="7"/>
      <c r="AU165" s="7"/>
      <c r="AV165" s="4">
        <v>394</v>
      </c>
      <c r="AW165" s="8">
        <v>12094.75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0.316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0.2374</v>
      </c>
      <c r="BJ165" s="4">
        <v>189</v>
      </c>
      <c r="BK165" s="8">
        <v>5702.62</v>
      </c>
      <c r="BL165" s="2" t="s">
        <v>517</v>
      </c>
      <c r="BM165" s="7">
        <v>0.7354</v>
      </c>
      <c r="BN165" s="7">
        <v>0.6703</v>
      </c>
      <c r="BO165" s="4">
        <v>139</v>
      </c>
      <c r="BP165" s="8">
        <v>3822.5</v>
      </c>
      <c r="BQ165" s="4"/>
      <c r="BR165" s="8"/>
      <c r="BS165" s="7"/>
      <c r="BT165" s="7"/>
      <c r="BU165" s="2" t="s">
        <v>110</v>
      </c>
      <c r="BV165" s="2" t="s">
        <v>98</v>
      </c>
      <c r="BW165" s="2" t="s">
        <v>101</v>
      </c>
      <c r="BX165" s="2" t="s">
        <v>261</v>
      </c>
      <c r="BY165" s="2" t="s">
        <v>112</v>
      </c>
      <c r="BZ165" s="2" t="s">
        <v>112</v>
      </c>
      <c r="CA165" s="2" t="s">
        <v>101</v>
      </c>
    </row>
    <row r="166">
      <c r="A166" s="2" t="s">
        <v>518</v>
      </c>
      <c r="B166" s="2" t="s">
        <v>88</v>
      </c>
      <c r="C166" s="2" t="s">
        <v>89</v>
      </c>
      <c r="D166" s="2" t="s">
        <v>90</v>
      </c>
      <c r="E166" s="2" t="s">
        <v>501</v>
      </c>
      <c r="F166" s="2" t="s">
        <v>431</v>
      </c>
      <c r="G166" s="2" t="s">
        <v>432</v>
      </c>
      <c r="H166" s="2" t="s">
        <v>433</v>
      </c>
      <c r="I166" s="2" t="s">
        <v>502</v>
      </c>
      <c r="J166" s="2" t="s">
        <v>114</v>
      </c>
      <c r="K166" s="2" t="s">
        <v>97</v>
      </c>
      <c r="L166" s="3">
        <v>31.19</v>
      </c>
      <c r="M166" s="3">
        <v>32.75</v>
      </c>
      <c r="N166" s="3">
        <v>59.99</v>
      </c>
      <c r="O166" s="2" t="s">
        <v>98</v>
      </c>
      <c r="P166" s="2" t="s">
        <v>245</v>
      </c>
      <c r="Q166" s="2" t="s">
        <v>100</v>
      </c>
      <c r="R166" s="2" t="s">
        <v>101</v>
      </c>
      <c r="S166" s="2" t="s">
        <v>448</v>
      </c>
      <c r="T166" s="2" t="s">
        <v>103</v>
      </c>
      <c r="U166" s="2" t="s">
        <v>505</v>
      </c>
      <c r="V166" s="2" t="s">
        <v>436</v>
      </c>
      <c r="W166" s="2" t="s">
        <v>106</v>
      </c>
      <c r="X166" s="2" t="s">
        <v>101</v>
      </c>
      <c r="Y166" s="2" t="s">
        <v>438</v>
      </c>
      <c r="Z166" s="4">
        <v>35</v>
      </c>
      <c r="AA166" s="4">
        <f>=ROUNDDOWN(5.46875,0)</f>
      </c>
      <c r="AB166" s="5">
        <v>6.4</v>
      </c>
      <c r="AC166" s="2" t="s">
        <v>516</v>
      </c>
      <c r="AD166" s="4">
        <v>18</v>
      </c>
      <c r="AE166" s="4">
        <v>87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93</v>
      </c>
      <c r="AQ166" s="8">
        <v>2954.25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0.2443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195</v>
      </c>
      <c r="BK166" s="8">
        <v>7205.15</v>
      </c>
      <c r="BL166" s="2" t="s">
        <v>519</v>
      </c>
      <c r="BM166" s="7">
        <v>0.4769</v>
      </c>
      <c r="BN166" s="7">
        <v>0.41</v>
      </c>
      <c r="BO166" s="4">
        <v>93</v>
      </c>
      <c r="BP166" s="8">
        <v>2954.25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101</v>
      </c>
      <c r="BX166" s="2" t="s">
        <v>261</v>
      </c>
      <c r="BY166" s="2" t="s">
        <v>112</v>
      </c>
      <c r="BZ166" s="2" t="s">
        <v>112</v>
      </c>
      <c r="CA166" s="2" t="s">
        <v>101</v>
      </c>
    </row>
    <row r="167">
      <c r="A167" s="2" t="s">
        <v>520</v>
      </c>
      <c r="B167" s="2" t="s">
        <v>88</v>
      </c>
      <c r="C167" s="2" t="s">
        <v>89</v>
      </c>
      <c r="D167" s="2" t="s">
        <v>90</v>
      </c>
      <c r="E167" s="2" t="s">
        <v>501</v>
      </c>
      <c r="F167" s="2" t="s">
        <v>431</v>
      </c>
      <c r="G167" s="2" t="s">
        <v>432</v>
      </c>
      <c r="H167" s="2" t="s">
        <v>433</v>
      </c>
      <c r="I167" s="2" t="s">
        <v>502</v>
      </c>
      <c r="J167" s="2" t="s">
        <v>121</v>
      </c>
      <c r="K167" s="2" t="s">
        <v>97</v>
      </c>
      <c r="L167" s="3">
        <v>33.79</v>
      </c>
      <c r="M167" s="3">
        <v>35.48</v>
      </c>
      <c r="N167" s="3">
        <v>64.99</v>
      </c>
      <c r="O167" s="2" t="s">
        <v>98</v>
      </c>
      <c r="P167" s="2" t="s">
        <v>245</v>
      </c>
      <c r="Q167" s="2" t="s">
        <v>100</v>
      </c>
      <c r="R167" s="2" t="s">
        <v>101</v>
      </c>
      <c r="S167" s="2" t="s">
        <v>448</v>
      </c>
      <c r="T167" s="2" t="s">
        <v>103</v>
      </c>
      <c r="U167" s="2" t="s">
        <v>505</v>
      </c>
      <c r="V167" s="2" t="s">
        <v>436</v>
      </c>
      <c r="W167" s="2" t="s">
        <v>106</v>
      </c>
      <c r="X167" s="2" t="s">
        <v>101</v>
      </c>
      <c r="Y167" s="2" t="s">
        <v>438</v>
      </c>
      <c r="Z167" s="4">
        <v>99</v>
      </c>
      <c r="AA167" s="4">
        <f>=ROUNDDOWN(6.14906832298137,0)</f>
      </c>
      <c r="AB167" s="5">
        <v>16.1</v>
      </c>
      <c r="AC167" s="2" t="s">
        <v>516</v>
      </c>
      <c r="AD167" s="4">
        <v>72</v>
      </c>
      <c r="AE167" s="4">
        <v>279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>
        <v>137</v>
      </c>
      <c r="AQ167" s="8">
        <v>4402.2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0.364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444</v>
      </c>
      <c r="BK167" s="8">
        <v>18474.6</v>
      </c>
      <c r="BL167" s="2" t="s">
        <v>521</v>
      </c>
      <c r="BM167" s="7">
        <v>0.3086</v>
      </c>
      <c r="BN167" s="7">
        <v>0.2383</v>
      </c>
      <c r="BO167" s="4">
        <v>137</v>
      </c>
      <c r="BP167" s="8">
        <v>4402.2</v>
      </c>
      <c r="BQ167" s="4"/>
      <c r="BR167" s="8"/>
      <c r="BS167" s="7"/>
      <c r="BT167" s="7"/>
      <c r="BU167" s="2" t="s">
        <v>110</v>
      </c>
      <c r="BV167" s="2" t="s">
        <v>98</v>
      </c>
      <c r="BW167" s="2" t="s">
        <v>101</v>
      </c>
      <c r="BX167" s="2" t="s">
        <v>261</v>
      </c>
      <c r="BY167" s="2" t="s">
        <v>112</v>
      </c>
      <c r="BZ167" s="2" t="s">
        <v>112</v>
      </c>
      <c r="CA167" s="2" t="s">
        <v>101</v>
      </c>
    </row>
    <row r="168">
      <c r="A168" s="2" t="s">
        <v>522</v>
      </c>
      <c r="B168" s="2" t="s">
        <v>88</v>
      </c>
      <c r="C168" s="2" t="s">
        <v>89</v>
      </c>
      <c r="D168" s="2" t="s">
        <v>90</v>
      </c>
      <c r="E168" s="2" t="s">
        <v>501</v>
      </c>
      <c r="F168" s="2" t="s">
        <v>431</v>
      </c>
      <c r="G168" s="2" t="s">
        <v>432</v>
      </c>
      <c r="H168" s="2" t="s">
        <v>433</v>
      </c>
      <c r="I168" s="2" t="s">
        <v>502</v>
      </c>
      <c r="J168" s="2" t="s">
        <v>123</v>
      </c>
      <c r="K168" s="2" t="s">
        <v>97</v>
      </c>
      <c r="L168" s="3">
        <v>38.99</v>
      </c>
      <c r="M168" s="3">
        <v>40.94</v>
      </c>
      <c r="N168" s="3">
        <v>74.99</v>
      </c>
      <c r="O168" s="2" t="s">
        <v>98</v>
      </c>
      <c r="P168" s="2" t="s">
        <v>245</v>
      </c>
      <c r="Q168" s="2" t="s">
        <v>100</v>
      </c>
      <c r="R168" s="2" t="s">
        <v>101</v>
      </c>
      <c r="S168" s="2" t="s">
        <v>448</v>
      </c>
      <c r="T168" s="2" t="s">
        <v>103</v>
      </c>
      <c r="U168" s="2" t="s">
        <v>505</v>
      </c>
      <c r="V168" s="2" t="s">
        <v>436</v>
      </c>
      <c r="W168" s="2" t="s">
        <v>106</v>
      </c>
      <c r="X168" s="2" t="s">
        <v>101</v>
      </c>
      <c r="Y168" s="2" t="s">
        <v>438</v>
      </c>
      <c r="Z168" s="4">
        <v>403</v>
      </c>
      <c r="AA168" s="4">
        <f>=ROUNDDOWN(30.763358778626,0)</f>
      </c>
      <c r="AB168" s="5">
        <v>13.1</v>
      </c>
      <c r="AC168" s="2" t="s">
        <v>516</v>
      </c>
      <c r="AD168" s="4">
        <v>15</v>
      </c>
      <c r="AE168" s="4">
        <v>141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>
        <v>25</v>
      </c>
      <c r="AQ168" s="8">
        <v>915.8</v>
      </c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0.0757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235</v>
      </c>
      <c r="BK168" s="8">
        <v>12626.01</v>
      </c>
      <c r="BL168" s="2" t="s">
        <v>176</v>
      </c>
      <c r="BM168" s="7">
        <v>0.1064</v>
      </c>
      <c r="BN168" s="7">
        <v>0.0725</v>
      </c>
      <c r="BO168" s="4">
        <v>25</v>
      </c>
      <c r="BP168" s="8">
        <v>915.8</v>
      </c>
      <c r="BQ168" s="4"/>
      <c r="BR168" s="8"/>
      <c r="BS168" s="7"/>
      <c r="BT168" s="7"/>
      <c r="BU168" s="2" t="s">
        <v>110</v>
      </c>
      <c r="BV168" s="2" t="s">
        <v>98</v>
      </c>
      <c r="BW168" s="2" t="s">
        <v>101</v>
      </c>
      <c r="BX168" s="2" t="s">
        <v>261</v>
      </c>
      <c r="BY168" s="2" t="s">
        <v>112</v>
      </c>
      <c r="BZ168" s="2" t="s">
        <v>112</v>
      </c>
      <c r="CA168" s="2" t="s">
        <v>101</v>
      </c>
    </row>
    <row r="169">
      <c r="A169" s="2" t="s">
        <v>523</v>
      </c>
      <c r="B169" s="2" t="s">
        <v>88</v>
      </c>
      <c r="C169" s="2" t="s">
        <v>89</v>
      </c>
      <c r="D169" s="2" t="s">
        <v>90</v>
      </c>
      <c r="E169" s="2" t="s">
        <v>501</v>
      </c>
      <c r="F169" s="2" t="s">
        <v>431</v>
      </c>
      <c r="G169" s="2" t="s">
        <v>432</v>
      </c>
      <c r="H169" s="2" t="s">
        <v>433</v>
      </c>
      <c r="I169" s="2" t="s">
        <v>502</v>
      </c>
      <c r="J169" s="2" t="s">
        <v>96</v>
      </c>
      <c r="K169" s="2" t="s">
        <v>378</v>
      </c>
      <c r="L169" s="3">
        <v>28.59</v>
      </c>
      <c r="M169" s="3">
        <v>30.02</v>
      </c>
      <c r="N169" s="3">
        <v>54.99</v>
      </c>
      <c r="O169" s="2" t="s">
        <v>98</v>
      </c>
      <c r="P169" s="2" t="s">
        <v>245</v>
      </c>
      <c r="Q169" s="2" t="s">
        <v>100</v>
      </c>
      <c r="R169" s="2" t="s">
        <v>101</v>
      </c>
      <c r="S169" s="2" t="s">
        <v>453</v>
      </c>
      <c r="T169" s="2" t="s">
        <v>103</v>
      </c>
      <c r="U169" s="2" t="s">
        <v>503</v>
      </c>
      <c r="V169" s="2" t="s">
        <v>436</v>
      </c>
      <c r="W169" s="2" t="s">
        <v>106</v>
      </c>
      <c r="X169" s="2" t="s">
        <v>101</v>
      </c>
      <c r="Y169" s="2" t="s">
        <v>438</v>
      </c>
      <c r="Z169" s="4">
        <v>13</v>
      </c>
      <c r="AA169" s="4">
        <f>=ROUNDDOWN(3.82352941176471,0)</f>
      </c>
      <c r="AB169" s="5">
        <v>3.4</v>
      </c>
      <c r="AC169" s="2" t="s">
        <v>516</v>
      </c>
      <c r="AD169" s="4">
        <v>24</v>
      </c>
      <c r="AE169" s="4">
        <v>81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>
        <v>78</v>
      </c>
      <c r="AQ169" s="8">
        <v>2223</v>
      </c>
      <c r="AR169" s="4"/>
      <c r="AS169" s="8"/>
      <c r="AT169" s="7"/>
      <c r="AU169" s="7"/>
      <c r="AV169" s="4">
        <v>249</v>
      </c>
      <c r="AW169" s="8">
        <v>8001.25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0.2778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>
        <v>0.157</v>
      </c>
      <c r="BJ169" s="4">
        <v>140</v>
      </c>
      <c r="BK169" s="8">
        <v>4195.06</v>
      </c>
      <c r="BL169" s="2" t="s">
        <v>519</v>
      </c>
      <c r="BM169" s="7">
        <v>0.5571</v>
      </c>
      <c r="BN169" s="7">
        <v>0.5299</v>
      </c>
      <c r="BO169" s="4">
        <v>78</v>
      </c>
      <c r="BP169" s="8">
        <v>2223</v>
      </c>
      <c r="BQ169" s="4"/>
      <c r="BR169" s="8"/>
      <c r="BS169" s="7"/>
      <c r="BT169" s="7"/>
      <c r="BU169" s="2" t="s">
        <v>110</v>
      </c>
      <c r="BV169" s="2" t="s">
        <v>98</v>
      </c>
      <c r="BW169" s="2" t="s">
        <v>101</v>
      </c>
      <c r="BX169" s="2" t="s">
        <v>261</v>
      </c>
      <c r="BY169" s="2" t="s">
        <v>112</v>
      </c>
      <c r="BZ169" s="2" t="s">
        <v>112</v>
      </c>
      <c r="CA169" s="2" t="s">
        <v>101</v>
      </c>
    </row>
    <row r="170">
      <c r="A170" s="2" t="s">
        <v>524</v>
      </c>
      <c r="B170" s="2" t="s">
        <v>88</v>
      </c>
      <c r="C170" s="2" t="s">
        <v>89</v>
      </c>
      <c r="D170" s="2" t="s">
        <v>90</v>
      </c>
      <c r="E170" s="2" t="s">
        <v>501</v>
      </c>
      <c r="F170" s="2" t="s">
        <v>431</v>
      </c>
      <c r="G170" s="2" t="s">
        <v>432</v>
      </c>
      <c r="H170" s="2" t="s">
        <v>433</v>
      </c>
      <c r="I170" s="2" t="s">
        <v>502</v>
      </c>
      <c r="J170" s="2" t="s">
        <v>114</v>
      </c>
      <c r="K170" s="2" t="s">
        <v>378</v>
      </c>
      <c r="L170" s="3">
        <v>31.19</v>
      </c>
      <c r="M170" s="3">
        <v>32.75</v>
      </c>
      <c r="N170" s="3">
        <v>59.99</v>
      </c>
      <c r="O170" s="2" t="s">
        <v>98</v>
      </c>
      <c r="P170" s="2" t="s">
        <v>245</v>
      </c>
      <c r="Q170" s="2" t="s">
        <v>100</v>
      </c>
      <c r="R170" s="2" t="s">
        <v>101</v>
      </c>
      <c r="S170" s="2" t="s">
        <v>453</v>
      </c>
      <c r="T170" s="2" t="s">
        <v>103</v>
      </c>
      <c r="U170" s="2" t="s">
        <v>505</v>
      </c>
      <c r="V170" s="2" t="s">
        <v>436</v>
      </c>
      <c r="W170" s="2" t="s">
        <v>106</v>
      </c>
      <c r="X170" s="2" t="s">
        <v>101</v>
      </c>
      <c r="Y170" s="2" t="s">
        <v>438</v>
      </c>
      <c r="Z170" s="4">
        <v>16</v>
      </c>
      <c r="AA170" s="4">
        <f>=ROUNDDOWN(3.26530612244898,0)</f>
      </c>
      <c r="AB170" s="5">
        <v>4.9</v>
      </c>
      <c r="AC170" s="2" t="s">
        <v>516</v>
      </c>
      <c r="AD170" s="4">
        <v>30</v>
      </c>
      <c r="AE170" s="4">
        <v>111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74</v>
      </c>
      <c r="AQ170" s="8">
        <v>2375.75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0.2969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186</v>
      </c>
      <c r="BK170" s="8">
        <v>6605.22</v>
      </c>
      <c r="BL170" s="2" t="s">
        <v>176</v>
      </c>
      <c r="BM170" s="7">
        <v>0.3978</v>
      </c>
      <c r="BN170" s="7">
        <v>0.3597</v>
      </c>
      <c r="BO170" s="4">
        <v>74</v>
      </c>
      <c r="BP170" s="8">
        <v>2375.75</v>
      </c>
      <c r="BQ170" s="4"/>
      <c r="BR170" s="8"/>
      <c r="BS170" s="7"/>
      <c r="BT170" s="7"/>
      <c r="BU170" s="2" t="s">
        <v>110</v>
      </c>
      <c r="BV170" s="2" t="s">
        <v>98</v>
      </c>
      <c r="BW170" s="2" t="s">
        <v>101</v>
      </c>
      <c r="BX170" s="2" t="s">
        <v>261</v>
      </c>
      <c r="BY170" s="2" t="s">
        <v>112</v>
      </c>
      <c r="BZ170" s="2" t="s">
        <v>112</v>
      </c>
      <c r="CA170" s="2" t="s">
        <v>101</v>
      </c>
    </row>
    <row r="171">
      <c r="A171" s="2" t="s">
        <v>525</v>
      </c>
      <c r="B171" s="2" t="s">
        <v>88</v>
      </c>
      <c r="C171" s="2" t="s">
        <v>89</v>
      </c>
      <c r="D171" s="2" t="s">
        <v>90</v>
      </c>
      <c r="E171" s="2" t="s">
        <v>501</v>
      </c>
      <c r="F171" s="2" t="s">
        <v>431</v>
      </c>
      <c r="G171" s="2" t="s">
        <v>432</v>
      </c>
      <c r="H171" s="2" t="s">
        <v>433</v>
      </c>
      <c r="I171" s="2" t="s">
        <v>502</v>
      </c>
      <c r="J171" s="2" t="s">
        <v>121</v>
      </c>
      <c r="K171" s="2" t="s">
        <v>378</v>
      </c>
      <c r="L171" s="3">
        <v>33.79</v>
      </c>
      <c r="M171" s="3">
        <v>35.48</v>
      </c>
      <c r="N171" s="3">
        <v>64.99</v>
      </c>
      <c r="O171" s="2" t="s">
        <v>98</v>
      </c>
      <c r="P171" s="2" t="s">
        <v>245</v>
      </c>
      <c r="Q171" s="2" t="s">
        <v>100</v>
      </c>
      <c r="R171" s="2" t="s">
        <v>101</v>
      </c>
      <c r="S171" s="2" t="s">
        <v>453</v>
      </c>
      <c r="T171" s="2" t="s">
        <v>103</v>
      </c>
      <c r="U171" s="2" t="s">
        <v>505</v>
      </c>
      <c r="V171" s="2" t="s">
        <v>436</v>
      </c>
      <c r="W171" s="2" t="s">
        <v>106</v>
      </c>
      <c r="X171" s="2" t="s">
        <v>101</v>
      </c>
      <c r="Y171" s="2" t="s">
        <v>438</v>
      </c>
      <c r="Z171" s="4">
        <v>2056</v>
      </c>
      <c r="AA171" s="4">
        <f>=ROUNDDOWN(228.444444444444,0)</f>
      </c>
      <c r="AB171" s="5">
        <v>9</v>
      </c>
      <c r="AC171" s="2" t="s">
        <v>380</v>
      </c>
      <c r="AD171" s="4">
        <v>90</v>
      </c>
      <c r="AE171" s="4">
        <v>90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>
        <v>63</v>
      </c>
      <c r="AQ171" s="8">
        <v>2110.5</v>
      </c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0.2638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231</v>
      </c>
      <c r="BK171" s="8">
        <v>9257.1</v>
      </c>
      <c r="BL171" s="2" t="s">
        <v>423</v>
      </c>
      <c r="BM171" s="7">
        <v>0.2727</v>
      </c>
      <c r="BN171" s="7">
        <v>0.228</v>
      </c>
      <c r="BO171" s="4">
        <v>63</v>
      </c>
      <c r="BP171" s="8">
        <v>2110.5</v>
      </c>
      <c r="BQ171" s="4"/>
      <c r="BR171" s="8"/>
      <c r="BS171" s="7"/>
      <c r="BT171" s="7"/>
      <c r="BU171" s="2" t="s">
        <v>110</v>
      </c>
      <c r="BV171" s="2" t="s">
        <v>98</v>
      </c>
      <c r="BW171" s="2" t="s">
        <v>101</v>
      </c>
      <c r="BX171" s="2" t="s">
        <v>261</v>
      </c>
      <c r="BY171" s="2" t="s">
        <v>112</v>
      </c>
      <c r="BZ171" s="2" t="s">
        <v>112</v>
      </c>
      <c r="CA171" s="2" t="s">
        <v>101</v>
      </c>
    </row>
    <row r="172">
      <c r="A172" s="2" t="s">
        <v>526</v>
      </c>
      <c r="B172" s="2" t="s">
        <v>88</v>
      </c>
      <c r="C172" s="2" t="s">
        <v>89</v>
      </c>
      <c r="D172" s="2" t="s">
        <v>90</v>
      </c>
      <c r="E172" s="2" t="s">
        <v>501</v>
      </c>
      <c r="F172" s="2" t="s">
        <v>431</v>
      </c>
      <c r="G172" s="2" t="s">
        <v>432</v>
      </c>
      <c r="H172" s="2" t="s">
        <v>433</v>
      </c>
      <c r="I172" s="2" t="s">
        <v>502</v>
      </c>
      <c r="J172" s="2" t="s">
        <v>123</v>
      </c>
      <c r="K172" s="2" t="s">
        <v>378</v>
      </c>
      <c r="L172" s="3">
        <v>38.99</v>
      </c>
      <c r="M172" s="3">
        <v>40.94</v>
      </c>
      <c r="N172" s="3">
        <v>74.99</v>
      </c>
      <c r="O172" s="2" t="s">
        <v>98</v>
      </c>
      <c r="P172" s="2" t="s">
        <v>245</v>
      </c>
      <c r="Q172" s="2" t="s">
        <v>100</v>
      </c>
      <c r="R172" s="2" t="s">
        <v>101</v>
      </c>
      <c r="S172" s="2" t="s">
        <v>453</v>
      </c>
      <c r="T172" s="2" t="s">
        <v>103</v>
      </c>
      <c r="U172" s="2" t="s">
        <v>505</v>
      </c>
      <c r="V172" s="2" t="s">
        <v>436</v>
      </c>
      <c r="W172" s="2" t="s">
        <v>106</v>
      </c>
      <c r="X172" s="2" t="s">
        <v>101</v>
      </c>
      <c r="Y172" s="2" t="s">
        <v>438</v>
      </c>
      <c r="Z172" s="4">
        <v>324</v>
      </c>
      <c r="AA172" s="4">
        <f>=ROUNDDOWN(81,0)</f>
      </c>
      <c r="AB172" s="5">
        <v>4</v>
      </c>
      <c r="AC172" s="2" t="s">
        <v>516</v>
      </c>
      <c r="AD172" s="4">
        <v>99</v>
      </c>
      <c r="AE172" s="4">
        <v>237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>
        <v>34</v>
      </c>
      <c r="AQ172" s="8">
        <v>1292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0.1615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111</v>
      </c>
      <c r="BK172" s="8">
        <v>5218.89</v>
      </c>
      <c r="BL172" s="2" t="s">
        <v>521</v>
      </c>
      <c r="BM172" s="7">
        <v>0.3063</v>
      </c>
      <c r="BN172" s="7">
        <v>0.2476</v>
      </c>
      <c r="BO172" s="4">
        <v>34</v>
      </c>
      <c r="BP172" s="8">
        <v>1292</v>
      </c>
      <c r="BQ172" s="4"/>
      <c r="BR172" s="8"/>
      <c r="BS172" s="7"/>
      <c r="BT172" s="7"/>
      <c r="BU172" s="2" t="s">
        <v>110</v>
      </c>
      <c r="BV172" s="2" t="s">
        <v>98</v>
      </c>
      <c r="BW172" s="2" t="s">
        <v>101</v>
      </c>
      <c r="BX172" s="2" t="s">
        <v>261</v>
      </c>
      <c r="BY172" s="2" t="s">
        <v>112</v>
      </c>
      <c r="BZ172" s="2" t="s">
        <v>112</v>
      </c>
      <c r="CA172" s="2" t="s">
        <v>101</v>
      </c>
    </row>
    <row r="173">
      <c r="A173" s="2" t="s">
        <v>527</v>
      </c>
      <c r="B173" s="2" t="s">
        <v>88</v>
      </c>
      <c r="C173" s="2" t="s">
        <v>89</v>
      </c>
      <c r="D173" s="2" t="s">
        <v>90</v>
      </c>
      <c r="E173" s="2" t="s">
        <v>501</v>
      </c>
      <c r="F173" s="2" t="s">
        <v>528</v>
      </c>
      <c r="G173" s="2" t="s">
        <v>528</v>
      </c>
      <c r="H173" s="2" t="s">
        <v>528</v>
      </c>
      <c r="I173" s="2" t="s">
        <v>529</v>
      </c>
      <c r="J173" s="2" t="s">
        <v>96</v>
      </c>
      <c r="K173" s="2" t="s">
        <v>530</v>
      </c>
      <c r="L173" s="3">
        <v>19.04</v>
      </c>
      <c r="M173" s="3">
        <v>19.99</v>
      </c>
      <c r="N173" s="3">
        <v>39.99</v>
      </c>
      <c r="O173" s="2" t="s">
        <v>285</v>
      </c>
      <c r="P173" s="2" t="s">
        <v>403</v>
      </c>
      <c r="Q173" s="2" t="s">
        <v>100</v>
      </c>
      <c r="R173" s="2" t="s">
        <v>101</v>
      </c>
      <c r="S173" s="2" t="s">
        <v>531</v>
      </c>
      <c r="T173" s="2" t="s">
        <v>103</v>
      </c>
      <c r="U173" s="2" t="s">
        <v>104</v>
      </c>
      <c r="V173" s="2" t="s">
        <v>105</v>
      </c>
      <c r="W173" s="2" t="s">
        <v>106</v>
      </c>
      <c r="X173" s="2" t="s">
        <v>532</v>
      </c>
      <c r="Y173" s="2" t="s">
        <v>107</v>
      </c>
      <c r="Z173" s="4">
        <v>35</v>
      </c>
      <c r="AA173" s="4">
        <f>=ROUNDDOWN(7,0)</f>
      </c>
      <c r="AB173" s="5">
        <v>5</v>
      </c>
      <c r="AC173" s="2" t="s">
        <v>101</v>
      </c>
      <c r="AD173" s="4"/>
      <c r="AE173" s="4"/>
      <c r="AF173" s="6">
        <v>63</v>
      </c>
      <c r="AG173" s="6">
        <v>46</v>
      </c>
      <c r="AH173" s="7">
        <v>0.9095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>
        <v>720</v>
      </c>
      <c r="AQ173" s="8">
        <v>11914.52</v>
      </c>
      <c r="AR173" s="4"/>
      <c r="AS173" s="8"/>
      <c r="AT173" s="7"/>
      <c r="AU173" s="7"/>
      <c r="AV173" s="4">
        <v>823</v>
      </c>
      <c r="AW173" s="8">
        <v>14388.32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0.8281</v>
      </c>
      <c r="BC173" s="4">
        <v>1562</v>
      </c>
      <c r="BD173" s="8">
        <v>28696.78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0.5014</v>
      </c>
      <c r="BJ173" s="4">
        <v>875</v>
      </c>
      <c r="BK173" s="8">
        <v>15106.11</v>
      </c>
      <c r="BL173" s="2" t="s">
        <v>533</v>
      </c>
      <c r="BM173" s="7">
        <v>0.8229</v>
      </c>
      <c r="BN173" s="7">
        <v>0.7887</v>
      </c>
      <c r="BO173" s="4">
        <v>720</v>
      </c>
      <c r="BP173" s="8">
        <v>11914.52</v>
      </c>
      <c r="BQ173" s="4"/>
      <c r="BR173" s="8"/>
      <c r="BS173" s="7"/>
      <c r="BT173" s="7"/>
      <c r="BU173" s="2" t="s">
        <v>110</v>
      </c>
      <c r="BV173" s="2" t="s">
        <v>98</v>
      </c>
      <c r="BW173" s="2" t="s">
        <v>101</v>
      </c>
      <c r="BX173" s="2" t="s">
        <v>111</v>
      </c>
      <c r="BY173" s="2" t="s">
        <v>112</v>
      </c>
      <c r="BZ173" s="2" t="s">
        <v>112</v>
      </c>
      <c r="CA173" s="2" t="s">
        <v>101</v>
      </c>
    </row>
    <row r="174">
      <c r="A174" s="2" t="s">
        <v>534</v>
      </c>
      <c r="B174" s="2" t="s">
        <v>88</v>
      </c>
      <c r="C174" s="2" t="s">
        <v>89</v>
      </c>
      <c r="D174" s="2" t="s">
        <v>90</v>
      </c>
      <c r="E174" s="2" t="s">
        <v>501</v>
      </c>
      <c r="F174" s="2" t="s">
        <v>528</v>
      </c>
      <c r="G174" s="2" t="s">
        <v>528</v>
      </c>
      <c r="H174" s="2" t="s">
        <v>528</v>
      </c>
      <c r="I174" s="2" t="s">
        <v>529</v>
      </c>
      <c r="J174" s="2" t="s">
        <v>263</v>
      </c>
      <c r="K174" s="2" t="s">
        <v>530</v>
      </c>
      <c r="L174" s="3">
        <v>23.8</v>
      </c>
      <c r="M174" s="3">
        <v>24.99</v>
      </c>
      <c r="N174" s="3">
        <v>49.99</v>
      </c>
      <c r="O174" s="2" t="s">
        <v>285</v>
      </c>
      <c r="P174" s="2" t="s">
        <v>403</v>
      </c>
      <c r="Q174" s="2" t="s">
        <v>100</v>
      </c>
      <c r="R174" s="2" t="s">
        <v>101</v>
      </c>
      <c r="S174" s="2" t="s">
        <v>531</v>
      </c>
      <c r="T174" s="2" t="s">
        <v>103</v>
      </c>
      <c r="U174" s="2" t="s">
        <v>115</v>
      </c>
      <c r="V174" s="2" t="s">
        <v>105</v>
      </c>
      <c r="W174" s="2" t="s">
        <v>106</v>
      </c>
      <c r="X174" s="2" t="s">
        <v>532</v>
      </c>
      <c r="Y174" s="2" t="s">
        <v>107</v>
      </c>
      <c r="Z174" s="4">
        <v>86</v>
      </c>
      <c r="AA174" s="4">
        <f>=ROUNDDOWN(6.14285714285714,0)</f>
      </c>
      <c r="AB174" s="5">
        <v>14</v>
      </c>
      <c r="AC174" s="2" t="s">
        <v>465</v>
      </c>
      <c r="AD174" s="4">
        <v>300</v>
      </c>
      <c r="AE174" s="4">
        <v>300</v>
      </c>
      <c r="AF174" s="6">
        <v>63</v>
      </c>
      <c r="AG174" s="6">
        <v>46</v>
      </c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>
        <v>92</v>
      </c>
      <c r="AQ174" s="8">
        <v>2165.8</v>
      </c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0.1505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661</v>
      </c>
      <c r="BK174" s="8">
        <v>17654.9</v>
      </c>
      <c r="BL174" s="2" t="s">
        <v>167</v>
      </c>
      <c r="BM174" s="7">
        <v>0.1392</v>
      </c>
      <c r="BN174" s="7">
        <v>0.1227</v>
      </c>
      <c r="BO174" s="4">
        <v>92</v>
      </c>
      <c r="BP174" s="8">
        <v>2165.8</v>
      </c>
      <c r="BQ174" s="4"/>
      <c r="BR174" s="8"/>
      <c r="BS174" s="7"/>
      <c r="BT174" s="7"/>
      <c r="BU174" s="2" t="s">
        <v>110</v>
      </c>
      <c r="BV174" s="2" t="s">
        <v>98</v>
      </c>
      <c r="BW174" s="2" t="s">
        <v>101</v>
      </c>
      <c r="BX174" s="2" t="s">
        <v>261</v>
      </c>
      <c r="BY174" s="2" t="s">
        <v>112</v>
      </c>
      <c r="BZ174" s="2" t="s">
        <v>112</v>
      </c>
      <c r="CA174" s="2" t="s">
        <v>101</v>
      </c>
    </row>
    <row r="175">
      <c r="A175" s="2" t="s">
        <v>535</v>
      </c>
      <c r="B175" s="2" t="s">
        <v>88</v>
      </c>
      <c r="C175" s="2" t="s">
        <v>89</v>
      </c>
      <c r="D175" s="2" t="s">
        <v>90</v>
      </c>
      <c r="E175" s="2" t="s">
        <v>501</v>
      </c>
      <c r="F175" s="2" t="s">
        <v>528</v>
      </c>
      <c r="G175" s="2" t="s">
        <v>528</v>
      </c>
      <c r="H175" s="2" t="s">
        <v>528</v>
      </c>
      <c r="I175" s="2" t="s">
        <v>529</v>
      </c>
      <c r="J175" s="2" t="s">
        <v>265</v>
      </c>
      <c r="K175" s="2" t="s">
        <v>530</v>
      </c>
      <c r="L175" s="3">
        <v>26.19</v>
      </c>
      <c r="M175" s="3">
        <v>27.5</v>
      </c>
      <c r="N175" s="3">
        <v>54.99</v>
      </c>
      <c r="O175" s="2" t="s">
        <v>285</v>
      </c>
      <c r="P175" s="2" t="s">
        <v>403</v>
      </c>
      <c r="Q175" s="2" t="s">
        <v>100</v>
      </c>
      <c r="R175" s="2" t="s">
        <v>101</v>
      </c>
      <c r="S175" s="2" t="s">
        <v>531</v>
      </c>
      <c r="T175" s="2" t="s">
        <v>103</v>
      </c>
      <c r="U175" s="2" t="s">
        <v>115</v>
      </c>
      <c r="V175" s="2" t="s">
        <v>105</v>
      </c>
      <c r="W175" s="2" t="s">
        <v>106</v>
      </c>
      <c r="X175" s="2" t="s">
        <v>532</v>
      </c>
      <c r="Y175" s="2" t="s">
        <v>124</v>
      </c>
      <c r="Z175" s="4">
        <v>113</v>
      </c>
      <c r="AA175" s="4">
        <f>=ROUNDDOWN(8.69230769230769,0)</f>
      </c>
      <c r="AB175" s="5">
        <v>13</v>
      </c>
      <c r="AC175" s="2" t="s">
        <v>465</v>
      </c>
      <c r="AD175" s="4">
        <v>300</v>
      </c>
      <c r="AE175" s="4">
        <v>300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>
        <v>11</v>
      </c>
      <c r="AQ175" s="8">
        <v>308</v>
      </c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>
        <v>0.0214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>
        <v>430</v>
      </c>
      <c r="BK175" s="8">
        <v>11779.36</v>
      </c>
      <c r="BL175" s="2" t="s">
        <v>167</v>
      </c>
      <c r="BM175" s="7">
        <v>0.0256</v>
      </c>
      <c r="BN175" s="7">
        <v>0.0261</v>
      </c>
      <c r="BO175" s="4">
        <v>11</v>
      </c>
      <c r="BP175" s="8">
        <v>308</v>
      </c>
      <c r="BQ175" s="4"/>
      <c r="BR175" s="8"/>
      <c r="BS175" s="7"/>
      <c r="BT175" s="7"/>
      <c r="BU175" s="2" t="s">
        <v>110</v>
      </c>
      <c r="BV175" s="2" t="s">
        <v>98</v>
      </c>
      <c r="BW175" s="2" t="s">
        <v>101</v>
      </c>
      <c r="BX175" s="2" t="s">
        <v>111</v>
      </c>
      <c r="BY175" s="2" t="s">
        <v>112</v>
      </c>
      <c r="BZ175" s="2" t="s">
        <v>112</v>
      </c>
      <c r="CA175" s="2" t="s">
        <v>101</v>
      </c>
    </row>
    <row r="176">
      <c r="A176" s="2" t="s">
        <v>536</v>
      </c>
      <c r="B176" s="2" t="s">
        <v>88</v>
      </c>
      <c r="C176" s="2" t="s">
        <v>89</v>
      </c>
      <c r="D176" s="2" t="s">
        <v>90</v>
      </c>
      <c r="E176" s="2" t="s">
        <v>501</v>
      </c>
      <c r="F176" s="2" t="s">
        <v>528</v>
      </c>
      <c r="G176" s="2" t="s">
        <v>528</v>
      </c>
      <c r="H176" s="2" t="s">
        <v>528</v>
      </c>
      <c r="I176" s="2" t="s">
        <v>529</v>
      </c>
      <c r="J176" s="2" t="s">
        <v>96</v>
      </c>
      <c r="K176" s="2" t="s">
        <v>378</v>
      </c>
      <c r="L176" s="3">
        <v>19.04</v>
      </c>
      <c r="M176" s="3">
        <v>19.99</v>
      </c>
      <c r="N176" s="3">
        <v>39.99</v>
      </c>
      <c r="O176" s="2" t="s">
        <v>285</v>
      </c>
      <c r="P176" s="2" t="s">
        <v>403</v>
      </c>
      <c r="Q176" s="2" t="s">
        <v>100</v>
      </c>
      <c r="R176" s="2" t="s">
        <v>101</v>
      </c>
      <c r="S176" s="2" t="s">
        <v>537</v>
      </c>
      <c r="T176" s="2" t="s">
        <v>103</v>
      </c>
      <c r="U176" s="2" t="s">
        <v>104</v>
      </c>
      <c r="V176" s="2" t="s">
        <v>105</v>
      </c>
      <c r="W176" s="2" t="s">
        <v>106</v>
      </c>
      <c r="X176" s="2" t="s">
        <v>532</v>
      </c>
      <c r="Y176" s="2" t="s">
        <v>107</v>
      </c>
      <c r="Z176" s="4"/>
      <c r="AA176" s="4">
        <f>=ROUNDDOWN({0},0)</f>
      </c>
      <c r="AB176" s="5">
        <v>5</v>
      </c>
      <c r="AC176" s="2" t="s">
        <v>465</v>
      </c>
      <c r="AD176" s="4">
        <v>102</v>
      </c>
      <c r="AE176" s="4">
        <v>102</v>
      </c>
      <c r="AF176" s="6">
        <v>63</v>
      </c>
      <c r="AG176" s="6">
        <v>46</v>
      </c>
      <c r="AH176" s="7">
        <v>0.8429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>
        <v>371</v>
      </c>
      <c r="AQ176" s="8">
        <v>5241.46</v>
      </c>
      <c r="AR176" s="4"/>
      <c r="AS176" s="8"/>
      <c r="AT176" s="7"/>
      <c r="AU176" s="7"/>
      <c r="AV176" s="4">
        <v>586</v>
      </c>
      <c r="AW176" s="8">
        <v>10952.46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0.4786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0.3817</v>
      </c>
      <c r="BJ176" s="4">
        <v>495</v>
      </c>
      <c r="BK176" s="8">
        <v>7812.35</v>
      </c>
      <c r="BL176" s="2" t="s">
        <v>533</v>
      </c>
      <c r="BM176" s="7">
        <v>0.7495</v>
      </c>
      <c r="BN176" s="7">
        <v>0.6709</v>
      </c>
      <c r="BO176" s="4">
        <v>371</v>
      </c>
      <c r="BP176" s="8">
        <v>5241.46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101</v>
      </c>
      <c r="BX176" s="2" t="s">
        <v>111</v>
      </c>
      <c r="BY176" s="2" t="s">
        <v>112</v>
      </c>
      <c r="BZ176" s="2" t="s">
        <v>112</v>
      </c>
      <c r="CA176" s="2" t="s">
        <v>101</v>
      </c>
    </row>
    <row r="177">
      <c r="A177" s="2" t="s">
        <v>538</v>
      </c>
      <c r="B177" s="2" t="s">
        <v>88</v>
      </c>
      <c r="C177" s="2" t="s">
        <v>89</v>
      </c>
      <c r="D177" s="2" t="s">
        <v>90</v>
      </c>
      <c r="E177" s="2" t="s">
        <v>501</v>
      </c>
      <c r="F177" s="2" t="s">
        <v>528</v>
      </c>
      <c r="G177" s="2" t="s">
        <v>528</v>
      </c>
      <c r="H177" s="2" t="s">
        <v>528</v>
      </c>
      <c r="I177" s="2" t="s">
        <v>529</v>
      </c>
      <c r="J177" s="2" t="s">
        <v>263</v>
      </c>
      <c r="K177" s="2" t="s">
        <v>378</v>
      </c>
      <c r="L177" s="3">
        <v>23.8</v>
      </c>
      <c r="M177" s="3">
        <v>24.99</v>
      </c>
      <c r="N177" s="3">
        <v>49.99</v>
      </c>
      <c r="O177" s="2" t="s">
        <v>285</v>
      </c>
      <c r="P177" s="2" t="s">
        <v>403</v>
      </c>
      <c r="Q177" s="2" t="s">
        <v>100</v>
      </c>
      <c r="R177" s="2" t="s">
        <v>101</v>
      </c>
      <c r="S177" s="2" t="s">
        <v>537</v>
      </c>
      <c r="T177" s="2" t="s">
        <v>103</v>
      </c>
      <c r="U177" s="2" t="s">
        <v>115</v>
      </c>
      <c r="V177" s="2" t="s">
        <v>105</v>
      </c>
      <c r="W177" s="2" t="s">
        <v>106</v>
      </c>
      <c r="X177" s="2" t="s">
        <v>532</v>
      </c>
      <c r="Y177" s="2" t="s">
        <v>107</v>
      </c>
      <c r="Z177" s="4">
        <v>2365</v>
      </c>
      <c r="AA177" s="4">
        <f>=ROUNDDOWN(337.857142857143,0)</f>
      </c>
      <c r="AB177" s="5">
        <v>7</v>
      </c>
      <c r="AC177" s="2" t="s">
        <v>101</v>
      </c>
      <c r="AD177" s="4"/>
      <c r="AE177" s="4"/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>
        <v>106</v>
      </c>
      <c r="AQ177" s="8">
        <v>2550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0.2328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600</v>
      </c>
      <c r="BK177" s="8">
        <v>15125.24</v>
      </c>
      <c r="BL177" s="2" t="s">
        <v>167</v>
      </c>
      <c r="BM177" s="7">
        <v>0.1767</v>
      </c>
      <c r="BN177" s="7">
        <v>0.1686</v>
      </c>
      <c r="BO177" s="4">
        <v>106</v>
      </c>
      <c r="BP177" s="8">
        <v>2550</v>
      </c>
      <c r="BQ177" s="4"/>
      <c r="BR177" s="8"/>
      <c r="BS177" s="7"/>
      <c r="BT177" s="7"/>
      <c r="BU177" s="2" t="s">
        <v>110</v>
      </c>
      <c r="BV177" s="2" t="s">
        <v>98</v>
      </c>
      <c r="BW177" s="2" t="s">
        <v>101</v>
      </c>
      <c r="BX177" s="2" t="s">
        <v>111</v>
      </c>
      <c r="BY177" s="2" t="s">
        <v>112</v>
      </c>
      <c r="BZ177" s="2" t="s">
        <v>112</v>
      </c>
      <c r="CA177" s="2" t="s">
        <v>101</v>
      </c>
    </row>
    <row r="178">
      <c r="A178" s="2" t="s">
        <v>539</v>
      </c>
      <c r="B178" s="2" t="s">
        <v>88</v>
      </c>
      <c r="C178" s="2" t="s">
        <v>89</v>
      </c>
      <c r="D178" s="2" t="s">
        <v>90</v>
      </c>
      <c r="E178" s="2" t="s">
        <v>501</v>
      </c>
      <c r="F178" s="2" t="s">
        <v>528</v>
      </c>
      <c r="G178" s="2" t="s">
        <v>528</v>
      </c>
      <c r="H178" s="2" t="s">
        <v>528</v>
      </c>
      <c r="I178" s="2" t="s">
        <v>529</v>
      </c>
      <c r="J178" s="2" t="s">
        <v>265</v>
      </c>
      <c r="K178" s="2" t="s">
        <v>378</v>
      </c>
      <c r="L178" s="3">
        <v>26.19</v>
      </c>
      <c r="M178" s="3">
        <v>27.5</v>
      </c>
      <c r="N178" s="3">
        <v>54.99</v>
      </c>
      <c r="O178" s="2" t="s">
        <v>285</v>
      </c>
      <c r="P178" s="2" t="s">
        <v>403</v>
      </c>
      <c r="Q178" s="2" t="s">
        <v>100</v>
      </c>
      <c r="R178" s="2" t="s">
        <v>101</v>
      </c>
      <c r="S178" s="2" t="s">
        <v>537</v>
      </c>
      <c r="T178" s="2" t="s">
        <v>103</v>
      </c>
      <c r="U178" s="2" t="s">
        <v>115</v>
      </c>
      <c r="V178" s="2" t="s">
        <v>105</v>
      </c>
      <c r="W178" s="2" t="s">
        <v>106</v>
      </c>
      <c r="X178" s="2" t="s">
        <v>532</v>
      </c>
      <c r="Y178" s="2" t="s">
        <v>409</v>
      </c>
      <c r="Z178" s="4">
        <v>112</v>
      </c>
      <c r="AA178" s="4">
        <f>=ROUNDDOWN(16,0)</f>
      </c>
      <c r="AB178" s="5">
        <v>7</v>
      </c>
      <c r="AC178" s="2" t="s">
        <v>101</v>
      </c>
      <c r="AD178" s="4"/>
      <c r="AE178" s="4"/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>
        <v>109</v>
      </c>
      <c r="AQ178" s="8">
        <v>3161</v>
      </c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0.2886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564</v>
      </c>
      <c r="BK178" s="8">
        <v>16072.71</v>
      </c>
      <c r="BL178" s="2" t="s">
        <v>540</v>
      </c>
      <c r="BM178" s="7">
        <v>0.1933</v>
      </c>
      <c r="BN178" s="7">
        <v>0.1967</v>
      </c>
      <c r="BO178" s="4">
        <v>109</v>
      </c>
      <c r="BP178" s="8">
        <v>3161</v>
      </c>
      <c r="BQ178" s="4"/>
      <c r="BR178" s="8"/>
      <c r="BS178" s="7"/>
      <c r="BT178" s="7"/>
      <c r="BU178" s="2" t="s">
        <v>110</v>
      </c>
      <c r="BV178" s="2" t="s">
        <v>98</v>
      </c>
      <c r="BW178" s="2" t="s">
        <v>101</v>
      </c>
      <c r="BX178" s="2" t="s">
        <v>111</v>
      </c>
      <c r="BY178" s="2" t="s">
        <v>112</v>
      </c>
      <c r="BZ178" s="2" t="s">
        <v>112</v>
      </c>
      <c r="CA178" s="2" t="s">
        <v>101</v>
      </c>
    </row>
    <row r="179">
      <c r="A179" s="2" t="s">
        <v>541</v>
      </c>
      <c r="B179" s="2" t="s">
        <v>88</v>
      </c>
      <c r="C179" s="2" t="s">
        <v>89</v>
      </c>
      <c r="D179" s="2" t="s">
        <v>90</v>
      </c>
      <c r="E179" s="2" t="s">
        <v>501</v>
      </c>
      <c r="F179" s="2" t="s">
        <v>528</v>
      </c>
      <c r="G179" s="2" t="s">
        <v>528</v>
      </c>
      <c r="H179" s="2" t="s">
        <v>528</v>
      </c>
      <c r="I179" s="2" t="s">
        <v>529</v>
      </c>
      <c r="J179" s="2" t="s">
        <v>96</v>
      </c>
      <c r="K179" s="2" t="s">
        <v>542</v>
      </c>
      <c r="L179" s="3">
        <v>19.04</v>
      </c>
      <c r="M179" s="3">
        <v>19.99</v>
      </c>
      <c r="N179" s="3">
        <v>39.99</v>
      </c>
      <c r="O179" s="2" t="s">
        <v>285</v>
      </c>
      <c r="P179" s="2" t="s">
        <v>403</v>
      </c>
      <c r="Q179" s="2" t="s">
        <v>100</v>
      </c>
      <c r="R179" s="2" t="s">
        <v>101</v>
      </c>
      <c r="S179" s="2" t="s">
        <v>543</v>
      </c>
      <c r="T179" s="2" t="s">
        <v>103</v>
      </c>
      <c r="U179" s="2" t="s">
        <v>104</v>
      </c>
      <c r="V179" s="2" t="s">
        <v>105</v>
      </c>
      <c r="W179" s="2" t="s">
        <v>106</v>
      </c>
      <c r="X179" s="2" t="s">
        <v>532</v>
      </c>
      <c r="Y179" s="2" t="s">
        <v>107</v>
      </c>
      <c r="Z179" s="4">
        <v>100</v>
      </c>
      <c r="AA179" s="4">
        <f>=ROUNDDOWN(20,0)</f>
      </c>
      <c r="AB179" s="5">
        <v>5</v>
      </c>
      <c r="AC179" s="2" t="s">
        <v>101</v>
      </c>
      <c r="AD179" s="4"/>
      <c r="AE179" s="4"/>
      <c r="AF179" s="6">
        <v>63</v>
      </c>
      <c r="AG179" s="6">
        <v>46</v>
      </c>
      <c r="AH179" s="7">
        <v>0.8857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69</v>
      </c>
      <c r="AQ179" s="8">
        <v>1288.2</v>
      </c>
      <c r="AR179" s="4"/>
      <c r="AS179" s="8"/>
      <c r="AT179" s="7"/>
      <c r="AU179" s="7"/>
      <c r="AV179" s="4">
        <v>153</v>
      </c>
      <c r="AW179" s="8">
        <v>3356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0.3838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>
        <v>0.1169</v>
      </c>
      <c r="BJ179" s="4">
        <v>143</v>
      </c>
      <c r="BK179" s="8">
        <v>2768.81</v>
      </c>
      <c r="BL179" s="2" t="s">
        <v>540</v>
      </c>
      <c r="BM179" s="7">
        <v>0.4825</v>
      </c>
      <c r="BN179" s="7">
        <v>0.4653</v>
      </c>
      <c r="BO179" s="4">
        <v>69</v>
      </c>
      <c r="BP179" s="8">
        <v>1288.2</v>
      </c>
      <c r="BQ179" s="4"/>
      <c r="BR179" s="8"/>
      <c r="BS179" s="7"/>
      <c r="BT179" s="7"/>
      <c r="BU179" s="2" t="s">
        <v>110</v>
      </c>
      <c r="BV179" s="2" t="s">
        <v>98</v>
      </c>
      <c r="BW179" s="2" t="s">
        <v>101</v>
      </c>
      <c r="BX179" s="2" t="s">
        <v>111</v>
      </c>
      <c r="BY179" s="2" t="s">
        <v>112</v>
      </c>
      <c r="BZ179" s="2" t="s">
        <v>112</v>
      </c>
      <c r="CA179" s="2" t="s">
        <v>101</v>
      </c>
    </row>
    <row r="180">
      <c r="A180" s="2" t="s">
        <v>544</v>
      </c>
      <c r="B180" s="2" t="s">
        <v>88</v>
      </c>
      <c r="C180" s="2" t="s">
        <v>89</v>
      </c>
      <c r="D180" s="2" t="s">
        <v>90</v>
      </c>
      <c r="E180" s="2" t="s">
        <v>501</v>
      </c>
      <c r="F180" s="2" t="s">
        <v>528</v>
      </c>
      <c r="G180" s="2" t="s">
        <v>528</v>
      </c>
      <c r="H180" s="2" t="s">
        <v>528</v>
      </c>
      <c r="I180" s="2" t="s">
        <v>529</v>
      </c>
      <c r="J180" s="2" t="s">
        <v>263</v>
      </c>
      <c r="K180" s="2" t="s">
        <v>542</v>
      </c>
      <c r="L180" s="3">
        <v>23.8</v>
      </c>
      <c r="M180" s="3">
        <v>24.99</v>
      </c>
      <c r="N180" s="3">
        <v>49.99</v>
      </c>
      <c r="O180" s="2" t="s">
        <v>285</v>
      </c>
      <c r="P180" s="2" t="s">
        <v>403</v>
      </c>
      <c r="Q180" s="2" t="s">
        <v>100</v>
      </c>
      <c r="R180" s="2" t="s">
        <v>101</v>
      </c>
      <c r="S180" s="2" t="s">
        <v>543</v>
      </c>
      <c r="T180" s="2" t="s">
        <v>103</v>
      </c>
      <c r="U180" s="2" t="s">
        <v>115</v>
      </c>
      <c r="V180" s="2" t="s">
        <v>105</v>
      </c>
      <c r="W180" s="2" t="s">
        <v>106</v>
      </c>
      <c r="X180" s="2" t="s">
        <v>532</v>
      </c>
      <c r="Y180" s="2" t="s">
        <v>107</v>
      </c>
      <c r="Z180" s="4"/>
      <c r="AA180" s="4">
        <f>=ROUNDDOWN({0},0)</f>
      </c>
      <c r="AB180" s="5">
        <v>5</v>
      </c>
      <c r="AC180" s="2" t="s">
        <v>101</v>
      </c>
      <c r="AD180" s="4"/>
      <c r="AE180" s="4"/>
      <c r="AF180" s="6">
        <v>63</v>
      </c>
      <c r="AG180" s="6">
        <v>46</v>
      </c>
      <c r="AH180" s="7">
        <v>0.8238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>
        <v>56</v>
      </c>
      <c r="AQ180" s="8">
        <v>1283.8</v>
      </c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0.3825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 t="s">
        <v>101</v>
      </c>
      <c r="BJ180" s="4">
        <v>376</v>
      </c>
      <c r="BK180" s="8">
        <v>9140.23</v>
      </c>
      <c r="BL180" s="2" t="s">
        <v>545</v>
      </c>
      <c r="BM180" s="7">
        <v>0.1489</v>
      </c>
      <c r="BN180" s="7">
        <v>0.1405</v>
      </c>
      <c r="BO180" s="4">
        <v>56</v>
      </c>
      <c r="BP180" s="8">
        <v>1283.8</v>
      </c>
      <c r="BQ180" s="4"/>
      <c r="BR180" s="8"/>
      <c r="BS180" s="7"/>
      <c r="BT180" s="7"/>
      <c r="BU180" s="2" t="s">
        <v>110</v>
      </c>
      <c r="BV180" s="2" t="s">
        <v>410</v>
      </c>
      <c r="BW180" s="2" t="s">
        <v>101</v>
      </c>
      <c r="BX180" s="2" t="s">
        <v>111</v>
      </c>
      <c r="BY180" s="2" t="s">
        <v>112</v>
      </c>
      <c r="BZ180" s="2" t="s">
        <v>112</v>
      </c>
      <c r="CA180" s="2" t="s">
        <v>101</v>
      </c>
    </row>
    <row r="181">
      <c r="A181" s="2" t="s">
        <v>546</v>
      </c>
      <c r="B181" s="2" t="s">
        <v>88</v>
      </c>
      <c r="C181" s="2" t="s">
        <v>89</v>
      </c>
      <c r="D181" s="2" t="s">
        <v>90</v>
      </c>
      <c r="E181" s="2" t="s">
        <v>501</v>
      </c>
      <c r="F181" s="2" t="s">
        <v>528</v>
      </c>
      <c r="G181" s="2" t="s">
        <v>528</v>
      </c>
      <c r="H181" s="2" t="s">
        <v>528</v>
      </c>
      <c r="I181" s="2" t="s">
        <v>529</v>
      </c>
      <c r="J181" s="2" t="s">
        <v>265</v>
      </c>
      <c r="K181" s="2" t="s">
        <v>542</v>
      </c>
      <c r="L181" s="3">
        <v>26.19</v>
      </c>
      <c r="M181" s="3">
        <v>27.5</v>
      </c>
      <c r="N181" s="3">
        <v>54.99</v>
      </c>
      <c r="O181" s="2" t="s">
        <v>285</v>
      </c>
      <c r="P181" s="2" t="s">
        <v>403</v>
      </c>
      <c r="Q181" s="2" t="s">
        <v>100</v>
      </c>
      <c r="R181" s="2" t="s">
        <v>101</v>
      </c>
      <c r="S181" s="2" t="s">
        <v>543</v>
      </c>
      <c r="T181" s="2" t="s">
        <v>103</v>
      </c>
      <c r="U181" s="2" t="s">
        <v>115</v>
      </c>
      <c r="V181" s="2" t="s">
        <v>105</v>
      </c>
      <c r="W181" s="2" t="s">
        <v>106</v>
      </c>
      <c r="X181" s="2" t="s">
        <v>532</v>
      </c>
      <c r="Y181" s="2" t="s">
        <v>409</v>
      </c>
      <c r="Z181" s="4"/>
      <c r="AA181" s="4">
        <f>=ROUNDDOWN({0},0)</f>
      </c>
      <c r="AB181" s="5">
        <v>16</v>
      </c>
      <c r="AC181" s="2" t="s">
        <v>101</v>
      </c>
      <c r="AD181" s="4"/>
      <c r="AE181" s="4"/>
      <c r="AF181" s="6">
        <v>63</v>
      </c>
      <c r="AG181" s="6">
        <v>46</v>
      </c>
      <c r="AH181" s="7">
        <v>0.8333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>
        <v>28</v>
      </c>
      <c r="AQ181" s="8">
        <v>784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0.2336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551</v>
      </c>
      <c r="BK181" s="8">
        <v>14730.92</v>
      </c>
      <c r="BL181" s="2" t="s">
        <v>167</v>
      </c>
      <c r="BM181" s="7">
        <v>0.0508</v>
      </c>
      <c r="BN181" s="7">
        <v>0.0532</v>
      </c>
      <c r="BO181" s="4">
        <v>28</v>
      </c>
      <c r="BP181" s="8">
        <v>784</v>
      </c>
      <c r="BQ181" s="4"/>
      <c r="BR181" s="8"/>
      <c r="BS181" s="7"/>
      <c r="BT181" s="7"/>
      <c r="BU181" s="2" t="s">
        <v>110</v>
      </c>
      <c r="BV181" s="2" t="s">
        <v>98</v>
      </c>
      <c r="BW181" s="2" t="s">
        <v>101</v>
      </c>
      <c r="BX181" s="2" t="s">
        <v>111</v>
      </c>
      <c r="BY181" s="2" t="s">
        <v>112</v>
      </c>
      <c r="BZ181" s="2" t="s">
        <v>112</v>
      </c>
      <c r="CA181" s="2" t="s">
        <v>101</v>
      </c>
    </row>
    <row r="182">
      <c r="A182" s="2" t="s">
        <v>547</v>
      </c>
      <c r="B182" s="2" t="s">
        <v>88</v>
      </c>
      <c r="C182" s="2" t="s">
        <v>89</v>
      </c>
      <c r="D182" s="2" t="s">
        <v>90</v>
      </c>
      <c r="E182" s="2" t="s">
        <v>501</v>
      </c>
      <c r="F182" s="2" t="s">
        <v>548</v>
      </c>
      <c r="G182" s="2" t="s">
        <v>549</v>
      </c>
      <c r="H182" s="2" t="s">
        <v>550</v>
      </c>
      <c r="I182" s="2" t="s">
        <v>551</v>
      </c>
      <c r="J182" s="2" t="s">
        <v>96</v>
      </c>
      <c r="K182" s="2" t="s">
        <v>306</v>
      </c>
      <c r="L182" s="3">
        <v>28.57</v>
      </c>
      <c r="M182" s="3">
        <v>30</v>
      </c>
      <c r="N182" s="3">
        <v>59.99</v>
      </c>
      <c r="O182" s="2" t="s">
        <v>98</v>
      </c>
      <c r="P182" s="2" t="s">
        <v>481</v>
      </c>
      <c r="Q182" s="2" t="s">
        <v>100</v>
      </c>
      <c r="R182" s="2" t="s">
        <v>101</v>
      </c>
      <c r="S182" s="2" t="s">
        <v>101</v>
      </c>
      <c r="T182" s="2" t="s">
        <v>552</v>
      </c>
      <c r="U182" s="2" t="s">
        <v>115</v>
      </c>
      <c r="V182" s="2" t="s">
        <v>105</v>
      </c>
      <c r="W182" s="2" t="s">
        <v>106</v>
      </c>
      <c r="X182" s="2" t="s">
        <v>106</v>
      </c>
      <c r="Y182" s="2" t="s">
        <v>553</v>
      </c>
      <c r="Z182" s="4">
        <v>105</v>
      </c>
      <c r="AA182" s="4">
        <f>=ROUNDDOWN({0},0)</f>
      </c>
      <c r="AB182" s="5"/>
      <c r="AC182" s="2" t="s">
        <v>553</v>
      </c>
      <c r="AD182" s="4">
        <v>105</v>
      </c>
      <c r="AE182" s="4">
        <v>351</v>
      </c>
      <c r="AF182" s="6">
        <v>64</v>
      </c>
      <c r="AG182" s="6">
        <v>47</v>
      </c>
      <c r="AH182" s="7"/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/>
      <c r="BK182" s="8"/>
      <c r="BL182" s="2" t="s">
        <v>101</v>
      </c>
      <c r="BM182" s="7"/>
      <c r="BN182" s="7"/>
      <c r="BO182" s="4"/>
      <c r="BP182" s="8"/>
      <c r="BQ182" s="4"/>
      <c r="BR182" s="8"/>
      <c r="BS182" s="7"/>
      <c r="BT182" s="7"/>
      <c r="BU182" s="2" t="s">
        <v>415</v>
      </c>
      <c r="BV182" s="2" t="s">
        <v>98</v>
      </c>
      <c r="BW182" s="2" t="s">
        <v>101</v>
      </c>
      <c r="BX182" s="2" t="s">
        <v>101</v>
      </c>
      <c r="BY182" s="2" t="s">
        <v>112</v>
      </c>
      <c r="BZ182" s="2" t="s">
        <v>112</v>
      </c>
      <c r="CA182" s="2" t="s">
        <v>101</v>
      </c>
    </row>
    <row r="183">
      <c r="A183" s="2" t="s">
        <v>554</v>
      </c>
      <c r="B183" s="2" t="s">
        <v>88</v>
      </c>
      <c r="C183" s="2" t="s">
        <v>89</v>
      </c>
      <c r="D183" s="2" t="s">
        <v>90</v>
      </c>
      <c r="E183" s="2" t="s">
        <v>501</v>
      </c>
      <c r="F183" s="2" t="s">
        <v>548</v>
      </c>
      <c r="G183" s="2" t="s">
        <v>549</v>
      </c>
      <c r="H183" s="2" t="s">
        <v>550</v>
      </c>
      <c r="I183" s="2" t="s">
        <v>551</v>
      </c>
      <c r="J183" s="2" t="s">
        <v>263</v>
      </c>
      <c r="K183" s="2" t="s">
        <v>306</v>
      </c>
      <c r="L183" s="3">
        <v>33.33</v>
      </c>
      <c r="M183" s="3">
        <v>35</v>
      </c>
      <c r="N183" s="3">
        <v>69.99</v>
      </c>
      <c r="O183" s="2" t="s">
        <v>98</v>
      </c>
      <c r="P183" s="2" t="s">
        <v>481</v>
      </c>
      <c r="Q183" s="2" t="s">
        <v>100</v>
      </c>
      <c r="R183" s="2" t="s">
        <v>101</v>
      </c>
      <c r="S183" s="2" t="s">
        <v>101</v>
      </c>
      <c r="T183" s="2" t="s">
        <v>552</v>
      </c>
      <c r="U183" s="2" t="s">
        <v>555</v>
      </c>
      <c r="V183" s="2" t="s">
        <v>105</v>
      </c>
      <c r="W183" s="2" t="s">
        <v>106</v>
      </c>
      <c r="X183" s="2" t="s">
        <v>106</v>
      </c>
      <c r="Y183" s="2" t="s">
        <v>556</v>
      </c>
      <c r="Z183" s="4">
        <v>192</v>
      </c>
      <c r="AA183" s="4">
        <f>=ROUNDDOWN({0},0)</f>
      </c>
      <c r="AB183" s="5"/>
      <c r="AC183" s="2" t="s">
        <v>553</v>
      </c>
      <c r="AD183" s="4">
        <v>192</v>
      </c>
      <c r="AE183" s="4">
        <v>642</v>
      </c>
      <c r="AF183" s="6">
        <v>64</v>
      </c>
      <c r="AG183" s="6">
        <v>47</v>
      </c>
      <c r="AH183" s="7">
        <v>0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/>
      <c r="BK183" s="8"/>
      <c r="BL183" s="2" t="s">
        <v>101</v>
      </c>
      <c r="BM183" s="7"/>
      <c r="BN183" s="7"/>
      <c r="BO183" s="4"/>
      <c r="BP183" s="8"/>
      <c r="BQ183" s="4"/>
      <c r="BR183" s="8"/>
      <c r="BS183" s="7"/>
      <c r="BT183" s="7"/>
      <c r="BU183" s="2" t="s">
        <v>415</v>
      </c>
      <c r="BV183" s="2" t="s">
        <v>98</v>
      </c>
      <c r="BW183" s="2" t="s">
        <v>101</v>
      </c>
      <c r="BX183" s="2" t="s">
        <v>101</v>
      </c>
      <c r="BY183" s="2" t="s">
        <v>112</v>
      </c>
      <c r="BZ183" s="2" t="s">
        <v>112</v>
      </c>
      <c r="CA183" s="2" t="s">
        <v>101</v>
      </c>
    </row>
    <row r="184">
      <c r="A184" s="2" t="s">
        <v>557</v>
      </c>
      <c r="B184" s="2" t="s">
        <v>88</v>
      </c>
      <c r="C184" s="2" t="s">
        <v>89</v>
      </c>
      <c r="D184" s="2" t="s">
        <v>90</v>
      </c>
      <c r="E184" s="2" t="s">
        <v>501</v>
      </c>
      <c r="F184" s="2" t="s">
        <v>548</v>
      </c>
      <c r="G184" s="2" t="s">
        <v>549</v>
      </c>
      <c r="H184" s="2" t="s">
        <v>550</v>
      </c>
      <c r="I184" s="2" t="s">
        <v>551</v>
      </c>
      <c r="J184" s="2" t="s">
        <v>265</v>
      </c>
      <c r="K184" s="2" t="s">
        <v>306</v>
      </c>
      <c r="L184" s="3">
        <v>38.09</v>
      </c>
      <c r="M184" s="3">
        <v>39.99</v>
      </c>
      <c r="N184" s="3">
        <v>79.99</v>
      </c>
      <c r="O184" s="2" t="s">
        <v>98</v>
      </c>
      <c r="P184" s="2" t="s">
        <v>481</v>
      </c>
      <c r="Q184" s="2" t="s">
        <v>100</v>
      </c>
      <c r="R184" s="2" t="s">
        <v>101</v>
      </c>
      <c r="S184" s="2" t="s">
        <v>101</v>
      </c>
      <c r="T184" s="2" t="s">
        <v>552</v>
      </c>
      <c r="U184" s="2" t="s">
        <v>555</v>
      </c>
      <c r="V184" s="2" t="s">
        <v>105</v>
      </c>
      <c r="W184" s="2" t="s">
        <v>106</v>
      </c>
      <c r="X184" s="2" t="s">
        <v>106</v>
      </c>
      <c r="Y184" s="2" t="s">
        <v>558</v>
      </c>
      <c r="Z184" s="4">
        <v>156</v>
      </c>
      <c r="AA184" s="4">
        <f>=ROUNDDOWN({0},0)</f>
      </c>
      <c r="AB184" s="5"/>
      <c r="AC184" s="2" t="s">
        <v>559</v>
      </c>
      <c r="AD184" s="4">
        <v>156</v>
      </c>
      <c r="AE184" s="4">
        <v>519</v>
      </c>
      <c r="AF184" s="6">
        <v>64</v>
      </c>
      <c r="AG184" s="6">
        <v>47</v>
      </c>
      <c r="AH184" s="7"/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/>
      <c r="BJ184" s="4"/>
      <c r="BK184" s="8"/>
      <c r="BL184" s="2" t="s">
        <v>101</v>
      </c>
      <c r="BM184" s="7"/>
      <c r="BN184" s="7"/>
      <c r="BO184" s="4"/>
      <c r="BP184" s="8"/>
      <c r="BQ184" s="4"/>
      <c r="BR184" s="8"/>
      <c r="BS184" s="7"/>
      <c r="BT184" s="7"/>
      <c r="BU184" s="2" t="s">
        <v>415</v>
      </c>
      <c r="BV184" s="2" t="s">
        <v>98</v>
      </c>
      <c r="BW184" s="2" t="s">
        <v>101</v>
      </c>
      <c r="BX184" s="2" t="s">
        <v>101</v>
      </c>
      <c r="BY184" s="2" t="s">
        <v>112</v>
      </c>
      <c r="BZ184" s="2" t="s">
        <v>112</v>
      </c>
      <c r="CA184" s="2" t="s">
        <v>101</v>
      </c>
    </row>
    <row r="185">
      <c r="A185" s="2" t="s">
        <v>560</v>
      </c>
      <c r="B185" s="2" t="s">
        <v>88</v>
      </c>
      <c r="C185" s="2" t="s">
        <v>89</v>
      </c>
      <c r="D185" s="2" t="s">
        <v>90</v>
      </c>
      <c r="E185" s="2" t="s">
        <v>501</v>
      </c>
      <c r="F185" s="2" t="s">
        <v>548</v>
      </c>
      <c r="G185" s="2" t="s">
        <v>549</v>
      </c>
      <c r="H185" s="2" t="s">
        <v>550</v>
      </c>
      <c r="I185" s="2" t="s">
        <v>551</v>
      </c>
      <c r="J185" s="2" t="s">
        <v>96</v>
      </c>
      <c r="K185" s="2" t="s">
        <v>378</v>
      </c>
      <c r="L185" s="3">
        <v>28.57</v>
      </c>
      <c r="M185" s="3">
        <v>30</v>
      </c>
      <c r="N185" s="3">
        <v>59.99</v>
      </c>
      <c r="O185" s="2" t="s">
        <v>98</v>
      </c>
      <c r="P185" s="2" t="s">
        <v>481</v>
      </c>
      <c r="Q185" s="2" t="s">
        <v>100</v>
      </c>
      <c r="R185" s="2" t="s">
        <v>101</v>
      </c>
      <c r="S185" s="2" t="s">
        <v>561</v>
      </c>
      <c r="T185" s="2" t="s">
        <v>552</v>
      </c>
      <c r="U185" s="2" t="s">
        <v>115</v>
      </c>
      <c r="V185" s="2" t="s">
        <v>105</v>
      </c>
      <c r="W185" s="2" t="s">
        <v>106</v>
      </c>
      <c r="X185" s="2" t="s">
        <v>106</v>
      </c>
      <c r="Y185" s="2" t="s">
        <v>553</v>
      </c>
      <c r="Z185" s="4">
        <v>123</v>
      </c>
      <c r="AA185" s="4">
        <f>=ROUNDDOWN({0},0)</f>
      </c>
      <c r="AB185" s="5"/>
      <c r="AC185" s="2" t="s">
        <v>553</v>
      </c>
      <c r="AD185" s="4">
        <v>123</v>
      </c>
      <c r="AE185" s="4">
        <v>408</v>
      </c>
      <c r="AF185" s="6">
        <v>64</v>
      </c>
      <c r="AG185" s="6">
        <v>47</v>
      </c>
      <c r="AH185" s="7"/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/>
      <c r="BK185" s="8"/>
      <c r="BL185" s="2" t="s">
        <v>101</v>
      </c>
      <c r="BM185" s="7"/>
      <c r="BN185" s="7"/>
      <c r="BO185" s="4"/>
      <c r="BP185" s="8"/>
      <c r="BQ185" s="4"/>
      <c r="BR185" s="8"/>
      <c r="BS185" s="7"/>
      <c r="BT185" s="7"/>
      <c r="BU185" s="2" t="s">
        <v>415</v>
      </c>
      <c r="BV185" s="2" t="s">
        <v>98</v>
      </c>
      <c r="BW185" s="2" t="s">
        <v>101</v>
      </c>
      <c r="BX185" s="2" t="s">
        <v>101</v>
      </c>
      <c r="BY185" s="2" t="s">
        <v>112</v>
      </c>
      <c r="BZ185" s="2" t="s">
        <v>112</v>
      </c>
      <c r="CA185" s="2" t="s">
        <v>101</v>
      </c>
    </row>
    <row r="186">
      <c r="A186" s="2" t="s">
        <v>562</v>
      </c>
      <c r="B186" s="2" t="s">
        <v>88</v>
      </c>
      <c r="C186" s="2" t="s">
        <v>89</v>
      </c>
      <c r="D186" s="2" t="s">
        <v>90</v>
      </c>
      <c r="E186" s="2" t="s">
        <v>501</v>
      </c>
      <c r="F186" s="2" t="s">
        <v>548</v>
      </c>
      <c r="G186" s="2" t="s">
        <v>549</v>
      </c>
      <c r="H186" s="2" t="s">
        <v>550</v>
      </c>
      <c r="I186" s="2" t="s">
        <v>551</v>
      </c>
      <c r="J186" s="2" t="s">
        <v>263</v>
      </c>
      <c r="K186" s="2" t="s">
        <v>378</v>
      </c>
      <c r="L186" s="3">
        <v>33.33</v>
      </c>
      <c r="M186" s="3">
        <v>35</v>
      </c>
      <c r="N186" s="3">
        <v>69.99</v>
      </c>
      <c r="O186" s="2" t="s">
        <v>98</v>
      </c>
      <c r="P186" s="2" t="s">
        <v>481</v>
      </c>
      <c r="Q186" s="2" t="s">
        <v>100</v>
      </c>
      <c r="R186" s="2" t="s">
        <v>101</v>
      </c>
      <c r="S186" s="2" t="s">
        <v>561</v>
      </c>
      <c r="T186" s="2" t="s">
        <v>552</v>
      </c>
      <c r="U186" s="2" t="s">
        <v>555</v>
      </c>
      <c r="V186" s="2" t="s">
        <v>105</v>
      </c>
      <c r="W186" s="2" t="s">
        <v>106</v>
      </c>
      <c r="X186" s="2" t="s">
        <v>106</v>
      </c>
      <c r="Y186" s="2" t="s">
        <v>556</v>
      </c>
      <c r="Z186" s="4">
        <v>237</v>
      </c>
      <c r="AA186" s="4">
        <f>=ROUNDDOWN({0},0)</f>
      </c>
      <c r="AB186" s="5"/>
      <c r="AC186" s="2" t="s">
        <v>559</v>
      </c>
      <c r="AD186" s="4">
        <v>93</v>
      </c>
      <c r="AE186" s="4">
        <v>789</v>
      </c>
      <c r="AF186" s="6">
        <v>64</v>
      </c>
      <c r="AG186" s="6">
        <v>47</v>
      </c>
      <c r="AH186" s="7">
        <v>0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/>
      <c r="BJ186" s="4"/>
      <c r="BK186" s="8"/>
      <c r="BL186" s="2" t="s">
        <v>101</v>
      </c>
      <c r="BM186" s="7"/>
      <c r="BN186" s="7"/>
      <c r="BO186" s="4"/>
      <c r="BP186" s="8"/>
      <c r="BQ186" s="4"/>
      <c r="BR186" s="8"/>
      <c r="BS186" s="7"/>
      <c r="BT186" s="7"/>
      <c r="BU186" s="2" t="s">
        <v>415</v>
      </c>
      <c r="BV186" s="2" t="s">
        <v>98</v>
      </c>
      <c r="BW186" s="2" t="s">
        <v>101</v>
      </c>
      <c r="BX186" s="2" t="s">
        <v>101</v>
      </c>
      <c r="BY186" s="2" t="s">
        <v>112</v>
      </c>
      <c r="BZ186" s="2" t="s">
        <v>112</v>
      </c>
      <c r="CA186" s="2" t="s">
        <v>101</v>
      </c>
    </row>
    <row r="187">
      <c r="A187" s="2" t="s">
        <v>563</v>
      </c>
      <c r="B187" s="2" t="s">
        <v>88</v>
      </c>
      <c r="C187" s="2" t="s">
        <v>89</v>
      </c>
      <c r="D187" s="2" t="s">
        <v>90</v>
      </c>
      <c r="E187" s="2" t="s">
        <v>501</v>
      </c>
      <c r="F187" s="2" t="s">
        <v>548</v>
      </c>
      <c r="G187" s="2" t="s">
        <v>549</v>
      </c>
      <c r="H187" s="2" t="s">
        <v>550</v>
      </c>
      <c r="I187" s="2" t="s">
        <v>551</v>
      </c>
      <c r="J187" s="2" t="s">
        <v>265</v>
      </c>
      <c r="K187" s="2" t="s">
        <v>378</v>
      </c>
      <c r="L187" s="3">
        <v>38.09</v>
      </c>
      <c r="M187" s="3">
        <v>39.99</v>
      </c>
      <c r="N187" s="3">
        <v>79.99</v>
      </c>
      <c r="O187" s="2" t="s">
        <v>98</v>
      </c>
      <c r="P187" s="2" t="s">
        <v>481</v>
      </c>
      <c r="Q187" s="2" t="s">
        <v>100</v>
      </c>
      <c r="R187" s="2" t="s">
        <v>101</v>
      </c>
      <c r="S187" s="2" t="s">
        <v>561</v>
      </c>
      <c r="T187" s="2" t="s">
        <v>552</v>
      </c>
      <c r="U187" s="2" t="s">
        <v>555</v>
      </c>
      <c r="V187" s="2" t="s">
        <v>105</v>
      </c>
      <c r="W187" s="2" t="s">
        <v>106</v>
      </c>
      <c r="X187" s="2" t="s">
        <v>106</v>
      </c>
      <c r="Y187" s="2" t="s">
        <v>558</v>
      </c>
      <c r="Z187" s="4">
        <v>192</v>
      </c>
      <c r="AA187" s="4">
        <f>=ROUNDDOWN({0},0)</f>
      </c>
      <c r="AB187" s="5"/>
      <c r="AC187" s="2" t="s">
        <v>559</v>
      </c>
      <c r="AD187" s="4">
        <v>192</v>
      </c>
      <c r="AE187" s="4">
        <v>639</v>
      </c>
      <c r="AF187" s="6">
        <v>64</v>
      </c>
      <c r="AG187" s="6">
        <v>47</v>
      </c>
      <c r="AH187" s="7"/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/>
      <c r="BJ187" s="4"/>
      <c r="BK187" s="8"/>
      <c r="BL187" s="2" t="s">
        <v>101</v>
      </c>
      <c r="BM187" s="7"/>
      <c r="BN187" s="7"/>
      <c r="BO187" s="4"/>
      <c r="BP187" s="8"/>
      <c r="BQ187" s="4"/>
      <c r="BR187" s="8"/>
      <c r="BS187" s="7"/>
      <c r="BT187" s="7"/>
      <c r="BU187" s="2" t="s">
        <v>415</v>
      </c>
      <c r="BV187" s="2" t="s">
        <v>98</v>
      </c>
      <c r="BW187" s="2" t="s">
        <v>101</v>
      </c>
      <c r="BX187" s="2" t="s">
        <v>101</v>
      </c>
      <c r="BY187" s="2" t="s">
        <v>112</v>
      </c>
      <c r="BZ187" s="2" t="s">
        <v>112</v>
      </c>
      <c r="CA187" s="2" t="s">
        <v>101</v>
      </c>
    </row>
    <row r="188">
      <c r="A188" s="2" t="s">
        <v>564</v>
      </c>
      <c r="B188" s="2" t="s">
        <v>88</v>
      </c>
      <c r="C188" s="2" t="s">
        <v>89</v>
      </c>
      <c r="D188" s="2" t="s">
        <v>90</v>
      </c>
      <c r="E188" s="2" t="s">
        <v>501</v>
      </c>
      <c r="F188" s="2" t="s">
        <v>548</v>
      </c>
      <c r="G188" s="2" t="s">
        <v>549</v>
      </c>
      <c r="H188" s="2" t="s">
        <v>550</v>
      </c>
      <c r="I188" s="2" t="s">
        <v>551</v>
      </c>
      <c r="J188" s="2" t="s">
        <v>96</v>
      </c>
      <c r="K188" s="2" t="s">
        <v>346</v>
      </c>
      <c r="L188" s="3">
        <v>28.57</v>
      </c>
      <c r="M188" s="3">
        <v>30</v>
      </c>
      <c r="N188" s="3">
        <v>59.99</v>
      </c>
      <c r="O188" s="2" t="s">
        <v>98</v>
      </c>
      <c r="P188" s="2" t="s">
        <v>481</v>
      </c>
      <c r="Q188" s="2" t="s">
        <v>100</v>
      </c>
      <c r="R188" s="2" t="s">
        <v>101</v>
      </c>
      <c r="S188" s="2" t="s">
        <v>565</v>
      </c>
      <c r="T188" s="2" t="s">
        <v>552</v>
      </c>
      <c r="U188" s="2" t="s">
        <v>115</v>
      </c>
      <c r="V188" s="2" t="s">
        <v>105</v>
      </c>
      <c r="W188" s="2" t="s">
        <v>106</v>
      </c>
      <c r="X188" s="2" t="s">
        <v>106</v>
      </c>
      <c r="Y188" s="2" t="s">
        <v>553</v>
      </c>
      <c r="Z188" s="4">
        <v>111</v>
      </c>
      <c r="AA188" s="4">
        <f>=ROUNDDOWN({0},0)</f>
      </c>
      <c r="AB188" s="5"/>
      <c r="AC188" s="2" t="s">
        <v>553</v>
      </c>
      <c r="AD188" s="4">
        <v>111</v>
      </c>
      <c r="AE188" s="4">
        <v>369</v>
      </c>
      <c r="AF188" s="6">
        <v>64</v>
      </c>
      <c r="AG188" s="6">
        <v>47</v>
      </c>
      <c r="AH188" s="7"/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/>
      <c r="BJ188" s="4"/>
      <c r="BK188" s="8"/>
      <c r="BL188" s="2" t="s">
        <v>101</v>
      </c>
      <c r="BM188" s="7"/>
      <c r="BN188" s="7"/>
      <c r="BO188" s="4"/>
      <c r="BP188" s="8"/>
      <c r="BQ188" s="4"/>
      <c r="BR188" s="8"/>
      <c r="BS188" s="7"/>
      <c r="BT188" s="7"/>
      <c r="BU188" s="2" t="s">
        <v>415</v>
      </c>
      <c r="BV188" s="2" t="s">
        <v>98</v>
      </c>
      <c r="BW188" s="2" t="s">
        <v>101</v>
      </c>
      <c r="BX188" s="2" t="s">
        <v>101</v>
      </c>
      <c r="BY188" s="2" t="s">
        <v>112</v>
      </c>
      <c r="BZ188" s="2" t="s">
        <v>112</v>
      </c>
      <c r="CA188" s="2" t="s">
        <v>101</v>
      </c>
    </row>
    <row r="189">
      <c r="A189" s="2" t="s">
        <v>566</v>
      </c>
      <c r="B189" s="2" t="s">
        <v>88</v>
      </c>
      <c r="C189" s="2" t="s">
        <v>89</v>
      </c>
      <c r="D189" s="2" t="s">
        <v>90</v>
      </c>
      <c r="E189" s="2" t="s">
        <v>501</v>
      </c>
      <c r="F189" s="2" t="s">
        <v>548</v>
      </c>
      <c r="G189" s="2" t="s">
        <v>549</v>
      </c>
      <c r="H189" s="2" t="s">
        <v>550</v>
      </c>
      <c r="I189" s="2" t="s">
        <v>551</v>
      </c>
      <c r="J189" s="2" t="s">
        <v>263</v>
      </c>
      <c r="K189" s="2" t="s">
        <v>346</v>
      </c>
      <c r="L189" s="3">
        <v>33.33</v>
      </c>
      <c r="M189" s="3">
        <v>35</v>
      </c>
      <c r="N189" s="3">
        <v>69.99</v>
      </c>
      <c r="O189" s="2" t="s">
        <v>98</v>
      </c>
      <c r="P189" s="2" t="s">
        <v>481</v>
      </c>
      <c r="Q189" s="2" t="s">
        <v>100</v>
      </c>
      <c r="R189" s="2" t="s">
        <v>101</v>
      </c>
      <c r="S189" s="2" t="s">
        <v>565</v>
      </c>
      <c r="T189" s="2" t="s">
        <v>552</v>
      </c>
      <c r="U189" s="2" t="s">
        <v>555</v>
      </c>
      <c r="V189" s="2" t="s">
        <v>105</v>
      </c>
      <c r="W189" s="2" t="s">
        <v>106</v>
      </c>
      <c r="X189" s="2" t="s">
        <v>106</v>
      </c>
      <c r="Y189" s="2" t="s">
        <v>556</v>
      </c>
      <c r="Z189" s="4">
        <v>207</v>
      </c>
      <c r="AA189" s="4">
        <f>=ROUNDDOWN({0},0)</f>
      </c>
      <c r="AB189" s="5"/>
      <c r="AC189" s="2" t="s">
        <v>553</v>
      </c>
      <c r="AD189" s="4">
        <v>207</v>
      </c>
      <c r="AE189" s="4">
        <v>687</v>
      </c>
      <c r="AF189" s="6">
        <v>64</v>
      </c>
      <c r="AG189" s="6">
        <v>47</v>
      </c>
      <c r="AH189" s="7">
        <v>0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/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/>
      <c r="BJ189" s="4"/>
      <c r="BK189" s="8"/>
      <c r="BL189" s="2" t="s">
        <v>101</v>
      </c>
      <c r="BM189" s="7"/>
      <c r="BN189" s="7"/>
      <c r="BO189" s="4"/>
      <c r="BP189" s="8"/>
      <c r="BQ189" s="4"/>
      <c r="BR189" s="8"/>
      <c r="BS189" s="7"/>
      <c r="BT189" s="7"/>
      <c r="BU189" s="2" t="s">
        <v>415</v>
      </c>
      <c r="BV189" s="2" t="s">
        <v>98</v>
      </c>
      <c r="BW189" s="2" t="s">
        <v>101</v>
      </c>
      <c r="BX189" s="2" t="s">
        <v>101</v>
      </c>
      <c r="BY189" s="2" t="s">
        <v>112</v>
      </c>
      <c r="BZ189" s="2" t="s">
        <v>112</v>
      </c>
      <c r="CA189" s="2" t="s">
        <v>101</v>
      </c>
    </row>
    <row r="190">
      <c r="A190" s="2" t="s">
        <v>567</v>
      </c>
      <c r="B190" s="2" t="s">
        <v>88</v>
      </c>
      <c r="C190" s="2" t="s">
        <v>89</v>
      </c>
      <c r="D190" s="2" t="s">
        <v>90</v>
      </c>
      <c r="E190" s="2" t="s">
        <v>501</v>
      </c>
      <c r="F190" s="2" t="s">
        <v>548</v>
      </c>
      <c r="G190" s="2" t="s">
        <v>549</v>
      </c>
      <c r="H190" s="2" t="s">
        <v>550</v>
      </c>
      <c r="I190" s="2" t="s">
        <v>551</v>
      </c>
      <c r="J190" s="2" t="s">
        <v>265</v>
      </c>
      <c r="K190" s="2" t="s">
        <v>346</v>
      </c>
      <c r="L190" s="3">
        <v>38.09</v>
      </c>
      <c r="M190" s="3">
        <v>39.99</v>
      </c>
      <c r="N190" s="3">
        <v>79.99</v>
      </c>
      <c r="O190" s="2" t="s">
        <v>98</v>
      </c>
      <c r="P190" s="2" t="s">
        <v>481</v>
      </c>
      <c r="Q190" s="2" t="s">
        <v>100</v>
      </c>
      <c r="R190" s="2" t="s">
        <v>101</v>
      </c>
      <c r="S190" s="2" t="s">
        <v>565</v>
      </c>
      <c r="T190" s="2" t="s">
        <v>552</v>
      </c>
      <c r="U190" s="2" t="s">
        <v>555</v>
      </c>
      <c r="V190" s="2" t="s">
        <v>105</v>
      </c>
      <c r="W190" s="2" t="s">
        <v>106</v>
      </c>
      <c r="X190" s="2" t="s">
        <v>106</v>
      </c>
      <c r="Y190" s="2" t="s">
        <v>558</v>
      </c>
      <c r="Z190" s="4">
        <v>168</v>
      </c>
      <c r="AA190" s="4">
        <f>=ROUNDDOWN({0},0)</f>
      </c>
      <c r="AB190" s="5"/>
      <c r="AC190" s="2" t="s">
        <v>559</v>
      </c>
      <c r="AD190" s="4">
        <v>168</v>
      </c>
      <c r="AE190" s="4">
        <v>558</v>
      </c>
      <c r="AF190" s="6">
        <v>64</v>
      </c>
      <c r="AG190" s="6">
        <v>47</v>
      </c>
      <c r="AH190" s="7"/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/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/>
      <c r="BJ190" s="4"/>
      <c r="BK190" s="8"/>
      <c r="BL190" s="2" t="s">
        <v>101</v>
      </c>
      <c r="BM190" s="7"/>
      <c r="BN190" s="7"/>
      <c r="BO190" s="4"/>
      <c r="BP190" s="8"/>
      <c r="BQ190" s="4"/>
      <c r="BR190" s="8"/>
      <c r="BS190" s="7"/>
      <c r="BT190" s="7"/>
      <c r="BU190" s="2" t="s">
        <v>415</v>
      </c>
      <c r="BV190" s="2" t="s">
        <v>98</v>
      </c>
      <c r="BW190" s="2" t="s">
        <v>101</v>
      </c>
      <c r="BX190" s="2" t="s">
        <v>101</v>
      </c>
      <c r="BY190" s="2" t="s">
        <v>112</v>
      </c>
      <c r="BZ190" s="2" t="s">
        <v>112</v>
      </c>
      <c r="CA190" s="2" t="s">
        <v>101</v>
      </c>
    </row>
    <row r="191">
      <c r="A191" s="2" t="s">
        <v>568</v>
      </c>
      <c r="B191" s="2" t="s">
        <v>88</v>
      </c>
      <c r="C191" s="2" t="s">
        <v>89</v>
      </c>
      <c r="D191" s="2" t="s">
        <v>90</v>
      </c>
      <c r="E191" s="2" t="s">
        <v>501</v>
      </c>
      <c r="F191" s="2" t="s">
        <v>548</v>
      </c>
      <c r="G191" s="2" t="s">
        <v>549</v>
      </c>
      <c r="H191" s="2" t="s">
        <v>550</v>
      </c>
      <c r="I191" s="2" t="s">
        <v>551</v>
      </c>
      <c r="J191" s="2" t="s">
        <v>96</v>
      </c>
      <c r="K191" s="2" t="s">
        <v>494</v>
      </c>
      <c r="L191" s="3">
        <v>28.57</v>
      </c>
      <c r="M191" s="3">
        <v>30</v>
      </c>
      <c r="N191" s="3">
        <v>59.99</v>
      </c>
      <c r="O191" s="2" t="s">
        <v>98</v>
      </c>
      <c r="P191" s="2" t="s">
        <v>481</v>
      </c>
      <c r="Q191" s="2" t="s">
        <v>100</v>
      </c>
      <c r="R191" s="2" t="s">
        <v>101</v>
      </c>
      <c r="S191" s="2" t="s">
        <v>101</v>
      </c>
      <c r="T191" s="2" t="s">
        <v>552</v>
      </c>
      <c r="U191" s="2" t="s">
        <v>115</v>
      </c>
      <c r="V191" s="2" t="s">
        <v>105</v>
      </c>
      <c r="W191" s="2" t="s">
        <v>106</v>
      </c>
      <c r="X191" s="2" t="s">
        <v>106</v>
      </c>
      <c r="Y191" s="2" t="s">
        <v>553</v>
      </c>
      <c r="Z191" s="4">
        <v>102</v>
      </c>
      <c r="AA191" s="4">
        <f>=ROUNDDOWN({0},0)</f>
      </c>
      <c r="AB191" s="5"/>
      <c r="AC191" s="2" t="s">
        <v>553</v>
      </c>
      <c r="AD191" s="4">
        <v>102</v>
      </c>
      <c r="AE191" s="4">
        <v>339</v>
      </c>
      <c r="AF191" s="6">
        <v>64</v>
      </c>
      <c r="AG191" s="6">
        <v>47</v>
      </c>
      <c r="AH191" s="7"/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/>
      <c r="BJ191" s="4"/>
      <c r="BK191" s="8"/>
      <c r="BL191" s="2" t="s">
        <v>101</v>
      </c>
      <c r="BM191" s="7"/>
      <c r="BN191" s="7"/>
      <c r="BO191" s="4"/>
      <c r="BP191" s="8"/>
      <c r="BQ191" s="4"/>
      <c r="BR191" s="8"/>
      <c r="BS191" s="7"/>
      <c r="BT191" s="7"/>
      <c r="BU191" s="2" t="s">
        <v>415</v>
      </c>
      <c r="BV191" s="2" t="s">
        <v>98</v>
      </c>
      <c r="BW191" s="2" t="s">
        <v>101</v>
      </c>
      <c r="BX191" s="2" t="s">
        <v>101</v>
      </c>
      <c r="BY191" s="2" t="s">
        <v>112</v>
      </c>
      <c r="BZ191" s="2" t="s">
        <v>112</v>
      </c>
      <c r="CA191" s="2" t="s">
        <v>101</v>
      </c>
    </row>
    <row r="192">
      <c r="A192" s="2" t="s">
        <v>569</v>
      </c>
      <c r="B192" s="2" t="s">
        <v>88</v>
      </c>
      <c r="C192" s="2" t="s">
        <v>89</v>
      </c>
      <c r="D192" s="2" t="s">
        <v>90</v>
      </c>
      <c r="E192" s="2" t="s">
        <v>501</v>
      </c>
      <c r="F192" s="2" t="s">
        <v>548</v>
      </c>
      <c r="G192" s="2" t="s">
        <v>549</v>
      </c>
      <c r="H192" s="2" t="s">
        <v>550</v>
      </c>
      <c r="I192" s="2" t="s">
        <v>551</v>
      </c>
      <c r="J192" s="2" t="s">
        <v>263</v>
      </c>
      <c r="K192" s="2" t="s">
        <v>494</v>
      </c>
      <c r="L192" s="3">
        <v>33.33</v>
      </c>
      <c r="M192" s="3">
        <v>35</v>
      </c>
      <c r="N192" s="3">
        <v>69.99</v>
      </c>
      <c r="O192" s="2" t="s">
        <v>98</v>
      </c>
      <c r="P192" s="2" t="s">
        <v>481</v>
      </c>
      <c r="Q192" s="2" t="s">
        <v>100</v>
      </c>
      <c r="R192" s="2" t="s">
        <v>101</v>
      </c>
      <c r="S192" s="2" t="s">
        <v>101</v>
      </c>
      <c r="T192" s="2" t="s">
        <v>552</v>
      </c>
      <c r="U192" s="2" t="s">
        <v>555</v>
      </c>
      <c r="V192" s="2" t="s">
        <v>105</v>
      </c>
      <c r="W192" s="2" t="s">
        <v>106</v>
      </c>
      <c r="X192" s="2" t="s">
        <v>106</v>
      </c>
      <c r="Y192" s="2" t="s">
        <v>556</v>
      </c>
      <c r="Z192" s="4">
        <v>180</v>
      </c>
      <c r="AA192" s="4">
        <f>=ROUNDDOWN({0},0)</f>
      </c>
      <c r="AB192" s="5"/>
      <c r="AC192" s="2" t="s">
        <v>553</v>
      </c>
      <c r="AD192" s="4">
        <v>180</v>
      </c>
      <c r="AE192" s="4">
        <v>597</v>
      </c>
      <c r="AF192" s="6">
        <v>64</v>
      </c>
      <c r="AG192" s="6">
        <v>47</v>
      </c>
      <c r="AH192" s="7">
        <v>0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/>
      <c r="BK192" s="8"/>
      <c r="BL192" s="2" t="s">
        <v>101</v>
      </c>
      <c r="BM192" s="7"/>
      <c r="BN192" s="7"/>
      <c r="BO192" s="4"/>
      <c r="BP192" s="8"/>
      <c r="BQ192" s="4"/>
      <c r="BR192" s="8"/>
      <c r="BS192" s="7"/>
      <c r="BT192" s="7"/>
      <c r="BU192" s="2" t="s">
        <v>415</v>
      </c>
      <c r="BV192" s="2" t="s">
        <v>98</v>
      </c>
      <c r="BW192" s="2" t="s">
        <v>101</v>
      </c>
      <c r="BX192" s="2" t="s">
        <v>101</v>
      </c>
      <c r="BY192" s="2" t="s">
        <v>112</v>
      </c>
      <c r="BZ192" s="2" t="s">
        <v>112</v>
      </c>
      <c r="CA192" s="2" t="s">
        <v>101</v>
      </c>
    </row>
    <row r="193">
      <c r="A193" s="2" t="s">
        <v>570</v>
      </c>
      <c r="B193" s="2" t="s">
        <v>88</v>
      </c>
      <c r="C193" s="2" t="s">
        <v>89</v>
      </c>
      <c r="D193" s="2" t="s">
        <v>90</v>
      </c>
      <c r="E193" s="2" t="s">
        <v>501</v>
      </c>
      <c r="F193" s="2" t="s">
        <v>548</v>
      </c>
      <c r="G193" s="2" t="s">
        <v>549</v>
      </c>
      <c r="H193" s="2" t="s">
        <v>550</v>
      </c>
      <c r="I193" s="2" t="s">
        <v>551</v>
      </c>
      <c r="J193" s="2" t="s">
        <v>265</v>
      </c>
      <c r="K193" s="2" t="s">
        <v>494</v>
      </c>
      <c r="L193" s="3">
        <v>38.09</v>
      </c>
      <c r="M193" s="3">
        <v>39.99</v>
      </c>
      <c r="N193" s="3">
        <v>79.99</v>
      </c>
      <c r="O193" s="2" t="s">
        <v>98</v>
      </c>
      <c r="P193" s="2" t="s">
        <v>481</v>
      </c>
      <c r="Q193" s="2" t="s">
        <v>100</v>
      </c>
      <c r="R193" s="2" t="s">
        <v>101</v>
      </c>
      <c r="S193" s="2" t="s">
        <v>101</v>
      </c>
      <c r="T193" s="2" t="s">
        <v>552</v>
      </c>
      <c r="U193" s="2" t="s">
        <v>555</v>
      </c>
      <c r="V193" s="2" t="s">
        <v>105</v>
      </c>
      <c r="W193" s="2" t="s">
        <v>106</v>
      </c>
      <c r="X193" s="2" t="s">
        <v>106</v>
      </c>
      <c r="Y193" s="2" t="s">
        <v>558</v>
      </c>
      <c r="Z193" s="4">
        <v>144</v>
      </c>
      <c r="AA193" s="4">
        <f>=ROUNDDOWN({0},0)</f>
      </c>
      <c r="AB193" s="5"/>
      <c r="AC193" s="2" t="s">
        <v>559</v>
      </c>
      <c r="AD193" s="4">
        <v>144</v>
      </c>
      <c r="AE193" s="4">
        <v>477</v>
      </c>
      <c r="AF193" s="6">
        <v>64</v>
      </c>
      <c r="AG193" s="6">
        <v>47</v>
      </c>
      <c r="AH193" s="7"/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/>
      <c r="BJ193" s="4"/>
      <c r="BK193" s="8"/>
      <c r="BL193" s="2" t="s">
        <v>101</v>
      </c>
      <c r="BM193" s="7"/>
      <c r="BN193" s="7"/>
      <c r="BO193" s="4"/>
      <c r="BP193" s="8"/>
      <c r="BQ193" s="4"/>
      <c r="BR193" s="8"/>
      <c r="BS193" s="7"/>
      <c r="BT193" s="7"/>
      <c r="BU193" s="2" t="s">
        <v>415</v>
      </c>
      <c r="BV193" s="2" t="s">
        <v>98</v>
      </c>
      <c r="BW193" s="2" t="s">
        <v>101</v>
      </c>
      <c r="BX193" s="2" t="s">
        <v>101</v>
      </c>
      <c r="BY193" s="2" t="s">
        <v>112</v>
      </c>
      <c r="BZ193" s="2" t="s">
        <v>112</v>
      </c>
      <c r="CA193" s="2" t="s">
        <v>101</v>
      </c>
    </row>
    <row r="194">
      <c r="A194" s="2" t="s">
        <v>571</v>
      </c>
      <c r="B194" s="2" t="s">
        <v>88</v>
      </c>
      <c r="C194" s="2" t="s">
        <v>89</v>
      </c>
      <c r="D194" s="2" t="s">
        <v>90</v>
      </c>
      <c r="E194" s="2" t="s">
        <v>501</v>
      </c>
      <c r="F194" s="2" t="s">
        <v>548</v>
      </c>
      <c r="G194" s="2" t="s">
        <v>549</v>
      </c>
      <c r="H194" s="2" t="s">
        <v>550</v>
      </c>
      <c r="I194" s="2" t="s">
        <v>551</v>
      </c>
      <c r="J194" s="2" t="s">
        <v>96</v>
      </c>
      <c r="K194" s="2" t="s">
        <v>143</v>
      </c>
      <c r="L194" s="3">
        <v>28.57</v>
      </c>
      <c r="M194" s="3">
        <v>30</v>
      </c>
      <c r="N194" s="3">
        <v>59.99</v>
      </c>
      <c r="O194" s="2" t="s">
        <v>98</v>
      </c>
      <c r="P194" s="2" t="s">
        <v>481</v>
      </c>
      <c r="Q194" s="2" t="s">
        <v>100</v>
      </c>
      <c r="R194" s="2" t="s">
        <v>101</v>
      </c>
      <c r="S194" s="2" t="s">
        <v>572</v>
      </c>
      <c r="T194" s="2" t="s">
        <v>552</v>
      </c>
      <c r="U194" s="2" t="s">
        <v>115</v>
      </c>
      <c r="V194" s="2" t="s">
        <v>105</v>
      </c>
      <c r="W194" s="2" t="s">
        <v>106</v>
      </c>
      <c r="X194" s="2" t="s">
        <v>106</v>
      </c>
      <c r="Y194" s="2" t="s">
        <v>553</v>
      </c>
      <c r="Z194" s="4">
        <v>132</v>
      </c>
      <c r="AA194" s="4">
        <f>=ROUNDDOWN({0},0)</f>
      </c>
      <c r="AB194" s="5"/>
      <c r="AC194" s="2" t="s">
        <v>553</v>
      </c>
      <c r="AD194" s="4">
        <v>132</v>
      </c>
      <c r="AE194" s="4">
        <v>438</v>
      </c>
      <c r="AF194" s="6">
        <v>64</v>
      </c>
      <c r="AG194" s="6">
        <v>47</v>
      </c>
      <c r="AH194" s="7"/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/>
      <c r="BJ194" s="4"/>
      <c r="BK194" s="8"/>
      <c r="BL194" s="2" t="s">
        <v>101</v>
      </c>
      <c r="BM194" s="7"/>
      <c r="BN194" s="7"/>
      <c r="BO194" s="4"/>
      <c r="BP194" s="8"/>
      <c r="BQ194" s="4"/>
      <c r="BR194" s="8"/>
      <c r="BS194" s="7"/>
      <c r="BT194" s="7"/>
      <c r="BU194" s="2" t="s">
        <v>415</v>
      </c>
      <c r="BV194" s="2" t="s">
        <v>98</v>
      </c>
      <c r="BW194" s="2" t="s">
        <v>101</v>
      </c>
      <c r="BX194" s="2" t="s">
        <v>101</v>
      </c>
      <c r="BY194" s="2" t="s">
        <v>112</v>
      </c>
      <c r="BZ194" s="2" t="s">
        <v>112</v>
      </c>
      <c r="CA194" s="2" t="s">
        <v>101</v>
      </c>
    </row>
    <row r="195">
      <c r="A195" s="2" t="s">
        <v>573</v>
      </c>
      <c r="B195" s="2" t="s">
        <v>88</v>
      </c>
      <c r="C195" s="2" t="s">
        <v>89</v>
      </c>
      <c r="D195" s="2" t="s">
        <v>90</v>
      </c>
      <c r="E195" s="2" t="s">
        <v>501</v>
      </c>
      <c r="F195" s="2" t="s">
        <v>548</v>
      </c>
      <c r="G195" s="2" t="s">
        <v>549</v>
      </c>
      <c r="H195" s="2" t="s">
        <v>550</v>
      </c>
      <c r="I195" s="2" t="s">
        <v>551</v>
      </c>
      <c r="J195" s="2" t="s">
        <v>263</v>
      </c>
      <c r="K195" s="2" t="s">
        <v>143</v>
      </c>
      <c r="L195" s="3">
        <v>33.33</v>
      </c>
      <c r="M195" s="3">
        <v>35</v>
      </c>
      <c r="N195" s="3">
        <v>69.99</v>
      </c>
      <c r="O195" s="2" t="s">
        <v>98</v>
      </c>
      <c r="P195" s="2" t="s">
        <v>481</v>
      </c>
      <c r="Q195" s="2" t="s">
        <v>100</v>
      </c>
      <c r="R195" s="2" t="s">
        <v>101</v>
      </c>
      <c r="S195" s="2" t="s">
        <v>572</v>
      </c>
      <c r="T195" s="2" t="s">
        <v>552</v>
      </c>
      <c r="U195" s="2" t="s">
        <v>555</v>
      </c>
      <c r="V195" s="2" t="s">
        <v>105</v>
      </c>
      <c r="W195" s="2" t="s">
        <v>106</v>
      </c>
      <c r="X195" s="2" t="s">
        <v>106</v>
      </c>
      <c r="Y195" s="2" t="s">
        <v>556</v>
      </c>
      <c r="Z195" s="4">
        <v>264</v>
      </c>
      <c r="AA195" s="4">
        <f>=ROUNDDOWN({0},0)</f>
      </c>
      <c r="AB195" s="5"/>
      <c r="AC195" s="2" t="s">
        <v>553</v>
      </c>
      <c r="AD195" s="4">
        <v>264</v>
      </c>
      <c r="AE195" s="4">
        <v>879</v>
      </c>
      <c r="AF195" s="6">
        <v>64</v>
      </c>
      <c r="AG195" s="6">
        <v>47</v>
      </c>
      <c r="AH195" s="7">
        <v>0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/>
      <c r="BK195" s="8"/>
      <c r="BL195" s="2" t="s">
        <v>101</v>
      </c>
      <c r="BM195" s="7"/>
      <c r="BN195" s="7"/>
      <c r="BO195" s="4"/>
      <c r="BP195" s="8"/>
      <c r="BQ195" s="4"/>
      <c r="BR195" s="8"/>
      <c r="BS195" s="7"/>
      <c r="BT195" s="7"/>
      <c r="BU195" s="2" t="s">
        <v>415</v>
      </c>
      <c r="BV195" s="2" t="s">
        <v>98</v>
      </c>
      <c r="BW195" s="2" t="s">
        <v>101</v>
      </c>
      <c r="BX195" s="2" t="s">
        <v>101</v>
      </c>
      <c r="BY195" s="2" t="s">
        <v>112</v>
      </c>
      <c r="BZ195" s="2" t="s">
        <v>112</v>
      </c>
      <c r="CA195" s="2" t="s">
        <v>101</v>
      </c>
    </row>
    <row r="196">
      <c r="A196" s="2" t="s">
        <v>574</v>
      </c>
      <c r="B196" s="2" t="s">
        <v>88</v>
      </c>
      <c r="C196" s="2" t="s">
        <v>89</v>
      </c>
      <c r="D196" s="2" t="s">
        <v>90</v>
      </c>
      <c r="E196" s="2" t="s">
        <v>501</v>
      </c>
      <c r="F196" s="2" t="s">
        <v>548</v>
      </c>
      <c r="G196" s="2" t="s">
        <v>549</v>
      </c>
      <c r="H196" s="2" t="s">
        <v>550</v>
      </c>
      <c r="I196" s="2" t="s">
        <v>551</v>
      </c>
      <c r="J196" s="2" t="s">
        <v>265</v>
      </c>
      <c r="K196" s="2" t="s">
        <v>143</v>
      </c>
      <c r="L196" s="3">
        <v>38.09</v>
      </c>
      <c r="M196" s="3">
        <v>39.99</v>
      </c>
      <c r="N196" s="3">
        <v>79.99</v>
      </c>
      <c r="O196" s="2" t="s">
        <v>98</v>
      </c>
      <c r="P196" s="2" t="s">
        <v>481</v>
      </c>
      <c r="Q196" s="2" t="s">
        <v>100</v>
      </c>
      <c r="R196" s="2" t="s">
        <v>101</v>
      </c>
      <c r="S196" s="2" t="s">
        <v>572</v>
      </c>
      <c r="T196" s="2" t="s">
        <v>552</v>
      </c>
      <c r="U196" s="2" t="s">
        <v>555</v>
      </c>
      <c r="V196" s="2" t="s">
        <v>105</v>
      </c>
      <c r="W196" s="2" t="s">
        <v>106</v>
      </c>
      <c r="X196" s="2" t="s">
        <v>106</v>
      </c>
      <c r="Y196" s="2" t="s">
        <v>558</v>
      </c>
      <c r="Z196" s="4">
        <v>216</v>
      </c>
      <c r="AA196" s="4">
        <f>=ROUNDDOWN({0},0)</f>
      </c>
      <c r="AB196" s="5"/>
      <c r="AC196" s="2" t="s">
        <v>559</v>
      </c>
      <c r="AD196" s="4">
        <v>216</v>
      </c>
      <c r="AE196" s="4">
        <v>717</v>
      </c>
      <c r="AF196" s="6">
        <v>64</v>
      </c>
      <c r="AG196" s="6">
        <v>47</v>
      </c>
      <c r="AH196" s="7"/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/>
      <c r="BK196" s="8"/>
      <c r="BL196" s="2" t="s">
        <v>101</v>
      </c>
      <c r="BM196" s="7"/>
      <c r="BN196" s="7"/>
      <c r="BO196" s="4"/>
      <c r="BP196" s="8"/>
      <c r="BQ196" s="4"/>
      <c r="BR196" s="8"/>
      <c r="BS196" s="7"/>
      <c r="BT196" s="7"/>
      <c r="BU196" s="2" t="s">
        <v>415</v>
      </c>
      <c r="BV196" s="2" t="s">
        <v>98</v>
      </c>
      <c r="BW196" s="2" t="s">
        <v>101</v>
      </c>
      <c r="BX196" s="2" t="s">
        <v>101</v>
      </c>
      <c r="BY196" s="2" t="s">
        <v>112</v>
      </c>
      <c r="BZ196" s="2" t="s">
        <v>112</v>
      </c>
      <c r="CA196" s="2" t="s">
        <v>101</v>
      </c>
    </row>
    <row r="197">
      <c r="A197" s="2" t="s">
        <v>575</v>
      </c>
      <c r="B197" s="2" t="s">
        <v>88</v>
      </c>
      <c r="C197" s="2" t="s">
        <v>89</v>
      </c>
      <c r="D197" s="2" t="s">
        <v>90</v>
      </c>
      <c r="E197" s="2" t="s">
        <v>501</v>
      </c>
      <c r="F197" s="2" t="s">
        <v>576</v>
      </c>
      <c r="G197" s="2" t="s">
        <v>577</v>
      </c>
      <c r="H197" s="2" t="s">
        <v>578</v>
      </c>
      <c r="I197" s="2" t="s">
        <v>91</v>
      </c>
      <c r="J197" s="2" t="s">
        <v>96</v>
      </c>
      <c r="K197" s="2" t="s">
        <v>579</v>
      </c>
      <c r="L197" s="3">
        <v>23.8</v>
      </c>
      <c r="M197" s="3">
        <v>24.99</v>
      </c>
      <c r="N197" s="3">
        <v>49.99</v>
      </c>
      <c r="O197" s="2" t="s">
        <v>98</v>
      </c>
      <c r="P197" s="2" t="s">
        <v>481</v>
      </c>
      <c r="Q197" s="2" t="s">
        <v>100</v>
      </c>
      <c r="R197" s="2" t="s">
        <v>101</v>
      </c>
      <c r="S197" s="2" t="s">
        <v>101</v>
      </c>
      <c r="T197" s="2" t="s">
        <v>552</v>
      </c>
      <c r="U197" s="2" t="s">
        <v>104</v>
      </c>
      <c r="V197" s="2" t="s">
        <v>580</v>
      </c>
      <c r="W197" s="2" t="s">
        <v>580</v>
      </c>
      <c r="X197" s="2" t="s">
        <v>101</v>
      </c>
      <c r="Y197" s="2" t="s">
        <v>581</v>
      </c>
      <c r="Z197" s="4"/>
      <c r="AA197" s="4">
        <f>=ROUNDDOWN({0},0)</f>
      </c>
      <c r="AB197" s="5"/>
      <c r="AC197" s="2" t="s">
        <v>173</v>
      </c>
      <c r="AD197" s="4">
        <v>150</v>
      </c>
      <c r="AE197" s="4">
        <v>495</v>
      </c>
      <c r="AF197" s="6">
        <v>63</v>
      </c>
      <c r="AG197" s="6">
        <v>46</v>
      </c>
      <c r="AH197" s="7"/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/>
      <c r="BJ197" s="4"/>
      <c r="BK197" s="8"/>
      <c r="BL197" s="2" t="s">
        <v>101</v>
      </c>
      <c r="BM197" s="7"/>
      <c r="BN197" s="7"/>
      <c r="BO197" s="4"/>
      <c r="BP197" s="8"/>
      <c r="BQ197" s="4"/>
      <c r="BR197" s="8"/>
      <c r="BS197" s="7"/>
      <c r="BT197" s="7"/>
      <c r="BU197" s="2" t="s">
        <v>467</v>
      </c>
      <c r="BV197" s="2" t="s">
        <v>98</v>
      </c>
      <c r="BW197" s="2" t="s">
        <v>101</v>
      </c>
      <c r="BX197" s="2" t="s">
        <v>101</v>
      </c>
      <c r="BY197" s="2" t="s">
        <v>112</v>
      </c>
      <c r="BZ197" s="2" t="s">
        <v>112</v>
      </c>
      <c r="CA197" s="2" t="s">
        <v>101</v>
      </c>
    </row>
    <row r="198">
      <c r="A198" s="2" t="s">
        <v>582</v>
      </c>
      <c r="B198" s="2" t="s">
        <v>88</v>
      </c>
      <c r="C198" s="2" t="s">
        <v>89</v>
      </c>
      <c r="D198" s="2" t="s">
        <v>90</v>
      </c>
      <c r="E198" s="2" t="s">
        <v>501</v>
      </c>
      <c r="F198" s="2" t="s">
        <v>576</v>
      </c>
      <c r="G198" s="2" t="s">
        <v>577</v>
      </c>
      <c r="H198" s="2" t="s">
        <v>578</v>
      </c>
      <c r="I198" s="2" t="s">
        <v>91</v>
      </c>
      <c r="J198" s="2" t="s">
        <v>263</v>
      </c>
      <c r="K198" s="2" t="s">
        <v>579</v>
      </c>
      <c r="L198" s="3">
        <v>28.57</v>
      </c>
      <c r="M198" s="3">
        <v>30</v>
      </c>
      <c r="N198" s="3">
        <v>59.99</v>
      </c>
      <c r="O198" s="2" t="s">
        <v>98</v>
      </c>
      <c r="P198" s="2" t="s">
        <v>481</v>
      </c>
      <c r="Q198" s="2" t="s">
        <v>100</v>
      </c>
      <c r="R198" s="2" t="s">
        <v>101</v>
      </c>
      <c r="S198" s="2" t="s">
        <v>101</v>
      </c>
      <c r="T198" s="2" t="s">
        <v>552</v>
      </c>
      <c r="U198" s="2" t="s">
        <v>115</v>
      </c>
      <c r="V198" s="2" t="s">
        <v>580</v>
      </c>
      <c r="W198" s="2" t="s">
        <v>580</v>
      </c>
      <c r="X198" s="2" t="s">
        <v>101</v>
      </c>
      <c r="Y198" s="2" t="s">
        <v>581</v>
      </c>
      <c r="Z198" s="4"/>
      <c r="AA198" s="4">
        <f>=ROUNDDOWN({0},0)</f>
      </c>
      <c r="AB198" s="5"/>
      <c r="AC198" s="2" t="s">
        <v>173</v>
      </c>
      <c r="AD198" s="4">
        <v>264</v>
      </c>
      <c r="AE198" s="4">
        <v>876</v>
      </c>
      <c r="AF198" s="6">
        <v>63</v>
      </c>
      <c r="AG198" s="6">
        <v>46</v>
      </c>
      <c r="AH198" s="7"/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/>
      <c r="BK198" s="8"/>
      <c r="BL198" s="2" t="s">
        <v>101</v>
      </c>
      <c r="BM198" s="7"/>
      <c r="BN198" s="7"/>
      <c r="BO198" s="4"/>
      <c r="BP198" s="8"/>
      <c r="BQ198" s="4"/>
      <c r="BR198" s="8"/>
      <c r="BS198" s="7"/>
      <c r="BT198" s="7"/>
      <c r="BU198" s="2" t="s">
        <v>467</v>
      </c>
      <c r="BV198" s="2" t="s">
        <v>98</v>
      </c>
      <c r="BW198" s="2" t="s">
        <v>101</v>
      </c>
      <c r="BX198" s="2" t="s">
        <v>101</v>
      </c>
      <c r="BY198" s="2" t="s">
        <v>112</v>
      </c>
      <c r="BZ198" s="2" t="s">
        <v>112</v>
      </c>
      <c r="CA198" s="2" t="s">
        <v>101</v>
      </c>
    </row>
    <row r="199">
      <c r="A199" s="2" t="s">
        <v>583</v>
      </c>
      <c r="B199" s="2" t="s">
        <v>88</v>
      </c>
      <c r="C199" s="2" t="s">
        <v>89</v>
      </c>
      <c r="D199" s="2" t="s">
        <v>90</v>
      </c>
      <c r="E199" s="2" t="s">
        <v>501</v>
      </c>
      <c r="F199" s="2" t="s">
        <v>576</v>
      </c>
      <c r="G199" s="2" t="s">
        <v>577</v>
      </c>
      <c r="H199" s="2" t="s">
        <v>578</v>
      </c>
      <c r="I199" s="2" t="s">
        <v>91</v>
      </c>
      <c r="J199" s="2" t="s">
        <v>265</v>
      </c>
      <c r="K199" s="2" t="s">
        <v>579</v>
      </c>
      <c r="L199" s="3">
        <v>33.33</v>
      </c>
      <c r="M199" s="3">
        <v>35</v>
      </c>
      <c r="N199" s="3">
        <v>69.99</v>
      </c>
      <c r="O199" s="2" t="s">
        <v>98</v>
      </c>
      <c r="P199" s="2" t="s">
        <v>481</v>
      </c>
      <c r="Q199" s="2" t="s">
        <v>100</v>
      </c>
      <c r="R199" s="2" t="s">
        <v>101</v>
      </c>
      <c r="S199" s="2" t="s">
        <v>101</v>
      </c>
      <c r="T199" s="2" t="s">
        <v>552</v>
      </c>
      <c r="U199" s="2" t="s">
        <v>115</v>
      </c>
      <c r="V199" s="2" t="s">
        <v>580</v>
      </c>
      <c r="W199" s="2" t="s">
        <v>580</v>
      </c>
      <c r="X199" s="2" t="s">
        <v>101</v>
      </c>
      <c r="Y199" s="2" t="s">
        <v>581</v>
      </c>
      <c r="Z199" s="4"/>
      <c r="AA199" s="4">
        <f>=ROUNDDOWN({0},0)</f>
      </c>
      <c r="AB199" s="5"/>
      <c r="AC199" s="2" t="s">
        <v>173</v>
      </c>
      <c r="AD199" s="4">
        <v>198</v>
      </c>
      <c r="AE199" s="4">
        <v>651</v>
      </c>
      <c r="AF199" s="6">
        <v>63</v>
      </c>
      <c r="AG199" s="6">
        <v>46</v>
      </c>
      <c r="AH199" s="7"/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/>
      <c r="BK199" s="8"/>
      <c r="BL199" s="2" t="s">
        <v>101</v>
      </c>
      <c r="BM199" s="7"/>
      <c r="BN199" s="7"/>
      <c r="BO199" s="4"/>
      <c r="BP199" s="8"/>
      <c r="BQ199" s="4"/>
      <c r="BR199" s="8"/>
      <c r="BS199" s="7"/>
      <c r="BT199" s="7"/>
      <c r="BU199" s="2" t="s">
        <v>467</v>
      </c>
      <c r="BV199" s="2" t="s">
        <v>98</v>
      </c>
      <c r="BW199" s="2" t="s">
        <v>101</v>
      </c>
      <c r="BX199" s="2" t="s">
        <v>101</v>
      </c>
      <c r="BY199" s="2" t="s">
        <v>112</v>
      </c>
      <c r="BZ199" s="2" t="s">
        <v>112</v>
      </c>
      <c r="CA199" s="2" t="s">
        <v>101</v>
      </c>
    </row>
    <row r="200">
      <c r="A200" s="2" t="s">
        <v>584</v>
      </c>
      <c r="B200" s="2" t="s">
        <v>88</v>
      </c>
      <c r="C200" s="2" t="s">
        <v>89</v>
      </c>
      <c r="D200" s="2" t="s">
        <v>90</v>
      </c>
      <c r="E200" s="2" t="s">
        <v>501</v>
      </c>
      <c r="F200" s="2" t="s">
        <v>576</v>
      </c>
      <c r="G200" s="2" t="s">
        <v>577</v>
      </c>
      <c r="H200" s="2" t="s">
        <v>578</v>
      </c>
      <c r="I200" s="2" t="s">
        <v>91</v>
      </c>
      <c r="J200" s="2" t="s">
        <v>96</v>
      </c>
      <c r="K200" s="2" t="s">
        <v>494</v>
      </c>
      <c r="L200" s="3">
        <v>23.8</v>
      </c>
      <c r="M200" s="3">
        <v>24.99</v>
      </c>
      <c r="N200" s="3">
        <v>49.99</v>
      </c>
      <c r="O200" s="2" t="s">
        <v>98</v>
      </c>
      <c r="P200" s="2" t="s">
        <v>481</v>
      </c>
      <c r="Q200" s="2" t="s">
        <v>100</v>
      </c>
      <c r="R200" s="2" t="s">
        <v>101</v>
      </c>
      <c r="S200" s="2" t="s">
        <v>101</v>
      </c>
      <c r="T200" s="2" t="s">
        <v>552</v>
      </c>
      <c r="U200" s="2" t="s">
        <v>104</v>
      </c>
      <c r="V200" s="2" t="s">
        <v>580</v>
      </c>
      <c r="W200" s="2" t="s">
        <v>580</v>
      </c>
      <c r="X200" s="2" t="s">
        <v>101</v>
      </c>
      <c r="Y200" s="2" t="s">
        <v>581</v>
      </c>
      <c r="Z200" s="4"/>
      <c r="AA200" s="4">
        <f>=ROUNDDOWN({0},0)</f>
      </c>
      <c r="AB200" s="5"/>
      <c r="AC200" s="2" t="s">
        <v>173</v>
      </c>
      <c r="AD200" s="4">
        <v>105</v>
      </c>
      <c r="AE200" s="4">
        <v>345</v>
      </c>
      <c r="AF200" s="6">
        <v>63</v>
      </c>
      <c r="AG200" s="6">
        <v>46</v>
      </c>
      <c r="AH200" s="7"/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/>
      <c r="BJ200" s="4"/>
      <c r="BK200" s="8"/>
      <c r="BL200" s="2" t="s">
        <v>101</v>
      </c>
      <c r="BM200" s="7"/>
      <c r="BN200" s="7"/>
      <c r="BO200" s="4"/>
      <c r="BP200" s="8"/>
      <c r="BQ200" s="4"/>
      <c r="BR200" s="8"/>
      <c r="BS200" s="7"/>
      <c r="BT200" s="7"/>
      <c r="BU200" s="2" t="s">
        <v>467</v>
      </c>
      <c r="BV200" s="2" t="s">
        <v>98</v>
      </c>
      <c r="BW200" s="2" t="s">
        <v>101</v>
      </c>
      <c r="BX200" s="2" t="s">
        <v>101</v>
      </c>
      <c r="BY200" s="2" t="s">
        <v>112</v>
      </c>
      <c r="BZ200" s="2" t="s">
        <v>112</v>
      </c>
      <c r="CA200" s="2" t="s">
        <v>101</v>
      </c>
    </row>
    <row r="201">
      <c r="A201" s="2" t="s">
        <v>585</v>
      </c>
      <c r="B201" s="2" t="s">
        <v>88</v>
      </c>
      <c r="C201" s="2" t="s">
        <v>89</v>
      </c>
      <c r="D201" s="2" t="s">
        <v>90</v>
      </c>
      <c r="E201" s="2" t="s">
        <v>501</v>
      </c>
      <c r="F201" s="2" t="s">
        <v>576</v>
      </c>
      <c r="G201" s="2" t="s">
        <v>577</v>
      </c>
      <c r="H201" s="2" t="s">
        <v>578</v>
      </c>
      <c r="I201" s="2" t="s">
        <v>91</v>
      </c>
      <c r="J201" s="2" t="s">
        <v>263</v>
      </c>
      <c r="K201" s="2" t="s">
        <v>494</v>
      </c>
      <c r="L201" s="3">
        <v>28.57</v>
      </c>
      <c r="M201" s="3">
        <v>30</v>
      </c>
      <c r="N201" s="3">
        <v>59.99</v>
      </c>
      <c r="O201" s="2" t="s">
        <v>98</v>
      </c>
      <c r="P201" s="2" t="s">
        <v>481</v>
      </c>
      <c r="Q201" s="2" t="s">
        <v>100</v>
      </c>
      <c r="R201" s="2" t="s">
        <v>101</v>
      </c>
      <c r="S201" s="2" t="s">
        <v>101</v>
      </c>
      <c r="T201" s="2" t="s">
        <v>552</v>
      </c>
      <c r="U201" s="2" t="s">
        <v>115</v>
      </c>
      <c r="V201" s="2" t="s">
        <v>580</v>
      </c>
      <c r="W201" s="2" t="s">
        <v>580</v>
      </c>
      <c r="X201" s="2" t="s">
        <v>101</v>
      </c>
      <c r="Y201" s="2" t="s">
        <v>581</v>
      </c>
      <c r="Z201" s="4"/>
      <c r="AA201" s="4">
        <f>=ROUNDDOWN({0},0)</f>
      </c>
      <c r="AB201" s="5"/>
      <c r="AC201" s="2" t="s">
        <v>173</v>
      </c>
      <c r="AD201" s="4">
        <v>165</v>
      </c>
      <c r="AE201" s="4">
        <v>552</v>
      </c>
      <c r="AF201" s="6">
        <v>63</v>
      </c>
      <c r="AG201" s="6">
        <v>46</v>
      </c>
      <c r="AH201" s="7"/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/>
      <c r="BK201" s="8"/>
      <c r="BL201" s="2" t="s">
        <v>101</v>
      </c>
      <c r="BM201" s="7"/>
      <c r="BN201" s="7"/>
      <c r="BO201" s="4"/>
      <c r="BP201" s="8"/>
      <c r="BQ201" s="4"/>
      <c r="BR201" s="8"/>
      <c r="BS201" s="7"/>
      <c r="BT201" s="7"/>
      <c r="BU201" s="2" t="s">
        <v>467</v>
      </c>
      <c r="BV201" s="2" t="s">
        <v>98</v>
      </c>
      <c r="BW201" s="2" t="s">
        <v>101</v>
      </c>
      <c r="BX201" s="2" t="s">
        <v>101</v>
      </c>
      <c r="BY201" s="2" t="s">
        <v>112</v>
      </c>
      <c r="BZ201" s="2" t="s">
        <v>112</v>
      </c>
      <c r="CA201" s="2" t="s">
        <v>101</v>
      </c>
    </row>
    <row r="202">
      <c r="A202" s="2" t="s">
        <v>586</v>
      </c>
      <c r="B202" s="2" t="s">
        <v>88</v>
      </c>
      <c r="C202" s="2" t="s">
        <v>89</v>
      </c>
      <c r="D202" s="2" t="s">
        <v>90</v>
      </c>
      <c r="E202" s="2" t="s">
        <v>501</v>
      </c>
      <c r="F202" s="2" t="s">
        <v>576</v>
      </c>
      <c r="G202" s="2" t="s">
        <v>577</v>
      </c>
      <c r="H202" s="2" t="s">
        <v>578</v>
      </c>
      <c r="I202" s="2" t="s">
        <v>91</v>
      </c>
      <c r="J202" s="2" t="s">
        <v>265</v>
      </c>
      <c r="K202" s="2" t="s">
        <v>494</v>
      </c>
      <c r="L202" s="3">
        <v>33.33</v>
      </c>
      <c r="M202" s="3">
        <v>35</v>
      </c>
      <c r="N202" s="3">
        <v>69.99</v>
      </c>
      <c r="O202" s="2" t="s">
        <v>98</v>
      </c>
      <c r="P202" s="2" t="s">
        <v>481</v>
      </c>
      <c r="Q202" s="2" t="s">
        <v>100</v>
      </c>
      <c r="R202" s="2" t="s">
        <v>101</v>
      </c>
      <c r="S202" s="2" t="s">
        <v>101</v>
      </c>
      <c r="T202" s="2" t="s">
        <v>552</v>
      </c>
      <c r="U202" s="2" t="s">
        <v>115</v>
      </c>
      <c r="V202" s="2" t="s">
        <v>580</v>
      </c>
      <c r="W202" s="2" t="s">
        <v>580</v>
      </c>
      <c r="X202" s="2" t="s">
        <v>101</v>
      </c>
      <c r="Y202" s="2" t="s">
        <v>581</v>
      </c>
      <c r="Z202" s="4"/>
      <c r="AA202" s="4">
        <f>=ROUNDDOWN({0},0)</f>
      </c>
      <c r="AB202" s="5"/>
      <c r="AC202" s="2" t="s">
        <v>173</v>
      </c>
      <c r="AD202" s="4">
        <v>123</v>
      </c>
      <c r="AE202" s="4">
        <v>411</v>
      </c>
      <c r="AF202" s="6">
        <v>63</v>
      </c>
      <c r="AG202" s="6">
        <v>46</v>
      </c>
      <c r="AH202" s="7"/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/>
      <c r="BK202" s="8"/>
      <c r="BL202" s="2" t="s">
        <v>101</v>
      </c>
      <c r="BM202" s="7"/>
      <c r="BN202" s="7"/>
      <c r="BO202" s="4"/>
      <c r="BP202" s="8"/>
      <c r="BQ202" s="4"/>
      <c r="BR202" s="8"/>
      <c r="BS202" s="7"/>
      <c r="BT202" s="7"/>
      <c r="BU202" s="2" t="s">
        <v>467</v>
      </c>
      <c r="BV202" s="2" t="s">
        <v>98</v>
      </c>
      <c r="BW202" s="2" t="s">
        <v>101</v>
      </c>
      <c r="BX202" s="2" t="s">
        <v>101</v>
      </c>
      <c r="BY202" s="2" t="s">
        <v>112</v>
      </c>
      <c r="BZ202" s="2" t="s">
        <v>112</v>
      </c>
      <c r="CA202" s="2" t="s">
        <v>101</v>
      </c>
    </row>
    <row r="203">
      <c r="A203" s="2" t="s">
        <v>587</v>
      </c>
      <c r="B203" s="2" t="s">
        <v>88</v>
      </c>
      <c r="C203" s="2" t="s">
        <v>89</v>
      </c>
      <c r="D203" s="2" t="s">
        <v>90</v>
      </c>
      <c r="E203" s="2" t="s">
        <v>501</v>
      </c>
      <c r="F203" s="2" t="s">
        <v>576</v>
      </c>
      <c r="G203" s="2" t="s">
        <v>577</v>
      </c>
      <c r="H203" s="2" t="s">
        <v>578</v>
      </c>
      <c r="I203" s="2" t="s">
        <v>91</v>
      </c>
      <c r="J203" s="2" t="s">
        <v>96</v>
      </c>
      <c r="K203" s="2" t="s">
        <v>294</v>
      </c>
      <c r="L203" s="3">
        <v>23.8</v>
      </c>
      <c r="M203" s="3">
        <v>24.99</v>
      </c>
      <c r="N203" s="3">
        <v>49.99</v>
      </c>
      <c r="O203" s="2" t="s">
        <v>98</v>
      </c>
      <c r="P203" s="2" t="s">
        <v>481</v>
      </c>
      <c r="Q203" s="2" t="s">
        <v>100</v>
      </c>
      <c r="R203" s="2" t="s">
        <v>101</v>
      </c>
      <c r="S203" s="2" t="s">
        <v>101</v>
      </c>
      <c r="T203" s="2" t="s">
        <v>552</v>
      </c>
      <c r="U203" s="2" t="s">
        <v>104</v>
      </c>
      <c r="V203" s="2" t="s">
        <v>580</v>
      </c>
      <c r="W203" s="2" t="s">
        <v>580</v>
      </c>
      <c r="X203" s="2" t="s">
        <v>101</v>
      </c>
      <c r="Y203" s="2" t="s">
        <v>581</v>
      </c>
      <c r="Z203" s="4"/>
      <c r="AA203" s="4">
        <f>=ROUNDDOWN({0},0)</f>
      </c>
      <c r="AB203" s="5"/>
      <c r="AC203" s="2" t="s">
        <v>173</v>
      </c>
      <c r="AD203" s="4">
        <v>123</v>
      </c>
      <c r="AE203" s="4">
        <v>405</v>
      </c>
      <c r="AF203" s="6">
        <v>63</v>
      </c>
      <c r="AG203" s="6">
        <v>46</v>
      </c>
      <c r="AH203" s="7"/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/>
      <c r="BJ203" s="4"/>
      <c r="BK203" s="8"/>
      <c r="BL203" s="2" t="s">
        <v>101</v>
      </c>
      <c r="BM203" s="7"/>
      <c r="BN203" s="7"/>
      <c r="BO203" s="4"/>
      <c r="BP203" s="8"/>
      <c r="BQ203" s="4"/>
      <c r="BR203" s="8"/>
      <c r="BS203" s="7"/>
      <c r="BT203" s="7"/>
      <c r="BU203" s="2" t="s">
        <v>467</v>
      </c>
      <c r="BV203" s="2" t="s">
        <v>98</v>
      </c>
      <c r="BW203" s="2" t="s">
        <v>101</v>
      </c>
      <c r="BX203" s="2" t="s">
        <v>101</v>
      </c>
      <c r="BY203" s="2" t="s">
        <v>112</v>
      </c>
      <c r="BZ203" s="2" t="s">
        <v>112</v>
      </c>
      <c r="CA203" s="2" t="s">
        <v>101</v>
      </c>
    </row>
    <row r="204">
      <c r="A204" s="2" t="s">
        <v>588</v>
      </c>
      <c r="B204" s="2" t="s">
        <v>88</v>
      </c>
      <c r="C204" s="2" t="s">
        <v>89</v>
      </c>
      <c r="D204" s="2" t="s">
        <v>90</v>
      </c>
      <c r="E204" s="2" t="s">
        <v>501</v>
      </c>
      <c r="F204" s="2" t="s">
        <v>576</v>
      </c>
      <c r="G204" s="2" t="s">
        <v>577</v>
      </c>
      <c r="H204" s="2" t="s">
        <v>578</v>
      </c>
      <c r="I204" s="2" t="s">
        <v>91</v>
      </c>
      <c r="J204" s="2" t="s">
        <v>263</v>
      </c>
      <c r="K204" s="2" t="s">
        <v>294</v>
      </c>
      <c r="L204" s="3">
        <v>28.57</v>
      </c>
      <c r="M204" s="3">
        <v>30</v>
      </c>
      <c r="N204" s="3">
        <v>59.99</v>
      </c>
      <c r="O204" s="2" t="s">
        <v>98</v>
      </c>
      <c r="P204" s="2" t="s">
        <v>481</v>
      </c>
      <c r="Q204" s="2" t="s">
        <v>100</v>
      </c>
      <c r="R204" s="2" t="s">
        <v>101</v>
      </c>
      <c r="S204" s="2" t="s">
        <v>101</v>
      </c>
      <c r="T204" s="2" t="s">
        <v>552</v>
      </c>
      <c r="U204" s="2" t="s">
        <v>115</v>
      </c>
      <c r="V204" s="2" t="s">
        <v>580</v>
      </c>
      <c r="W204" s="2" t="s">
        <v>580</v>
      </c>
      <c r="X204" s="2" t="s">
        <v>101</v>
      </c>
      <c r="Y204" s="2" t="s">
        <v>581</v>
      </c>
      <c r="Z204" s="4"/>
      <c r="AA204" s="4">
        <f>=ROUNDDOWN({0},0)</f>
      </c>
      <c r="AB204" s="5"/>
      <c r="AC204" s="2" t="s">
        <v>173</v>
      </c>
      <c r="AD204" s="4">
        <v>207</v>
      </c>
      <c r="AE204" s="4">
        <v>687</v>
      </c>
      <c r="AF204" s="6">
        <v>63</v>
      </c>
      <c r="AG204" s="6">
        <v>46</v>
      </c>
      <c r="AH204" s="7"/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/>
      <c r="BJ204" s="4"/>
      <c r="BK204" s="8"/>
      <c r="BL204" s="2" t="s">
        <v>101</v>
      </c>
      <c r="BM204" s="7"/>
      <c r="BN204" s="7"/>
      <c r="BO204" s="4"/>
      <c r="BP204" s="8"/>
      <c r="BQ204" s="4"/>
      <c r="BR204" s="8"/>
      <c r="BS204" s="7"/>
      <c r="BT204" s="7"/>
      <c r="BU204" s="2" t="s">
        <v>467</v>
      </c>
      <c r="BV204" s="2" t="s">
        <v>98</v>
      </c>
      <c r="BW204" s="2" t="s">
        <v>101</v>
      </c>
      <c r="BX204" s="2" t="s">
        <v>101</v>
      </c>
      <c r="BY204" s="2" t="s">
        <v>112</v>
      </c>
      <c r="BZ204" s="2" t="s">
        <v>112</v>
      </c>
      <c r="CA204" s="2" t="s">
        <v>101</v>
      </c>
    </row>
    <row r="205">
      <c r="A205" s="2" t="s">
        <v>589</v>
      </c>
      <c r="B205" s="2" t="s">
        <v>88</v>
      </c>
      <c r="C205" s="2" t="s">
        <v>89</v>
      </c>
      <c r="D205" s="2" t="s">
        <v>90</v>
      </c>
      <c r="E205" s="2" t="s">
        <v>501</v>
      </c>
      <c r="F205" s="2" t="s">
        <v>576</v>
      </c>
      <c r="G205" s="2" t="s">
        <v>577</v>
      </c>
      <c r="H205" s="2" t="s">
        <v>578</v>
      </c>
      <c r="I205" s="2" t="s">
        <v>91</v>
      </c>
      <c r="J205" s="2" t="s">
        <v>265</v>
      </c>
      <c r="K205" s="2" t="s">
        <v>294</v>
      </c>
      <c r="L205" s="3">
        <v>33.33</v>
      </c>
      <c r="M205" s="3">
        <v>35</v>
      </c>
      <c r="N205" s="3">
        <v>69.99</v>
      </c>
      <c r="O205" s="2" t="s">
        <v>98</v>
      </c>
      <c r="P205" s="2" t="s">
        <v>481</v>
      </c>
      <c r="Q205" s="2" t="s">
        <v>100</v>
      </c>
      <c r="R205" s="2" t="s">
        <v>101</v>
      </c>
      <c r="S205" s="2" t="s">
        <v>101</v>
      </c>
      <c r="T205" s="2" t="s">
        <v>552</v>
      </c>
      <c r="U205" s="2" t="s">
        <v>115</v>
      </c>
      <c r="V205" s="2" t="s">
        <v>580</v>
      </c>
      <c r="W205" s="2" t="s">
        <v>580</v>
      </c>
      <c r="X205" s="2" t="s">
        <v>101</v>
      </c>
      <c r="Y205" s="2" t="s">
        <v>581</v>
      </c>
      <c r="Z205" s="4"/>
      <c r="AA205" s="4">
        <f>=ROUNDDOWN({0},0)</f>
      </c>
      <c r="AB205" s="5"/>
      <c r="AC205" s="2" t="s">
        <v>173</v>
      </c>
      <c r="AD205" s="4">
        <v>156</v>
      </c>
      <c r="AE205" s="4">
        <v>516</v>
      </c>
      <c r="AF205" s="6">
        <v>63</v>
      </c>
      <c r="AG205" s="6">
        <v>46</v>
      </c>
      <c r="AH205" s="7"/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/>
      <c r="BK205" s="8"/>
      <c r="BL205" s="2" t="s">
        <v>101</v>
      </c>
      <c r="BM205" s="7"/>
      <c r="BN205" s="7"/>
      <c r="BO205" s="4"/>
      <c r="BP205" s="8"/>
      <c r="BQ205" s="4"/>
      <c r="BR205" s="8"/>
      <c r="BS205" s="7"/>
      <c r="BT205" s="7"/>
      <c r="BU205" s="2" t="s">
        <v>467</v>
      </c>
      <c r="BV205" s="2" t="s">
        <v>98</v>
      </c>
      <c r="BW205" s="2" t="s">
        <v>101</v>
      </c>
      <c r="BX205" s="2" t="s">
        <v>101</v>
      </c>
      <c r="BY205" s="2" t="s">
        <v>112</v>
      </c>
      <c r="BZ205" s="2" t="s">
        <v>112</v>
      </c>
      <c r="CA205" s="2" t="s">
        <v>101</v>
      </c>
    </row>
    <row r="206">
      <c r="A206" s="2" t="s">
        <v>590</v>
      </c>
      <c r="B206" s="2" t="s">
        <v>88</v>
      </c>
      <c r="C206" s="2" t="s">
        <v>89</v>
      </c>
      <c r="D206" s="2" t="s">
        <v>90</v>
      </c>
      <c r="E206" s="2" t="s">
        <v>501</v>
      </c>
      <c r="F206" s="2" t="s">
        <v>576</v>
      </c>
      <c r="G206" s="2" t="s">
        <v>577</v>
      </c>
      <c r="H206" s="2" t="s">
        <v>578</v>
      </c>
      <c r="I206" s="2" t="s">
        <v>91</v>
      </c>
      <c r="J206" s="2" t="s">
        <v>96</v>
      </c>
      <c r="K206" s="2" t="s">
        <v>591</v>
      </c>
      <c r="L206" s="3">
        <v>23.8</v>
      </c>
      <c r="M206" s="3">
        <v>24.99</v>
      </c>
      <c r="N206" s="3">
        <v>49.99</v>
      </c>
      <c r="O206" s="2" t="s">
        <v>98</v>
      </c>
      <c r="P206" s="2" t="s">
        <v>481</v>
      </c>
      <c r="Q206" s="2" t="s">
        <v>100</v>
      </c>
      <c r="R206" s="2" t="s">
        <v>101</v>
      </c>
      <c r="S206" s="2" t="s">
        <v>101</v>
      </c>
      <c r="T206" s="2" t="s">
        <v>552</v>
      </c>
      <c r="U206" s="2" t="s">
        <v>104</v>
      </c>
      <c r="V206" s="2" t="s">
        <v>580</v>
      </c>
      <c r="W206" s="2" t="s">
        <v>580</v>
      </c>
      <c r="X206" s="2" t="s">
        <v>101</v>
      </c>
      <c r="Y206" s="2" t="s">
        <v>581</v>
      </c>
      <c r="Z206" s="4"/>
      <c r="AA206" s="4">
        <f>=ROUNDDOWN({0},0)</f>
      </c>
      <c r="AB206" s="5"/>
      <c r="AC206" s="2" t="s">
        <v>173</v>
      </c>
      <c r="AD206" s="4">
        <v>78</v>
      </c>
      <c r="AE206" s="4">
        <v>261</v>
      </c>
      <c r="AF206" s="6">
        <v>63</v>
      </c>
      <c r="AG206" s="6">
        <v>46</v>
      </c>
      <c r="AH206" s="7"/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/>
      <c r="BJ206" s="4"/>
      <c r="BK206" s="8"/>
      <c r="BL206" s="2" t="s">
        <v>101</v>
      </c>
      <c r="BM206" s="7"/>
      <c r="BN206" s="7"/>
      <c r="BO206" s="4"/>
      <c r="BP206" s="8"/>
      <c r="BQ206" s="4"/>
      <c r="BR206" s="8"/>
      <c r="BS206" s="7"/>
      <c r="BT206" s="7"/>
      <c r="BU206" s="2" t="s">
        <v>467</v>
      </c>
      <c r="BV206" s="2" t="s">
        <v>98</v>
      </c>
      <c r="BW206" s="2" t="s">
        <v>101</v>
      </c>
      <c r="BX206" s="2" t="s">
        <v>101</v>
      </c>
      <c r="BY206" s="2" t="s">
        <v>112</v>
      </c>
      <c r="BZ206" s="2" t="s">
        <v>112</v>
      </c>
      <c r="CA206" s="2" t="s">
        <v>101</v>
      </c>
    </row>
    <row r="207">
      <c r="A207" s="2" t="s">
        <v>592</v>
      </c>
      <c r="B207" s="2" t="s">
        <v>88</v>
      </c>
      <c r="C207" s="2" t="s">
        <v>89</v>
      </c>
      <c r="D207" s="2" t="s">
        <v>90</v>
      </c>
      <c r="E207" s="2" t="s">
        <v>501</v>
      </c>
      <c r="F207" s="2" t="s">
        <v>576</v>
      </c>
      <c r="G207" s="2" t="s">
        <v>577</v>
      </c>
      <c r="H207" s="2" t="s">
        <v>578</v>
      </c>
      <c r="I207" s="2" t="s">
        <v>91</v>
      </c>
      <c r="J207" s="2" t="s">
        <v>263</v>
      </c>
      <c r="K207" s="2" t="s">
        <v>591</v>
      </c>
      <c r="L207" s="3">
        <v>28.57</v>
      </c>
      <c r="M207" s="3">
        <v>30</v>
      </c>
      <c r="N207" s="3">
        <v>59.99</v>
      </c>
      <c r="O207" s="2" t="s">
        <v>98</v>
      </c>
      <c r="P207" s="2" t="s">
        <v>481</v>
      </c>
      <c r="Q207" s="2" t="s">
        <v>100</v>
      </c>
      <c r="R207" s="2" t="s">
        <v>101</v>
      </c>
      <c r="S207" s="2" t="s">
        <v>101</v>
      </c>
      <c r="T207" s="2" t="s">
        <v>552</v>
      </c>
      <c r="U207" s="2" t="s">
        <v>115</v>
      </c>
      <c r="V207" s="2" t="s">
        <v>580</v>
      </c>
      <c r="W207" s="2" t="s">
        <v>580</v>
      </c>
      <c r="X207" s="2" t="s">
        <v>101</v>
      </c>
      <c r="Y207" s="2" t="s">
        <v>581</v>
      </c>
      <c r="Z207" s="4"/>
      <c r="AA207" s="4">
        <f>=ROUNDDOWN({0},0)</f>
      </c>
      <c r="AB207" s="5"/>
      <c r="AC207" s="2" t="s">
        <v>173</v>
      </c>
      <c r="AD207" s="4">
        <v>150</v>
      </c>
      <c r="AE207" s="4">
        <v>501</v>
      </c>
      <c r="AF207" s="6">
        <v>63</v>
      </c>
      <c r="AG207" s="6">
        <v>46</v>
      </c>
      <c r="AH207" s="7"/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/>
      <c r="BK207" s="8"/>
      <c r="BL207" s="2" t="s">
        <v>101</v>
      </c>
      <c r="BM207" s="7"/>
      <c r="BN207" s="7"/>
      <c r="BO207" s="4"/>
      <c r="BP207" s="8"/>
      <c r="BQ207" s="4"/>
      <c r="BR207" s="8"/>
      <c r="BS207" s="7"/>
      <c r="BT207" s="7"/>
      <c r="BU207" s="2" t="s">
        <v>467</v>
      </c>
      <c r="BV207" s="2" t="s">
        <v>98</v>
      </c>
      <c r="BW207" s="2" t="s">
        <v>101</v>
      </c>
      <c r="BX207" s="2" t="s">
        <v>101</v>
      </c>
      <c r="BY207" s="2" t="s">
        <v>112</v>
      </c>
      <c r="BZ207" s="2" t="s">
        <v>112</v>
      </c>
      <c r="CA207" s="2" t="s">
        <v>101</v>
      </c>
    </row>
    <row r="208">
      <c r="A208" s="2" t="s">
        <v>593</v>
      </c>
      <c r="B208" s="2" t="s">
        <v>88</v>
      </c>
      <c r="C208" s="2" t="s">
        <v>89</v>
      </c>
      <c r="D208" s="2" t="s">
        <v>90</v>
      </c>
      <c r="E208" s="2" t="s">
        <v>501</v>
      </c>
      <c r="F208" s="2" t="s">
        <v>576</v>
      </c>
      <c r="G208" s="2" t="s">
        <v>577</v>
      </c>
      <c r="H208" s="2" t="s">
        <v>578</v>
      </c>
      <c r="I208" s="2" t="s">
        <v>91</v>
      </c>
      <c r="J208" s="2" t="s">
        <v>265</v>
      </c>
      <c r="K208" s="2" t="s">
        <v>591</v>
      </c>
      <c r="L208" s="3">
        <v>33.33</v>
      </c>
      <c r="M208" s="3">
        <v>35</v>
      </c>
      <c r="N208" s="3">
        <v>69.99</v>
      </c>
      <c r="O208" s="2" t="s">
        <v>98</v>
      </c>
      <c r="P208" s="2" t="s">
        <v>481</v>
      </c>
      <c r="Q208" s="2" t="s">
        <v>100</v>
      </c>
      <c r="R208" s="2" t="s">
        <v>101</v>
      </c>
      <c r="S208" s="2" t="s">
        <v>101</v>
      </c>
      <c r="T208" s="2" t="s">
        <v>552</v>
      </c>
      <c r="U208" s="2" t="s">
        <v>115</v>
      </c>
      <c r="V208" s="2" t="s">
        <v>580</v>
      </c>
      <c r="W208" s="2" t="s">
        <v>580</v>
      </c>
      <c r="X208" s="2" t="s">
        <v>101</v>
      </c>
      <c r="Y208" s="2" t="s">
        <v>581</v>
      </c>
      <c r="Z208" s="4"/>
      <c r="AA208" s="4">
        <f>=ROUNDDOWN({0},0)</f>
      </c>
      <c r="AB208" s="5"/>
      <c r="AC208" s="2" t="s">
        <v>173</v>
      </c>
      <c r="AD208" s="4">
        <v>102</v>
      </c>
      <c r="AE208" s="4">
        <v>336</v>
      </c>
      <c r="AF208" s="6">
        <v>63</v>
      </c>
      <c r="AG208" s="6">
        <v>46</v>
      </c>
      <c r="AH208" s="7"/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/>
      <c r="BJ208" s="4"/>
      <c r="BK208" s="8"/>
      <c r="BL208" s="2" t="s">
        <v>101</v>
      </c>
      <c r="BM208" s="7"/>
      <c r="BN208" s="7"/>
      <c r="BO208" s="4"/>
      <c r="BP208" s="8"/>
      <c r="BQ208" s="4"/>
      <c r="BR208" s="8"/>
      <c r="BS208" s="7"/>
      <c r="BT208" s="7"/>
      <c r="BU208" s="2" t="s">
        <v>467</v>
      </c>
      <c r="BV208" s="2" t="s">
        <v>98</v>
      </c>
      <c r="BW208" s="2" t="s">
        <v>101</v>
      </c>
      <c r="BX208" s="2" t="s">
        <v>101</v>
      </c>
      <c r="BY208" s="2" t="s">
        <v>112</v>
      </c>
      <c r="BZ208" s="2" t="s">
        <v>112</v>
      </c>
      <c r="CA208" s="2" t="s">
        <v>101</v>
      </c>
    </row>
    <row r="209">
      <c r="A209" s="2" t="s">
        <v>594</v>
      </c>
      <c r="B209" s="2" t="s">
        <v>88</v>
      </c>
      <c r="C209" s="2" t="s">
        <v>89</v>
      </c>
      <c r="D209" s="2" t="s">
        <v>90</v>
      </c>
      <c r="E209" s="2" t="s">
        <v>501</v>
      </c>
      <c r="F209" s="2" t="s">
        <v>576</v>
      </c>
      <c r="G209" s="2" t="s">
        <v>577</v>
      </c>
      <c r="H209" s="2" t="s">
        <v>578</v>
      </c>
      <c r="I209" s="2" t="s">
        <v>91</v>
      </c>
      <c r="J209" s="2" t="s">
        <v>96</v>
      </c>
      <c r="K209" s="2" t="s">
        <v>143</v>
      </c>
      <c r="L209" s="3">
        <v>23.8</v>
      </c>
      <c r="M209" s="3">
        <v>24.99</v>
      </c>
      <c r="N209" s="3">
        <v>49.99</v>
      </c>
      <c r="O209" s="2" t="s">
        <v>98</v>
      </c>
      <c r="P209" s="2" t="s">
        <v>481</v>
      </c>
      <c r="Q209" s="2" t="s">
        <v>100</v>
      </c>
      <c r="R209" s="2" t="s">
        <v>101</v>
      </c>
      <c r="S209" s="2" t="s">
        <v>101</v>
      </c>
      <c r="T209" s="2" t="s">
        <v>552</v>
      </c>
      <c r="U209" s="2" t="s">
        <v>104</v>
      </c>
      <c r="V209" s="2" t="s">
        <v>580</v>
      </c>
      <c r="W209" s="2" t="s">
        <v>580</v>
      </c>
      <c r="X209" s="2" t="s">
        <v>101</v>
      </c>
      <c r="Y209" s="2" t="s">
        <v>581</v>
      </c>
      <c r="Z209" s="4"/>
      <c r="AA209" s="4">
        <f>=ROUNDDOWN({0},0)</f>
      </c>
      <c r="AB209" s="5"/>
      <c r="AC209" s="2" t="s">
        <v>173</v>
      </c>
      <c r="AD209" s="4">
        <v>138</v>
      </c>
      <c r="AE209" s="4">
        <v>456</v>
      </c>
      <c r="AF209" s="6">
        <v>63</v>
      </c>
      <c r="AG209" s="6">
        <v>46</v>
      </c>
      <c r="AH209" s="7"/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/>
      <c r="BJ209" s="4"/>
      <c r="BK209" s="8"/>
      <c r="BL209" s="2" t="s">
        <v>101</v>
      </c>
      <c r="BM209" s="7"/>
      <c r="BN209" s="7"/>
      <c r="BO209" s="4"/>
      <c r="BP209" s="8"/>
      <c r="BQ209" s="4"/>
      <c r="BR209" s="8"/>
      <c r="BS209" s="7"/>
      <c r="BT209" s="7"/>
      <c r="BU209" s="2" t="s">
        <v>467</v>
      </c>
      <c r="BV209" s="2" t="s">
        <v>98</v>
      </c>
      <c r="BW209" s="2" t="s">
        <v>101</v>
      </c>
      <c r="BX209" s="2" t="s">
        <v>101</v>
      </c>
      <c r="BY209" s="2" t="s">
        <v>112</v>
      </c>
      <c r="BZ209" s="2" t="s">
        <v>112</v>
      </c>
      <c r="CA209" s="2" t="s">
        <v>101</v>
      </c>
    </row>
    <row r="210">
      <c r="A210" s="2" t="s">
        <v>595</v>
      </c>
      <c r="B210" s="2" t="s">
        <v>88</v>
      </c>
      <c r="C210" s="2" t="s">
        <v>89</v>
      </c>
      <c r="D210" s="2" t="s">
        <v>90</v>
      </c>
      <c r="E210" s="2" t="s">
        <v>501</v>
      </c>
      <c r="F210" s="2" t="s">
        <v>576</v>
      </c>
      <c r="G210" s="2" t="s">
        <v>577</v>
      </c>
      <c r="H210" s="2" t="s">
        <v>578</v>
      </c>
      <c r="I210" s="2" t="s">
        <v>91</v>
      </c>
      <c r="J210" s="2" t="s">
        <v>263</v>
      </c>
      <c r="K210" s="2" t="s">
        <v>143</v>
      </c>
      <c r="L210" s="3">
        <v>28.57</v>
      </c>
      <c r="M210" s="3">
        <v>30</v>
      </c>
      <c r="N210" s="3">
        <v>59.99</v>
      </c>
      <c r="O210" s="2" t="s">
        <v>98</v>
      </c>
      <c r="P210" s="2" t="s">
        <v>481</v>
      </c>
      <c r="Q210" s="2" t="s">
        <v>100</v>
      </c>
      <c r="R210" s="2" t="s">
        <v>101</v>
      </c>
      <c r="S210" s="2" t="s">
        <v>101</v>
      </c>
      <c r="T210" s="2" t="s">
        <v>552</v>
      </c>
      <c r="U210" s="2" t="s">
        <v>115</v>
      </c>
      <c r="V210" s="2" t="s">
        <v>580</v>
      </c>
      <c r="W210" s="2" t="s">
        <v>580</v>
      </c>
      <c r="X210" s="2" t="s">
        <v>101</v>
      </c>
      <c r="Y210" s="2" t="s">
        <v>581</v>
      </c>
      <c r="Z210" s="4"/>
      <c r="AA210" s="4">
        <f>=ROUNDDOWN({0},0)</f>
      </c>
      <c r="AB210" s="5"/>
      <c r="AC210" s="2" t="s">
        <v>173</v>
      </c>
      <c r="AD210" s="4">
        <v>237</v>
      </c>
      <c r="AE210" s="4">
        <v>786</v>
      </c>
      <c r="AF210" s="6">
        <v>63</v>
      </c>
      <c r="AG210" s="6">
        <v>46</v>
      </c>
      <c r="AH210" s="7"/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/>
      <c r="BK210" s="8"/>
      <c r="BL210" s="2" t="s">
        <v>101</v>
      </c>
      <c r="BM210" s="7"/>
      <c r="BN210" s="7"/>
      <c r="BO210" s="4"/>
      <c r="BP210" s="8"/>
      <c r="BQ210" s="4"/>
      <c r="BR210" s="8"/>
      <c r="BS210" s="7"/>
      <c r="BT210" s="7"/>
      <c r="BU210" s="2" t="s">
        <v>467</v>
      </c>
      <c r="BV210" s="2" t="s">
        <v>98</v>
      </c>
      <c r="BW210" s="2" t="s">
        <v>101</v>
      </c>
      <c r="BX210" s="2" t="s">
        <v>101</v>
      </c>
      <c r="BY210" s="2" t="s">
        <v>112</v>
      </c>
      <c r="BZ210" s="2" t="s">
        <v>112</v>
      </c>
      <c r="CA210" s="2" t="s">
        <v>101</v>
      </c>
    </row>
    <row r="211">
      <c r="A211" s="2" t="s">
        <v>596</v>
      </c>
      <c r="B211" s="2" t="s">
        <v>88</v>
      </c>
      <c r="C211" s="2" t="s">
        <v>89</v>
      </c>
      <c r="D211" s="2" t="s">
        <v>90</v>
      </c>
      <c r="E211" s="2" t="s">
        <v>501</v>
      </c>
      <c r="F211" s="2" t="s">
        <v>576</v>
      </c>
      <c r="G211" s="2" t="s">
        <v>577</v>
      </c>
      <c r="H211" s="2" t="s">
        <v>578</v>
      </c>
      <c r="I211" s="2" t="s">
        <v>91</v>
      </c>
      <c r="J211" s="2" t="s">
        <v>265</v>
      </c>
      <c r="K211" s="2" t="s">
        <v>143</v>
      </c>
      <c r="L211" s="3">
        <v>33.33</v>
      </c>
      <c r="M211" s="3">
        <v>35</v>
      </c>
      <c r="N211" s="3">
        <v>69.99</v>
      </c>
      <c r="O211" s="2" t="s">
        <v>98</v>
      </c>
      <c r="P211" s="2" t="s">
        <v>481</v>
      </c>
      <c r="Q211" s="2" t="s">
        <v>100</v>
      </c>
      <c r="R211" s="2" t="s">
        <v>101</v>
      </c>
      <c r="S211" s="2" t="s">
        <v>101</v>
      </c>
      <c r="T211" s="2" t="s">
        <v>552</v>
      </c>
      <c r="U211" s="2" t="s">
        <v>115</v>
      </c>
      <c r="V211" s="2" t="s">
        <v>580</v>
      </c>
      <c r="W211" s="2" t="s">
        <v>580</v>
      </c>
      <c r="X211" s="2" t="s">
        <v>101</v>
      </c>
      <c r="Y211" s="2" t="s">
        <v>581</v>
      </c>
      <c r="Z211" s="4"/>
      <c r="AA211" s="4">
        <f>=ROUNDDOWN({0},0)</f>
      </c>
      <c r="AB211" s="5"/>
      <c r="AC211" s="2" t="s">
        <v>173</v>
      </c>
      <c r="AD211" s="4">
        <v>177</v>
      </c>
      <c r="AE211" s="4">
        <v>591</v>
      </c>
      <c r="AF211" s="6">
        <v>63</v>
      </c>
      <c r="AG211" s="6">
        <v>46</v>
      </c>
      <c r="AH211" s="7"/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/>
      <c r="BK211" s="8"/>
      <c r="BL211" s="2" t="s">
        <v>101</v>
      </c>
      <c r="BM211" s="7"/>
      <c r="BN211" s="7"/>
      <c r="BO211" s="4"/>
      <c r="BP211" s="8"/>
      <c r="BQ211" s="4"/>
      <c r="BR211" s="8"/>
      <c r="BS211" s="7"/>
      <c r="BT211" s="7"/>
      <c r="BU211" s="2" t="s">
        <v>467</v>
      </c>
      <c r="BV211" s="2" t="s">
        <v>98</v>
      </c>
      <c r="BW211" s="2" t="s">
        <v>101</v>
      </c>
      <c r="BX211" s="2" t="s">
        <v>101</v>
      </c>
      <c r="BY211" s="2" t="s">
        <v>112</v>
      </c>
      <c r="BZ211" s="2" t="s">
        <v>112</v>
      </c>
      <c r="CA211" s="2" t="s">
        <v>101</v>
      </c>
    </row>
    <row r="212">
      <c r="A212" s="2" t="s">
        <v>597</v>
      </c>
      <c r="B212" s="2" t="s">
        <v>88</v>
      </c>
      <c r="C212" s="2" t="s">
        <v>89</v>
      </c>
      <c r="D212" s="2" t="s">
        <v>598</v>
      </c>
      <c r="E212" s="2" t="s">
        <v>599</v>
      </c>
      <c r="F212" s="2" t="s">
        <v>92</v>
      </c>
      <c r="G212" s="2" t="s">
        <v>93</v>
      </c>
      <c r="H212" s="2" t="s">
        <v>94</v>
      </c>
      <c r="I212" s="2" t="s">
        <v>600</v>
      </c>
      <c r="J212" s="2" t="s">
        <v>96</v>
      </c>
      <c r="K212" s="2" t="s">
        <v>97</v>
      </c>
      <c r="L212" s="3">
        <v>15.47</v>
      </c>
      <c r="M212" s="3">
        <v>16.24</v>
      </c>
      <c r="N212" s="3">
        <v>32.49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102</v>
      </c>
      <c r="T212" s="2" t="s">
        <v>103</v>
      </c>
      <c r="U212" s="2" t="s">
        <v>104</v>
      </c>
      <c r="V212" s="2" t="s">
        <v>105</v>
      </c>
      <c r="W212" s="2" t="s">
        <v>106</v>
      </c>
      <c r="X212" s="2" t="s">
        <v>101</v>
      </c>
      <c r="Y212" s="2" t="s">
        <v>107</v>
      </c>
      <c r="Z212" s="4">
        <v>171</v>
      </c>
      <c r="AA212" s="4">
        <f>=ROUNDDOWN(3.99532710280374,0)</f>
      </c>
      <c r="AB212" s="5">
        <v>42.8</v>
      </c>
      <c r="AC212" s="2" t="s">
        <v>601</v>
      </c>
      <c r="AD212" s="4">
        <v>300</v>
      </c>
      <c r="AE212" s="4">
        <v>300</v>
      </c>
      <c r="AF212" s="6">
        <v>63</v>
      </c>
      <c r="AG212" s="6">
        <v>46</v>
      </c>
      <c r="AH212" s="7">
        <v>0.8857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>
        <v>2582</v>
      </c>
      <c r="AQ212" s="8">
        <v>43169</v>
      </c>
      <c r="AR212" s="4"/>
      <c r="AS212" s="8"/>
      <c r="AT212" s="7"/>
      <c r="AU212" s="7"/>
      <c r="AV212" s="4">
        <v>14588</v>
      </c>
      <c r="AW212" s="8">
        <v>314572.16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>
        <v>0.1372</v>
      </c>
      <c r="BC212" s="4">
        <v>31874</v>
      </c>
      <c r="BD212" s="8">
        <v>701747.78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0.4483</v>
      </c>
      <c r="BJ212" s="4">
        <v>3004</v>
      </c>
      <c r="BK212" s="8">
        <v>50568.96</v>
      </c>
      <c r="BL212" s="2" t="s">
        <v>167</v>
      </c>
      <c r="BM212" s="7">
        <v>0.8595</v>
      </c>
      <c r="BN212" s="7">
        <v>0.8537</v>
      </c>
      <c r="BO212" s="4">
        <v>2582</v>
      </c>
      <c r="BP212" s="8">
        <v>43169</v>
      </c>
      <c r="BQ212" s="4"/>
      <c r="BR212" s="8"/>
      <c r="BS212" s="7"/>
      <c r="BT212" s="7"/>
      <c r="BU212" s="2" t="s">
        <v>110</v>
      </c>
      <c r="BV212" s="2" t="s">
        <v>98</v>
      </c>
      <c r="BW212" s="2" t="s">
        <v>101</v>
      </c>
      <c r="BX212" s="2" t="s">
        <v>111</v>
      </c>
      <c r="BY212" s="2" t="s">
        <v>112</v>
      </c>
      <c r="BZ212" s="2" t="s">
        <v>112</v>
      </c>
      <c r="CA212" s="2" t="s">
        <v>101</v>
      </c>
    </row>
    <row r="213">
      <c r="A213" s="2" t="s">
        <v>602</v>
      </c>
      <c r="B213" s="2" t="s">
        <v>88</v>
      </c>
      <c r="C213" s="2" t="s">
        <v>89</v>
      </c>
      <c r="D213" s="2" t="s">
        <v>598</v>
      </c>
      <c r="E213" s="2" t="s">
        <v>599</v>
      </c>
      <c r="F213" s="2" t="s">
        <v>92</v>
      </c>
      <c r="G213" s="2" t="s">
        <v>93</v>
      </c>
      <c r="H213" s="2" t="s">
        <v>94</v>
      </c>
      <c r="I213" s="2" t="s">
        <v>600</v>
      </c>
      <c r="J213" s="2" t="s">
        <v>114</v>
      </c>
      <c r="K213" s="2" t="s">
        <v>97</v>
      </c>
      <c r="L213" s="3">
        <v>19.76</v>
      </c>
      <c r="M213" s="3">
        <v>20.75</v>
      </c>
      <c r="N213" s="3">
        <v>39.99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102</v>
      </c>
      <c r="T213" s="2" t="s">
        <v>103</v>
      </c>
      <c r="U213" s="2" t="s">
        <v>115</v>
      </c>
      <c r="V213" s="2" t="s">
        <v>105</v>
      </c>
      <c r="W213" s="2" t="s">
        <v>106</v>
      </c>
      <c r="X213" s="2" t="s">
        <v>101</v>
      </c>
      <c r="Y213" s="2" t="s">
        <v>127</v>
      </c>
      <c r="Z213" s="4">
        <v>95</v>
      </c>
      <c r="AA213" s="4">
        <f>=ROUNDDOWN(4.58937198067633,0)</f>
      </c>
      <c r="AB213" s="5">
        <v>20.7</v>
      </c>
      <c r="AC213" s="2" t="s">
        <v>601</v>
      </c>
      <c r="AD213" s="4">
        <v>300</v>
      </c>
      <c r="AE213" s="4">
        <v>300</v>
      </c>
      <c r="AF213" s="6">
        <v>63</v>
      </c>
      <c r="AG213" s="6">
        <v>46</v>
      </c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>
        <v>402</v>
      </c>
      <c r="AQ213" s="8">
        <v>8844</v>
      </c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0.0281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629</v>
      </c>
      <c r="BK213" s="8">
        <v>13588.52</v>
      </c>
      <c r="BL213" s="2" t="s">
        <v>128</v>
      </c>
      <c r="BM213" s="7">
        <v>0.6391</v>
      </c>
      <c r="BN213" s="7">
        <v>0.6508</v>
      </c>
      <c r="BO213" s="4">
        <v>402</v>
      </c>
      <c r="BP213" s="8">
        <v>8844</v>
      </c>
      <c r="BQ213" s="4"/>
      <c r="BR213" s="8"/>
      <c r="BS213" s="7"/>
      <c r="BT213" s="7"/>
      <c r="BU213" s="2" t="s">
        <v>110</v>
      </c>
      <c r="BV213" s="2" t="s">
        <v>98</v>
      </c>
      <c r="BW213" s="2" t="s">
        <v>101</v>
      </c>
      <c r="BX213" s="2" t="s">
        <v>119</v>
      </c>
      <c r="BY213" s="2" t="s">
        <v>112</v>
      </c>
      <c r="BZ213" s="2" t="s">
        <v>112</v>
      </c>
      <c r="CA213" s="2" t="s">
        <v>101</v>
      </c>
    </row>
    <row r="214">
      <c r="A214" s="2" t="s">
        <v>603</v>
      </c>
      <c r="B214" s="2" t="s">
        <v>88</v>
      </c>
      <c r="C214" s="2" t="s">
        <v>89</v>
      </c>
      <c r="D214" s="2" t="s">
        <v>598</v>
      </c>
      <c r="E214" s="2" t="s">
        <v>599</v>
      </c>
      <c r="F214" s="2" t="s">
        <v>92</v>
      </c>
      <c r="G214" s="2" t="s">
        <v>93</v>
      </c>
      <c r="H214" s="2" t="s">
        <v>94</v>
      </c>
      <c r="I214" s="2" t="s">
        <v>600</v>
      </c>
      <c r="J214" s="2" t="s">
        <v>121</v>
      </c>
      <c r="K214" s="2" t="s">
        <v>97</v>
      </c>
      <c r="L214" s="3">
        <v>20.23</v>
      </c>
      <c r="M214" s="3">
        <v>21.24</v>
      </c>
      <c r="N214" s="3">
        <v>42.49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102</v>
      </c>
      <c r="T214" s="2" t="s">
        <v>103</v>
      </c>
      <c r="U214" s="2" t="s">
        <v>115</v>
      </c>
      <c r="V214" s="2" t="s">
        <v>105</v>
      </c>
      <c r="W214" s="2" t="s">
        <v>106</v>
      </c>
      <c r="X214" s="2" t="s">
        <v>101</v>
      </c>
      <c r="Y214" s="2" t="s">
        <v>107</v>
      </c>
      <c r="Z214" s="4">
        <v>3249</v>
      </c>
      <c r="AA214" s="4">
        <f>=ROUNDDOWN(38.6325802615933,0)</f>
      </c>
      <c r="AB214" s="5">
        <v>84.1</v>
      </c>
      <c r="AC214" s="2" t="s">
        <v>101</v>
      </c>
      <c r="AD214" s="4"/>
      <c r="AE214" s="4"/>
      <c r="AF214" s="6">
        <v>63</v>
      </c>
      <c r="AG214" s="6">
        <v>46</v>
      </c>
      <c r="AH214" s="7">
        <v>0.85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>
        <v>4896</v>
      </c>
      <c r="AQ214" s="8">
        <v>103664</v>
      </c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0.3295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7753</v>
      </c>
      <c r="BK214" s="8">
        <v>165816.18</v>
      </c>
      <c r="BL214" s="2" t="s">
        <v>604</v>
      </c>
      <c r="BM214" s="7">
        <v>0.6315</v>
      </c>
      <c r="BN214" s="7">
        <v>0.6252</v>
      </c>
      <c r="BO214" s="4">
        <v>4896</v>
      </c>
      <c r="BP214" s="8">
        <v>103664</v>
      </c>
      <c r="BQ214" s="4"/>
      <c r="BR214" s="8"/>
      <c r="BS214" s="7"/>
      <c r="BT214" s="7"/>
      <c r="BU214" s="2" t="s">
        <v>110</v>
      </c>
      <c r="BV214" s="2" t="s">
        <v>98</v>
      </c>
      <c r="BW214" s="2" t="s">
        <v>101</v>
      </c>
      <c r="BX214" s="2" t="s">
        <v>111</v>
      </c>
      <c r="BY214" s="2" t="s">
        <v>112</v>
      </c>
      <c r="BZ214" s="2" t="s">
        <v>112</v>
      </c>
      <c r="CA214" s="2" t="s">
        <v>101</v>
      </c>
    </row>
    <row r="215">
      <c r="A215" s="2" t="s">
        <v>605</v>
      </c>
      <c r="B215" s="2" t="s">
        <v>88</v>
      </c>
      <c r="C215" s="2" t="s">
        <v>89</v>
      </c>
      <c r="D215" s="2" t="s">
        <v>598</v>
      </c>
      <c r="E215" s="2" t="s">
        <v>599</v>
      </c>
      <c r="F215" s="2" t="s">
        <v>92</v>
      </c>
      <c r="G215" s="2" t="s">
        <v>93</v>
      </c>
      <c r="H215" s="2" t="s">
        <v>94</v>
      </c>
      <c r="I215" s="2" t="s">
        <v>600</v>
      </c>
      <c r="J215" s="2" t="s">
        <v>123</v>
      </c>
      <c r="K215" s="2" t="s">
        <v>97</v>
      </c>
      <c r="L215" s="3">
        <v>22.61</v>
      </c>
      <c r="M215" s="3">
        <v>23.74</v>
      </c>
      <c r="N215" s="3">
        <v>47.49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102</v>
      </c>
      <c r="T215" s="2" t="s">
        <v>103</v>
      </c>
      <c r="U215" s="2" t="s">
        <v>115</v>
      </c>
      <c r="V215" s="2" t="s">
        <v>105</v>
      </c>
      <c r="W215" s="2" t="s">
        <v>106</v>
      </c>
      <c r="X215" s="2" t="s">
        <v>101</v>
      </c>
      <c r="Y215" s="2" t="s">
        <v>124</v>
      </c>
      <c r="Z215" s="4">
        <v>3489</v>
      </c>
      <c r="AA215" s="4">
        <f>=ROUNDDOWN(30.4982517482518,0)</f>
      </c>
      <c r="AB215" s="5">
        <v>114.4</v>
      </c>
      <c r="AC215" s="2" t="s">
        <v>101</v>
      </c>
      <c r="AD215" s="4"/>
      <c r="AE215" s="4"/>
      <c r="AF215" s="6">
        <v>63</v>
      </c>
      <c r="AG215" s="6">
        <v>46</v>
      </c>
      <c r="AH215" s="7">
        <v>0.831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>
        <v>6259</v>
      </c>
      <c r="AQ215" s="8">
        <v>147894.66</v>
      </c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0.4701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9016</v>
      </c>
      <c r="BK215" s="8">
        <v>216758.81</v>
      </c>
      <c r="BL215" s="2" t="s">
        <v>606</v>
      </c>
      <c r="BM215" s="7">
        <v>0.6942</v>
      </c>
      <c r="BN215" s="7">
        <v>0.6823</v>
      </c>
      <c r="BO215" s="4">
        <v>6259</v>
      </c>
      <c r="BP215" s="8">
        <v>147894.66</v>
      </c>
      <c r="BQ215" s="4"/>
      <c r="BR215" s="8"/>
      <c r="BS215" s="7"/>
      <c r="BT215" s="7"/>
      <c r="BU215" s="2" t="s">
        <v>110</v>
      </c>
      <c r="BV215" s="2" t="s">
        <v>98</v>
      </c>
      <c r="BW215" s="2" t="s">
        <v>101</v>
      </c>
      <c r="BX215" s="2" t="s">
        <v>111</v>
      </c>
      <c r="BY215" s="2" t="s">
        <v>112</v>
      </c>
      <c r="BZ215" s="2" t="s">
        <v>112</v>
      </c>
      <c r="CA215" s="2" t="s">
        <v>101</v>
      </c>
    </row>
    <row r="216">
      <c r="A216" s="2" t="s">
        <v>607</v>
      </c>
      <c r="B216" s="2" t="s">
        <v>88</v>
      </c>
      <c r="C216" s="2" t="s">
        <v>89</v>
      </c>
      <c r="D216" s="2" t="s">
        <v>598</v>
      </c>
      <c r="E216" s="2" t="s">
        <v>599</v>
      </c>
      <c r="F216" s="2" t="s">
        <v>92</v>
      </c>
      <c r="G216" s="2" t="s">
        <v>93</v>
      </c>
      <c r="H216" s="2" t="s">
        <v>94</v>
      </c>
      <c r="I216" s="2" t="s">
        <v>600</v>
      </c>
      <c r="J216" s="2" t="s">
        <v>126</v>
      </c>
      <c r="K216" s="2" t="s">
        <v>97</v>
      </c>
      <c r="L216" s="3">
        <v>23.57</v>
      </c>
      <c r="M216" s="3">
        <v>24.75</v>
      </c>
      <c r="N216" s="3">
        <v>44.99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102</v>
      </c>
      <c r="T216" s="2" t="s">
        <v>103</v>
      </c>
      <c r="U216" s="2" t="s">
        <v>115</v>
      </c>
      <c r="V216" s="2" t="s">
        <v>105</v>
      </c>
      <c r="W216" s="2" t="s">
        <v>106</v>
      </c>
      <c r="X216" s="2" t="s">
        <v>101</v>
      </c>
      <c r="Y216" s="2" t="s">
        <v>127</v>
      </c>
      <c r="Z216" s="4">
        <v>1605</v>
      </c>
      <c r="AA216" s="4">
        <f>=ROUNDDOWN(56.5140845070422,0)</f>
      </c>
      <c r="AB216" s="5">
        <v>28.4</v>
      </c>
      <c r="AC216" s="2" t="s">
        <v>101</v>
      </c>
      <c r="AD216" s="4"/>
      <c r="AE216" s="4"/>
      <c r="AF216" s="6">
        <v>63</v>
      </c>
      <c r="AG216" s="6">
        <v>46</v>
      </c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>
        <v>449</v>
      </c>
      <c r="AQ216" s="8">
        <v>11000.5</v>
      </c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>
        <v>0.035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760</v>
      </c>
      <c r="BK216" s="8">
        <v>19949.75</v>
      </c>
      <c r="BL216" s="2" t="s">
        <v>145</v>
      </c>
      <c r="BM216" s="7">
        <v>0.5908</v>
      </c>
      <c r="BN216" s="7">
        <v>0.5514</v>
      </c>
      <c r="BO216" s="4">
        <v>449</v>
      </c>
      <c r="BP216" s="8">
        <v>11000.5</v>
      </c>
      <c r="BQ216" s="4"/>
      <c r="BR216" s="8"/>
      <c r="BS216" s="7"/>
      <c r="BT216" s="7"/>
      <c r="BU216" s="2" t="s">
        <v>110</v>
      </c>
      <c r="BV216" s="2" t="s">
        <v>98</v>
      </c>
      <c r="BW216" s="2" t="s">
        <v>101</v>
      </c>
      <c r="BX216" s="2" t="s">
        <v>119</v>
      </c>
      <c r="BY216" s="2" t="s">
        <v>112</v>
      </c>
      <c r="BZ216" s="2" t="s">
        <v>112</v>
      </c>
      <c r="CA216" s="2" t="s">
        <v>101</v>
      </c>
    </row>
    <row r="217">
      <c r="A217" s="2" t="s">
        <v>608</v>
      </c>
      <c r="B217" s="2" t="s">
        <v>88</v>
      </c>
      <c r="C217" s="2" t="s">
        <v>89</v>
      </c>
      <c r="D217" s="2" t="s">
        <v>598</v>
      </c>
      <c r="E217" s="2" t="s">
        <v>599</v>
      </c>
      <c r="F217" s="2" t="s">
        <v>92</v>
      </c>
      <c r="G217" s="2" t="s">
        <v>93</v>
      </c>
      <c r="H217" s="2" t="s">
        <v>94</v>
      </c>
      <c r="I217" s="2" t="s">
        <v>600</v>
      </c>
      <c r="J217" s="2" t="s">
        <v>96</v>
      </c>
      <c r="K217" s="2" t="s">
        <v>130</v>
      </c>
      <c r="L217" s="3">
        <v>15.47</v>
      </c>
      <c r="M217" s="3">
        <v>16.24</v>
      </c>
      <c r="N217" s="3">
        <v>32.49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131</v>
      </c>
      <c r="T217" s="2" t="s">
        <v>103</v>
      </c>
      <c r="U217" s="2" t="s">
        <v>104</v>
      </c>
      <c r="V217" s="2" t="s">
        <v>105</v>
      </c>
      <c r="W217" s="2" t="s">
        <v>106</v>
      </c>
      <c r="X217" s="2" t="s">
        <v>101</v>
      </c>
      <c r="Y217" s="2" t="s">
        <v>609</v>
      </c>
      <c r="Z217" s="4">
        <v>92</v>
      </c>
      <c r="AA217" s="4">
        <f>=ROUNDDOWN(5.97402597402597,0)</f>
      </c>
      <c r="AB217" s="5">
        <v>15.4</v>
      </c>
      <c r="AC217" s="2" t="s">
        <v>101</v>
      </c>
      <c r="AD217" s="4"/>
      <c r="AE217" s="4"/>
      <c r="AF217" s="6">
        <v>63</v>
      </c>
      <c r="AG217" s="6">
        <v>46</v>
      </c>
      <c r="AH217" s="7">
        <v>0.8072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>
        <v>924</v>
      </c>
      <c r="AQ217" s="8">
        <v>16002</v>
      </c>
      <c r="AR217" s="4"/>
      <c r="AS217" s="8"/>
      <c r="AT217" s="7"/>
      <c r="AU217" s="7"/>
      <c r="AV217" s="4">
        <v>3872</v>
      </c>
      <c r="AW217" s="8">
        <v>85776.2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>
        <v>0.1866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0.1222</v>
      </c>
      <c r="BJ217" s="4">
        <v>1195</v>
      </c>
      <c r="BK217" s="8">
        <v>20672.52</v>
      </c>
      <c r="BL217" s="2" t="s">
        <v>167</v>
      </c>
      <c r="BM217" s="7">
        <v>0.7732</v>
      </c>
      <c r="BN217" s="7">
        <v>0.7741</v>
      </c>
      <c r="BO217" s="4">
        <v>924</v>
      </c>
      <c r="BP217" s="8">
        <v>16002</v>
      </c>
      <c r="BQ217" s="4"/>
      <c r="BR217" s="8"/>
      <c r="BS217" s="7"/>
      <c r="BT217" s="7"/>
      <c r="BU217" s="2" t="s">
        <v>110</v>
      </c>
      <c r="BV217" s="2" t="s">
        <v>98</v>
      </c>
      <c r="BW217" s="2" t="s">
        <v>101</v>
      </c>
      <c r="BX217" s="2" t="s">
        <v>610</v>
      </c>
      <c r="BY217" s="2" t="s">
        <v>112</v>
      </c>
      <c r="BZ217" s="2" t="s">
        <v>112</v>
      </c>
      <c r="CA217" s="2" t="s">
        <v>101</v>
      </c>
    </row>
    <row r="218">
      <c r="A218" s="2" t="s">
        <v>611</v>
      </c>
      <c r="B218" s="2" t="s">
        <v>88</v>
      </c>
      <c r="C218" s="2" t="s">
        <v>89</v>
      </c>
      <c r="D218" s="2" t="s">
        <v>598</v>
      </c>
      <c r="E218" s="2" t="s">
        <v>599</v>
      </c>
      <c r="F218" s="2" t="s">
        <v>92</v>
      </c>
      <c r="G218" s="2" t="s">
        <v>93</v>
      </c>
      <c r="H218" s="2" t="s">
        <v>94</v>
      </c>
      <c r="I218" s="2" t="s">
        <v>600</v>
      </c>
      <c r="J218" s="2" t="s">
        <v>114</v>
      </c>
      <c r="K218" s="2" t="s">
        <v>130</v>
      </c>
      <c r="L218" s="3">
        <v>19.76</v>
      </c>
      <c r="M218" s="3">
        <v>20.75</v>
      </c>
      <c r="N218" s="3">
        <v>39.99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131</v>
      </c>
      <c r="T218" s="2" t="s">
        <v>103</v>
      </c>
      <c r="U218" s="2" t="s">
        <v>115</v>
      </c>
      <c r="V218" s="2" t="s">
        <v>105</v>
      </c>
      <c r="W218" s="2" t="s">
        <v>106</v>
      </c>
      <c r="X218" s="2" t="s">
        <v>101</v>
      </c>
      <c r="Y218" s="2" t="s">
        <v>349</v>
      </c>
      <c r="Z218" s="4">
        <v>314</v>
      </c>
      <c r="AA218" s="4">
        <f>=ROUNDDOWN(52.3333333333333,0)</f>
      </c>
      <c r="AB218" s="5">
        <v>6</v>
      </c>
      <c r="AC218" s="2" t="s">
        <v>101</v>
      </c>
      <c r="AD218" s="4"/>
      <c r="AE218" s="4"/>
      <c r="AF218" s="6">
        <v>63</v>
      </c>
      <c r="AG218" s="6">
        <v>46</v>
      </c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>
        <v>48</v>
      </c>
      <c r="AQ218" s="8">
        <v>1056</v>
      </c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0.0123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176</v>
      </c>
      <c r="BK218" s="8">
        <v>3650.67</v>
      </c>
      <c r="BL218" s="2" t="s">
        <v>248</v>
      </c>
      <c r="BM218" s="7">
        <v>0.2727</v>
      </c>
      <c r="BN218" s="7">
        <v>0.2893</v>
      </c>
      <c r="BO218" s="4">
        <v>48</v>
      </c>
      <c r="BP218" s="8">
        <v>1056</v>
      </c>
      <c r="BQ218" s="4"/>
      <c r="BR218" s="8"/>
      <c r="BS218" s="7"/>
      <c r="BT218" s="7"/>
      <c r="BU218" s="2" t="s">
        <v>110</v>
      </c>
      <c r="BV218" s="2" t="s">
        <v>98</v>
      </c>
      <c r="BW218" s="2" t="s">
        <v>101</v>
      </c>
      <c r="BX218" s="2" t="s">
        <v>206</v>
      </c>
      <c r="BY218" s="2" t="s">
        <v>112</v>
      </c>
      <c r="BZ218" s="2" t="s">
        <v>112</v>
      </c>
      <c r="CA218" s="2" t="s">
        <v>101</v>
      </c>
    </row>
    <row r="219">
      <c r="A219" s="2" t="s">
        <v>612</v>
      </c>
      <c r="B219" s="2" t="s">
        <v>88</v>
      </c>
      <c r="C219" s="2" t="s">
        <v>89</v>
      </c>
      <c r="D219" s="2" t="s">
        <v>598</v>
      </c>
      <c r="E219" s="2" t="s">
        <v>599</v>
      </c>
      <c r="F219" s="2" t="s">
        <v>92</v>
      </c>
      <c r="G219" s="2" t="s">
        <v>93</v>
      </c>
      <c r="H219" s="2" t="s">
        <v>94</v>
      </c>
      <c r="I219" s="2" t="s">
        <v>600</v>
      </c>
      <c r="J219" s="2" t="s">
        <v>121</v>
      </c>
      <c r="K219" s="2" t="s">
        <v>130</v>
      </c>
      <c r="L219" s="3">
        <v>20.23</v>
      </c>
      <c r="M219" s="3">
        <v>21.24</v>
      </c>
      <c r="N219" s="3">
        <v>42.49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131</v>
      </c>
      <c r="T219" s="2" t="s">
        <v>103</v>
      </c>
      <c r="U219" s="2" t="s">
        <v>115</v>
      </c>
      <c r="V219" s="2" t="s">
        <v>105</v>
      </c>
      <c r="W219" s="2" t="s">
        <v>106</v>
      </c>
      <c r="X219" s="2" t="s">
        <v>101</v>
      </c>
      <c r="Y219" s="2" t="s">
        <v>609</v>
      </c>
      <c r="Z219" s="4">
        <v>1113</v>
      </c>
      <c r="AA219" s="4">
        <f>=ROUNDDOWN(24.84375,0)</f>
      </c>
      <c r="AB219" s="5">
        <v>44.8</v>
      </c>
      <c r="AC219" s="2" t="s">
        <v>101</v>
      </c>
      <c r="AD219" s="4"/>
      <c r="AE219" s="4"/>
      <c r="AF219" s="6">
        <v>63</v>
      </c>
      <c r="AG219" s="6">
        <v>46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>
        <v>806</v>
      </c>
      <c r="AQ219" s="8">
        <v>17415.2</v>
      </c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>
        <v>0.203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2232</v>
      </c>
      <c r="BK219" s="8">
        <v>48520.89</v>
      </c>
      <c r="BL219" s="2" t="s">
        <v>145</v>
      </c>
      <c r="BM219" s="7">
        <v>0.3611</v>
      </c>
      <c r="BN219" s="7">
        <v>0.3589</v>
      </c>
      <c r="BO219" s="4">
        <v>806</v>
      </c>
      <c r="BP219" s="8">
        <v>17415.2</v>
      </c>
      <c r="BQ219" s="4"/>
      <c r="BR219" s="8"/>
      <c r="BS219" s="7"/>
      <c r="BT219" s="7"/>
      <c r="BU219" s="2" t="s">
        <v>110</v>
      </c>
      <c r="BV219" s="2" t="s">
        <v>98</v>
      </c>
      <c r="BW219" s="2" t="s">
        <v>101</v>
      </c>
      <c r="BX219" s="2" t="s">
        <v>133</v>
      </c>
      <c r="BY219" s="2" t="s">
        <v>112</v>
      </c>
      <c r="BZ219" s="2" t="s">
        <v>112</v>
      </c>
      <c r="CA219" s="2" t="s">
        <v>101</v>
      </c>
    </row>
    <row r="220">
      <c r="A220" s="2" t="s">
        <v>613</v>
      </c>
      <c r="B220" s="2" t="s">
        <v>88</v>
      </c>
      <c r="C220" s="2" t="s">
        <v>89</v>
      </c>
      <c r="D220" s="2" t="s">
        <v>598</v>
      </c>
      <c r="E220" s="2" t="s">
        <v>599</v>
      </c>
      <c r="F220" s="2" t="s">
        <v>92</v>
      </c>
      <c r="G220" s="2" t="s">
        <v>93</v>
      </c>
      <c r="H220" s="2" t="s">
        <v>94</v>
      </c>
      <c r="I220" s="2" t="s">
        <v>600</v>
      </c>
      <c r="J220" s="2" t="s">
        <v>123</v>
      </c>
      <c r="K220" s="2" t="s">
        <v>130</v>
      </c>
      <c r="L220" s="3">
        <v>22.61</v>
      </c>
      <c r="M220" s="3">
        <v>23.74</v>
      </c>
      <c r="N220" s="3">
        <v>47.49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131</v>
      </c>
      <c r="T220" s="2" t="s">
        <v>103</v>
      </c>
      <c r="U220" s="2" t="s">
        <v>115</v>
      </c>
      <c r="V220" s="2" t="s">
        <v>105</v>
      </c>
      <c r="W220" s="2" t="s">
        <v>106</v>
      </c>
      <c r="X220" s="2" t="s">
        <v>101</v>
      </c>
      <c r="Y220" s="2" t="s">
        <v>609</v>
      </c>
      <c r="Z220" s="4">
        <v>1189</v>
      </c>
      <c r="AA220" s="4">
        <f>=ROUNDDOWN(21.2701252236136,0)</f>
      </c>
      <c r="AB220" s="5">
        <v>55.9</v>
      </c>
      <c r="AC220" s="2" t="s">
        <v>601</v>
      </c>
      <c r="AD220" s="4">
        <v>200</v>
      </c>
      <c r="AE220" s="4">
        <v>200</v>
      </c>
      <c r="AF220" s="6">
        <v>63</v>
      </c>
      <c r="AG220" s="6">
        <v>46</v>
      </c>
      <c r="AH220" s="7">
        <v>0.8976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>
        <v>2012</v>
      </c>
      <c r="AQ220" s="8">
        <v>49294</v>
      </c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0.5747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 t="s">
        <v>101</v>
      </c>
      <c r="BJ220" s="4">
        <v>3281</v>
      </c>
      <c r="BK220" s="8">
        <v>80497.54</v>
      </c>
      <c r="BL220" s="2" t="s">
        <v>167</v>
      </c>
      <c r="BM220" s="7">
        <v>0.6132</v>
      </c>
      <c r="BN220" s="7">
        <v>0.6124</v>
      </c>
      <c r="BO220" s="4">
        <v>2012</v>
      </c>
      <c r="BP220" s="8">
        <v>49294</v>
      </c>
      <c r="BQ220" s="4"/>
      <c r="BR220" s="8"/>
      <c r="BS220" s="7"/>
      <c r="BT220" s="7"/>
      <c r="BU220" s="2" t="s">
        <v>110</v>
      </c>
      <c r="BV220" s="2" t="s">
        <v>98</v>
      </c>
      <c r="BW220" s="2" t="s">
        <v>101</v>
      </c>
      <c r="BX220" s="2" t="s">
        <v>133</v>
      </c>
      <c r="BY220" s="2" t="s">
        <v>112</v>
      </c>
      <c r="BZ220" s="2" t="s">
        <v>112</v>
      </c>
      <c r="CA220" s="2" t="s">
        <v>101</v>
      </c>
    </row>
    <row r="221">
      <c r="A221" s="2" t="s">
        <v>614</v>
      </c>
      <c r="B221" s="2" t="s">
        <v>88</v>
      </c>
      <c r="C221" s="2" t="s">
        <v>89</v>
      </c>
      <c r="D221" s="2" t="s">
        <v>598</v>
      </c>
      <c r="E221" s="2" t="s">
        <v>599</v>
      </c>
      <c r="F221" s="2" t="s">
        <v>92</v>
      </c>
      <c r="G221" s="2" t="s">
        <v>93</v>
      </c>
      <c r="H221" s="2" t="s">
        <v>94</v>
      </c>
      <c r="I221" s="2" t="s">
        <v>600</v>
      </c>
      <c r="J221" s="2" t="s">
        <v>126</v>
      </c>
      <c r="K221" s="2" t="s">
        <v>130</v>
      </c>
      <c r="L221" s="3">
        <v>23.57</v>
      </c>
      <c r="M221" s="3">
        <v>24.75</v>
      </c>
      <c r="N221" s="3">
        <v>44.99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131</v>
      </c>
      <c r="T221" s="2" t="s">
        <v>103</v>
      </c>
      <c r="U221" s="2" t="s">
        <v>115</v>
      </c>
      <c r="V221" s="2" t="s">
        <v>105</v>
      </c>
      <c r="W221" s="2" t="s">
        <v>106</v>
      </c>
      <c r="X221" s="2" t="s">
        <v>101</v>
      </c>
      <c r="Y221" s="2" t="s">
        <v>349</v>
      </c>
      <c r="Z221" s="4">
        <v>606</v>
      </c>
      <c r="AA221" s="4">
        <f>=ROUNDDOWN(41.2244897959184,0)</f>
      </c>
      <c r="AB221" s="5">
        <v>14.7</v>
      </c>
      <c r="AC221" s="2" t="s">
        <v>101</v>
      </c>
      <c r="AD221" s="4"/>
      <c r="AE221" s="4"/>
      <c r="AF221" s="6">
        <v>63</v>
      </c>
      <c r="AG221" s="6">
        <v>46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>
        <v>82</v>
      </c>
      <c r="AQ221" s="8">
        <v>2009</v>
      </c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>
        <v>0.0234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290</v>
      </c>
      <c r="BK221" s="8">
        <v>8008.97</v>
      </c>
      <c r="BL221" s="2" t="s">
        <v>615</v>
      </c>
      <c r="BM221" s="7">
        <v>0.2828</v>
      </c>
      <c r="BN221" s="7">
        <v>0.2508</v>
      </c>
      <c r="BO221" s="4">
        <v>82</v>
      </c>
      <c r="BP221" s="8">
        <v>2009</v>
      </c>
      <c r="BQ221" s="4"/>
      <c r="BR221" s="8"/>
      <c r="BS221" s="7"/>
      <c r="BT221" s="7"/>
      <c r="BU221" s="2" t="s">
        <v>110</v>
      </c>
      <c r="BV221" s="2" t="s">
        <v>98</v>
      </c>
      <c r="BW221" s="2" t="s">
        <v>101</v>
      </c>
      <c r="BX221" s="2" t="s">
        <v>616</v>
      </c>
      <c r="BY221" s="2" t="s">
        <v>112</v>
      </c>
      <c r="BZ221" s="2" t="s">
        <v>112</v>
      </c>
      <c r="CA221" s="2" t="s">
        <v>101</v>
      </c>
    </row>
    <row r="222">
      <c r="A222" s="2" t="s">
        <v>617</v>
      </c>
      <c r="B222" s="2" t="s">
        <v>88</v>
      </c>
      <c r="C222" s="2" t="s">
        <v>89</v>
      </c>
      <c r="D222" s="2" t="s">
        <v>598</v>
      </c>
      <c r="E222" s="2" t="s">
        <v>599</v>
      </c>
      <c r="F222" s="2" t="s">
        <v>92</v>
      </c>
      <c r="G222" s="2" t="s">
        <v>93</v>
      </c>
      <c r="H222" s="2" t="s">
        <v>94</v>
      </c>
      <c r="I222" s="2" t="s">
        <v>600</v>
      </c>
      <c r="J222" s="2" t="s">
        <v>96</v>
      </c>
      <c r="K222" s="2" t="s">
        <v>143</v>
      </c>
      <c r="L222" s="3">
        <v>15.47</v>
      </c>
      <c r="M222" s="3">
        <v>16.24</v>
      </c>
      <c r="N222" s="3">
        <v>32.49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144</v>
      </c>
      <c r="T222" s="2" t="s">
        <v>103</v>
      </c>
      <c r="U222" s="2" t="s">
        <v>104</v>
      </c>
      <c r="V222" s="2" t="s">
        <v>105</v>
      </c>
      <c r="W222" s="2" t="s">
        <v>106</v>
      </c>
      <c r="X222" s="2" t="s">
        <v>101</v>
      </c>
      <c r="Y222" s="2" t="s">
        <v>124</v>
      </c>
      <c r="Z222" s="4">
        <v>140</v>
      </c>
      <c r="AA222" s="4">
        <f>=ROUNDDOWN(10.2941176470588,0)</f>
      </c>
      <c r="AB222" s="5">
        <v>13.6</v>
      </c>
      <c r="AC222" s="2" t="s">
        <v>601</v>
      </c>
      <c r="AD222" s="4">
        <v>200</v>
      </c>
      <c r="AE222" s="4">
        <v>200</v>
      </c>
      <c r="AF222" s="6">
        <v>63</v>
      </c>
      <c r="AG222" s="6">
        <v>46</v>
      </c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>
        <v>421</v>
      </c>
      <c r="AQ222" s="8">
        <v>7367.5</v>
      </c>
      <c r="AR222" s="4"/>
      <c r="AS222" s="8"/>
      <c r="AT222" s="7"/>
      <c r="AU222" s="7"/>
      <c r="AV222" s="4">
        <v>2920</v>
      </c>
      <c r="AW222" s="8">
        <v>65741.6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>
        <v>0.1121</v>
      </c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>
        <v>0.0937</v>
      </c>
      <c r="BJ222" s="4">
        <v>726</v>
      </c>
      <c r="BK222" s="8">
        <v>12786.39</v>
      </c>
      <c r="BL222" s="2" t="s">
        <v>618</v>
      </c>
      <c r="BM222" s="7">
        <v>0.5799</v>
      </c>
      <c r="BN222" s="7">
        <v>0.5762</v>
      </c>
      <c r="BO222" s="4">
        <v>421</v>
      </c>
      <c r="BP222" s="8">
        <v>7367.5</v>
      </c>
      <c r="BQ222" s="4"/>
      <c r="BR222" s="8"/>
      <c r="BS222" s="7"/>
      <c r="BT222" s="7"/>
      <c r="BU222" s="2" t="s">
        <v>110</v>
      </c>
      <c r="BV222" s="2" t="s">
        <v>98</v>
      </c>
      <c r="BW222" s="2" t="s">
        <v>101</v>
      </c>
      <c r="BX222" s="2" t="s">
        <v>111</v>
      </c>
      <c r="BY222" s="2" t="s">
        <v>112</v>
      </c>
      <c r="BZ222" s="2" t="s">
        <v>112</v>
      </c>
      <c r="CA222" s="2" t="s">
        <v>101</v>
      </c>
    </row>
    <row r="223">
      <c r="A223" s="2" t="s">
        <v>619</v>
      </c>
      <c r="B223" s="2" t="s">
        <v>88</v>
      </c>
      <c r="C223" s="2" t="s">
        <v>89</v>
      </c>
      <c r="D223" s="2" t="s">
        <v>598</v>
      </c>
      <c r="E223" s="2" t="s">
        <v>599</v>
      </c>
      <c r="F223" s="2" t="s">
        <v>92</v>
      </c>
      <c r="G223" s="2" t="s">
        <v>93</v>
      </c>
      <c r="H223" s="2" t="s">
        <v>94</v>
      </c>
      <c r="I223" s="2" t="s">
        <v>600</v>
      </c>
      <c r="J223" s="2" t="s">
        <v>114</v>
      </c>
      <c r="K223" s="2" t="s">
        <v>143</v>
      </c>
      <c r="L223" s="3">
        <v>19.76</v>
      </c>
      <c r="M223" s="3">
        <v>20.75</v>
      </c>
      <c r="N223" s="3">
        <v>39.99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144</v>
      </c>
      <c r="T223" s="2" t="s">
        <v>103</v>
      </c>
      <c r="U223" s="2" t="s">
        <v>115</v>
      </c>
      <c r="V223" s="2" t="s">
        <v>105</v>
      </c>
      <c r="W223" s="2" t="s">
        <v>106</v>
      </c>
      <c r="X223" s="2" t="s">
        <v>101</v>
      </c>
      <c r="Y223" s="2" t="s">
        <v>127</v>
      </c>
      <c r="Z223" s="4">
        <v>333</v>
      </c>
      <c r="AA223" s="4">
        <f>=ROUNDDOWN(48.2608695652174,0)</f>
      </c>
      <c r="AB223" s="5">
        <v>6.9</v>
      </c>
      <c r="AC223" s="2" t="s">
        <v>101</v>
      </c>
      <c r="AD223" s="4"/>
      <c r="AE223" s="4"/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>
        <v>109</v>
      </c>
      <c r="AQ223" s="8">
        <v>2398</v>
      </c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>
        <v>0.0365</v>
      </c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202</v>
      </c>
      <c r="BK223" s="8">
        <v>4412.9</v>
      </c>
      <c r="BL223" s="2" t="s">
        <v>521</v>
      </c>
      <c r="BM223" s="7">
        <v>0.5396</v>
      </c>
      <c r="BN223" s="7">
        <v>0.5434</v>
      </c>
      <c r="BO223" s="4">
        <v>109</v>
      </c>
      <c r="BP223" s="8">
        <v>2398</v>
      </c>
      <c r="BQ223" s="4"/>
      <c r="BR223" s="8"/>
      <c r="BS223" s="7"/>
      <c r="BT223" s="7"/>
      <c r="BU223" s="2" t="s">
        <v>110</v>
      </c>
      <c r="BV223" s="2" t="s">
        <v>98</v>
      </c>
      <c r="BW223" s="2" t="s">
        <v>101</v>
      </c>
      <c r="BX223" s="2" t="s">
        <v>119</v>
      </c>
      <c r="BY223" s="2" t="s">
        <v>112</v>
      </c>
      <c r="BZ223" s="2" t="s">
        <v>112</v>
      </c>
      <c r="CA223" s="2" t="s">
        <v>101</v>
      </c>
    </row>
    <row r="224">
      <c r="A224" s="2" t="s">
        <v>620</v>
      </c>
      <c r="B224" s="2" t="s">
        <v>88</v>
      </c>
      <c r="C224" s="2" t="s">
        <v>89</v>
      </c>
      <c r="D224" s="2" t="s">
        <v>598</v>
      </c>
      <c r="E224" s="2" t="s">
        <v>599</v>
      </c>
      <c r="F224" s="2" t="s">
        <v>92</v>
      </c>
      <c r="G224" s="2" t="s">
        <v>93</v>
      </c>
      <c r="H224" s="2" t="s">
        <v>94</v>
      </c>
      <c r="I224" s="2" t="s">
        <v>600</v>
      </c>
      <c r="J224" s="2" t="s">
        <v>121</v>
      </c>
      <c r="K224" s="2" t="s">
        <v>143</v>
      </c>
      <c r="L224" s="3">
        <v>20.23</v>
      </c>
      <c r="M224" s="3">
        <v>21.24</v>
      </c>
      <c r="N224" s="3">
        <v>42.49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144</v>
      </c>
      <c r="T224" s="2" t="s">
        <v>103</v>
      </c>
      <c r="U224" s="2" t="s">
        <v>115</v>
      </c>
      <c r="V224" s="2" t="s">
        <v>105</v>
      </c>
      <c r="W224" s="2" t="s">
        <v>106</v>
      </c>
      <c r="X224" s="2" t="s">
        <v>101</v>
      </c>
      <c r="Y224" s="2" t="s">
        <v>124</v>
      </c>
      <c r="Z224" s="4">
        <v>593</v>
      </c>
      <c r="AA224" s="4">
        <f>=ROUNDDOWN(15.8981233243968,0)</f>
      </c>
      <c r="AB224" s="5">
        <v>37.3</v>
      </c>
      <c r="AC224" s="2" t="s">
        <v>601</v>
      </c>
      <c r="AD224" s="4">
        <v>100</v>
      </c>
      <c r="AE224" s="4">
        <v>100</v>
      </c>
      <c r="AF224" s="6">
        <v>63</v>
      </c>
      <c r="AG224" s="6">
        <v>46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>
        <v>763</v>
      </c>
      <c r="AQ224" s="8">
        <v>16786</v>
      </c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>
        <v>0.2553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>
        <v>2273</v>
      </c>
      <c r="BK224" s="8">
        <v>49995.19</v>
      </c>
      <c r="BL224" s="2" t="s">
        <v>167</v>
      </c>
      <c r="BM224" s="7">
        <v>0.3357</v>
      </c>
      <c r="BN224" s="7">
        <v>0.3358</v>
      </c>
      <c r="BO224" s="4">
        <v>763</v>
      </c>
      <c r="BP224" s="8">
        <v>16786</v>
      </c>
      <c r="BQ224" s="4"/>
      <c r="BR224" s="8"/>
      <c r="BS224" s="7"/>
      <c r="BT224" s="7"/>
      <c r="BU224" s="2" t="s">
        <v>110</v>
      </c>
      <c r="BV224" s="2" t="s">
        <v>98</v>
      </c>
      <c r="BW224" s="2" t="s">
        <v>101</v>
      </c>
      <c r="BX224" s="2" t="s">
        <v>111</v>
      </c>
      <c r="BY224" s="2" t="s">
        <v>112</v>
      </c>
      <c r="BZ224" s="2" t="s">
        <v>112</v>
      </c>
      <c r="CA224" s="2" t="s">
        <v>101</v>
      </c>
    </row>
    <row r="225">
      <c r="A225" s="2" t="s">
        <v>621</v>
      </c>
      <c r="B225" s="2" t="s">
        <v>88</v>
      </c>
      <c r="C225" s="2" t="s">
        <v>89</v>
      </c>
      <c r="D225" s="2" t="s">
        <v>598</v>
      </c>
      <c r="E225" s="2" t="s">
        <v>599</v>
      </c>
      <c r="F225" s="2" t="s">
        <v>92</v>
      </c>
      <c r="G225" s="2" t="s">
        <v>93</v>
      </c>
      <c r="H225" s="2" t="s">
        <v>94</v>
      </c>
      <c r="I225" s="2" t="s">
        <v>600</v>
      </c>
      <c r="J225" s="2" t="s">
        <v>123</v>
      </c>
      <c r="K225" s="2" t="s">
        <v>143</v>
      </c>
      <c r="L225" s="3">
        <v>22.61</v>
      </c>
      <c r="M225" s="3">
        <v>23.74</v>
      </c>
      <c r="N225" s="3">
        <v>47.49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144</v>
      </c>
      <c r="T225" s="2" t="s">
        <v>103</v>
      </c>
      <c r="U225" s="2" t="s">
        <v>115</v>
      </c>
      <c r="V225" s="2" t="s">
        <v>105</v>
      </c>
      <c r="W225" s="2" t="s">
        <v>106</v>
      </c>
      <c r="X225" s="2" t="s">
        <v>101</v>
      </c>
      <c r="Y225" s="2" t="s">
        <v>124</v>
      </c>
      <c r="Z225" s="4">
        <v>1151</v>
      </c>
      <c r="AA225" s="4">
        <f>=ROUNDDOWN(26.3990825688073,0)</f>
      </c>
      <c r="AB225" s="5">
        <v>43.6</v>
      </c>
      <c r="AC225" s="2" t="s">
        <v>601</v>
      </c>
      <c r="AD225" s="4">
        <v>100</v>
      </c>
      <c r="AE225" s="4">
        <v>100</v>
      </c>
      <c r="AF225" s="6">
        <v>63</v>
      </c>
      <c r="AG225" s="6">
        <v>46</v>
      </c>
      <c r="AH225" s="7">
        <v>0.9762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>
        <v>1413</v>
      </c>
      <c r="AQ225" s="8">
        <v>33947.1</v>
      </c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>
        <v>0.5164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2904</v>
      </c>
      <c r="BK225" s="8">
        <v>71504.99</v>
      </c>
      <c r="BL225" s="2" t="s">
        <v>604</v>
      </c>
      <c r="BM225" s="7">
        <v>0.4866</v>
      </c>
      <c r="BN225" s="7">
        <v>0.4748</v>
      </c>
      <c r="BO225" s="4">
        <v>1413</v>
      </c>
      <c r="BP225" s="8">
        <v>33947.1</v>
      </c>
      <c r="BQ225" s="4"/>
      <c r="BR225" s="8"/>
      <c r="BS225" s="7"/>
      <c r="BT225" s="7"/>
      <c r="BU225" s="2" t="s">
        <v>110</v>
      </c>
      <c r="BV225" s="2" t="s">
        <v>98</v>
      </c>
      <c r="BW225" s="2" t="s">
        <v>101</v>
      </c>
      <c r="BX225" s="2" t="s">
        <v>111</v>
      </c>
      <c r="BY225" s="2" t="s">
        <v>112</v>
      </c>
      <c r="BZ225" s="2" t="s">
        <v>112</v>
      </c>
      <c r="CA225" s="2" t="s">
        <v>101</v>
      </c>
    </row>
    <row r="226">
      <c r="A226" s="2" t="s">
        <v>622</v>
      </c>
      <c r="B226" s="2" t="s">
        <v>88</v>
      </c>
      <c r="C226" s="2" t="s">
        <v>89</v>
      </c>
      <c r="D226" s="2" t="s">
        <v>598</v>
      </c>
      <c r="E226" s="2" t="s">
        <v>599</v>
      </c>
      <c r="F226" s="2" t="s">
        <v>92</v>
      </c>
      <c r="G226" s="2" t="s">
        <v>93</v>
      </c>
      <c r="H226" s="2" t="s">
        <v>94</v>
      </c>
      <c r="I226" s="2" t="s">
        <v>600</v>
      </c>
      <c r="J226" s="2" t="s">
        <v>126</v>
      </c>
      <c r="K226" s="2" t="s">
        <v>143</v>
      </c>
      <c r="L226" s="3">
        <v>23.57</v>
      </c>
      <c r="M226" s="3">
        <v>24.75</v>
      </c>
      <c r="N226" s="3">
        <v>44.99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144</v>
      </c>
      <c r="T226" s="2" t="s">
        <v>103</v>
      </c>
      <c r="U226" s="2" t="s">
        <v>115</v>
      </c>
      <c r="V226" s="2" t="s">
        <v>105</v>
      </c>
      <c r="W226" s="2" t="s">
        <v>106</v>
      </c>
      <c r="X226" s="2" t="s">
        <v>101</v>
      </c>
      <c r="Y226" s="2" t="s">
        <v>116</v>
      </c>
      <c r="Z226" s="4">
        <v>130</v>
      </c>
      <c r="AA226" s="4">
        <f>=ROUNDDOWN(10.15625,0)</f>
      </c>
      <c r="AB226" s="5">
        <v>12.8</v>
      </c>
      <c r="AC226" s="2" t="s">
        <v>601</v>
      </c>
      <c r="AD226" s="4">
        <v>80</v>
      </c>
      <c r="AE226" s="4">
        <v>80</v>
      </c>
      <c r="AF226" s="6">
        <v>63</v>
      </c>
      <c r="AG226" s="6">
        <v>46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>
        <v>214</v>
      </c>
      <c r="AQ226" s="8">
        <v>5243</v>
      </c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>
        <v>0.0798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 t="s">
        <v>101</v>
      </c>
      <c r="BJ226" s="4">
        <v>344</v>
      </c>
      <c r="BK226" s="8">
        <v>9061.3</v>
      </c>
      <c r="BL226" s="2" t="s">
        <v>176</v>
      </c>
      <c r="BM226" s="7">
        <v>0.6221</v>
      </c>
      <c r="BN226" s="7">
        <v>0.5786</v>
      </c>
      <c r="BO226" s="4">
        <v>214</v>
      </c>
      <c r="BP226" s="8">
        <v>5243</v>
      </c>
      <c r="BQ226" s="4"/>
      <c r="BR226" s="8"/>
      <c r="BS226" s="7"/>
      <c r="BT226" s="7"/>
      <c r="BU226" s="2" t="s">
        <v>110</v>
      </c>
      <c r="BV226" s="2" t="s">
        <v>98</v>
      </c>
      <c r="BW226" s="2" t="s">
        <v>101</v>
      </c>
      <c r="BX226" s="2" t="s">
        <v>119</v>
      </c>
      <c r="BY226" s="2" t="s">
        <v>112</v>
      </c>
      <c r="BZ226" s="2" t="s">
        <v>112</v>
      </c>
      <c r="CA226" s="2" t="s">
        <v>101</v>
      </c>
    </row>
    <row r="227">
      <c r="A227" s="2" t="s">
        <v>623</v>
      </c>
      <c r="B227" s="2" t="s">
        <v>88</v>
      </c>
      <c r="C227" s="2" t="s">
        <v>89</v>
      </c>
      <c r="D227" s="2" t="s">
        <v>598</v>
      </c>
      <c r="E227" s="2" t="s">
        <v>599</v>
      </c>
      <c r="F227" s="2" t="s">
        <v>92</v>
      </c>
      <c r="G227" s="2" t="s">
        <v>93</v>
      </c>
      <c r="H227" s="2" t="s">
        <v>94</v>
      </c>
      <c r="I227" s="2" t="s">
        <v>600</v>
      </c>
      <c r="J227" s="2" t="s">
        <v>96</v>
      </c>
      <c r="K227" s="2" t="s">
        <v>153</v>
      </c>
      <c r="L227" s="3">
        <v>15.47</v>
      </c>
      <c r="M227" s="3">
        <v>16.24</v>
      </c>
      <c r="N227" s="3">
        <v>32.49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154</v>
      </c>
      <c r="T227" s="2" t="s">
        <v>103</v>
      </c>
      <c r="U227" s="2" t="s">
        <v>104</v>
      </c>
      <c r="V227" s="2" t="s">
        <v>105</v>
      </c>
      <c r="W227" s="2" t="s">
        <v>106</v>
      </c>
      <c r="X227" s="2" t="s">
        <v>101</v>
      </c>
      <c r="Y227" s="2" t="s">
        <v>107</v>
      </c>
      <c r="Z227" s="4">
        <v>114</v>
      </c>
      <c r="AA227" s="4">
        <f>=ROUNDDOWN(11.0679611650485,0)</f>
      </c>
      <c r="AB227" s="5">
        <v>10.3</v>
      </c>
      <c r="AC227" s="2" t="s">
        <v>601</v>
      </c>
      <c r="AD227" s="4">
        <v>200</v>
      </c>
      <c r="AE227" s="4">
        <v>200</v>
      </c>
      <c r="AF227" s="6">
        <v>63</v>
      </c>
      <c r="AG227" s="6">
        <v>46</v>
      </c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>
        <v>298</v>
      </c>
      <c r="AQ227" s="8">
        <v>5215</v>
      </c>
      <c r="AR227" s="4"/>
      <c r="AS227" s="8"/>
      <c r="AT227" s="7"/>
      <c r="AU227" s="7"/>
      <c r="AV227" s="4">
        <v>1863</v>
      </c>
      <c r="AW227" s="8">
        <v>41542.7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0.1255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>
        <v>0.0592</v>
      </c>
      <c r="BJ227" s="4">
        <v>515</v>
      </c>
      <c r="BK227" s="8">
        <v>8856.9</v>
      </c>
      <c r="BL227" s="2" t="s">
        <v>167</v>
      </c>
      <c r="BM227" s="7">
        <v>0.5786</v>
      </c>
      <c r="BN227" s="7">
        <v>0.5888</v>
      </c>
      <c r="BO227" s="4">
        <v>298</v>
      </c>
      <c r="BP227" s="8">
        <v>5215</v>
      </c>
      <c r="BQ227" s="4"/>
      <c r="BR227" s="8"/>
      <c r="BS227" s="7"/>
      <c r="BT227" s="7"/>
      <c r="BU227" s="2" t="s">
        <v>110</v>
      </c>
      <c r="BV227" s="2" t="s">
        <v>98</v>
      </c>
      <c r="BW227" s="2" t="s">
        <v>101</v>
      </c>
      <c r="BX227" s="2" t="s">
        <v>111</v>
      </c>
      <c r="BY227" s="2" t="s">
        <v>112</v>
      </c>
      <c r="BZ227" s="2" t="s">
        <v>112</v>
      </c>
      <c r="CA227" s="2" t="s">
        <v>101</v>
      </c>
    </row>
    <row r="228">
      <c r="A228" s="2" t="s">
        <v>624</v>
      </c>
      <c r="B228" s="2" t="s">
        <v>88</v>
      </c>
      <c r="C228" s="2" t="s">
        <v>89</v>
      </c>
      <c r="D228" s="2" t="s">
        <v>598</v>
      </c>
      <c r="E228" s="2" t="s">
        <v>599</v>
      </c>
      <c r="F228" s="2" t="s">
        <v>92</v>
      </c>
      <c r="G228" s="2" t="s">
        <v>93</v>
      </c>
      <c r="H228" s="2" t="s">
        <v>94</v>
      </c>
      <c r="I228" s="2" t="s">
        <v>600</v>
      </c>
      <c r="J228" s="2" t="s">
        <v>114</v>
      </c>
      <c r="K228" s="2" t="s">
        <v>153</v>
      </c>
      <c r="L228" s="3">
        <v>19.76</v>
      </c>
      <c r="M228" s="3">
        <v>20.75</v>
      </c>
      <c r="N228" s="3">
        <v>39.99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154</v>
      </c>
      <c r="T228" s="2" t="s">
        <v>103</v>
      </c>
      <c r="U228" s="2" t="s">
        <v>115</v>
      </c>
      <c r="V228" s="2" t="s">
        <v>105</v>
      </c>
      <c r="W228" s="2" t="s">
        <v>106</v>
      </c>
      <c r="X228" s="2" t="s">
        <v>101</v>
      </c>
      <c r="Y228" s="2" t="s">
        <v>127</v>
      </c>
      <c r="Z228" s="4">
        <v>123</v>
      </c>
      <c r="AA228" s="4">
        <f>=ROUNDDOWN(34.1666666666667,0)</f>
      </c>
      <c r="AB228" s="5">
        <v>3.6</v>
      </c>
      <c r="AC228" s="2" t="s">
        <v>601</v>
      </c>
      <c r="AD228" s="4">
        <v>200</v>
      </c>
      <c r="AE228" s="4">
        <v>200</v>
      </c>
      <c r="AF228" s="6">
        <v>63</v>
      </c>
      <c r="AG228" s="6">
        <v>46</v>
      </c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>
        <v>103</v>
      </c>
      <c r="AQ228" s="8">
        <v>2266</v>
      </c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>
        <v>0.0545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 t="s">
        <v>101</v>
      </c>
      <c r="BJ228" s="4">
        <v>194</v>
      </c>
      <c r="BK228" s="8">
        <v>4195.15</v>
      </c>
      <c r="BL228" s="2" t="s">
        <v>625</v>
      </c>
      <c r="BM228" s="7">
        <v>0.5309</v>
      </c>
      <c r="BN228" s="7">
        <v>0.5401</v>
      </c>
      <c r="BO228" s="4">
        <v>103</v>
      </c>
      <c r="BP228" s="8">
        <v>2266</v>
      </c>
      <c r="BQ228" s="4"/>
      <c r="BR228" s="8"/>
      <c r="BS228" s="7"/>
      <c r="BT228" s="7"/>
      <c r="BU228" s="2" t="s">
        <v>110</v>
      </c>
      <c r="BV228" s="2" t="s">
        <v>98</v>
      </c>
      <c r="BW228" s="2" t="s">
        <v>101</v>
      </c>
      <c r="BX228" s="2" t="s">
        <v>119</v>
      </c>
      <c r="BY228" s="2" t="s">
        <v>112</v>
      </c>
      <c r="BZ228" s="2" t="s">
        <v>112</v>
      </c>
      <c r="CA228" s="2" t="s">
        <v>101</v>
      </c>
    </row>
    <row r="229">
      <c r="A229" s="2" t="s">
        <v>626</v>
      </c>
      <c r="B229" s="2" t="s">
        <v>88</v>
      </c>
      <c r="C229" s="2" t="s">
        <v>89</v>
      </c>
      <c r="D229" s="2" t="s">
        <v>598</v>
      </c>
      <c r="E229" s="2" t="s">
        <v>599</v>
      </c>
      <c r="F229" s="2" t="s">
        <v>92</v>
      </c>
      <c r="G229" s="2" t="s">
        <v>93</v>
      </c>
      <c r="H229" s="2" t="s">
        <v>94</v>
      </c>
      <c r="I229" s="2" t="s">
        <v>600</v>
      </c>
      <c r="J229" s="2" t="s">
        <v>121</v>
      </c>
      <c r="K229" s="2" t="s">
        <v>153</v>
      </c>
      <c r="L229" s="3">
        <v>20.23</v>
      </c>
      <c r="M229" s="3">
        <v>21.24</v>
      </c>
      <c r="N229" s="3">
        <v>42.49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154</v>
      </c>
      <c r="T229" s="2" t="s">
        <v>103</v>
      </c>
      <c r="U229" s="2" t="s">
        <v>115</v>
      </c>
      <c r="V229" s="2" t="s">
        <v>105</v>
      </c>
      <c r="W229" s="2" t="s">
        <v>106</v>
      </c>
      <c r="X229" s="2" t="s">
        <v>101</v>
      </c>
      <c r="Y229" s="2" t="s">
        <v>107</v>
      </c>
      <c r="Z229" s="4">
        <v>843</v>
      </c>
      <c r="AA229" s="4">
        <f>=ROUNDDOWN(25.5454545454545,0)</f>
      </c>
      <c r="AB229" s="5">
        <v>33</v>
      </c>
      <c r="AC229" s="2" t="s">
        <v>101</v>
      </c>
      <c r="AD229" s="4"/>
      <c r="AE229" s="4"/>
      <c r="AF229" s="6">
        <v>63</v>
      </c>
      <c r="AG229" s="6">
        <v>46</v>
      </c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>
        <v>541</v>
      </c>
      <c r="AQ229" s="8">
        <v>11497.2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0.2768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1683</v>
      </c>
      <c r="BK229" s="8">
        <v>36097.24</v>
      </c>
      <c r="BL229" s="2" t="s">
        <v>604</v>
      </c>
      <c r="BM229" s="7">
        <v>0.3214</v>
      </c>
      <c r="BN229" s="7">
        <v>0.3185</v>
      </c>
      <c r="BO229" s="4">
        <v>541</v>
      </c>
      <c r="BP229" s="8">
        <v>11497.2</v>
      </c>
      <c r="BQ229" s="4"/>
      <c r="BR229" s="8"/>
      <c r="BS229" s="7"/>
      <c r="BT229" s="7"/>
      <c r="BU229" s="2" t="s">
        <v>110</v>
      </c>
      <c r="BV229" s="2" t="s">
        <v>98</v>
      </c>
      <c r="BW229" s="2" t="s">
        <v>101</v>
      </c>
      <c r="BX229" s="2" t="s">
        <v>111</v>
      </c>
      <c r="BY229" s="2" t="s">
        <v>112</v>
      </c>
      <c r="BZ229" s="2" t="s">
        <v>112</v>
      </c>
      <c r="CA229" s="2" t="s">
        <v>101</v>
      </c>
    </row>
    <row r="230">
      <c r="A230" s="2" t="s">
        <v>627</v>
      </c>
      <c r="B230" s="2" t="s">
        <v>88</v>
      </c>
      <c r="C230" s="2" t="s">
        <v>89</v>
      </c>
      <c r="D230" s="2" t="s">
        <v>598</v>
      </c>
      <c r="E230" s="2" t="s">
        <v>599</v>
      </c>
      <c r="F230" s="2" t="s">
        <v>92</v>
      </c>
      <c r="G230" s="2" t="s">
        <v>93</v>
      </c>
      <c r="H230" s="2" t="s">
        <v>94</v>
      </c>
      <c r="I230" s="2" t="s">
        <v>600</v>
      </c>
      <c r="J230" s="2" t="s">
        <v>123</v>
      </c>
      <c r="K230" s="2" t="s">
        <v>153</v>
      </c>
      <c r="L230" s="3">
        <v>22.61</v>
      </c>
      <c r="M230" s="3">
        <v>23.74</v>
      </c>
      <c r="N230" s="3">
        <v>47.49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154</v>
      </c>
      <c r="T230" s="2" t="s">
        <v>103</v>
      </c>
      <c r="U230" s="2" t="s">
        <v>115</v>
      </c>
      <c r="V230" s="2" t="s">
        <v>105</v>
      </c>
      <c r="W230" s="2" t="s">
        <v>106</v>
      </c>
      <c r="X230" s="2" t="s">
        <v>101</v>
      </c>
      <c r="Y230" s="2" t="s">
        <v>124</v>
      </c>
      <c r="Z230" s="4">
        <v>1144</v>
      </c>
      <c r="AA230" s="4">
        <f>=ROUNDDOWN(29.6373056994819,0)</f>
      </c>
      <c r="AB230" s="5">
        <v>38.6</v>
      </c>
      <c r="AC230" s="2" t="s">
        <v>601</v>
      </c>
      <c r="AD230" s="4">
        <v>200</v>
      </c>
      <c r="AE230" s="4">
        <v>200</v>
      </c>
      <c r="AF230" s="6">
        <v>63</v>
      </c>
      <c r="AG230" s="6">
        <v>46</v>
      </c>
      <c r="AH230" s="7">
        <v>0.9452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>
        <v>746</v>
      </c>
      <c r="AQ230" s="8">
        <v>18277</v>
      </c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>
        <v>0.44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 t="s">
        <v>101</v>
      </c>
      <c r="BJ230" s="4">
        <v>1927</v>
      </c>
      <c r="BK230" s="8">
        <v>46806.08</v>
      </c>
      <c r="BL230" s="2" t="s">
        <v>167</v>
      </c>
      <c r="BM230" s="7">
        <v>0.3871</v>
      </c>
      <c r="BN230" s="7">
        <v>0.3905</v>
      </c>
      <c r="BO230" s="4">
        <v>746</v>
      </c>
      <c r="BP230" s="8">
        <v>18277</v>
      </c>
      <c r="BQ230" s="4"/>
      <c r="BR230" s="8"/>
      <c r="BS230" s="7"/>
      <c r="BT230" s="7"/>
      <c r="BU230" s="2" t="s">
        <v>110</v>
      </c>
      <c r="BV230" s="2" t="s">
        <v>98</v>
      </c>
      <c r="BW230" s="2" t="s">
        <v>101</v>
      </c>
      <c r="BX230" s="2" t="s">
        <v>111</v>
      </c>
      <c r="BY230" s="2" t="s">
        <v>112</v>
      </c>
      <c r="BZ230" s="2" t="s">
        <v>112</v>
      </c>
      <c r="CA230" s="2" t="s">
        <v>101</v>
      </c>
    </row>
    <row r="231">
      <c r="A231" s="2" t="s">
        <v>628</v>
      </c>
      <c r="B231" s="2" t="s">
        <v>88</v>
      </c>
      <c r="C231" s="2" t="s">
        <v>89</v>
      </c>
      <c r="D231" s="2" t="s">
        <v>598</v>
      </c>
      <c r="E231" s="2" t="s">
        <v>599</v>
      </c>
      <c r="F231" s="2" t="s">
        <v>92</v>
      </c>
      <c r="G231" s="2" t="s">
        <v>93</v>
      </c>
      <c r="H231" s="2" t="s">
        <v>94</v>
      </c>
      <c r="I231" s="2" t="s">
        <v>600</v>
      </c>
      <c r="J231" s="2" t="s">
        <v>126</v>
      </c>
      <c r="K231" s="2" t="s">
        <v>153</v>
      </c>
      <c r="L231" s="3">
        <v>23.57</v>
      </c>
      <c r="M231" s="3">
        <v>24.75</v>
      </c>
      <c r="N231" s="3">
        <v>44.99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154</v>
      </c>
      <c r="T231" s="2" t="s">
        <v>103</v>
      </c>
      <c r="U231" s="2" t="s">
        <v>115</v>
      </c>
      <c r="V231" s="2" t="s">
        <v>105</v>
      </c>
      <c r="W231" s="2" t="s">
        <v>106</v>
      </c>
      <c r="X231" s="2" t="s">
        <v>101</v>
      </c>
      <c r="Y231" s="2" t="s">
        <v>116</v>
      </c>
      <c r="Z231" s="4">
        <v>535</v>
      </c>
      <c r="AA231" s="4">
        <f>=ROUNDDOWN(45.7264957264957,0)</f>
      </c>
      <c r="AB231" s="5">
        <v>11.7</v>
      </c>
      <c r="AC231" s="2" t="s">
        <v>601</v>
      </c>
      <c r="AD231" s="4">
        <v>336</v>
      </c>
      <c r="AE231" s="4">
        <v>336</v>
      </c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>
        <v>175</v>
      </c>
      <c r="AQ231" s="8">
        <v>4287.5</v>
      </c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>
        <v>0.1032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303</v>
      </c>
      <c r="BK231" s="8">
        <v>8018.73</v>
      </c>
      <c r="BL231" s="2" t="s">
        <v>615</v>
      </c>
      <c r="BM231" s="7">
        <v>0.5776</v>
      </c>
      <c r="BN231" s="7">
        <v>0.5347</v>
      </c>
      <c r="BO231" s="4">
        <v>175</v>
      </c>
      <c r="BP231" s="8">
        <v>4287.5</v>
      </c>
      <c r="BQ231" s="4"/>
      <c r="BR231" s="8"/>
      <c r="BS231" s="7"/>
      <c r="BT231" s="7"/>
      <c r="BU231" s="2" t="s">
        <v>110</v>
      </c>
      <c r="BV231" s="2" t="s">
        <v>98</v>
      </c>
      <c r="BW231" s="2" t="s">
        <v>101</v>
      </c>
      <c r="BX231" s="2" t="s">
        <v>119</v>
      </c>
      <c r="BY231" s="2" t="s">
        <v>112</v>
      </c>
      <c r="BZ231" s="2" t="s">
        <v>112</v>
      </c>
      <c r="CA231" s="2" t="s">
        <v>101</v>
      </c>
    </row>
    <row r="232">
      <c r="A232" s="2" t="s">
        <v>629</v>
      </c>
      <c r="B232" s="2" t="s">
        <v>88</v>
      </c>
      <c r="C232" s="2" t="s">
        <v>89</v>
      </c>
      <c r="D232" s="2" t="s">
        <v>598</v>
      </c>
      <c r="E232" s="2" t="s">
        <v>599</v>
      </c>
      <c r="F232" s="2" t="s">
        <v>92</v>
      </c>
      <c r="G232" s="2" t="s">
        <v>93</v>
      </c>
      <c r="H232" s="2" t="s">
        <v>94</v>
      </c>
      <c r="I232" s="2" t="s">
        <v>600</v>
      </c>
      <c r="J232" s="2" t="s">
        <v>96</v>
      </c>
      <c r="K232" s="2" t="s">
        <v>198</v>
      </c>
      <c r="L232" s="3">
        <v>15.47</v>
      </c>
      <c r="M232" s="3">
        <v>16.24</v>
      </c>
      <c r="N232" s="3">
        <v>29.99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199</v>
      </c>
      <c r="T232" s="2" t="s">
        <v>103</v>
      </c>
      <c r="U232" s="2" t="s">
        <v>104</v>
      </c>
      <c r="V232" s="2" t="s">
        <v>105</v>
      </c>
      <c r="W232" s="2" t="s">
        <v>106</v>
      </c>
      <c r="X232" s="2" t="s">
        <v>101</v>
      </c>
      <c r="Y232" s="2" t="s">
        <v>241</v>
      </c>
      <c r="Z232" s="4">
        <v>3</v>
      </c>
      <c r="AA232" s="4">
        <f>=ROUNDDOWN({0},0)</f>
      </c>
      <c r="AB232" s="5"/>
      <c r="AC232" s="2" t="s">
        <v>166</v>
      </c>
      <c r="AD232" s="4">
        <v>32</v>
      </c>
      <c r="AE232" s="4">
        <v>132</v>
      </c>
      <c r="AF232" s="6">
        <v>63</v>
      </c>
      <c r="AG232" s="6">
        <v>46</v>
      </c>
      <c r="AH232" s="7">
        <v>0.9267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>
        <v>76</v>
      </c>
      <c r="AQ232" s="8">
        <v>1330</v>
      </c>
      <c r="AR232" s="4"/>
      <c r="AS232" s="8"/>
      <c r="AT232" s="7"/>
      <c r="AU232" s="7"/>
      <c r="AV232" s="4">
        <v>1482</v>
      </c>
      <c r="AW232" s="8">
        <v>33852.15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>
        <v>0.0393</v>
      </c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0.0482</v>
      </c>
      <c r="BJ232" s="4">
        <v>190</v>
      </c>
      <c r="BK232" s="8">
        <v>3300.43</v>
      </c>
      <c r="BL232" s="2" t="s">
        <v>167</v>
      </c>
      <c r="BM232" s="7">
        <v>0.4</v>
      </c>
      <c r="BN232" s="7">
        <v>0.403</v>
      </c>
      <c r="BO232" s="4">
        <v>76</v>
      </c>
      <c r="BP232" s="8">
        <v>1330</v>
      </c>
      <c r="BQ232" s="4"/>
      <c r="BR232" s="8"/>
      <c r="BS232" s="7"/>
      <c r="BT232" s="7"/>
      <c r="BU232" s="2" t="s">
        <v>110</v>
      </c>
      <c r="BV232" s="2" t="s">
        <v>98</v>
      </c>
      <c r="BW232" s="2" t="s">
        <v>101</v>
      </c>
      <c r="BX232" s="2" t="s">
        <v>119</v>
      </c>
      <c r="BY232" s="2" t="s">
        <v>112</v>
      </c>
      <c r="BZ232" s="2" t="s">
        <v>112</v>
      </c>
      <c r="CA232" s="2" t="s">
        <v>101</v>
      </c>
    </row>
    <row r="233">
      <c r="A233" s="2" t="s">
        <v>630</v>
      </c>
      <c r="B233" s="2" t="s">
        <v>88</v>
      </c>
      <c r="C233" s="2" t="s">
        <v>89</v>
      </c>
      <c r="D233" s="2" t="s">
        <v>598</v>
      </c>
      <c r="E233" s="2" t="s">
        <v>599</v>
      </c>
      <c r="F233" s="2" t="s">
        <v>92</v>
      </c>
      <c r="G233" s="2" t="s">
        <v>93</v>
      </c>
      <c r="H233" s="2" t="s">
        <v>94</v>
      </c>
      <c r="I233" s="2" t="s">
        <v>600</v>
      </c>
      <c r="J233" s="2" t="s">
        <v>114</v>
      </c>
      <c r="K233" s="2" t="s">
        <v>198</v>
      </c>
      <c r="L233" s="3">
        <v>19.76</v>
      </c>
      <c r="M233" s="3">
        <v>20.75</v>
      </c>
      <c r="N233" s="3">
        <v>39.99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199</v>
      </c>
      <c r="T233" s="2" t="s">
        <v>103</v>
      </c>
      <c r="U233" s="2" t="s">
        <v>115</v>
      </c>
      <c r="V233" s="2" t="s">
        <v>105</v>
      </c>
      <c r="W233" s="2" t="s">
        <v>106</v>
      </c>
      <c r="X233" s="2" t="s">
        <v>101</v>
      </c>
      <c r="Y233" s="2" t="s">
        <v>170</v>
      </c>
      <c r="Z233" s="4">
        <v>15</v>
      </c>
      <c r="AA233" s="4">
        <f>=ROUNDDOWN(1.94805194805195,0)</f>
      </c>
      <c r="AB233" s="5">
        <v>7.7</v>
      </c>
      <c r="AC233" s="2" t="s">
        <v>117</v>
      </c>
      <c r="AD233" s="4">
        <v>80</v>
      </c>
      <c r="AE233" s="4">
        <v>80</v>
      </c>
      <c r="AF233" s="6">
        <v>63</v>
      </c>
      <c r="AG233" s="6">
        <v>46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>
        <v>40</v>
      </c>
      <c r="AQ233" s="8">
        <v>880</v>
      </c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>
        <v>0.026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 t="s">
        <v>101</v>
      </c>
      <c r="BJ233" s="4">
        <v>181</v>
      </c>
      <c r="BK233" s="8">
        <v>3890.31</v>
      </c>
      <c r="BL233" s="2" t="s">
        <v>176</v>
      </c>
      <c r="BM233" s="7">
        <v>0.221</v>
      </c>
      <c r="BN233" s="7">
        <v>0.2262</v>
      </c>
      <c r="BO233" s="4">
        <v>40</v>
      </c>
      <c r="BP233" s="8">
        <v>880</v>
      </c>
      <c r="BQ233" s="4"/>
      <c r="BR233" s="8"/>
      <c r="BS233" s="7"/>
      <c r="BT233" s="7"/>
      <c r="BU233" s="2" t="s">
        <v>110</v>
      </c>
      <c r="BV233" s="2" t="s">
        <v>98</v>
      </c>
      <c r="BW233" s="2" t="s">
        <v>101</v>
      </c>
      <c r="BX233" s="2" t="s">
        <v>206</v>
      </c>
      <c r="BY233" s="2" t="s">
        <v>112</v>
      </c>
      <c r="BZ233" s="2" t="s">
        <v>112</v>
      </c>
      <c r="CA233" s="2" t="s">
        <v>101</v>
      </c>
    </row>
    <row r="234">
      <c r="A234" s="2" t="s">
        <v>631</v>
      </c>
      <c r="B234" s="2" t="s">
        <v>88</v>
      </c>
      <c r="C234" s="2" t="s">
        <v>89</v>
      </c>
      <c r="D234" s="2" t="s">
        <v>598</v>
      </c>
      <c r="E234" s="2" t="s">
        <v>599</v>
      </c>
      <c r="F234" s="2" t="s">
        <v>92</v>
      </c>
      <c r="G234" s="2" t="s">
        <v>93</v>
      </c>
      <c r="H234" s="2" t="s">
        <v>94</v>
      </c>
      <c r="I234" s="2" t="s">
        <v>600</v>
      </c>
      <c r="J234" s="2" t="s">
        <v>121</v>
      </c>
      <c r="K234" s="2" t="s">
        <v>198</v>
      </c>
      <c r="L234" s="3">
        <v>20.23</v>
      </c>
      <c r="M234" s="3">
        <v>21.24</v>
      </c>
      <c r="N234" s="3">
        <v>39.99</v>
      </c>
      <c r="O234" s="2" t="s">
        <v>98</v>
      </c>
      <c r="P234" s="2" t="s">
        <v>99</v>
      </c>
      <c r="Q234" s="2" t="s">
        <v>100</v>
      </c>
      <c r="R234" s="2" t="s">
        <v>101</v>
      </c>
      <c r="S234" s="2" t="s">
        <v>199</v>
      </c>
      <c r="T234" s="2" t="s">
        <v>103</v>
      </c>
      <c r="U234" s="2" t="s">
        <v>115</v>
      </c>
      <c r="V234" s="2" t="s">
        <v>105</v>
      </c>
      <c r="W234" s="2" t="s">
        <v>106</v>
      </c>
      <c r="X234" s="2" t="s">
        <v>101</v>
      </c>
      <c r="Y234" s="2" t="s">
        <v>241</v>
      </c>
      <c r="Z234" s="4">
        <v>3</v>
      </c>
      <c r="AA234" s="4">
        <f>=ROUNDDOWN(0.118577075098814,0)</f>
      </c>
      <c r="AB234" s="5">
        <v>25.3</v>
      </c>
      <c r="AC234" s="2" t="s">
        <v>166</v>
      </c>
      <c r="AD234" s="4">
        <v>192</v>
      </c>
      <c r="AE234" s="4">
        <v>712</v>
      </c>
      <c r="AF234" s="6">
        <v>63</v>
      </c>
      <c r="AG234" s="6">
        <v>46</v>
      </c>
      <c r="AH234" s="7">
        <v>0.6126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>
        <v>699</v>
      </c>
      <c r="AQ234" s="8">
        <v>15378</v>
      </c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>
        <v>0.4543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 t="s">
        <v>101</v>
      </c>
      <c r="BJ234" s="4">
        <v>1076</v>
      </c>
      <c r="BK234" s="8">
        <v>23691.6</v>
      </c>
      <c r="BL234" s="2" t="s">
        <v>167</v>
      </c>
      <c r="BM234" s="7">
        <v>0.6496</v>
      </c>
      <c r="BN234" s="7">
        <v>0.6491</v>
      </c>
      <c r="BO234" s="4">
        <v>699</v>
      </c>
      <c r="BP234" s="8">
        <v>15378</v>
      </c>
      <c r="BQ234" s="4"/>
      <c r="BR234" s="8"/>
      <c r="BS234" s="7"/>
      <c r="BT234" s="7"/>
      <c r="BU234" s="2" t="s">
        <v>110</v>
      </c>
      <c r="BV234" s="2" t="s">
        <v>98</v>
      </c>
      <c r="BW234" s="2" t="s">
        <v>101</v>
      </c>
      <c r="BX234" s="2" t="s">
        <v>119</v>
      </c>
      <c r="BY234" s="2" t="s">
        <v>112</v>
      </c>
      <c r="BZ234" s="2" t="s">
        <v>112</v>
      </c>
      <c r="CA234" s="2" t="s">
        <v>101</v>
      </c>
    </row>
    <row r="235">
      <c r="A235" s="2" t="s">
        <v>632</v>
      </c>
      <c r="B235" s="2" t="s">
        <v>88</v>
      </c>
      <c r="C235" s="2" t="s">
        <v>89</v>
      </c>
      <c r="D235" s="2" t="s">
        <v>598</v>
      </c>
      <c r="E235" s="2" t="s">
        <v>599</v>
      </c>
      <c r="F235" s="2" t="s">
        <v>92</v>
      </c>
      <c r="G235" s="2" t="s">
        <v>93</v>
      </c>
      <c r="H235" s="2" t="s">
        <v>94</v>
      </c>
      <c r="I235" s="2" t="s">
        <v>600</v>
      </c>
      <c r="J235" s="2" t="s">
        <v>123</v>
      </c>
      <c r="K235" s="2" t="s">
        <v>198</v>
      </c>
      <c r="L235" s="3">
        <v>22.61</v>
      </c>
      <c r="M235" s="3">
        <v>23.74</v>
      </c>
      <c r="N235" s="3">
        <v>44.99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199</v>
      </c>
      <c r="T235" s="2" t="s">
        <v>103</v>
      </c>
      <c r="U235" s="2" t="s">
        <v>115</v>
      </c>
      <c r="V235" s="2" t="s">
        <v>105</v>
      </c>
      <c r="W235" s="2" t="s">
        <v>106</v>
      </c>
      <c r="X235" s="2" t="s">
        <v>101</v>
      </c>
      <c r="Y235" s="2" t="s">
        <v>241</v>
      </c>
      <c r="Z235" s="4">
        <v>1</v>
      </c>
      <c r="AA235" s="4">
        <f>=ROUNDDOWN(0.0442477876106195,0)</f>
      </c>
      <c r="AB235" s="5">
        <v>22.6</v>
      </c>
      <c r="AC235" s="2" t="s">
        <v>166</v>
      </c>
      <c r="AD235" s="4">
        <v>240</v>
      </c>
      <c r="AE235" s="4">
        <v>680</v>
      </c>
      <c r="AF235" s="6">
        <v>63</v>
      </c>
      <c r="AG235" s="6">
        <v>46</v>
      </c>
      <c r="AH235" s="7">
        <v>0.6126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>
        <v>595</v>
      </c>
      <c r="AQ235" s="8">
        <v>14500.15</v>
      </c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>
        <v>0.4283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863</v>
      </c>
      <c r="BK235" s="8">
        <v>21039.27</v>
      </c>
      <c r="BL235" s="2" t="s">
        <v>167</v>
      </c>
      <c r="BM235" s="7">
        <v>0.6895</v>
      </c>
      <c r="BN235" s="7">
        <v>0.6892</v>
      </c>
      <c r="BO235" s="4">
        <v>595</v>
      </c>
      <c r="BP235" s="8">
        <v>14500.15</v>
      </c>
      <c r="BQ235" s="4"/>
      <c r="BR235" s="8"/>
      <c r="BS235" s="7"/>
      <c r="BT235" s="7"/>
      <c r="BU235" s="2" t="s">
        <v>110</v>
      </c>
      <c r="BV235" s="2" t="s">
        <v>98</v>
      </c>
      <c r="BW235" s="2" t="s">
        <v>101</v>
      </c>
      <c r="BX235" s="2" t="s">
        <v>119</v>
      </c>
      <c r="BY235" s="2" t="s">
        <v>112</v>
      </c>
      <c r="BZ235" s="2" t="s">
        <v>112</v>
      </c>
      <c r="CA235" s="2" t="s">
        <v>101</v>
      </c>
    </row>
    <row r="236">
      <c r="A236" s="2" t="s">
        <v>633</v>
      </c>
      <c r="B236" s="2" t="s">
        <v>88</v>
      </c>
      <c r="C236" s="2" t="s">
        <v>89</v>
      </c>
      <c r="D236" s="2" t="s">
        <v>598</v>
      </c>
      <c r="E236" s="2" t="s">
        <v>599</v>
      </c>
      <c r="F236" s="2" t="s">
        <v>92</v>
      </c>
      <c r="G236" s="2" t="s">
        <v>93</v>
      </c>
      <c r="H236" s="2" t="s">
        <v>94</v>
      </c>
      <c r="I236" s="2" t="s">
        <v>600</v>
      </c>
      <c r="J236" s="2" t="s">
        <v>126</v>
      </c>
      <c r="K236" s="2" t="s">
        <v>198</v>
      </c>
      <c r="L236" s="3">
        <v>23.57</v>
      </c>
      <c r="M236" s="3">
        <v>24.75</v>
      </c>
      <c r="N236" s="3">
        <v>44.99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199</v>
      </c>
      <c r="T236" s="2" t="s">
        <v>103</v>
      </c>
      <c r="U236" s="2" t="s">
        <v>115</v>
      </c>
      <c r="V236" s="2" t="s">
        <v>105</v>
      </c>
      <c r="W236" s="2" t="s">
        <v>106</v>
      </c>
      <c r="X236" s="2" t="s">
        <v>101</v>
      </c>
      <c r="Y236" s="2" t="s">
        <v>170</v>
      </c>
      <c r="Z236" s="4">
        <v>168</v>
      </c>
      <c r="AA236" s="4">
        <f>=ROUNDDOWN(21,0)</f>
      </c>
      <c r="AB236" s="5">
        <v>8</v>
      </c>
      <c r="AC236" s="2" t="s">
        <v>101</v>
      </c>
      <c r="AD236" s="4"/>
      <c r="AE236" s="4"/>
      <c r="AF236" s="6">
        <v>63</v>
      </c>
      <c r="AG236" s="6">
        <v>46</v>
      </c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>
        <v>72</v>
      </c>
      <c r="AQ236" s="8">
        <v>1764</v>
      </c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>
        <v>0.0521</v>
      </c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 t="s">
        <v>101</v>
      </c>
      <c r="BJ236" s="4">
        <v>244</v>
      </c>
      <c r="BK236" s="8">
        <v>6734.57</v>
      </c>
      <c r="BL236" s="2" t="s">
        <v>176</v>
      </c>
      <c r="BM236" s="7">
        <v>0.2951</v>
      </c>
      <c r="BN236" s="7">
        <v>0.2619</v>
      </c>
      <c r="BO236" s="4">
        <v>72</v>
      </c>
      <c r="BP236" s="8">
        <v>1764</v>
      </c>
      <c r="BQ236" s="4"/>
      <c r="BR236" s="8"/>
      <c r="BS236" s="7"/>
      <c r="BT236" s="7"/>
      <c r="BU236" s="2" t="s">
        <v>110</v>
      </c>
      <c r="BV236" s="2" t="s">
        <v>98</v>
      </c>
      <c r="BW236" s="2" t="s">
        <v>101</v>
      </c>
      <c r="BX236" s="2" t="s">
        <v>616</v>
      </c>
      <c r="BY236" s="2" t="s">
        <v>112</v>
      </c>
      <c r="BZ236" s="2" t="s">
        <v>112</v>
      </c>
      <c r="CA236" s="2" t="s">
        <v>101</v>
      </c>
    </row>
    <row r="237">
      <c r="A237" s="2" t="s">
        <v>634</v>
      </c>
      <c r="B237" s="2" t="s">
        <v>88</v>
      </c>
      <c r="C237" s="2" t="s">
        <v>89</v>
      </c>
      <c r="D237" s="2" t="s">
        <v>598</v>
      </c>
      <c r="E237" s="2" t="s">
        <v>599</v>
      </c>
      <c r="F237" s="2" t="s">
        <v>92</v>
      </c>
      <c r="G237" s="2" t="s">
        <v>93</v>
      </c>
      <c r="H237" s="2" t="s">
        <v>94</v>
      </c>
      <c r="I237" s="2" t="s">
        <v>600</v>
      </c>
      <c r="J237" s="2" t="s">
        <v>96</v>
      </c>
      <c r="K237" s="2" t="s">
        <v>178</v>
      </c>
      <c r="L237" s="3">
        <v>15.47</v>
      </c>
      <c r="M237" s="3">
        <v>16.24</v>
      </c>
      <c r="N237" s="3">
        <v>29.99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179</v>
      </c>
      <c r="T237" s="2" t="s">
        <v>103</v>
      </c>
      <c r="U237" s="2" t="s">
        <v>104</v>
      </c>
      <c r="V237" s="2" t="s">
        <v>105</v>
      </c>
      <c r="W237" s="2" t="s">
        <v>106</v>
      </c>
      <c r="X237" s="2" t="s">
        <v>101</v>
      </c>
      <c r="Y237" s="2" t="s">
        <v>241</v>
      </c>
      <c r="Z237" s="4">
        <v>3</v>
      </c>
      <c r="AA237" s="4">
        <f>=ROUNDDOWN(0.517241379310345,0)</f>
      </c>
      <c r="AB237" s="5">
        <v>5.8</v>
      </c>
      <c r="AC237" s="2" t="s">
        <v>635</v>
      </c>
      <c r="AD237" s="4">
        <v>60</v>
      </c>
      <c r="AE237" s="4">
        <v>60</v>
      </c>
      <c r="AF237" s="6">
        <v>63</v>
      </c>
      <c r="AG237" s="6">
        <v>46</v>
      </c>
      <c r="AH237" s="7">
        <v>0.8168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>
        <v>126</v>
      </c>
      <c r="AQ237" s="8">
        <v>2205</v>
      </c>
      <c r="AR237" s="4"/>
      <c r="AS237" s="8"/>
      <c r="AT237" s="7"/>
      <c r="AU237" s="7"/>
      <c r="AV237" s="4">
        <v>1284</v>
      </c>
      <c r="AW237" s="8">
        <v>29416.82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0.075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>
        <v>0.0419</v>
      </c>
      <c r="BJ237" s="4">
        <v>191</v>
      </c>
      <c r="BK237" s="8">
        <v>3338.43</v>
      </c>
      <c r="BL237" s="2" t="s">
        <v>636</v>
      </c>
      <c r="BM237" s="7">
        <v>0.6597</v>
      </c>
      <c r="BN237" s="7">
        <v>0.6605</v>
      </c>
      <c r="BO237" s="4">
        <v>126</v>
      </c>
      <c r="BP237" s="8">
        <v>2205</v>
      </c>
      <c r="BQ237" s="4"/>
      <c r="BR237" s="8"/>
      <c r="BS237" s="7"/>
      <c r="BT237" s="7"/>
      <c r="BU237" s="2" t="s">
        <v>110</v>
      </c>
      <c r="BV237" s="2" t="s">
        <v>98</v>
      </c>
      <c r="BW237" s="2" t="s">
        <v>101</v>
      </c>
      <c r="BX237" s="2" t="s">
        <v>119</v>
      </c>
      <c r="BY237" s="2" t="s">
        <v>112</v>
      </c>
      <c r="BZ237" s="2" t="s">
        <v>112</v>
      </c>
      <c r="CA237" s="2" t="s">
        <v>101</v>
      </c>
    </row>
    <row r="238">
      <c r="A238" s="2" t="s">
        <v>637</v>
      </c>
      <c r="B238" s="2" t="s">
        <v>88</v>
      </c>
      <c r="C238" s="2" t="s">
        <v>89</v>
      </c>
      <c r="D238" s="2" t="s">
        <v>598</v>
      </c>
      <c r="E238" s="2" t="s">
        <v>599</v>
      </c>
      <c r="F238" s="2" t="s">
        <v>92</v>
      </c>
      <c r="G238" s="2" t="s">
        <v>93</v>
      </c>
      <c r="H238" s="2" t="s">
        <v>94</v>
      </c>
      <c r="I238" s="2" t="s">
        <v>600</v>
      </c>
      <c r="J238" s="2" t="s">
        <v>114</v>
      </c>
      <c r="K238" s="2" t="s">
        <v>178</v>
      </c>
      <c r="L238" s="3">
        <v>19.76</v>
      </c>
      <c r="M238" s="3">
        <v>20.75</v>
      </c>
      <c r="N238" s="3">
        <v>39.99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179</v>
      </c>
      <c r="T238" s="2" t="s">
        <v>103</v>
      </c>
      <c r="U238" s="2" t="s">
        <v>115</v>
      </c>
      <c r="V238" s="2" t="s">
        <v>105</v>
      </c>
      <c r="W238" s="2" t="s">
        <v>106</v>
      </c>
      <c r="X238" s="2" t="s">
        <v>101</v>
      </c>
      <c r="Y238" s="2" t="s">
        <v>170</v>
      </c>
      <c r="Z238" s="4">
        <v>52</v>
      </c>
      <c r="AA238" s="4">
        <f>=ROUNDDOWN(13,0)</f>
      </c>
      <c r="AB238" s="5">
        <v>4</v>
      </c>
      <c r="AC238" s="2" t="s">
        <v>635</v>
      </c>
      <c r="AD238" s="4">
        <v>32</v>
      </c>
      <c r="AE238" s="4">
        <v>32</v>
      </c>
      <c r="AF238" s="6">
        <v>63</v>
      </c>
      <c r="AG238" s="6">
        <v>46</v>
      </c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>
        <v>71</v>
      </c>
      <c r="AQ238" s="8">
        <v>1562</v>
      </c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>
        <v>0.0531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 t="s">
        <v>101</v>
      </c>
      <c r="BJ238" s="4">
        <v>142</v>
      </c>
      <c r="BK238" s="8">
        <v>3053.49</v>
      </c>
      <c r="BL238" s="2" t="s">
        <v>521</v>
      </c>
      <c r="BM238" s="7">
        <v>0.5</v>
      </c>
      <c r="BN238" s="7">
        <v>0.5115</v>
      </c>
      <c r="BO238" s="4">
        <v>71</v>
      </c>
      <c r="BP238" s="8">
        <v>1562</v>
      </c>
      <c r="BQ238" s="4"/>
      <c r="BR238" s="8"/>
      <c r="BS238" s="7"/>
      <c r="BT238" s="7"/>
      <c r="BU238" s="2" t="s">
        <v>110</v>
      </c>
      <c r="BV238" s="2" t="s">
        <v>98</v>
      </c>
      <c r="BW238" s="2" t="s">
        <v>101</v>
      </c>
      <c r="BX238" s="2" t="s">
        <v>119</v>
      </c>
      <c r="BY238" s="2" t="s">
        <v>112</v>
      </c>
      <c r="BZ238" s="2" t="s">
        <v>112</v>
      </c>
      <c r="CA238" s="2" t="s">
        <v>101</v>
      </c>
    </row>
    <row r="239">
      <c r="A239" s="2" t="s">
        <v>638</v>
      </c>
      <c r="B239" s="2" t="s">
        <v>88</v>
      </c>
      <c r="C239" s="2" t="s">
        <v>89</v>
      </c>
      <c r="D239" s="2" t="s">
        <v>598</v>
      </c>
      <c r="E239" s="2" t="s">
        <v>599</v>
      </c>
      <c r="F239" s="2" t="s">
        <v>92</v>
      </c>
      <c r="G239" s="2" t="s">
        <v>93</v>
      </c>
      <c r="H239" s="2" t="s">
        <v>94</v>
      </c>
      <c r="I239" s="2" t="s">
        <v>600</v>
      </c>
      <c r="J239" s="2" t="s">
        <v>121</v>
      </c>
      <c r="K239" s="2" t="s">
        <v>178</v>
      </c>
      <c r="L239" s="3">
        <v>20.23</v>
      </c>
      <c r="M239" s="3">
        <v>21.24</v>
      </c>
      <c r="N239" s="3">
        <v>39.99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179</v>
      </c>
      <c r="T239" s="2" t="s">
        <v>103</v>
      </c>
      <c r="U239" s="2" t="s">
        <v>115</v>
      </c>
      <c r="V239" s="2" t="s">
        <v>105</v>
      </c>
      <c r="W239" s="2" t="s">
        <v>106</v>
      </c>
      <c r="X239" s="2" t="s">
        <v>101</v>
      </c>
      <c r="Y239" s="2" t="s">
        <v>241</v>
      </c>
      <c r="Z239" s="4">
        <v>118</v>
      </c>
      <c r="AA239" s="4">
        <f>=ROUNDDOWN(3.8562091503268,0)</f>
      </c>
      <c r="AB239" s="5">
        <v>30.6</v>
      </c>
      <c r="AC239" s="2" t="s">
        <v>166</v>
      </c>
      <c r="AD239" s="4">
        <v>92</v>
      </c>
      <c r="AE239" s="4">
        <v>212</v>
      </c>
      <c r="AF239" s="6">
        <v>63</v>
      </c>
      <c r="AG239" s="6">
        <v>46</v>
      </c>
      <c r="AH239" s="7">
        <v>0.8691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>
        <v>370</v>
      </c>
      <c r="AQ239" s="8">
        <v>8140</v>
      </c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>
        <v>0.2767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904</v>
      </c>
      <c r="BK239" s="8">
        <v>20019.19</v>
      </c>
      <c r="BL239" s="2" t="s">
        <v>167</v>
      </c>
      <c r="BM239" s="7">
        <v>0.4093</v>
      </c>
      <c r="BN239" s="7">
        <v>0.4066</v>
      </c>
      <c r="BO239" s="4">
        <v>370</v>
      </c>
      <c r="BP239" s="8">
        <v>8140</v>
      </c>
      <c r="BQ239" s="4"/>
      <c r="BR239" s="8"/>
      <c r="BS239" s="7"/>
      <c r="BT239" s="7"/>
      <c r="BU239" s="2" t="s">
        <v>110</v>
      </c>
      <c r="BV239" s="2" t="s">
        <v>98</v>
      </c>
      <c r="BW239" s="2" t="s">
        <v>101</v>
      </c>
      <c r="BX239" s="2" t="s">
        <v>119</v>
      </c>
      <c r="BY239" s="2" t="s">
        <v>112</v>
      </c>
      <c r="BZ239" s="2" t="s">
        <v>112</v>
      </c>
      <c r="CA239" s="2" t="s">
        <v>101</v>
      </c>
    </row>
    <row r="240">
      <c r="A240" s="2" t="s">
        <v>639</v>
      </c>
      <c r="B240" s="2" t="s">
        <v>88</v>
      </c>
      <c r="C240" s="2" t="s">
        <v>89</v>
      </c>
      <c r="D240" s="2" t="s">
        <v>598</v>
      </c>
      <c r="E240" s="2" t="s">
        <v>599</v>
      </c>
      <c r="F240" s="2" t="s">
        <v>92</v>
      </c>
      <c r="G240" s="2" t="s">
        <v>93</v>
      </c>
      <c r="H240" s="2" t="s">
        <v>94</v>
      </c>
      <c r="I240" s="2" t="s">
        <v>600</v>
      </c>
      <c r="J240" s="2" t="s">
        <v>123</v>
      </c>
      <c r="K240" s="2" t="s">
        <v>178</v>
      </c>
      <c r="L240" s="3">
        <v>22.61</v>
      </c>
      <c r="M240" s="3">
        <v>23.74</v>
      </c>
      <c r="N240" s="3">
        <v>44.99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179</v>
      </c>
      <c r="T240" s="2" t="s">
        <v>103</v>
      </c>
      <c r="U240" s="2" t="s">
        <v>115</v>
      </c>
      <c r="V240" s="2" t="s">
        <v>105</v>
      </c>
      <c r="W240" s="2" t="s">
        <v>106</v>
      </c>
      <c r="X240" s="2" t="s">
        <v>101</v>
      </c>
      <c r="Y240" s="2" t="s">
        <v>241</v>
      </c>
      <c r="Z240" s="4">
        <v>3</v>
      </c>
      <c r="AA240" s="4">
        <f>=ROUNDDOWN(0.0795755968169761,0)</f>
      </c>
      <c r="AB240" s="5">
        <v>37.7</v>
      </c>
      <c r="AC240" s="2" t="s">
        <v>166</v>
      </c>
      <c r="AD240" s="4">
        <v>152</v>
      </c>
      <c r="AE240" s="4">
        <v>304</v>
      </c>
      <c r="AF240" s="6">
        <v>63</v>
      </c>
      <c r="AG240" s="6">
        <v>46</v>
      </c>
      <c r="AH240" s="7">
        <v>0.8429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>
        <v>436</v>
      </c>
      <c r="AQ240" s="8">
        <v>10625.32</v>
      </c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>
        <v>0.3612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 t="s">
        <v>101</v>
      </c>
      <c r="BJ240" s="4">
        <v>883</v>
      </c>
      <c r="BK240" s="8">
        <v>21542.87</v>
      </c>
      <c r="BL240" s="2" t="s">
        <v>167</v>
      </c>
      <c r="BM240" s="7">
        <v>0.4938</v>
      </c>
      <c r="BN240" s="7">
        <v>0.4932</v>
      </c>
      <c r="BO240" s="4">
        <v>436</v>
      </c>
      <c r="BP240" s="8">
        <v>10625.32</v>
      </c>
      <c r="BQ240" s="4"/>
      <c r="BR240" s="8"/>
      <c r="BS240" s="7"/>
      <c r="BT240" s="7"/>
      <c r="BU240" s="2" t="s">
        <v>110</v>
      </c>
      <c r="BV240" s="2" t="s">
        <v>98</v>
      </c>
      <c r="BW240" s="2" t="s">
        <v>101</v>
      </c>
      <c r="BX240" s="2" t="s">
        <v>119</v>
      </c>
      <c r="BY240" s="2" t="s">
        <v>112</v>
      </c>
      <c r="BZ240" s="2" t="s">
        <v>112</v>
      </c>
      <c r="CA240" s="2" t="s">
        <v>101</v>
      </c>
    </row>
    <row r="241">
      <c r="A241" s="2" t="s">
        <v>640</v>
      </c>
      <c r="B241" s="2" t="s">
        <v>88</v>
      </c>
      <c r="C241" s="2" t="s">
        <v>89</v>
      </c>
      <c r="D241" s="2" t="s">
        <v>598</v>
      </c>
      <c r="E241" s="2" t="s">
        <v>599</v>
      </c>
      <c r="F241" s="2" t="s">
        <v>92</v>
      </c>
      <c r="G241" s="2" t="s">
        <v>93</v>
      </c>
      <c r="H241" s="2" t="s">
        <v>94</v>
      </c>
      <c r="I241" s="2" t="s">
        <v>600</v>
      </c>
      <c r="J241" s="2" t="s">
        <v>126</v>
      </c>
      <c r="K241" s="2" t="s">
        <v>178</v>
      </c>
      <c r="L241" s="3">
        <v>23.57</v>
      </c>
      <c r="M241" s="3">
        <v>24.75</v>
      </c>
      <c r="N241" s="3">
        <v>44.99</v>
      </c>
      <c r="O241" s="2" t="s">
        <v>98</v>
      </c>
      <c r="P241" s="2" t="s">
        <v>99</v>
      </c>
      <c r="Q241" s="2" t="s">
        <v>100</v>
      </c>
      <c r="R241" s="2" t="s">
        <v>101</v>
      </c>
      <c r="S241" s="2" t="s">
        <v>179</v>
      </c>
      <c r="T241" s="2" t="s">
        <v>103</v>
      </c>
      <c r="U241" s="2" t="s">
        <v>115</v>
      </c>
      <c r="V241" s="2" t="s">
        <v>105</v>
      </c>
      <c r="W241" s="2" t="s">
        <v>106</v>
      </c>
      <c r="X241" s="2" t="s">
        <v>101</v>
      </c>
      <c r="Y241" s="2" t="s">
        <v>170</v>
      </c>
      <c r="Z241" s="4">
        <v>2</v>
      </c>
      <c r="AA241" s="4">
        <f>=ROUNDDOWN(0.175438596491228,0)</f>
      </c>
      <c r="AB241" s="5">
        <v>11.4</v>
      </c>
      <c r="AC241" s="2" t="s">
        <v>101</v>
      </c>
      <c r="AD241" s="4"/>
      <c r="AE241" s="4"/>
      <c r="AF241" s="6">
        <v>63</v>
      </c>
      <c r="AG241" s="6">
        <v>46</v>
      </c>
      <c r="AH241" s="7">
        <v>0.5828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>
        <v>281</v>
      </c>
      <c r="AQ241" s="8">
        <v>6884.5</v>
      </c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0.234</v>
      </c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 t="s">
        <v>101</v>
      </c>
      <c r="BJ241" s="4">
        <v>407</v>
      </c>
      <c r="BK241" s="8">
        <v>10393.09</v>
      </c>
      <c r="BL241" s="2" t="s">
        <v>176</v>
      </c>
      <c r="BM241" s="7">
        <v>0.6904</v>
      </c>
      <c r="BN241" s="7">
        <v>0.6624</v>
      </c>
      <c r="BO241" s="4">
        <v>281</v>
      </c>
      <c r="BP241" s="8">
        <v>6884.5</v>
      </c>
      <c r="BQ241" s="4"/>
      <c r="BR241" s="8"/>
      <c r="BS241" s="7"/>
      <c r="BT241" s="7"/>
      <c r="BU241" s="2" t="s">
        <v>110</v>
      </c>
      <c r="BV241" s="2" t="s">
        <v>98</v>
      </c>
      <c r="BW241" s="2" t="s">
        <v>101</v>
      </c>
      <c r="BX241" s="2" t="s">
        <v>168</v>
      </c>
      <c r="BY241" s="2" t="s">
        <v>112</v>
      </c>
      <c r="BZ241" s="2" t="s">
        <v>112</v>
      </c>
      <c r="CA241" s="2" t="s">
        <v>101</v>
      </c>
    </row>
    <row r="242">
      <c r="A242" s="2" t="s">
        <v>641</v>
      </c>
      <c r="B242" s="2" t="s">
        <v>88</v>
      </c>
      <c r="C242" s="2" t="s">
        <v>89</v>
      </c>
      <c r="D242" s="2" t="s">
        <v>598</v>
      </c>
      <c r="E242" s="2" t="s">
        <v>599</v>
      </c>
      <c r="F242" s="2" t="s">
        <v>92</v>
      </c>
      <c r="G242" s="2" t="s">
        <v>93</v>
      </c>
      <c r="H242" s="2" t="s">
        <v>94</v>
      </c>
      <c r="I242" s="2" t="s">
        <v>600</v>
      </c>
      <c r="J242" s="2" t="s">
        <v>96</v>
      </c>
      <c r="K242" s="2" t="s">
        <v>216</v>
      </c>
      <c r="L242" s="3">
        <v>15.47</v>
      </c>
      <c r="M242" s="3">
        <v>16.24</v>
      </c>
      <c r="N242" s="3">
        <v>32.49</v>
      </c>
      <c r="O242" s="2" t="s">
        <v>98</v>
      </c>
      <c r="P242" s="2" t="s">
        <v>99</v>
      </c>
      <c r="Q242" s="2" t="s">
        <v>100</v>
      </c>
      <c r="R242" s="2" t="s">
        <v>101</v>
      </c>
      <c r="S242" s="2" t="s">
        <v>217</v>
      </c>
      <c r="T242" s="2" t="s">
        <v>103</v>
      </c>
      <c r="U242" s="2" t="s">
        <v>104</v>
      </c>
      <c r="V242" s="2" t="s">
        <v>105</v>
      </c>
      <c r="W242" s="2" t="s">
        <v>106</v>
      </c>
      <c r="X242" s="2" t="s">
        <v>101</v>
      </c>
      <c r="Y242" s="2" t="s">
        <v>609</v>
      </c>
      <c r="Z242" s="4">
        <v>257</v>
      </c>
      <c r="AA242" s="4">
        <f>=ROUNDDOWN(51.4,0)</f>
      </c>
      <c r="AB242" s="5">
        <v>5</v>
      </c>
      <c r="AC242" s="2" t="s">
        <v>101</v>
      </c>
      <c r="AD242" s="4"/>
      <c r="AE242" s="4"/>
      <c r="AF242" s="6">
        <v>63</v>
      </c>
      <c r="AG242" s="6">
        <v>46</v>
      </c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>
        <v>139</v>
      </c>
      <c r="AQ242" s="8">
        <v>2432.5</v>
      </c>
      <c r="AR242" s="4"/>
      <c r="AS242" s="8"/>
      <c r="AT242" s="7"/>
      <c r="AU242" s="7"/>
      <c r="AV242" s="4">
        <v>1220</v>
      </c>
      <c r="AW242" s="8">
        <v>27764.5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>
        <v>0.0876</v>
      </c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>
        <v>0.0396</v>
      </c>
      <c r="BJ242" s="4">
        <v>241</v>
      </c>
      <c r="BK242" s="8">
        <v>4200.69</v>
      </c>
      <c r="BL242" s="2" t="s">
        <v>167</v>
      </c>
      <c r="BM242" s="7">
        <v>0.5768</v>
      </c>
      <c r="BN242" s="7">
        <v>0.5791</v>
      </c>
      <c r="BO242" s="4">
        <v>139</v>
      </c>
      <c r="BP242" s="8">
        <v>2432.5</v>
      </c>
      <c r="BQ242" s="4"/>
      <c r="BR242" s="8"/>
      <c r="BS242" s="7"/>
      <c r="BT242" s="7"/>
      <c r="BU242" s="2" t="s">
        <v>110</v>
      </c>
      <c r="BV242" s="2" t="s">
        <v>98</v>
      </c>
      <c r="BW242" s="2" t="s">
        <v>101</v>
      </c>
      <c r="BX242" s="2" t="s">
        <v>610</v>
      </c>
      <c r="BY242" s="2" t="s">
        <v>112</v>
      </c>
      <c r="BZ242" s="2" t="s">
        <v>112</v>
      </c>
      <c r="CA242" s="2" t="s">
        <v>101</v>
      </c>
    </row>
    <row r="243">
      <c r="A243" s="2" t="s">
        <v>642</v>
      </c>
      <c r="B243" s="2" t="s">
        <v>88</v>
      </c>
      <c r="C243" s="2" t="s">
        <v>89</v>
      </c>
      <c r="D243" s="2" t="s">
        <v>598</v>
      </c>
      <c r="E243" s="2" t="s">
        <v>599</v>
      </c>
      <c r="F243" s="2" t="s">
        <v>92</v>
      </c>
      <c r="G243" s="2" t="s">
        <v>93</v>
      </c>
      <c r="H243" s="2" t="s">
        <v>94</v>
      </c>
      <c r="I243" s="2" t="s">
        <v>600</v>
      </c>
      <c r="J243" s="2" t="s">
        <v>114</v>
      </c>
      <c r="K243" s="2" t="s">
        <v>216</v>
      </c>
      <c r="L243" s="3">
        <v>19.76</v>
      </c>
      <c r="M243" s="3">
        <v>20.75</v>
      </c>
      <c r="N243" s="3">
        <v>39.99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217</v>
      </c>
      <c r="T243" s="2" t="s">
        <v>103</v>
      </c>
      <c r="U243" s="2" t="s">
        <v>115</v>
      </c>
      <c r="V243" s="2" t="s">
        <v>105</v>
      </c>
      <c r="W243" s="2" t="s">
        <v>106</v>
      </c>
      <c r="X243" s="2" t="s">
        <v>101</v>
      </c>
      <c r="Y243" s="2" t="s">
        <v>349</v>
      </c>
      <c r="Z243" s="4">
        <v>65</v>
      </c>
      <c r="AA243" s="4">
        <f>=ROUNDDOWN(16.25,0)</f>
      </c>
      <c r="AB243" s="5">
        <v>4</v>
      </c>
      <c r="AC243" s="2" t="s">
        <v>101</v>
      </c>
      <c r="AD243" s="4"/>
      <c r="AE243" s="4"/>
      <c r="AF243" s="6">
        <v>63</v>
      </c>
      <c r="AG243" s="6">
        <v>46</v>
      </c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>
        <v>51</v>
      </c>
      <c r="AQ243" s="8">
        <v>1122</v>
      </c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>
        <v>0.0404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 t="s">
        <v>101</v>
      </c>
      <c r="BJ243" s="4">
        <v>106</v>
      </c>
      <c r="BK243" s="8">
        <v>2286.53</v>
      </c>
      <c r="BL243" s="2" t="s">
        <v>625</v>
      </c>
      <c r="BM243" s="7">
        <v>0.4811</v>
      </c>
      <c r="BN243" s="7">
        <v>0.4907</v>
      </c>
      <c r="BO243" s="4">
        <v>51</v>
      </c>
      <c r="BP243" s="8">
        <v>1122</v>
      </c>
      <c r="BQ243" s="4"/>
      <c r="BR243" s="8"/>
      <c r="BS243" s="7"/>
      <c r="BT243" s="7"/>
      <c r="BU243" s="2" t="s">
        <v>110</v>
      </c>
      <c r="BV243" s="2" t="s">
        <v>98</v>
      </c>
      <c r="BW243" s="2" t="s">
        <v>101</v>
      </c>
      <c r="BX243" s="2" t="s">
        <v>206</v>
      </c>
      <c r="BY243" s="2" t="s">
        <v>112</v>
      </c>
      <c r="BZ243" s="2" t="s">
        <v>112</v>
      </c>
      <c r="CA243" s="2" t="s">
        <v>101</v>
      </c>
    </row>
    <row r="244">
      <c r="A244" s="2" t="s">
        <v>643</v>
      </c>
      <c r="B244" s="2" t="s">
        <v>88</v>
      </c>
      <c r="C244" s="2" t="s">
        <v>89</v>
      </c>
      <c r="D244" s="2" t="s">
        <v>598</v>
      </c>
      <c r="E244" s="2" t="s">
        <v>599</v>
      </c>
      <c r="F244" s="2" t="s">
        <v>92</v>
      </c>
      <c r="G244" s="2" t="s">
        <v>93</v>
      </c>
      <c r="H244" s="2" t="s">
        <v>94</v>
      </c>
      <c r="I244" s="2" t="s">
        <v>600</v>
      </c>
      <c r="J244" s="2" t="s">
        <v>121</v>
      </c>
      <c r="K244" s="2" t="s">
        <v>216</v>
      </c>
      <c r="L244" s="3">
        <v>20.23</v>
      </c>
      <c r="M244" s="3">
        <v>21.24</v>
      </c>
      <c r="N244" s="3">
        <v>42.49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217</v>
      </c>
      <c r="T244" s="2" t="s">
        <v>103</v>
      </c>
      <c r="U244" s="2" t="s">
        <v>115</v>
      </c>
      <c r="V244" s="2" t="s">
        <v>105</v>
      </c>
      <c r="W244" s="2" t="s">
        <v>106</v>
      </c>
      <c r="X244" s="2" t="s">
        <v>101</v>
      </c>
      <c r="Y244" s="2" t="s">
        <v>609</v>
      </c>
      <c r="Z244" s="4">
        <v>500</v>
      </c>
      <c r="AA244" s="4">
        <f>=ROUNDDOWN(25.1256281407035,0)</f>
      </c>
      <c r="AB244" s="5">
        <v>19.9</v>
      </c>
      <c r="AC244" s="2" t="s">
        <v>101</v>
      </c>
      <c r="AD244" s="4"/>
      <c r="AE244" s="4"/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>
        <v>410</v>
      </c>
      <c r="AQ244" s="8">
        <v>9020</v>
      </c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>
        <v>0.3249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 t="s">
        <v>101</v>
      </c>
      <c r="BJ244" s="4">
        <v>1021</v>
      </c>
      <c r="BK244" s="8">
        <v>22182.27</v>
      </c>
      <c r="BL244" s="2" t="s">
        <v>167</v>
      </c>
      <c r="BM244" s="7">
        <v>0.4016</v>
      </c>
      <c r="BN244" s="7">
        <v>0.4066</v>
      </c>
      <c r="BO244" s="4">
        <v>410</v>
      </c>
      <c r="BP244" s="8">
        <v>9020</v>
      </c>
      <c r="BQ244" s="4"/>
      <c r="BR244" s="8"/>
      <c r="BS244" s="7"/>
      <c r="BT244" s="7"/>
      <c r="BU244" s="2" t="s">
        <v>110</v>
      </c>
      <c r="BV244" s="2" t="s">
        <v>98</v>
      </c>
      <c r="BW244" s="2" t="s">
        <v>101</v>
      </c>
      <c r="BX244" s="2" t="s">
        <v>133</v>
      </c>
      <c r="BY244" s="2" t="s">
        <v>112</v>
      </c>
      <c r="BZ244" s="2" t="s">
        <v>112</v>
      </c>
      <c r="CA244" s="2" t="s">
        <v>101</v>
      </c>
    </row>
    <row r="245">
      <c r="A245" s="2" t="s">
        <v>644</v>
      </c>
      <c r="B245" s="2" t="s">
        <v>88</v>
      </c>
      <c r="C245" s="2" t="s">
        <v>89</v>
      </c>
      <c r="D245" s="2" t="s">
        <v>598</v>
      </c>
      <c r="E245" s="2" t="s">
        <v>599</v>
      </c>
      <c r="F245" s="2" t="s">
        <v>92</v>
      </c>
      <c r="G245" s="2" t="s">
        <v>93</v>
      </c>
      <c r="H245" s="2" t="s">
        <v>94</v>
      </c>
      <c r="I245" s="2" t="s">
        <v>600</v>
      </c>
      <c r="J245" s="2" t="s">
        <v>123</v>
      </c>
      <c r="K245" s="2" t="s">
        <v>216</v>
      </c>
      <c r="L245" s="3">
        <v>22.61</v>
      </c>
      <c r="M245" s="3">
        <v>23.74</v>
      </c>
      <c r="N245" s="3">
        <v>47.49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217</v>
      </c>
      <c r="T245" s="2" t="s">
        <v>103</v>
      </c>
      <c r="U245" s="2" t="s">
        <v>115</v>
      </c>
      <c r="V245" s="2" t="s">
        <v>105</v>
      </c>
      <c r="W245" s="2" t="s">
        <v>106</v>
      </c>
      <c r="X245" s="2" t="s">
        <v>101</v>
      </c>
      <c r="Y245" s="2" t="s">
        <v>609</v>
      </c>
      <c r="Z245" s="4">
        <v>815</v>
      </c>
      <c r="AA245" s="4">
        <f>=ROUNDDOWN(33.9583333333333,0)</f>
      </c>
      <c r="AB245" s="5">
        <v>24</v>
      </c>
      <c r="AC245" s="2" t="s">
        <v>101</v>
      </c>
      <c r="AD245" s="4"/>
      <c r="AE245" s="4"/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>
        <v>565</v>
      </c>
      <c r="AQ245" s="8">
        <v>13842.5</v>
      </c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>
        <v>0.4986</v>
      </c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 t="s">
        <v>101</v>
      </c>
      <c r="BJ245" s="4">
        <v>1034</v>
      </c>
      <c r="BK245" s="8">
        <v>25243.01</v>
      </c>
      <c r="BL245" s="2" t="s">
        <v>248</v>
      </c>
      <c r="BM245" s="7">
        <v>0.5464</v>
      </c>
      <c r="BN245" s="7">
        <v>0.5484</v>
      </c>
      <c r="BO245" s="4">
        <v>565</v>
      </c>
      <c r="BP245" s="8">
        <v>13842.5</v>
      </c>
      <c r="BQ245" s="4"/>
      <c r="BR245" s="8"/>
      <c r="BS245" s="7"/>
      <c r="BT245" s="7"/>
      <c r="BU245" s="2" t="s">
        <v>110</v>
      </c>
      <c r="BV245" s="2" t="s">
        <v>98</v>
      </c>
      <c r="BW245" s="2" t="s">
        <v>101</v>
      </c>
      <c r="BX245" s="2" t="s">
        <v>133</v>
      </c>
      <c r="BY245" s="2" t="s">
        <v>112</v>
      </c>
      <c r="BZ245" s="2" t="s">
        <v>112</v>
      </c>
      <c r="CA245" s="2" t="s">
        <v>101</v>
      </c>
    </row>
    <row r="246">
      <c r="A246" s="2" t="s">
        <v>645</v>
      </c>
      <c r="B246" s="2" t="s">
        <v>88</v>
      </c>
      <c r="C246" s="2" t="s">
        <v>89</v>
      </c>
      <c r="D246" s="2" t="s">
        <v>598</v>
      </c>
      <c r="E246" s="2" t="s">
        <v>599</v>
      </c>
      <c r="F246" s="2" t="s">
        <v>92</v>
      </c>
      <c r="G246" s="2" t="s">
        <v>93</v>
      </c>
      <c r="H246" s="2" t="s">
        <v>94</v>
      </c>
      <c r="I246" s="2" t="s">
        <v>600</v>
      </c>
      <c r="J246" s="2" t="s">
        <v>126</v>
      </c>
      <c r="K246" s="2" t="s">
        <v>216</v>
      </c>
      <c r="L246" s="3">
        <v>23.57</v>
      </c>
      <c r="M246" s="3">
        <v>24.75</v>
      </c>
      <c r="N246" s="3">
        <v>44.99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217</v>
      </c>
      <c r="T246" s="2" t="s">
        <v>103</v>
      </c>
      <c r="U246" s="2" t="s">
        <v>115</v>
      </c>
      <c r="V246" s="2" t="s">
        <v>105</v>
      </c>
      <c r="W246" s="2" t="s">
        <v>106</v>
      </c>
      <c r="X246" s="2" t="s">
        <v>101</v>
      </c>
      <c r="Y246" s="2" t="s">
        <v>349</v>
      </c>
      <c r="Z246" s="4">
        <v>77</v>
      </c>
      <c r="AA246" s="4">
        <f>=ROUNDDOWN(14.2592592592593,0)</f>
      </c>
      <c r="AB246" s="5"/>
      <c r="AC246" s="2" t="s">
        <v>101</v>
      </c>
      <c r="AD246" s="4"/>
      <c r="AE246" s="4"/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>
        <v>55</v>
      </c>
      <c r="AQ246" s="8">
        <v>1347.5</v>
      </c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>
        <v>0.0485</v>
      </c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 t="s">
        <v>101</v>
      </c>
      <c r="BJ246" s="4">
        <v>108</v>
      </c>
      <c r="BK246" s="8">
        <v>2889.88</v>
      </c>
      <c r="BL246" s="2" t="s">
        <v>646</v>
      </c>
      <c r="BM246" s="7">
        <v>0.5093</v>
      </c>
      <c r="BN246" s="7">
        <v>0.4663</v>
      </c>
      <c r="BO246" s="4">
        <v>55</v>
      </c>
      <c r="BP246" s="8">
        <v>1347.5</v>
      </c>
      <c r="BQ246" s="4"/>
      <c r="BR246" s="8"/>
      <c r="BS246" s="7"/>
      <c r="BT246" s="7"/>
      <c r="BU246" s="2" t="s">
        <v>110</v>
      </c>
      <c r="BV246" s="2" t="s">
        <v>98</v>
      </c>
      <c r="BW246" s="2" t="s">
        <v>101</v>
      </c>
      <c r="BX246" s="2" t="s">
        <v>616</v>
      </c>
      <c r="BY246" s="2" t="s">
        <v>112</v>
      </c>
      <c r="BZ246" s="2" t="s">
        <v>112</v>
      </c>
      <c r="CA246" s="2" t="s">
        <v>101</v>
      </c>
    </row>
    <row r="247">
      <c r="A247" s="2" t="s">
        <v>647</v>
      </c>
      <c r="B247" s="2" t="s">
        <v>88</v>
      </c>
      <c r="C247" s="2" t="s">
        <v>89</v>
      </c>
      <c r="D247" s="2" t="s">
        <v>598</v>
      </c>
      <c r="E247" s="2" t="s">
        <v>599</v>
      </c>
      <c r="F247" s="2" t="s">
        <v>92</v>
      </c>
      <c r="G247" s="2" t="s">
        <v>93</v>
      </c>
      <c r="H247" s="2" t="s">
        <v>94</v>
      </c>
      <c r="I247" s="2" t="s">
        <v>600</v>
      </c>
      <c r="J247" s="2" t="s">
        <v>96</v>
      </c>
      <c r="K247" s="2" t="s">
        <v>163</v>
      </c>
      <c r="L247" s="3">
        <v>15.47</v>
      </c>
      <c r="M247" s="3">
        <v>16.24</v>
      </c>
      <c r="N247" s="3">
        <v>29.99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164</v>
      </c>
      <c r="T247" s="2" t="s">
        <v>103</v>
      </c>
      <c r="U247" s="2" t="s">
        <v>104</v>
      </c>
      <c r="V247" s="2" t="s">
        <v>105</v>
      </c>
      <c r="W247" s="2" t="s">
        <v>106</v>
      </c>
      <c r="X247" s="2" t="s">
        <v>101</v>
      </c>
      <c r="Y247" s="2" t="s">
        <v>241</v>
      </c>
      <c r="Z247" s="4">
        <v>10</v>
      </c>
      <c r="AA247" s="4">
        <f>=ROUNDDOWN(0.65359477124183,0)</f>
      </c>
      <c r="AB247" s="5">
        <v>15.3</v>
      </c>
      <c r="AC247" s="2" t="s">
        <v>101</v>
      </c>
      <c r="AD247" s="4"/>
      <c r="AE247" s="4"/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>
        <v>247</v>
      </c>
      <c r="AQ247" s="8">
        <v>4322.5</v>
      </c>
      <c r="AR247" s="4"/>
      <c r="AS247" s="8"/>
      <c r="AT247" s="7"/>
      <c r="AU247" s="7"/>
      <c r="AV247" s="4">
        <v>1168</v>
      </c>
      <c r="AW247" s="8">
        <v>25771.36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>
        <v>0.1677</v>
      </c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>
        <v>0.0367</v>
      </c>
      <c r="BJ247" s="4">
        <v>429</v>
      </c>
      <c r="BK247" s="8">
        <v>7440.08</v>
      </c>
      <c r="BL247" s="2" t="s">
        <v>618</v>
      </c>
      <c r="BM247" s="7">
        <v>0.5758</v>
      </c>
      <c r="BN247" s="7">
        <v>0.581</v>
      </c>
      <c r="BO247" s="4">
        <v>247</v>
      </c>
      <c r="BP247" s="8">
        <v>4322.5</v>
      </c>
      <c r="BQ247" s="4"/>
      <c r="BR247" s="8"/>
      <c r="BS247" s="7"/>
      <c r="BT247" s="7"/>
      <c r="BU247" s="2" t="s">
        <v>110</v>
      </c>
      <c r="BV247" s="2" t="s">
        <v>98</v>
      </c>
      <c r="BW247" s="2" t="s">
        <v>101</v>
      </c>
      <c r="BX247" s="2" t="s">
        <v>119</v>
      </c>
      <c r="BY247" s="2" t="s">
        <v>112</v>
      </c>
      <c r="BZ247" s="2" t="s">
        <v>112</v>
      </c>
      <c r="CA247" s="2" t="s">
        <v>101</v>
      </c>
    </row>
    <row r="248">
      <c r="A248" s="2" t="s">
        <v>648</v>
      </c>
      <c r="B248" s="2" t="s">
        <v>88</v>
      </c>
      <c r="C248" s="2" t="s">
        <v>89</v>
      </c>
      <c r="D248" s="2" t="s">
        <v>598</v>
      </c>
      <c r="E248" s="2" t="s">
        <v>599</v>
      </c>
      <c r="F248" s="2" t="s">
        <v>92</v>
      </c>
      <c r="G248" s="2" t="s">
        <v>93</v>
      </c>
      <c r="H248" s="2" t="s">
        <v>94</v>
      </c>
      <c r="I248" s="2" t="s">
        <v>600</v>
      </c>
      <c r="J248" s="2" t="s">
        <v>114</v>
      </c>
      <c r="K248" s="2" t="s">
        <v>163</v>
      </c>
      <c r="L248" s="3">
        <v>19.76</v>
      </c>
      <c r="M248" s="3">
        <v>20.75</v>
      </c>
      <c r="N248" s="3">
        <v>39.99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164</v>
      </c>
      <c r="T248" s="2" t="s">
        <v>103</v>
      </c>
      <c r="U248" s="2" t="s">
        <v>115</v>
      </c>
      <c r="V248" s="2" t="s">
        <v>105</v>
      </c>
      <c r="W248" s="2" t="s">
        <v>106</v>
      </c>
      <c r="X248" s="2" t="s">
        <v>101</v>
      </c>
      <c r="Y248" s="2" t="s">
        <v>170</v>
      </c>
      <c r="Z248" s="4">
        <v>355</v>
      </c>
      <c r="AA248" s="4">
        <f>=ROUNDDOWN(47.3333333333333,0)</f>
      </c>
      <c r="AB248" s="5">
        <v>7.5</v>
      </c>
      <c r="AC248" s="2" t="s">
        <v>101</v>
      </c>
      <c r="AD248" s="4"/>
      <c r="AE248" s="4"/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>
        <v>55</v>
      </c>
      <c r="AQ248" s="8">
        <v>1210</v>
      </c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>
        <v>0.047</v>
      </c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 t="s">
        <v>101</v>
      </c>
      <c r="BJ248" s="4">
        <v>156</v>
      </c>
      <c r="BK248" s="8">
        <v>3305.56</v>
      </c>
      <c r="BL248" s="2" t="s">
        <v>649</v>
      </c>
      <c r="BM248" s="7">
        <v>0.3526</v>
      </c>
      <c r="BN248" s="7">
        <v>0.366</v>
      </c>
      <c r="BO248" s="4">
        <v>55</v>
      </c>
      <c r="BP248" s="8">
        <v>1210</v>
      </c>
      <c r="BQ248" s="4"/>
      <c r="BR248" s="8"/>
      <c r="BS248" s="7"/>
      <c r="BT248" s="7"/>
      <c r="BU248" s="2" t="s">
        <v>110</v>
      </c>
      <c r="BV248" s="2" t="s">
        <v>98</v>
      </c>
      <c r="BW248" s="2" t="s">
        <v>101</v>
      </c>
      <c r="BX248" s="2" t="s">
        <v>206</v>
      </c>
      <c r="BY248" s="2" t="s">
        <v>112</v>
      </c>
      <c r="BZ248" s="2" t="s">
        <v>112</v>
      </c>
      <c r="CA248" s="2" t="s">
        <v>101</v>
      </c>
    </row>
    <row r="249">
      <c r="A249" s="2" t="s">
        <v>650</v>
      </c>
      <c r="B249" s="2" t="s">
        <v>88</v>
      </c>
      <c r="C249" s="2" t="s">
        <v>89</v>
      </c>
      <c r="D249" s="2" t="s">
        <v>598</v>
      </c>
      <c r="E249" s="2" t="s">
        <v>599</v>
      </c>
      <c r="F249" s="2" t="s">
        <v>92</v>
      </c>
      <c r="G249" s="2" t="s">
        <v>93</v>
      </c>
      <c r="H249" s="2" t="s">
        <v>94</v>
      </c>
      <c r="I249" s="2" t="s">
        <v>600</v>
      </c>
      <c r="J249" s="2" t="s">
        <v>121</v>
      </c>
      <c r="K249" s="2" t="s">
        <v>163</v>
      </c>
      <c r="L249" s="3">
        <v>20.23</v>
      </c>
      <c r="M249" s="3">
        <v>21.24</v>
      </c>
      <c r="N249" s="3">
        <v>39.99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164</v>
      </c>
      <c r="T249" s="2" t="s">
        <v>103</v>
      </c>
      <c r="U249" s="2" t="s">
        <v>115</v>
      </c>
      <c r="V249" s="2" t="s">
        <v>105</v>
      </c>
      <c r="W249" s="2" t="s">
        <v>106</v>
      </c>
      <c r="X249" s="2" t="s">
        <v>101</v>
      </c>
      <c r="Y249" s="2" t="s">
        <v>241</v>
      </c>
      <c r="Z249" s="4">
        <v>350</v>
      </c>
      <c r="AA249" s="4">
        <f>=ROUNDDOWN(9.11458333333333,0)</f>
      </c>
      <c r="AB249" s="5">
        <v>38.4</v>
      </c>
      <c r="AC249" s="2" t="s">
        <v>101</v>
      </c>
      <c r="AD249" s="4"/>
      <c r="AE249" s="4"/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>
        <v>369</v>
      </c>
      <c r="AQ249" s="8">
        <v>8118</v>
      </c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>
        <v>0.315</v>
      </c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 t="s">
        <v>101</v>
      </c>
      <c r="BJ249" s="4">
        <v>1107</v>
      </c>
      <c r="BK249" s="8">
        <v>24330.85</v>
      </c>
      <c r="BL249" s="2" t="s">
        <v>167</v>
      </c>
      <c r="BM249" s="7">
        <v>0.3333</v>
      </c>
      <c r="BN249" s="7">
        <v>0.3337</v>
      </c>
      <c r="BO249" s="4">
        <v>369</v>
      </c>
      <c r="BP249" s="8">
        <v>8118</v>
      </c>
      <c r="BQ249" s="4"/>
      <c r="BR249" s="8"/>
      <c r="BS249" s="7"/>
      <c r="BT249" s="7"/>
      <c r="BU249" s="2" t="s">
        <v>110</v>
      </c>
      <c r="BV249" s="2" t="s">
        <v>98</v>
      </c>
      <c r="BW249" s="2" t="s">
        <v>101</v>
      </c>
      <c r="BX249" s="2" t="s">
        <v>119</v>
      </c>
      <c r="BY249" s="2" t="s">
        <v>112</v>
      </c>
      <c r="BZ249" s="2" t="s">
        <v>112</v>
      </c>
      <c r="CA249" s="2" t="s">
        <v>101</v>
      </c>
    </row>
    <row r="250">
      <c r="A250" s="2" t="s">
        <v>651</v>
      </c>
      <c r="B250" s="2" t="s">
        <v>88</v>
      </c>
      <c r="C250" s="2" t="s">
        <v>89</v>
      </c>
      <c r="D250" s="2" t="s">
        <v>598</v>
      </c>
      <c r="E250" s="2" t="s">
        <v>599</v>
      </c>
      <c r="F250" s="2" t="s">
        <v>92</v>
      </c>
      <c r="G250" s="2" t="s">
        <v>93</v>
      </c>
      <c r="H250" s="2" t="s">
        <v>94</v>
      </c>
      <c r="I250" s="2" t="s">
        <v>600</v>
      </c>
      <c r="J250" s="2" t="s">
        <v>123</v>
      </c>
      <c r="K250" s="2" t="s">
        <v>163</v>
      </c>
      <c r="L250" s="3">
        <v>22.61</v>
      </c>
      <c r="M250" s="3">
        <v>23.74</v>
      </c>
      <c r="N250" s="3">
        <v>44.99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164</v>
      </c>
      <c r="T250" s="2" t="s">
        <v>103</v>
      </c>
      <c r="U250" s="2" t="s">
        <v>115</v>
      </c>
      <c r="V250" s="2" t="s">
        <v>105</v>
      </c>
      <c r="W250" s="2" t="s">
        <v>106</v>
      </c>
      <c r="X250" s="2" t="s">
        <v>101</v>
      </c>
      <c r="Y250" s="2" t="s">
        <v>241</v>
      </c>
      <c r="Z250" s="4">
        <v>533</v>
      </c>
      <c r="AA250" s="4">
        <f>=ROUNDDOWN(12.7817745803357,0)</f>
      </c>
      <c r="AB250" s="5">
        <v>41.7</v>
      </c>
      <c r="AC250" s="2" t="s">
        <v>101</v>
      </c>
      <c r="AD250" s="4"/>
      <c r="AE250" s="4"/>
      <c r="AF250" s="6">
        <v>63</v>
      </c>
      <c r="AG250" s="6">
        <v>46</v>
      </c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>
        <v>428</v>
      </c>
      <c r="AQ250" s="8">
        <v>10430.36</v>
      </c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>
        <v>0.4047</v>
      </c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 t="s">
        <v>101</v>
      </c>
      <c r="BJ250" s="4">
        <v>1057</v>
      </c>
      <c r="BK250" s="8">
        <v>25811.4</v>
      </c>
      <c r="BL250" s="2" t="s">
        <v>167</v>
      </c>
      <c r="BM250" s="7">
        <v>0.4049</v>
      </c>
      <c r="BN250" s="7">
        <v>0.4041</v>
      </c>
      <c r="BO250" s="4">
        <v>428</v>
      </c>
      <c r="BP250" s="8">
        <v>10430.36</v>
      </c>
      <c r="BQ250" s="4"/>
      <c r="BR250" s="8"/>
      <c r="BS250" s="7"/>
      <c r="BT250" s="7"/>
      <c r="BU250" s="2" t="s">
        <v>110</v>
      </c>
      <c r="BV250" s="2" t="s">
        <v>98</v>
      </c>
      <c r="BW250" s="2" t="s">
        <v>101</v>
      </c>
      <c r="BX250" s="2" t="s">
        <v>119</v>
      </c>
      <c r="BY250" s="2" t="s">
        <v>112</v>
      </c>
      <c r="BZ250" s="2" t="s">
        <v>112</v>
      </c>
      <c r="CA250" s="2" t="s">
        <v>101</v>
      </c>
    </row>
    <row r="251">
      <c r="A251" s="2" t="s">
        <v>652</v>
      </c>
      <c r="B251" s="2" t="s">
        <v>88</v>
      </c>
      <c r="C251" s="2" t="s">
        <v>89</v>
      </c>
      <c r="D251" s="2" t="s">
        <v>598</v>
      </c>
      <c r="E251" s="2" t="s">
        <v>599</v>
      </c>
      <c r="F251" s="2" t="s">
        <v>92</v>
      </c>
      <c r="G251" s="2" t="s">
        <v>93</v>
      </c>
      <c r="H251" s="2" t="s">
        <v>94</v>
      </c>
      <c r="I251" s="2" t="s">
        <v>600</v>
      </c>
      <c r="J251" s="2" t="s">
        <v>126</v>
      </c>
      <c r="K251" s="2" t="s">
        <v>163</v>
      </c>
      <c r="L251" s="3">
        <v>23.57</v>
      </c>
      <c r="M251" s="3">
        <v>24.75</v>
      </c>
      <c r="N251" s="3">
        <v>44.99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164</v>
      </c>
      <c r="T251" s="2" t="s">
        <v>103</v>
      </c>
      <c r="U251" s="2" t="s">
        <v>115</v>
      </c>
      <c r="V251" s="2" t="s">
        <v>105</v>
      </c>
      <c r="W251" s="2" t="s">
        <v>106</v>
      </c>
      <c r="X251" s="2" t="s">
        <v>101</v>
      </c>
      <c r="Y251" s="2" t="s">
        <v>170</v>
      </c>
      <c r="Z251" s="4">
        <v>432</v>
      </c>
      <c r="AA251" s="4">
        <f>=ROUNDDOWN(28.0519480519481,0)</f>
      </c>
      <c r="AB251" s="5">
        <v>15.4</v>
      </c>
      <c r="AC251" s="2" t="s">
        <v>101</v>
      </c>
      <c r="AD251" s="4"/>
      <c r="AE251" s="4"/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>
        <v>69</v>
      </c>
      <c r="AQ251" s="8">
        <v>1690.5</v>
      </c>
      <c r="AR251" s="4"/>
      <c r="AS251" s="8"/>
      <c r="AT251" s="7"/>
      <c r="AU251" s="7"/>
      <c r="AV251" s="4" t="s">
        <v>101</v>
      </c>
      <c r="AW251" s="8" t="s">
        <v>101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>
        <v>0.0656</v>
      </c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 t="s">
        <v>101</v>
      </c>
      <c r="BJ251" s="4">
        <v>278</v>
      </c>
      <c r="BK251" s="8">
        <v>7411.06</v>
      </c>
      <c r="BL251" s="2" t="s">
        <v>167</v>
      </c>
      <c r="BM251" s="7">
        <v>0.2482</v>
      </c>
      <c r="BN251" s="7">
        <v>0.2281</v>
      </c>
      <c r="BO251" s="4">
        <v>69</v>
      </c>
      <c r="BP251" s="8">
        <v>1690.5</v>
      </c>
      <c r="BQ251" s="4"/>
      <c r="BR251" s="8"/>
      <c r="BS251" s="7"/>
      <c r="BT251" s="7"/>
      <c r="BU251" s="2" t="s">
        <v>110</v>
      </c>
      <c r="BV251" s="2" t="s">
        <v>98</v>
      </c>
      <c r="BW251" s="2" t="s">
        <v>101</v>
      </c>
      <c r="BX251" s="2" t="s">
        <v>616</v>
      </c>
      <c r="BY251" s="2" t="s">
        <v>112</v>
      </c>
      <c r="BZ251" s="2" t="s">
        <v>112</v>
      </c>
      <c r="CA251" s="2" t="s">
        <v>101</v>
      </c>
    </row>
    <row r="252">
      <c r="A252" s="2" t="s">
        <v>653</v>
      </c>
      <c r="B252" s="2" t="s">
        <v>88</v>
      </c>
      <c r="C252" s="2" t="s">
        <v>89</v>
      </c>
      <c r="D252" s="2" t="s">
        <v>598</v>
      </c>
      <c r="E252" s="2" t="s">
        <v>599</v>
      </c>
      <c r="F252" s="2" t="s">
        <v>92</v>
      </c>
      <c r="G252" s="2" t="s">
        <v>93</v>
      </c>
      <c r="H252" s="2" t="s">
        <v>94</v>
      </c>
      <c r="I252" s="2" t="s">
        <v>600</v>
      </c>
      <c r="J252" s="2" t="s">
        <v>96</v>
      </c>
      <c r="K252" s="2" t="s">
        <v>189</v>
      </c>
      <c r="L252" s="3">
        <v>15.47</v>
      </c>
      <c r="M252" s="3">
        <v>16.24</v>
      </c>
      <c r="N252" s="3">
        <v>32.49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190</v>
      </c>
      <c r="T252" s="2" t="s">
        <v>103</v>
      </c>
      <c r="U252" s="2" t="s">
        <v>104</v>
      </c>
      <c r="V252" s="2" t="s">
        <v>105</v>
      </c>
      <c r="W252" s="2" t="s">
        <v>106</v>
      </c>
      <c r="X252" s="2" t="s">
        <v>101</v>
      </c>
      <c r="Y252" s="2" t="s">
        <v>609</v>
      </c>
      <c r="Z252" s="4">
        <v>78</v>
      </c>
      <c r="AA252" s="4">
        <f>=ROUNDDOWN(9.75,0)</f>
      </c>
      <c r="AB252" s="5">
        <v>8</v>
      </c>
      <c r="AC252" s="2" t="s">
        <v>101</v>
      </c>
      <c r="AD252" s="4"/>
      <c r="AE252" s="4"/>
      <c r="AF252" s="6">
        <v>63</v>
      </c>
      <c r="AG252" s="6">
        <v>46</v>
      </c>
      <c r="AH252" s="7">
        <v>0.994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>
        <v>226</v>
      </c>
      <c r="AQ252" s="8">
        <v>3906</v>
      </c>
      <c r="AR252" s="4"/>
      <c r="AS252" s="8"/>
      <c r="AT252" s="7"/>
      <c r="AU252" s="7"/>
      <c r="AV252" s="4">
        <v>829</v>
      </c>
      <c r="AW252" s="8">
        <v>17924.5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>
        <v>0.2179</v>
      </c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>
        <v>0.0255</v>
      </c>
      <c r="BJ252" s="4">
        <v>336</v>
      </c>
      <c r="BK252" s="8">
        <v>5786.01</v>
      </c>
      <c r="BL252" s="2" t="s">
        <v>540</v>
      </c>
      <c r="BM252" s="7">
        <v>0.6726</v>
      </c>
      <c r="BN252" s="7">
        <v>0.6751</v>
      </c>
      <c r="BO252" s="4">
        <v>226</v>
      </c>
      <c r="BP252" s="8">
        <v>3906</v>
      </c>
      <c r="BQ252" s="4"/>
      <c r="BR252" s="8"/>
      <c r="BS252" s="7"/>
      <c r="BT252" s="7"/>
      <c r="BU252" s="2" t="s">
        <v>110</v>
      </c>
      <c r="BV252" s="2" t="s">
        <v>98</v>
      </c>
      <c r="BW252" s="2" t="s">
        <v>101</v>
      </c>
      <c r="BX252" s="2" t="s">
        <v>610</v>
      </c>
      <c r="BY252" s="2" t="s">
        <v>112</v>
      </c>
      <c r="BZ252" s="2" t="s">
        <v>112</v>
      </c>
      <c r="CA252" s="2" t="s">
        <v>101</v>
      </c>
    </row>
    <row r="253">
      <c r="A253" s="2" t="s">
        <v>654</v>
      </c>
      <c r="B253" s="2" t="s">
        <v>88</v>
      </c>
      <c r="C253" s="2" t="s">
        <v>89</v>
      </c>
      <c r="D253" s="2" t="s">
        <v>598</v>
      </c>
      <c r="E253" s="2" t="s">
        <v>599</v>
      </c>
      <c r="F253" s="2" t="s">
        <v>92</v>
      </c>
      <c r="G253" s="2" t="s">
        <v>93</v>
      </c>
      <c r="H253" s="2" t="s">
        <v>94</v>
      </c>
      <c r="I253" s="2" t="s">
        <v>600</v>
      </c>
      <c r="J253" s="2" t="s">
        <v>114</v>
      </c>
      <c r="K253" s="2" t="s">
        <v>189</v>
      </c>
      <c r="L253" s="3">
        <v>19.76</v>
      </c>
      <c r="M253" s="3">
        <v>20.75</v>
      </c>
      <c r="N253" s="3">
        <v>39.99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190</v>
      </c>
      <c r="T253" s="2" t="s">
        <v>103</v>
      </c>
      <c r="U253" s="2" t="s">
        <v>115</v>
      </c>
      <c r="V253" s="2" t="s">
        <v>105</v>
      </c>
      <c r="W253" s="2" t="s">
        <v>106</v>
      </c>
      <c r="X253" s="2" t="s">
        <v>101</v>
      </c>
      <c r="Y253" s="2" t="s">
        <v>349</v>
      </c>
      <c r="Z253" s="4">
        <v>81</v>
      </c>
      <c r="AA253" s="4">
        <f>=ROUNDDOWN(14.2105263157895,0)</f>
      </c>
      <c r="AB253" s="5">
        <v>5.7</v>
      </c>
      <c r="AC253" s="2" t="s">
        <v>101</v>
      </c>
      <c r="AD253" s="4"/>
      <c r="AE253" s="4"/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>
        <v>23</v>
      </c>
      <c r="AQ253" s="8">
        <v>506</v>
      </c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>
        <v>0.0282</v>
      </c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 t="s">
        <v>101</v>
      </c>
      <c r="BJ253" s="4">
        <v>83</v>
      </c>
      <c r="BK253" s="8">
        <v>1773.95</v>
      </c>
      <c r="BL253" s="2" t="s">
        <v>128</v>
      </c>
      <c r="BM253" s="7">
        <v>0.2771</v>
      </c>
      <c r="BN253" s="7">
        <v>0.2852</v>
      </c>
      <c r="BO253" s="4">
        <v>23</v>
      </c>
      <c r="BP253" s="8">
        <v>506</v>
      </c>
      <c r="BQ253" s="4"/>
      <c r="BR253" s="8"/>
      <c r="BS253" s="7"/>
      <c r="BT253" s="7"/>
      <c r="BU253" s="2" t="s">
        <v>110</v>
      </c>
      <c r="BV253" s="2" t="s">
        <v>98</v>
      </c>
      <c r="BW253" s="2" t="s">
        <v>101</v>
      </c>
      <c r="BX253" s="2" t="s">
        <v>655</v>
      </c>
      <c r="BY253" s="2" t="s">
        <v>112</v>
      </c>
      <c r="BZ253" s="2" t="s">
        <v>112</v>
      </c>
      <c r="CA253" s="2" t="s">
        <v>101</v>
      </c>
    </row>
    <row r="254">
      <c r="A254" s="2" t="s">
        <v>656</v>
      </c>
      <c r="B254" s="2" t="s">
        <v>88</v>
      </c>
      <c r="C254" s="2" t="s">
        <v>89</v>
      </c>
      <c r="D254" s="2" t="s">
        <v>598</v>
      </c>
      <c r="E254" s="2" t="s">
        <v>599</v>
      </c>
      <c r="F254" s="2" t="s">
        <v>92</v>
      </c>
      <c r="G254" s="2" t="s">
        <v>93</v>
      </c>
      <c r="H254" s="2" t="s">
        <v>94</v>
      </c>
      <c r="I254" s="2" t="s">
        <v>600</v>
      </c>
      <c r="J254" s="2" t="s">
        <v>121</v>
      </c>
      <c r="K254" s="2" t="s">
        <v>189</v>
      </c>
      <c r="L254" s="3">
        <v>20.23</v>
      </c>
      <c r="M254" s="3">
        <v>21.24</v>
      </c>
      <c r="N254" s="3">
        <v>42.49</v>
      </c>
      <c r="O254" s="2" t="s">
        <v>98</v>
      </c>
      <c r="P254" s="2" t="s">
        <v>99</v>
      </c>
      <c r="Q254" s="2" t="s">
        <v>100</v>
      </c>
      <c r="R254" s="2" t="s">
        <v>101</v>
      </c>
      <c r="S254" s="2" t="s">
        <v>190</v>
      </c>
      <c r="T254" s="2" t="s">
        <v>103</v>
      </c>
      <c r="U254" s="2" t="s">
        <v>115</v>
      </c>
      <c r="V254" s="2" t="s">
        <v>105</v>
      </c>
      <c r="W254" s="2" t="s">
        <v>106</v>
      </c>
      <c r="X254" s="2" t="s">
        <v>101</v>
      </c>
      <c r="Y254" s="2" t="s">
        <v>609</v>
      </c>
      <c r="Z254" s="4">
        <v>179</v>
      </c>
      <c r="AA254" s="4">
        <f>=ROUNDDOWN(10.2873563218391,0)</f>
      </c>
      <c r="AB254" s="5">
        <v>17.4</v>
      </c>
      <c r="AC254" s="2" t="s">
        <v>101</v>
      </c>
      <c r="AD254" s="4"/>
      <c r="AE254" s="4"/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>
        <v>279</v>
      </c>
      <c r="AQ254" s="8">
        <v>6138</v>
      </c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>
        <v>0.3424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 t="s">
        <v>101</v>
      </c>
      <c r="BJ254" s="4">
        <v>842</v>
      </c>
      <c r="BK254" s="8">
        <v>18352.5</v>
      </c>
      <c r="BL254" s="2" t="s">
        <v>167</v>
      </c>
      <c r="BM254" s="7">
        <v>0.3314</v>
      </c>
      <c r="BN254" s="7">
        <v>0.3345</v>
      </c>
      <c r="BO254" s="4">
        <v>279</v>
      </c>
      <c r="BP254" s="8">
        <v>6138</v>
      </c>
      <c r="BQ254" s="4"/>
      <c r="BR254" s="8"/>
      <c r="BS254" s="7"/>
      <c r="BT254" s="7"/>
      <c r="BU254" s="2" t="s">
        <v>110</v>
      </c>
      <c r="BV254" s="2" t="s">
        <v>98</v>
      </c>
      <c r="BW254" s="2" t="s">
        <v>101</v>
      </c>
      <c r="BX254" s="2" t="s">
        <v>133</v>
      </c>
      <c r="BY254" s="2" t="s">
        <v>112</v>
      </c>
      <c r="BZ254" s="2" t="s">
        <v>112</v>
      </c>
      <c r="CA254" s="2" t="s">
        <v>101</v>
      </c>
    </row>
    <row r="255">
      <c r="A255" s="2" t="s">
        <v>657</v>
      </c>
      <c r="B255" s="2" t="s">
        <v>88</v>
      </c>
      <c r="C255" s="2" t="s">
        <v>89</v>
      </c>
      <c r="D255" s="2" t="s">
        <v>598</v>
      </c>
      <c r="E255" s="2" t="s">
        <v>599</v>
      </c>
      <c r="F255" s="2" t="s">
        <v>92</v>
      </c>
      <c r="G255" s="2" t="s">
        <v>93</v>
      </c>
      <c r="H255" s="2" t="s">
        <v>94</v>
      </c>
      <c r="I255" s="2" t="s">
        <v>600</v>
      </c>
      <c r="J255" s="2" t="s">
        <v>123</v>
      </c>
      <c r="K255" s="2" t="s">
        <v>189</v>
      </c>
      <c r="L255" s="3">
        <v>22.61</v>
      </c>
      <c r="M255" s="3">
        <v>23.74</v>
      </c>
      <c r="N255" s="3">
        <v>47.49</v>
      </c>
      <c r="O255" s="2" t="s">
        <v>98</v>
      </c>
      <c r="P255" s="2" t="s">
        <v>99</v>
      </c>
      <c r="Q255" s="2" t="s">
        <v>100</v>
      </c>
      <c r="R255" s="2" t="s">
        <v>101</v>
      </c>
      <c r="S255" s="2" t="s">
        <v>190</v>
      </c>
      <c r="T255" s="2" t="s">
        <v>103</v>
      </c>
      <c r="U255" s="2" t="s">
        <v>115</v>
      </c>
      <c r="V255" s="2" t="s">
        <v>105</v>
      </c>
      <c r="W255" s="2" t="s">
        <v>106</v>
      </c>
      <c r="X255" s="2" t="s">
        <v>101</v>
      </c>
      <c r="Y255" s="2" t="s">
        <v>609</v>
      </c>
      <c r="Z255" s="4">
        <v>575</v>
      </c>
      <c r="AA255" s="4">
        <f>=ROUNDDOWN(43.8931297709924,0)</f>
      </c>
      <c r="AB255" s="5">
        <v>13.1</v>
      </c>
      <c r="AC255" s="2" t="s">
        <v>101</v>
      </c>
      <c r="AD255" s="4"/>
      <c r="AE255" s="4"/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>
        <v>276</v>
      </c>
      <c r="AQ255" s="8">
        <v>6762</v>
      </c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>
        <v>0.3772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 t="s">
        <v>101</v>
      </c>
      <c r="BJ255" s="4">
        <v>565</v>
      </c>
      <c r="BK255" s="8">
        <v>13762.11</v>
      </c>
      <c r="BL255" s="2" t="s">
        <v>248</v>
      </c>
      <c r="BM255" s="7">
        <v>0.4885</v>
      </c>
      <c r="BN255" s="7">
        <v>0.4913</v>
      </c>
      <c r="BO255" s="4">
        <v>276</v>
      </c>
      <c r="BP255" s="8">
        <v>6762</v>
      </c>
      <c r="BQ255" s="4"/>
      <c r="BR255" s="8"/>
      <c r="BS255" s="7"/>
      <c r="BT255" s="7"/>
      <c r="BU255" s="2" t="s">
        <v>110</v>
      </c>
      <c r="BV255" s="2" t="s">
        <v>98</v>
      </c>
      <c r="BW255" s="2" t="s">
        <v>101</v>
      </c>
      <c r="BX255" s="2" t="s">
        <v>133</v>
      </c>
      <c r="BY255" s="2" t="s">
        <v>112</v>
      </c>
      <c r="BZ255" s="2" t="s">
        <v>112</v>
      </c>
      <c r="CA255" s="2" t="s">
        <v>101</v>
      </c>
    </row>
    <row r="256">
      <c r="A256" s="2" t="s">
        <v>658</v>
      </c>
      <c r="B256" s="2" t="s">
        <v>88</v>
      </c>
      <c r="C256" s="2" t="s">
        <v>89</v>
      </c>
      <c r="D256" s="2" t="s">
        <v>598</v>
      </c>
      <c r="E256" s="2" t="s">
        <v>599</v>
      </c>
      <c r="F256" s="2" t="s">
        <v>92</v>
      </c>
      <c r="G256" s="2" t="s">
        <v>93</v>
      </c>
      <c r="H256" s="2" t="s">
        <v>94</v>
      </c>
      <c r="I256" s="2" t="s">
        <v>600</v>
      </c>
      <c r="J256" s="2" t="s">
        <v>126</v>
      </c>
      <c r="K256" s="2" t="s">
        <v>189</v>
      </c>
      <c r="L256" s="3">
        <v>23.57</v>
      </c>
      <c r="M256" s="3">
        <v>24.75</v>
      </c>
      <c r="N256" s="3">
        <v>44.99</v>
      </c>
      <c r="O256" s="2" t="s">
        <v>98</v>
      </c>
      <c r="P256" s="2" t="s">
        <v>99</v>
      </c>
      <c r="Q256" s="2" t="s">
        <v>100</v>
      </c>
      <c r="R256" s="2" t="s">
        <v>101</v>
      </c>
      <c r="S256" s="2" t="s">
        <v>190</v>
      </c>
      <c r="T256" s="2" t="s">
        <v>103</v>
      </c>
      <c r="U256" s="2" t="s">
        <v>115</v>
      </c>
      <c r="V256" s="2" t="s">
        <v>105</v>
      </c>
      <c r="W256" s="2" t="s">
        <v>106</v>
      </c>
      <c r="X256" s="2" t="s">
        <v>101</v>
      </c>
      <c r="Y256" s="2" t="s">
        <v>349</v>
      </c>
      <c r="Z256" s="4">
        <v>78</v>
      </c>
      <c r="AA256" s="4">
        <f>=ROUNDDOWN(31.2,0)</f>
      </c>
      <c r="AB256" s="5">
        <v>2.5</v>
      </c>
      <c r="AC256" s="2" t="s">
        <v>101</v>
      </c>
      <c r="AD256" s="4"/>
      <c r="AE256" s="4"/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>
        <v>25</v>
      </c>
      <c r="AQ256" s="8">
        <v>612.5</v>
      </c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>
        <v>0.0342</v>
      </c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 t="s">
        <v>101</v>
      </c>
      <c r="BJ256" s="4">
        <v>52</v>
      </c>
      <c r="BK256" s="8">
        <v>1381.36</v>
      </c>
      <c r="BL256" s="2" t="s">
        <v>659</v>
      </c>
      <c r="BM256" s="7">
        <v>0.4808</v>
      </c>
      <c r="BN256" s="7">
        <v>0.4434</v>
      </c>
      <c r="BO256" s="4">
        <v>25</v>
      </c>
      <c r="BP256" s="8">
        <v>612.5</v>
      </c>
      <c r="BQ256" s="4"/>
      <c r="BR256" s="8"/>
      <c r="BS256" s="7"/>
      <c r="BT256" s="7"/>
      <c r="BU256" s="2" t="s">
        <v>110</v>
      </c>
      <c r="BV256" s="2" t="s">
        <v>98</v>
      </c>
      <c r="BW256" s="2" t="s">
        <v>101</v>
      </c>
      <c r="BX256" s="2" t="s">
        <v>206</v>
      </c>
      <c r="BY256" s="2" t="s">
        <v>112</v>
      </c>
      <c r="BZ256" s="2" t="s">
        <v>112</v>
      </c>
      <c r="CA256" s="2" t="s">
        <v>101</v>
      </c>
    </row>
    <row r="257">
      <c r="A257" s="2" t="s">
        <v>660</v>
      </c>
      <c r="B257" s="2" t="s">
        <v>88</v>
      </c>
      <c r="C257" s="2" t="s">
        <v>89</v>
      </c>
      <c r="D257" s="2" t="s">
        <v>598</v>
      </c>
      <c r="E257" s="2" t="s">
        <v>599</v>
      </c>
      <c r="F257" s="2" t="s">
        <v>92</v>
      </c>
      <c r="G257" s="2" t="s">
        <v>93</v>
      </c>
      <c r="H257" s="2" t="s">
        <v>94</v>
      </c>
      <c r="I257" s="2" t="s">
        <v>600</v>
      </c>
      <c r="J257" s="2" t="s">
        <v>96</v>
      </c>
      <c r="K257" s="2" t="s">
        <v>234</v>
      </c>
      <c r="L257" s="3">
        <v>15.47</v>
      </c>
      <c r="M257" s="3">
        <v>16.24</v>
      </c>
      <c r="N257" s="3">
        <v>29.99</v>
      </c>
      <c r="O257" s="2" t="s">
        <v>98</v>
      </c>
      <c r="P257" s="2" t="s">
        <v>99</v>
      </c>
      <c r="Q257" s="2" t="s">
        <v>100</v>
      </c>
      <c r="R257" s="2" t="s">
        <v>101</v>
      </c>
      <c r="S257" s="2" t="s">
        <v>235</v>
      </c>
      <c r="T257" s="2" t="s">
        <v>103</v>
      </c>
      <c r="U257" s="2" t="s">
        <v>104</v>
      </c>
      <c r="V257" s="2" t="s">
        <v>105</v>
      </c>
      <c r="W257" s="2" t="s">
        <v>106</v>
      </c>
      <c r="X257" s="2" t="s">
        <v>101</v>
      </c>
      <c r="Y257" s="2" t="s">
        <v>241</v>
      </c>
      <c r="Z257" s="4">
        <v>38</v>
      </c>
      <c r="AA257" s="4">
        <f>=ROUNDDOWN(4.75,0)</f>
      </c>
      <c r="AB257" s="5">
        <v>8</v>
      </c>
      <c r="AC257" s="2" t="s">
        <v>635</v>
      </c>
      <c r="AD257" s="4">
        <v>60</v>
      </c>
      <c r="AE257" s="4">
        <v>60</v>
      </c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>
        <v>50</v>
      </c>
      <c r="AQ257" s="8">
        <v>875</v>
      </c>
      <c r="AR257" s="4"/>
      <c r="AS257" s="8"/>
      <c r="AT257" s="7"/>
      <c r="AU257" s="7"/>
      <c r="AV257" s="4">
        <v>749</v>
      </c>
      <c r="AW257" s="8">
        <v>17365.82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>
        <v>0.0504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>
        <v>0.0247</v>
      </c>
      <c r="BJ257" s="4">
        <v>152</v>
      </c>
      <c r="BK257" s="8">
        <v>2621.43</v>
      </c>
      <c r="BL257" s="2" t="s">
        <v>661</v>
      </c>
      <c r="BM257" s="7">
        <v>0.3289</v>
      </c>
      <c r="BN257" s="7">
        <v>0.3338</v>
      </c>
      <c r="BO257" s="4">
        <v>50</v>
      </c>
      <c r="BP257" s="8">
        <v>875</v>
      </c>
      <c r="BQ257" s="4"/>
      <c r="BR257" s="8"/>
      <c r="BS257" s="7"/>
      <c r="BT257" s="7"/>
      <c r="BU257" s="2" t="s">
        <v>110</v>
      </c>
      <c r="BV257" s="2" t="s">
        <v>98</v>
      </c>
      <c r="BW257" s="2" t="s">
        <v>101</v>
      </c>
      <c r="BX257" s="2" t="s">
        <v>119</v>
      </c>
      <c r="BY257" s="2" t="s">
        <v>112</v>
      </c>
      <c r="BZ257" s="2" t="s">
        <v>112</v>
      </c>
      <c r="CA257" s="2" t="s">
        <v>101</v>
      </c>
    </row>
    <row r="258">
      <c r="A258" s="2" t="s">
        <v>662</v>
      </c>
      <c r="B258" s="2" t="s">
        <v>88</v>
      </c>
      <c r="C258" s="2" t="s">
        <v>89</v>
      </c>
      <c r="D258" s="2" t="s">
        <v>598</v>
      </c>
      <c r="E258" s="2" t="s">
        <v>599</v>
      </c>
      <c r="F258" s="2" t="s">
        <v>92</v>
      </c>
      <c r="G258" s="2" t="s">
        <v>93</v>
      </c>
      <c r="H258" s="2" t="s">
        <v>94</v>
      </c>
      <c r="I258" s="2" t="s">
        <v>600</v>
      </c>
      <c r="J258" s="2" t="s">
        <v>114</v>
      </c>
      <c r="K258" s="2" t="s">
        <v>234</v>
      </c>
      <c r="L258" s="3">
        <v>19.76</v>
      </c>
      <c r="M258" s="3">
        <v>20.75</v>
      </c>
      <c r="N258" s="3">
        <v>39.99</v>
      </c>
      <c r="O258" s="2" t="s">
        <v>98</v>
      </c>
      <c r="P258" s="2" t="s">
        <v>99</v>
      </c>
      <c r="Q258" s="2" t="s">
        <v>100</v>
      </c>
      <c r="R258" s="2" t="s">
        <v>101</v>
      </c>
      <c r="S258" s="2" t="s">
        <v>235</v>
      </c>
      <c r="T258" s="2" t="s">
        <v>103</v>
      </c>
      <c r="U258" s="2" t="s">
        <v>115</v>
      </c>
      <c r="V258" s="2" t="s">
        <v>105</v>
      </c>
      <c r="W258" s="2" t="s">
        <v>106</v>
      </c>
      <c r="X258" s="2" t="s">
        <v>101</v>
      </c>
      <c r="Y258" s="2" t="s">
        <v>170</v>
      </c>
      <c r="Z258" s="4">
        <v>200</v>
      </c>
      <c r="AA258" s="4">
        <f>=ROUNDDOWN(43.4782608695652,0)</f>
      </c>
      <c r="AB258" s="5">
        <v>4.6</v>
      </c>
      <c r="AC258" s="2" t="s">
        <v>101</v>
      </c>
      <c r="AD258" s="4"/>
      <c r="AE258" s="4"/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>
        <v>54</v>
      </c>
      <c r="AQ258" s="8">
        <v>1188</v>
      </c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>
        <v>0.0684</v>
      </c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>
        <v>120</v>
      </c>
      <c r="BK258" s="8">
        <v>2569.25</v>
      </c>
      <c r="BL258" s="2" t="s">
        <v>521</v>
      </c>
      <c r="BM258" s="7">
        <v>0.45</v>
      </c>
      <c r="BN258" s="7">
        <v>0.4624</v>
      </c>
      <c r="BO258" s="4">
        <v>54</v>
      </c>
      <c r="BP258" s="8">
        <v>1188</v>
      </c>
      <c r="BQ258" s="4"/>
      <c r="BR258" s="8"/>
      <c r="BS258" s="7"/>
      <c r="BT258" s="7"/>
      <c r="BU258" s="2" t="s">
        <v>110</v>
      </c>
      <c r="BV258" s="2" t="s">
        <v>98</v>
      </c>
      <c r="BW258" s="2" t="s">
        <v>101</v>
      </c>
      <c r="BX258" s="2" t="s">
        <v>136</v>
      </c>
      <c r="BY258" s="2" t="s">
        <v>112</v>
      </c>
      <c r="BZ258" s="2" t="s">
        <v>112</v>
      </c>
      <c r="CA258" s="2" t="s">
        <v>101</v>
      </c>
    </row>
    <row r="259">
      <c r="A259" s="2" t="s">
        <v>663</v>
      </c>
      <c r="B259" s="2" t="s">
        <v>88</v>
      </c>
      <c r="C259" s="2" t="s">
        <v>89</v>
      </c>
      <c r="D259" s="2" t="s">
        <v>598</v>
      </c>
      <c r="E259" s="2" t="s">
        <v>599</v>
      </c>
      <c r="F259" s="2" t="s">
        <v>92</v>
      </c>
      <c r="G259" s="2" t="s">
        <v>93</v>
      </c>
      <c r="H259" s="2" t="s">
        <v>94</v>
      </c>
      <c r="I259" s="2" t="s">
        <v>600</v>
      </c>
      <c r="J259" s="2" t="s">
        <v>121</v>
      </c>
      <c r="K259" s="2" t="s">
        <v>234</v>
      </c>
      <c r="L259" s="3">
        <v>20.23</v>
      </c>
      <c r="M259" s="3">
        <v>21.24</v>
      </c>
      <c r="N259" s="3">
        <v>39.99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235</v>
      </c>
      <c r="T259" s="2" t="s">
        <v>103</v>
      </c>
      <c r="U259" s="2" t="s">
        <v>115</v>
      </c>
      <c r="V259" s="2" t="s">
        <v>105</v>
      </c>
      <c r="W259" s="2" t="s">
        <v>106</v>
      </c>
      <c r="X259" s="2" t="s">
        <v>101</v>
      </c>
      <c r="Y259" s="2" t="s">
        <v>241</v>
      </c>
      <c r="Z259" s="4">
        <v>182</v>
      </c>
      <c r="AA259" s="4">
        <f>=ROUNDDOWN(6.45390070921986,0)</f>
      </c>
      <c r="AB259" s="5">
        <v>28.2</v>
      </c>
      <c r="AC259" s="2" t="s">
        <v>166</v>
      </c>
      <c r="AD259" s="4">
        <v>60</v>
      </c>
      <c r="AE259" s="4">
        <v>180</v>
      </c>
      <c r="AF259" s="6">
        <v>63</v>
      </c>
      <c r="AG259" s="6">
        <v>46</v>
      </c>
      <c r="AH259" s="7">
        <v>0.9948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>
        <v>185</v>
      </c>
      <c r="AQ259" s="8">
        <v>4070</v>
      </c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>
        <v>0.2344</v>
      </c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801</v>
      </c>
      <c r="BK259" s="8">
        <v>17582.05</v>
      </c>
      <c r="BL259" s="2" t="s">
        <v>145</v>
      </c>
      <c r="BM259" s="7">
        <v>0.231</v>
      </c>
      <c r="BN259" s="7">
        <v>0.2315</v>
      </c>
      <c r="BO259" s="4">
        <v>185</v>
      </c>
      <c r="BP259" s="8">
        <v>4070</v>
      </c>
      <c r="BQ259" s="4"/>
      <c r="BR259" s="8"/>
      <c r="BS259" s="7"/>
      <c r="BT259" s="7"/>
      <c r="BU259" s="2" t="s">
        <v>110</v>
      </c>
      <c r="BV259" s="2" t="s">
        <v>98</v>
      </c>
      <c r="BW259" s="2" t="s">
        <v>101</v>
      </c>
      <c r="BX259" s="2" t="s">
        <v>136</v>
      </c>
      <c r="BY259" s="2" t="s">
        <v>112</v>
      </c>
      <c r="BZ259" s="2" t="s">
        <v>112</v>
      </c>
      <c r="CA259" s="2" t="s">
        <v>101</v>
      </c>
    </row>
    <row r="260">
      <c r="A260" s="2" t="s">
        <v>664</v>
      </c>
      <c r="B260" s="2" t="s">
        <v>88</v>
      </c>
      <c r="C260" s="2" t="s">
        <v>89</v>
      </c>
      <c r="D260" s="2" t="s">
        <v>598</v>
      </c>
      <c r="E260" s="2" t="s">
        <v>599</v>
      </c>
      <c r="F260" s="2" t="s">
        <v>92</v>
      </c>
      <c r="G260" s="2" t="s">
        <v>93</v>
      </c>
      <c r="H260" s="2" t="s">
        <v>94</v>
      </c>
      <c r="I260" s="2" t="s">
        <v>600</v>
      </c>
      <c r="J260" s="2" t="s">
        <v>123</v>
      </c>
      <c r="K260" s="2" t="s">
        <v>234</v>
      </c>
      <c r="L260" s="3">
        <v>22.61</v>
      </c>
      <c r="M260" s="3">
        <v>23.74</v>
      </c>
      <c r="N260" s="3">
        <v>44.99</v>
      </c>
      <c r="O260" s="2" t="s">
        <v>98</v>
      </c>
      <c r="P260" s="2" t="s">
        <v>99</v>
      </c>
      <c r="Q260" s="2" t="s">
        <v>100</v>
      </c>
      <c r="R260" s="2" t="s">
        <v>101</v>
      </c>
      <c r="S260" s="2" t="s">
        <v>235</v>
      </c>
      <c r="T260" s="2" t="s">
        <v>103</v>
      </c>
      <c r="U260" s="2" t="s">
        <v>115</v>
      </c>
      <c r="V260" s="2" t="s">
        <v>105</v>
      </c>
      <c r="W260" s="2" t="s">
        <v>106</v>
      </c>
      <c r="X260" s="2" t="s">
        <v>101</v>
      </c>
      <c r="Y260" s="2" t="s">
        <v>241</v>
      </c>
      <c r="Z260" s="4"/>
      <c r="AA260" s="4">
        <f>=ROUNDDOWN({0},0)</f>
      </c>
      <c r="AB260" s="5">
        <v>36.3</v>
      </c>
      <c r="AC260" s="2" t="s">
        <v>166</v>
      </c>
      <c r="AD260" s="4">
        <v>180</v>
      </c>
      <c r="AE260" s="4">
        <v>360</v>
      </c>
      <c r="AF260" s="6">
        <v>63</v>
      </c>
      <c r="AG260" s="6">
        <v>46</v>
      </c>
      <c r="AH260" s="7">
        <v>0.822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>
        <v>286</v>
      </c>
      <c r="AQ260" s="8">
        <v>6969.82</v>
      </c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>
        <v>0.4014</v>
      </c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 t="s">
        <v>101</v>
      </c>
      <c r="BJ260" s="4">
        <v>811</v>
      </c>
      <c r="BK260" s="8">
        <v>19701.5</v>
      </c>
      <c r="BL260" s="2" t="s">
        <v>167</v>
      </c>
      <c r="BM260" s="7">
        <v>0.3527</v>
      </c>
      <c r="BN260" s="7">
        <v>0.3538</v>
      </c>
      <c r="BO260" s="4">
        <v>286</v>
      </c>
      <c r="BP260" s="8">
        <v>6969.82</v>
      </c>
      <c r="BQ260" s="4"/>
      <c r="BR260" s="8"/>
      <c r="BS260" s="7"/>
      <c r="BT260" s="7"/>
      <c r="BU260" s="2" t="s">
        <v>110</v>
      </c>
      <c r="BV260" s="2" t="s">
        <v>98</v>
      </c>
      <c r="BW260" s="2" t="s">
        <v>101</v>
      </c>
      <c r="BX260" s="2" t="s">
        <v>351</v>
      </c>
      <c r="BY260" s="2" t="s">
        <v>112</v>
      </c>
      <c r="BZ260" s="2" t="s">
        <v>112</v>
      </c>
      <c r="CA260" s="2" t="s">
        <v>101</v>
      </c>
    </row>
    <row r="261">
      <c r="A261" s="2" t="s">
        <v>665</v>
      </c>
      <c r="B261" s="2" t="s">
        <v>88</v>
      </c>
      <c r="C261" s="2" t="s">
        <v>89</v>
      </c>
      <c r="D261" s="2" t="s">
        <v>598</v>
      </c>
      <c r="E261" s="2" t="s">
        <v>599</v>
      </c>
      <c r="F261" s="2" t="s">
        <v>92</v>
      </c>
      <c r="G261" s="2" t="s">
        <v>93</v>
      </c>
      <c r="H261" s="2" t="s">
        <v>94</v>
      </c>
      <c r="I261" s="2" t="s">
        <v>600</v>
      </c>
      <c r="J261" s="2" t="s">
        <v>126</v>
      </c>
      <c r="K261" s="2" t="s">
        <v>234</v>
      </c>
      <c r="L261" s="3">
        <v>23.57</v>
      </c>
      <c r="M261" s="3">
        <v>24.75</v>
      </c>
      <c r="N261" s="3">
        <v>44.99</v>
      </c>
      <c r="O261" s="2" t="s">
        <v>98</v>
      </c>
      <c r="P261" s="2" t="s">
        <v>99</v>
      </c>
      <c r="Q261" s="2" t="s">
        <v>100</v>
      </c>
      <c r="R261" s="2" t="s">
        <v>101</v>
      </c>
      <c r="S261" s="2" t="s">
        <v>235</v>
      </c>
      <c r="T261" s="2" t="s">
        <v>103</v>
      </c>
      <c r="U261" s="2" t="s">
        <v>115</v>
      </c>
      <c r="V261" s="2" t="s">
        <v>105</v>
      </c>
      <c r="W261" s="2" t="s">
        <v>106</v>
      </c>
      <c r="X261" s="2" t="s">
        <v>101</v>
      </c>
      <c r="Y261" s="2" t="s">
        <v>170</v>
      </c>
      <c r="Z261" s="4">
        <v>478</v>
      </c>
      <c r="AA261" s="4">
        <f>=ROUNDDOWN(30.8387096774194,0)</f>
      </c>
      <c r="AB261" s="5">
        <v>15.5</v>
      </c>
      <c r="AC261" s="2" t="s">
        <v>101</v>
      </c>
      <c r="AD261" s="4"/>
      <c r="AE261" s="4"/>
      <c r="AF261" s="6">
        <v>63</v>
      </c>
      <c r="AG261" s="6">
        <v>46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>
        <v>174</v>
      </c>
      <c r="AQ261" s="8">
        <v>4263</v>
      </c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>
        <v>0.2455</v>
      </c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 t="s">
        <v>101</v>
      </c>
      <c r="BJ261" s="4">
        <v>406</v>
      </c>
      <c r="BK261" s="8">
        <v>10766.76</v>
      </c>
      <c r="BL261" s="2" t="s">
        <v>176</v>
      </c>
      <c r="BM261" s="7">
        <v>0.4286</v>
      </c>
      <c r="BN261" s="7">
        <v>0.3959</v>
      </c>
      <c r="BO261" s="4">
        <v>174</v>
      </c>
      <c r="BP261" s="8">
        <v>4263</v>
      </c>
      <c r="BQ261" s="4"/>
      <c r="BR261" s="8"/>
      <c r="BS261" s="7"/>
      <c r="BT261" s="7"/>
      <c r="BU261" s="2" t="s">
        <v>110</v>
      </c>
      <c r="BV261" s="2" t="s">
        <v>98</v>
      </c>
      <c r="BW261" s="2" t="s">
        <v>101</v>
      </c>
      <c r="BX261" s="2" t="s">
        <v>168</v>
      </c>
      <c r="BY261" s="2" t="s">
        <v>112</v>
      </c>
      <c r="BZ261" s="2" t="s">
        <v>112</v>
      </c>
      <c r="CA261" s="2" t="s">
        <v>101</v>
      </c>
    </row>
    <row r="262">
      <c r="A262" s="2" t="s">
        <v>666</v>
      </c>
      <c r="B262" s="2" t="s">
        <v>88</v>
      </c>
      <c r="C262" s="2" t="s">
        <v>89</v>
      </c>
      <c r="D262" s="2" t="s">
        <v>598</v>
      </c>
      <c r="E262" s="2" t="s">
        <v>599</v>
      </c>
      <c r="F262" s="2" t="s">
        <v>92</v>
      </c>
      <c r="G262" s="2" t="s">
        <v>93</v>
      </c>
      <c r="H262" s="2" t="s">
        <v>94</v>
      </c>
      <c r="I262" s="2" t="s">
        <v>600</v>
      </c>
      <c r="J262" s="2" t="s">
        <v>96</v>
      </c>
      <c r="K262" s="2" t="s">
        <v>225</v>
      </c>
      <c r="L262" s="3">
        <v>15.47</v>
      </c>
      <c r="M262" s="3">
        <v>16.24</v>
      </c>
      <c r="N262" s="3">
        <v>29.99</v>
      </c>
      <c r="O262" s="2" t="s">
        <v>98</v>
      </c>
      <c r="P262" s="2" t="s">
        <v>226</v>
      </c>
      <c r="Q262" s="2" t="s">
        <v>100</v>
      </c>
      <c r="R262" s="2" t="s">
        <v>101</v>
      </c>
      <c r="S262" s="2" t="s">
        <v>227</v>
      </c>
      <c r="T262" s="2" t="s">
        <v>103</v>
      </c>
      <c r="U262" s="2" t="s">
        <v>104</v>
      </c>
      <c r="V262" s="2" t="s">
        <v>105</v>
      </c>
      <c r="W262" s="2" t="s">
        <v>106</v>
      </c>
      <c r="X262" s="2" t="s">
        <v>101</v>
      </c>
      <c r="Y262" s="2" t="s">
        <v>241</v>
      </c>
      <c r="Z262" s="4">
        <v>43</v>
      </c>
      <c r="AA262" s="4">
        <f>=ROUNDDOWN(11.025641025641,0)</f>
      </c>
      <c r="AB262" s="5">
        <v>3.9</v>
      </c>
      <c r="AC262" s="2" t="s">
        <v>101</v>
      </c>
      <c r="AD262" s="4"/>
      <c r="AE262" s="4"/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>
        <v>111</v>
      </c>
      <c r="AQ262" s="8">
        <v>1942.5</v>
      </c>
      <c r="AR262" s="4"/>
      <c r="AS262" s="8"/>
      <c r="AT262" s="7"/>
      <c r="AU262" s="7"/>
      <c r="AV262" s="4">
        <v>711</v>
      </c>
      <c r="AW262" s="8">
        <v>15877.54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>
        <v>0.1223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0.0226</v>
      </c>
      <c r="BJ262" s="4">
        <v>150</v>
      </c>
      <c r="BK262" s="8">
        <v>2633.73</v>
      </c>
      <c r="BL262" s="2" t="s">
        <v>667</v>
      </c>
      <c r="BM262" s="7">
        <v>0.74</v>
      </c>
      <c r="BN262" s="7">
        <v>0.7375</v>
      </c>
      <c r="BO262" s="4">
        <v>111</v>
      </c>
      <c r="BP262" s="8">
        <v>1942.5</v>
      </c>
      <c r="BQ262" s="4"/>
      <c r="BR262" s="8"/>
      <c r="BS262" s="7"/>
      <c r="BT262" s="7"/>
      <c r="BU262" s="2" t="s">
        <v>110</v>
      </c>
      <c r="BV262" s="2" t="s">
        <v>98</v>
      </c>
      <c r="BW262" s="2" t="s">
        <v>101</v>
      </c>
      <c r="BX262" s="2" t="s">
        <v>119</v>
      </c>
      <c r="BY262" s="2" t="s">
        <v>112</v>
      </c>
      <c r="BZ262" s="2" t="s">
        <v>112</v>
      </c>
      <c r="CA262" s="2" t="s">
        <v>101</v>
      </c>
    </row>
    <row r="263">
      <c r="A263" s="2" t="s">
        <v>668</v>
      </c>
      <c r="B263" s="2" t="s">
        <v>88</v>
      </c>
      <c r="C263" s="2" t="s">
        <v>89</v>
      </c>
      <c r="D263" s="2" t="s">
        <v>598</v>
      </c>
      <c r="E263" s="2" t="s">
        <v>599</v>
      </c>
      <c r="F263" s="2" t="s">
        <v>92</v>
      </c>
      <c r="G263" s="2" t="s">
        <v>93</v>
      </c>
      <c r="H263" s="2" t="s">
        <v>94</v>
      </c>
      <c r="I263" s="2" t="s">
        <v>600</v>
      </c>
      <c r="J263" s="2" t="s">
        <v>114</v>
      </c>
      <c r="K263" s="2" t="s">
        <v>225</v>
      </c>
      <c r="L263" s="3">
        <v>19.76</v>
      </c>
      <c r="M263" s="3">
        <v>20.75</v>
      </c>
      <c r="N263" s="3">
        <v>39.99</v>
      </c>
      <c r="O263" s="2" t="s">
        <v>98</v>
      </c>
      <c r="P263" s="2" t="s">
        <v>226</v>
      </c>
      <c r="Q263" s="2" t="s">
        <v>100</v>
      </c>
      <c r="R263" s="2" t="s">
        <v>101</v>
      </c>
      <c r="S263" s="2" t="s">
        <v>227</v>
      </c>
      <c r="T263" s="2" t="s">
        <v>103</v>
      </c>
      <c r="U263" s="2" t="s">
        <v>115</v>
      </c>
      <c r="V263" s="2" t="s">
        <v>105</v>
      </c>
      <c r="W263" s="2" t="s">
        <v>106</v>
      </c>
      <c r="X263" s="2" t="s">
        <v>101</v>
      </c>
      <c r="Y263" s="2" t="s">
        <v>170</v>
      </c>
      <c r="Z263" s="4">
        <v>120</v>
      </c>
      <c r="AA263" s="4">
        <f>=ROUNDDOWN(40,0)</f>
      </c>
      <c r="AB263" s="5">
        <v>3</v>
      </c>
      <c r="AC263" s="2" t="s">
        <v>101</v>
      </c>
      <c r="AD263" s="4"/>
      <c r="AE263" s="4"/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>
        <v>81</v>
      </c>
      <c r="AQ263" s="8">
        <v>1782</v>
      </c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>
        <v>0.1122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>
        <v>120</v>
      </c>
      <c r="BK263" s="8">
        <v>2626.12</v>
      </c>
      <c r="BL263" s="2" t="s">
        <v>659</v>
      </c>
      <c r="BM263" s="7">
        <v>0.675</v>
      </c>
      <c r="BN263" s="7">
        <v>0.6786</v>
      </c>
      <c r="BO263" s="4">
        <v>81</v>
      </c>
      <c r="BP263" s="8">
        <v>1782</v>
      </c>
      <c r="BQ263" s="4"/>
      <c r="BR263" s="8"/>
      <c r="BS263" s="7"/>
      <c r="BT263" s="7"/>
      <c r="BU263" s="2" t="s">
        <v>110</v>
      </c>
      <c r="BV263" s="2" t="s">
        <v>98</v>
      </c>
      <c r="BW263" s="2" t="s">
        <v>101</v>
      </c>
      <c r="BX263" s="2" t="s">
        <v>136</v>
      </c>
      <c r="BY263" s="2" t="s">
        <v>112</v>
      </c>
      <c r="BZ263" s="2" t="s">
        <v>112</v>
      </c>
      <c r="CA263" s="2" t="s">
        <v>101</v>
      </c>
    </row>
    <row r="264">
      <c r="A264" s="2" t="s">
        <v>669</v>
      </c>
      <c r="B264" s="2" t="s">
        <v>88</v>
      </c>
      <c r="C264" s="2" t="s">
        <v>89</v>
      </c>
      <c r="D264" s="2" t="s">
        <v>598</v>
      </c>
      <c r="E264" s="2" t="s">
        <v>599</v>
      </c>
      <c r="F264" s="2" t="s">
        <v>92</v>
      </c>
      <c r="G264" s="2" t="s">
        <v>93</v>
      </c>
      <c r="H264" s="2" t="s">
        <v>94</v>
      </c>
      <c r="I264" s="2" t="s">
        <v>600</v>
      </c>
      <c r="J264" s="2" t="s">
        <v>121</v>
      </c>
      <c r="K264" s="2" t="s">
        <v>225</v>
      </c>
      <c r="L264" s="3">
        <v>20.23</v>
      </c>
      <c r="M264" s="3">
        <v>21.24</v>
      </c>
      <c r="N264" s="3">
        <v>39.99</v>
      </c>
      <c r="O264" s="2" t="s">
        <v>98</v>
      </c>
      <c r="P264" s="2" t="s">
        <v>226</v>
      </c>
      <c r="Q264" s="2" t="s">
        <v>100</v>
      </c>
      <c r="R264" s="2" t="s">
        <v>101</v>
      </c>
      <c r="S264" s="2" t="s">
        <v>227</v>
      </c>
      <c r="T264" s="2" t="s">
        <v>103</v>
      </c>
      <c r="U264" s="2" t="s">
        <v>115</v>
      </c>
      <c r="V264" s="2" t="s">
        <v>105</v>
      </c>
      <c r="W264" s="2" t="s">
        <v>106</v>
      </c>
      <c r="X264" s="2" t="s">
        <v>101</v>
      </c>
      <c r="Y264" s="2" t="s">
        <v>241</v>
      </c>
      <c r="Z264" s="4">
        <v>195</v>
      </c>
      <c r="AA264" s="4">
        <f>=ROUNDDOWN(12.6623376623377,0)</f>
      </c>
      <c r="AB264" s="5">
        <v>15.4</v>
      </c>
      <c r="AC264" s="2" t="s">
        <v>101</v>
      </c>
      <c r="AD264" s="4"/>
      <c r="AE264" s="4"/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215</v>
      </c>
      <c r="AQ264" s="8">
        <v>4730</v>
      </c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>
        <v>0.2979</v>
      </c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 t="s">
        <v>101</v>
      </c>
      <c r="BJ264" s="4">
        <v>475</v>
      </c>
      <c r="BK264" s="8">
        <v>10370.87</v>
      </c>
      <c r="BL264" s="2" t="s">
        <v>248</v>
      </c>
      <c r="BM264" s="7">
        <v>0.4526</v>
      </c>
      <c r="BN264" s="7">
        <v>0.4561</v>
      </c>
      <c r="BO264" s="4">
        <v>215</v>
      </c>
      <c r="BP264" s="8">
        <v>4730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101</v>
      </c>
      <c r="BX264" s="2" t="s">
        <v>119</v>
      </c>
      <c r="BY264" s="2" t="s">
        <v>112</v>
      </c>
      <c r="BZ264" s="2" t="s">
        <v>112</v>
      </c>
      <c r="CA264" s="2" t="s">
        <v>101</v>
      </c>
    </row>
    <row r="265">
      <c r="A265" s="2" t="s">
        <v>670</v>
      </c>
      <c r="B265" s="2" t="s">
        <v>88</v>
      </c>
      <c r="C265" s="2" t="s">
        <v>89</v>
      </c>
      <c r="D265" s="2" t="s">
        <v>598</v>
      </c>
      <c r="E265" s="2" t="s">
        <v>599</v>
      </c>
      <c r="F265" s="2" t="s">
        <v>92</v>
      </c>
      <c r="G265" s="2" t="s">
        <v>93</v>
      </c>
      <c r="H265" s="2" t="s">
        <v>94</v>
      </c>
      <c r="I265" s="2" t="s">
        <v>600</v>
      </c>
      <c r="J265" s="2" t="s">
        <v>123</v>
      </c>
      <c r="K265" s="2" t="s">
        <v>225</v>
      </c>
      <c r="L265" s="3">
        <v>22.61</v>
      </c>
      <c r="M265" s="3">
        <v>23.74</v>
      </c>
      <c r="N265" s="3">
        <v>44.99</v>
      </c>
      <c r="O265" s="2" t="s">
        <v>98</v>
      </c>
      <c r="P265" s="2" t="s">
        <v>226</v>
      </c>
      <c r="Q265" s="2" t="s">
        <v>100</v>
      </c>
      <c r="R265" s="2" t="s">
        <v>101</v>
      </c>
      <c r="S265" s="2" t="s">
        <v>227</v>
      </c>
      <c r="T265" s="2" t="s">
        <v>103</v>
      </c>
      <c r="U265" s="2" t="s">
        <v>115</v>
      </c>
      <c r="V265" s="2" t="s">
        <v>105</v>
      </c>
      <c r="W265" s="2" t="s">
        <v>106</v>
      </c>
      <c r="X265" s="2" t="s">
        <v>101</v>
      </c>
      <c r="Y265" s="2" t="s">
        <v>241</v>
      </c>
      <c r="Z265" s="4">
        <v>174</v>
      </c>
      <c r="AA265" s="4">
        <f>=ROUNDDOWN(9.72067039106145,0)</f>
      </c>
      <c r="AB265" s="5">
        <v>17.9</v>
      </c>
      <c r="AC265" s="2" t="s">
        <v>101</v>
      </c>
      <c r="AD265" s="4"/>
      <c r="AE265" s="4"/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>
        <v>192</v>
      </c>
      <c r="AQ265" s="8">
        <v>4679.04</v>
      </c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>
        <v>0.2947</v>
      </c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467</v>
      </c>
      <c r="BK265" s="8">
        <v>11430.14</v>
      </c>
      <c r="BL265" s="2" t="s">
        <v>145</v>
      </c>
      <c r="BM265" s="7">
        <v>0.4111</v>
      </c>
      <c r="BN265" s="7">
        <v>0.4094</v>
      </c>
      <c r="BO265" s="4">
        <v>192</v>
      </c>
      <c r="BP265" s="8">
        <v>4679.04</v>
      </c>
      <c r="BQ265" s="4"/>
      <c r="BR265" s="8"/>
      <c r="BS265" s="7"/>
      <c r="BT265" s="7"/>
      <c r="BU265" s="2" t="s">
        <v>110</v>
      </c>
      <c r="BV265" s="2" t="s">
        <v>98</v>
      </c>
      <c r="BW265" s="2" t="s">
        <v>101</v>
      </c>
      <c r="BX265" s="2" t="s">
        <v>119</v>
      </c>
      <c r="BY265" s="2" t="s">
        <v>112</v>
      </c>
      <c r="BZ265" s="2" t="s">
        <v>112</v>
      </c>
      <c r="CA265" s="2" t="s">
        <v>101</v>
      </c>
    </row>
    <row r="266">
      <c r="A266" s="2" t="s">
        <v>671</v>
      </c>
      <c r="B266" s="2" t="s">
        <v>88</v>
      </c>
      <c r="C266" s="2" t="s">
        <v>89</v>
      </c>
      <c r="D266" s="2" t="s">
        <v>598</v>
      </c>
      <c r="E266" s="2" t="s">
        <v>599</v>
      </c>
      <c r="F266" s="2" t="s">
        <v>92</v>
      </c>
      <c r="G266" s="2" t="s">
        <v>93</v>
      </c>
      <c r="H266" s="2" t="s">
        <v>94</v>
      </c>
      <c r="I266" s="2" t="s">
        <v>600</v>
      </c>
      <c r="J266" s="2" t="s">
        <v>126</v>
      </c>
      <c r="K266" s="2" t="s">
        <v>225</v>
      </c>
      <c r="L266" s="3">
        <v>23.57</v>
      </c>
      <c r="M266" s="3">
        <v>24.75</v>
      </c>
      <c r="N266" s="3">
        <v>44.99</v>
      </c>
      <c r="O266" s="2" t="s">
        <v>98</v>
      </c>
      <c r="P266" s="2" t="s">
        <v>226</v>
      </c>
      <c r="Q266" s="2" t="s">
        <v>100</v>
      </c>
      <c r="R266" s="2" t="s">
        <v>101</v>
      </c>
      <c r="S266" s="2" t="s">
        <v>227</v>
      </c>
      <c r="T266" s="2" t="s">
        <v>103</v>
      </c>
      <c r="U266" s="2" t="s">
        <v>115</v>
      </c>
      <c r="V266" s="2" t="s">
        <v>105</v>
      </c>
      <c r="W266" s="2" t="s">
        <v>106</v>
      </c>
      <c r="X266" s="2" t="s">
        <v>101</v>
      </c>
      <c r="Y266" s="2" t="s">
        <v>170</v>
      </c>
      <c r="Z266" s="4">
        <v>154</v>
      </c>
      <c r="AA266" s="4">
        <f>=ROUNDDOWN(21.0958904109589,0)</f>
      </c>
      <c r="AB266" s="5">
        <v>7.3</v>
      </c>
      <c r="AC266" s="2" t="s">
        <v>101</v>
      </c>
      <c r="AD266" s="4"/>
      <c r="AE266" s="4"/>
      <c r="AF266" s="6">
        <v>63</v>
      </c>
      <c r="AG266" s="6">
        <v>46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>
        <v>112</v>
      </c>
      <c r="AQ266" s="8">
        <v>2744</v>
      </c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>
        <v>0.1728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 t="s">
        <v>101</v>
      </c>
      <c r="BJ266" s="4">
        <v>202</v>
      </c>
      <c r="BK266" s="8">
        <v>5031.98</v>
      </c>
      <c r="BL266" s="2" t="s">
        <v>521</v>
      </c>
      <c r="BM266" s="7">
        <v>0.5545</v>
      </c>
      <c r="BN266" s="7">
        <v>0.5453</v>
      </c>
      <c r="BO266" s="4">
        <v>112</v>
      </c>
      <c r="BP266" s="8">
        <v>2744</v>
      </c>
      <c r="BQ266" s="4"/>
      <c r="BR266" s="8"/>
      <c r="BS266" s="7"/>
      <c r="BT266" s="7"/>
      <c r="BU266" s="2" t="s">
        <v>110</v>
      </c>
      <c r="BV266" s="2" t="s">
        <v>98</v>
      </c>
      <c r="BW266" s="2" t="s">
        <v>101</v>
      </c>
      <c r="BX266" s="2" t="s">
        <v>168</v>
      </c>
      <c r="BY266" s="2" t="s">
        <v>112</v>
      </c>
      <c r="BZ266" s="2" t="s">
        <v>112</v>
      </c>
      <c r="CA266" s="2" t="s">
        <v>101</v>
      </c>
    </row>
    <row r="267">
      <c r="A267" s="2" t="s">
        <v>672</v>
      </c>
      <c r="B267" s="2" t="s">
        <v>88</v>
      </c>
      <c r="C267" s="2" t="s">
        <v>89</v>
      </c>
      <c r="D267" s="2" t="s">
        <v>598</v>
      </c>
      <c r="E267" s="2" t="s">
        <v>599</v>
      </c>
      <c r="F267" s="2" t="s">
        <v>92</v>
      </c>
      <c r="G267" s="2" t="s">
        <v>93</v>
      </c>
      <c r="H267" s="2" t="s">
        <v>94</v>
      </c>
      <c r="I267" s="2" t="s">
        <v>600</v>
      </c>
      <c r="J267" s="2" t="s">
        <v>96</v>
      </c>
      <c r="K267" s="2" t="s">
        <v>208</v>
      </c>
      <c r="L267" s="3">
        <v>15.47</v>
      </c>
      <c r="M267" s="3">
        <v>16.24</v>
      </c>
      <c r="N267" s="3">
        <v>32.49</v>
      </c>
      <c r="O267" s="2" t="s">
        <v>98</v>
      </c>
      <c r="P267" s="2" t="s">
        <v>99</v>
      </c>
      <c r="Q267" s="2" t="s">
        <v>100</v>
      </c>
      <c r="R267" s="2" t="s">
        <v>101</v>
      </c>
      <c r="S267" s="2" t="s">
        <v>209</v>
      </c>
      <c r="T267" s="2" t="s">
        <v>103</v>
      </c>
      <c r="U267" s="2" t="s">
        <v>104</v>
      </c>
      <c r="V267" s="2" t="s">
        <v>105</v>
      </c>
      <c r="W267" s="2" t="s">
        <v>106</v>
      </c>
      <c r="X267" s="2" t="s">
        <v>101</v>
      </c>
      <c r="Y267" s="2" t="s">
        <v>609</v>
      </c>
      <c r="Z267" s="4">
        <v>158</v>
      </c>
      <c r="AA267" s="4">
        <f>=ROUNDDOWN(20.5194805194805,0)</f>
      </c>
      <c r="AB267" s="5">
        <v>7.7</v>
      </c>
      <c r="AC267" s="2" t="s">
        <v>101</v>
      </c>
      <c r="AD267" s="4"/>
      <c r="AE267" s="4"/>
      <c r="AF267" s="6">
        <v>63</v>
      </c>
      <c r="AG267" s="6">
        <v>46</v>
      </c>
      <c r="AH267" s="7">
        <v>0.994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>
        <v>157</v>
      </c>
      <c r="AQ267" s="8">
        <v>2747.5</v>
      </c>
      <c r="AR267" s="4"/>
      <c r="AS267" s="8"/>
      <c r="AT267" s="7"/>
      <c r="AU267" s="7"/>
      <c r="AV267" s="4">
        <v>705</v>
      </c>
      <c r="AW267" s="8">
        <v>15471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>
        <v>0.1776</v>
      </c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>
        <v>0.022</v>
      </c>
      <c r="BJ267" s="4">
        <v>338</v>
      </c>
      <c r="BK267" s="8">
        <v>5865.85</v>
      </c>
      <c r="BL267" s="2" t="s">
        <v>540</v>
      </c>
      <c r="BM267" s="7">
        <v>0.4645</v>
      </c>
      <c r="BN267" s="7">
        <v>0.4684</v>
      </c>
      <c r="BO267" s="4">
        <v>157</v>
      </c>
      <c r="BP267" s="8">
        <v>2747.5</v>
      </c>
      <c r="BQ267" s="4"/>
      <c r="BR267" s="8"/>
      <c r="BS267" s="7"/>
      <c r="BT267" s="7"/>
      <c r="BU267" s="2" t="s">
        <v>110</v>
      </c>
      <c r="BV267" s="2" t="s">
        <v>98</v>
      </c>
      <c r="BW267" s="2" t="s">
        <v>101</v>
      </c>
      <c r="BX267" s="2" t="s">
        <v>133</v>
      </c>
      <c r="BY267" s="2" t="s">
        <v>112</v>
      </c>
      <c r="BZ267" s="2" t="s">
        <v>112</v>
      </c>
      <c r="CA267" s="2" t="s">
        <v>101</v>
      </c>
    </row>
    <row r="268">
      <c r="A268" s="2" t="s">
        <v>673</v>
      </c>
      <c r="B268" s="2" t="s">
        <v>88</v>
      </c>
      <c r="C268" s="2" t="s">
        <v>89</v>
      </c>
      <c r="D268" s="2" t="s">
        <v>598</v>
      </c>
      <c r="E268" s="2" t="s">
        <v>599</v>
      </c>
      <c r="F268" s="2" t="s">
        <v>92</v>
      </c>
      <c r="G268" s="2" t="s">
        <v>93</v>
      </c>
      <c r="H268" s="2" t="s">
        <v>94</v>
      </c>
      <c r="I268" s="2" t="s">
        <v>600</v>
      </c>
      <c r="J268" s="2" t="s">
        <v>114</v>
      </c>
      <c r="K268" s="2" t="s">
        <v>208</v>
      </c>
      <c r="L268" s="3">
        <v>19.76</v>
      </c>
      <c r="M268" s="3">
        <v>20.75</v>
      </c>
      <c r="N268" s="3">
        <v>39.99</v>
      </c>
      <c r="O268" s="2" t="s">
        <v>98</v>
      </c>
      <c r="P268" s="2" t="s">
        <v>99</v>
      </c>
      <c r="Q268" s="2" t="s">
        <v>100</v>
      </c>
      <c r="R268" s="2" t="s">
        <v>101</v>
      </c>
      <c r="S268" s="2" t="s">
        <v>209</v>
      </c>
      <c r="T268" s="2" t="s">
        <v>103</v>
      </c>
      <c r="U268" s="2" t="s">
        <v>115</v>
      </c>
      <c r="V268" s="2" t="s">
        <v>105</v>
      </c>
      <c r="W268" s="2" t="s">
        <v>106</v>
      </c>
      <c r="X268" s="2" t="s">
        <v>101</v>
      </c>
      <c r="Y268" s="2" t="s">
        <v>349</v>
      </c>
      <c r="Z268" s="4">
        <v>355</v>
      </c>
      <c r="AA268" s="4">
        <f>=ROUNDDOWN(110.9375,0)</f>
      </c>
      <c r="AB268" s="5">
        <v>3.2</v>
      </c>
      <c r="AC268" s="2" t="s">
        <v>380</v>
      </c>
      <c r="AD268" s="4">
        <v>320</v>
      </c>
      <c r="AE268" s="4">
        <v>320</v>
      </c>
      <c r="AF268" s="6">
        <v>63</v>
      </c>
      <c r="AG268" s="6">
        <v>46</v>
      </c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>
        <v>19</v>
      </c>
      <c r="AQ268" s="8">
        <v>418</v>
      </c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>
        <v>0.027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 t="s">
        <v>101</v>
      </c>
      <c r="BJ268" s="4">
        <v>72</v>
      </c>
      <c r="BK268" s="8">
        <v>1512.08</v>
      </c>
      <c r="BL268" s="2" t="s">
        <v>674</v>
      </c>
      <c r="BM268" s="7">
        <v>0.2639</v>
      </c>
      <c r="BN268" s="7">
        <v>0.2764</v>
      </c>
      <c r="BO268" s="4">
        <v>19</v>
      </c>
      <c r="BP268" s="8">
        <v>418</v>
      </c>
      <c r="BQ268" s="4"/>
      <c r="BR268" s="8"/>
      <c r="BS268" s="7"/>
      <c r="BT268" s="7"/>
      <c r="BU268" s="2" t="s">
        <v>110</v>
      </c>
      <c r="BV268" s="2" t="s">
        <v>98</v>
      </c>
      <c r="BW268" s="2" t="s">
        <v>101</v>
      </c>
      <c r="BX268" s="2" t="s">
        <v>206</v>
      </c>
      <c r="BY268" s="2" t="s">
        <v>112</v>
      </c>
      <c r="BZ268" s="2" t="s">
        <v>112</v>
      </c>
      <c r="CA268" s="2" t="s">
        <v>101</v>
      </c>
    </row>
    <row r="269">
      <c r="A269" s="2" t="s">
        <v>675</v>
      </c>
      <c r="B269" s="2" t="s">
        <v>88</v>
      </c>
      <c r="C269" s="2" t="s">
        <v>89</v>
      </c>
      <c r="D269" s="2" t="s">
        <v>598</v>
      </c>
      <c r="E269" s="2" t="s">
        <v>599</v>
      </c>
      <c r="F269" s="2" t="s">
        <v>92</v>
      </c>
      <c r="G269" s="2" t="s">
        <v>93</v>
      </c>
      <c r="H269" s="2" t="s">
        <v>94</v>
      </c>
      <c r="I269" s="2" t="s">
        <v>600</v>
      </c>
      <c r="J269" s="2" t="s">
        <v>121</v>
      </c>
      <c r="K269" s="2" t="s">
        <v>208</v>
      </c>
      <c r="L269" s="3">
        <v>20.23</v>
      </c>
      <c r="M269" s="3">
        <v>21.24</v>
      </c>
      <c r="N269" s="3">
        <v>42.49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209</v>
      </c>
      <c r="T269" s="2" t="s">
        <v>103</v>
      </c>
      <c r="U269" s="2" t="s">
        <v>115</v>
      </c>
      <c r="V269" s="2" t="s">
        <v>105</v>
      </c>
      <c r="W269" s="2" t="s">
        <v>106</v>
      </c>
      <c r="X269" s="2" t="s">
        <v>101</v>
      </c>
      <c r="Y269" s="2" t="s">
        <v>609</v>
      </c>
      <c r="Z269" s="4">
        <v>693</v>
      </c>
      <c r="AA269" s="4">
        <f>=ROUNDDOWN(34.65,0)</f>
      </c>
      <c r="AB269" s="5">
        <v>20</v>
      </c>
      <c r="AC269" s="2" t="s">
        <v>101</v>
      </c>
      <c r="AD269" s="4"/>
      <c r="AE269" s="4"/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>
        <v>262</v>
      </c>
      <c r="AQ269" s="8">
        <v>5764</v>
      </c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>
        <v>0.3726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 t="s">
        <v>101</v>
      </c>
      <c r="BJ269" s="4">
        <v>973</v>
      </c>
      <c r="BK269" s="8">
        <v>21003.02</v>
      </c>
      <c r="BL269" s="2" t="s">
        <v>167</v>
      </c>
      <c r="BM269" s="7">
        <v>0.2693</v>
      </c>
      <c r="BN269" s="7">
        <v>0.2744</v>
      </c>
      <c r="BO269" s="4">
        <v>262</v>
      </c>
      <c r="BP269" s="8">
        <v>5764</v>
      </c>
      <c r="BQ269" s="4"/>
      <c r="BR269" s="8"/>
      <c r="BS269" s="7"/>
      <c r="BT269" s="7"/>
      <c r="BU269" s="2" t="s">
        <v>110</v>
      </c>
      <c r="BV269" s="2" t="s">
        <v>98</v>
      </c>
      <c r="BW269" s="2" t="s">
        <v>101</v>
      </c>
      <c r="BX269" s="2" t="s">
        <v>133</v>
      </c>
      <c r="BY269" s="2" t="s">
        <v>112</v>
      </c>
      <c r="BZ269" s="2" t="s">
        <v>112</v>
      </c>
      <c r="CA269" s="2" t="s">
        <v>101</v>
      </c>
    </row>
    <row r="270">
      <c r="A270" s="2" t="s">
        <v>676</v>
      </c>
      <c r="B270" s="2" t="s">
        <v>88</v>
      </c>
      <c r="C270" s="2" t="s">
        <v>89</v>
      </c>
      <c r="D270" s="2" t="s">
        <v>598</v>
      </c>
      <c r="E270" s="2" t="s">
        <v>599</v>
      </c>
      <c r="F270" s="2" t="s">
        <v>92</v>
      </c>
      <c r="G270" s="2" t="s">
        <v>93</v>
      </c>
      <c r="H270" s="2" t="s">
        <v>94</v>
      </c>
      <c r="I270" s="2" t="s">
        <v>600</v>
      </c>
      <c r="J270" s="2" t="s">
        <v>123</v>
      </c>
      <c r="K270" s="2" t="s">
        <v>208</v>
      </c>
      <c r="L270" s="3">
        <v>22.61</v>
      </c>
      <c r="M270" s="3">
        <v>23.74</v>
      </c>
      <c r="N270" s="3">
        <v>47.49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209</v>
      </c>
      <c r="T270" s="2" t="s">
        <v>103</v>
      </c>
      <c r="U270" s="2" t="s">
        <v>115</v>
      </c>
      <c r="V270" s="2" t="s">
        <v>105</v>
      </c>
      <c r="W270" s="2" t="s">
        <v>106</v>
      </c>
      <c r="X270" s="2" t="s">
        <v>101</v>
      </c>
      <c r="Y270" s="2" t="s">
        <v>609</v>
      </c>
      <c r="Z270" s="4">
        <v>372</v>
      </c>
      <c r="AA270" s="4">
        <f>=ROUNDDOWN(20.2173913043478,0)</f>
      </c>
      <c r="AB270" s="5">
        <v>18.4</v>
      </c>
      <c r="AC270" s="2" t="s">
        <v>101</v>
      </c>
      <c r="AD270" s="4"/>
      <c r="AE270" s="4"/>
      <c r="AF270" s="6">
        <v>63</v>
      </c>
      <c r="AG270" s="6">
        <v>46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>
        <v>242</v>
      </c>
      <c r="AQ270" s="8">
        <v>5929</v>
      </c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>
        <v>0.3832</v>
      </c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 t="s">
        <v>101</v>
      </c>
      <c r="BJ270" s="4">
        <v>762</v>
      </c>
      <c r="BK270" s="8">
        <v>18486.96</v>
      </c>
      <c r="BL270" s="2" t="s">
        <v>677</v>
      </c>
      <c r="BM270" s="7">
        <v>0.3176</v>
      </c>
      <c r="BN270" s="7">
        <v>0.3207</v>
      </c>
      <c r="BO270" s="4">
        <v>242</v>
      </c>
      <c r="BP270" s="8">
        <v>5929</v>
      </c>
      <c r="BQ270" s="4"/>
      <c r="BR270" s="8"/>
      <c r="BS270" s="7"/>
      <c r="BT270" s="7"/>
      <c r="BU270" s="2" t="s">
        <v>110</v>
      </c>
      <c r="BV270" s="2" t="s">
        <v>98</v>
      </c>
      <c r="BW270" s="2" t="s">
        <v>101</v>
      </c>
      <c r="BX270" s="2" t="s">
        <v>133</v>
      </c>
      <c r="BY270" s="2" t="s">
        <v>112</v>
      </c>
      <c r="BZ270" s="2" t="s">
        <v>112</v>
      </c>
      <c r="CA270" s="2" t="s">
        <v>101</v>
      </c>
    </row>
    <row r="271">
      <c r="A271" s="2" t="s">
        <v>678</v>
      </c>
      <c r="B271" s="2" t="s">
        <v>88</v>
      </c>
      <c r="C271" s="2" t="s">
        <v>89</v>
      </c>
      <c r="D271" s="2" t="s">
        <v>598</v>
      </c>
      <c r="E271" s="2" t="s">
        <v>599</v>
      </c>
      <c r="F271" s="2" t="s">
        <v>92</v>
      </c>
      <c r="G271" s="2" t="s">
        <v>93</v>
      </c>
      <c r="H271" s="2" t="s">
        <v>94</v>
      </c>
      <c r="I271" s="2" t="s">
        <v>600</v>
      </c>
      <c r="J271" s="2" t="s">
        <v>126</v>
      </c>
      <c r="K271" s="2" t="s">
        <v>208</v>
      </c>
      <c r="L271" s="3">
        <v>23.57</v>
      </c>
      <c r="M271" s="3">
        <v>24.75</v>
      </c>
      <c r="N271" s="3">
        <v>44.99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209</v>
      </c>
      <c r="T271" s="2" t="s">
        <v>103</v>
      </c>
      <c r="U271" s="2" t="s">
        <v>115</v>
      </c>
      <c r="V271" s="2" t="s">
        <v>105</v>
      </c>
      <c r="W271" s="2" t="s">
        <v>106</v>
      </c>
      <c r="X271" s="2" t="s">
        <v>101</v>
      </c>
      <c r="Y271" s="2" t="s">
        <v>349</v>
      </c>
      <c r="Z271" s="4">
        <v>171</v>
      </c>
      <c r="AA271" s="4">
        <f>=ROUNDDOWN(50.2941176470588,0)</f>
      </c>
      <c r="AB271" s="5">
        <v>3.4</v>
      </c>
      <c r="AC271" s="2" t="s">
        <v>101</v>
      </c>
      <c r="AD271" s="4"/>
      <c r="AE271" s="4"/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>
        <v>25</v>
      </c>
      <c r="AQ271" s="8">
        <v>612.5</v>
      </c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>
        <v>0.0396</v>
      </c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 t="s">
        <v>101</v>
      </c>
      <c r="BJ271" s="4">
        <v>63</v>
      </c>
      <c r="BK271" s="8">
        <v>1683.5</v>
      </c>
      <c r="BL271" s="2" t="s">
        <v>128</v>
      </c>
      <c r="BM271" s="7">
        <v>0.3968</v>
      </c>
      <c r="BN271" s="7">
        <v>0.3638</v>
      </c>
      <c r="BO271" s="4">
        <v>25</v>
      </c>
      <c r="BP271" s="8">
        <v>612.5</v>
      </c>
      <c r="BQ271" s="4"/>
      <c r="BR271" s="8"/>
      <c r="BS271" s="7"/>
      <c r="BT271" s="7"/>
      <c r="BU271" s="2" t="s">
        <v>110</v>
      </c>
      <c r="BV271" s="2" t="s">
        <v>98</v>
      </c>
      <c r="BW271" s="2" t="s">
        <v>101</v>
      </c>
      <c r="BX271" s="2" t="s">
        <v>655</v>
      </c>
      <c r="BY271" s="2" t="s">
        <v>112</v>
      </c>
      <c r="BZ271" s="2" t="s">
        <v>112</v>
      </c>
      <c r="CA271" s="2" t="s">
        <v>101</v>
      </c>
    </row>
    <row r="272">
      <c r="A272" s="2" t="s">
        <v>679</v>
      </c>
      <c r="B272" s="2" t="s">
        <v>88</v>
      </c>
      <c r="C272" s="2" t="s">
        <v>89</v>
      </c>
      <c r="D272" s="2" t="s">
        <v>598</v>
      </c>
      <c r="E272" s="2" t="s">
        <v>599</v>
      </c>
      <c r="F272" s="2" t="s">
        <v>92</v>
      </c>
      <c r="G272" s="2" t="s">
        <v>93</v>
      </c>
      <c r="H272" s="2" t="s">
        <v>94</v>
      </c>
      <c r="I272" s="2" t="s">
        <v>600</v>
      </c>
      <c r="J272" s="2" t="s">
        <v>96</v>
      </c>
      <c r="K272" s="2" t="s">
        <v>244</v>
      </c>
      <c r="L272" s="3">
        <v>15.47</v>
      </c>
      <c r="M272" s="3">
        <v>16.24</v>
      </c>
      <c r="N272" s="3">
        <v>29.99</v>
      </c>
      <c r="O272" s="2" t="s">
        <v>98</v>
      </c>
      <c r="P272" s="2" t="s">
        <v>245</v>
      </c>
      <c r="Q272" s="2" t="s">
        <v>100</v>
      </c>
      <c r="R272" s="2" t="s">
        <v>101</v>
      </c>
      <c r="S272" s="2" t="s">
        <v>246</v>
      </c>
      <c r="T272" s="2" t="s">
        <v>103</v>
      </c>
      <c r="U272" s="2" t="s">
        <v>104</v>
      </c>
      <c r="V272" s="2" t="s">
        <v>105</v>
      </c>
      <c r="W272" s="2" t="s">
        <v>106</v>
      </c>
      <c r="X272" s="2" t="s">
        <v>101</v>
      </c>
      <c r="Y272" s="2" t="s">
        <v>241</v>
      </c>
      <c r="Z272" s="4"/>
      <c r="AA272" s="4">
        <f>=ROUNDDOWN({0},0)</f>
      </c>
      <c r="AB272" s="5">
        <v>6.8</v>
      </c>
      <c r="AC272" s="2" t="s">
        <v>101</v>
      </c>
      <c r="AD272" s="4"/>
      <c r="AE272" s="4"/>
      <c r="AF272" s="6">
        <v>63</v>
      </c>
      <c r="AG272" s="6">
        <v>46</v>
      </c>
      <c r="AH272" s="7">
        <v>0.8743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>
        <v>82</v>
      </c>
      <c r="AQ272" s="8">
        <v>1435</v>
      </c>
      <c r="AR272" s="4"/>
      <c r="AS272" s="8"/>
      <c r="AT272" s="7"/>
      <c r="AU272" s="7"/>
      <c r="AV272" s="4">
        <v>483</v>
      </c>
      <c r="AW272" s="8">
        <v>10671.43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>
        <v>0.1345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0.0152</v>
      </c>
      <c r="BJ272" s="4">
        <v>188</v>
      </c>
      <c r="BK272" s="8">
        <v>3314.31</v>
      </c>
      <c r="BL272" s="2" t="s">
        <v>200</v>
      </c>
      <c r="BM272" s="7">
        <v>0.4362</v>
      </c>
      <c r="BN272" s="7">
        <v>0.433</v>
      </c>
      <c r="BO272" s="4">
        <v>82</v>
      </c>
      <c r="BP272" s="8">
        <v>1435</v>
      </c>
      <c r="BQ272" s="4"/>
      <c r="BR272" s="8"/>
      <c r="BS272" s="7"/>
      <c r="BT272" s="7"/>
      <c r="BU272" s="2" t="s">
        <v>110</v>
      </c>
      <c r="BV272" s="2" t="s">
        <v>98</v>
      </c>
      <c r="BW272" s="2" t="s">
        <v>101</v>
      </c>
      <c r="BX272" s="2" t="s">
        <v>168</v>
      </c>
      <c r="BY272" s="2" t="s">
        <v>112</v>
      </c>
      <c r="BZ272" s="2" t="s">
        <v>112</v>
      </c>
      <c r="CA272" s="2" t="s">
        <v>101</v>
      </c>
    </row>
    <row r="273">
      <c r="A273" s="2" t="s">
        <v>680</v>
      </c>
      <c r="B273" s="2" t="s">
        <v>88</v>
      </c>
      <c r="C273" s="2" t="s">
        <v>89</v>
      </c>
      <c r="D273" s="2" t="s">
        <v>598</v>
      </c>
      <c r="E273" s="2" t="s">
        <v>599</v>
      </c>
      <c r="F273" s="2" t="s">
        <v>92</v>
      </c>
      <c r="G273" s="2" t="s">
        <v>93</v>
      </c>
      <c r="H273" s="2" t="s">
        <v>94</v>
      </c>
      <c r="I273" s="2" t="s">
        <v>600</v>
      </c>
      <c r="J273" s="2" t="s">
        <v>114</v>
      </c>
      <c r="K273" s="2" t="s">
        <v>244</v>
      </c>
      <c r="L273" s="3">
        <v>19.76</v>
      </c>
      <c r="M273" s="3">
        <v>20.75</v>
      </c>
      <c r="N273" s="3">
        <v>39.99</v>
      </c>
      <c r="O273" s="2" t="s">
        <v>98</v>
      </c>
      <c r="P273" s="2" t="s">
        <v>245</v>
      </c>
      <c r="Q273" s="2" t="s">
        <v>100</v>
      </c>
      <c r="R273" s="2" t="s">
        <v>101</v>
      </c>
      <c r="S273" s="2" t="s">
        <v>246</v>
      </c>
      <c r="T273" s="2" t="s">
        <v>103</v>
      </c>
      <c r="U273" s="2" t="s">
        <v>115</v>
      </c>
      <c r="V273" s="2" t="s">
        <v>105</v>
      </c>
      <c r="W273" s="2" t="s">
        <v>106</v>
      </c>
      <c r="X273" s="2" t="s">
        <v>101</v>
      </c>
      <c r="Y273" s="2" t="s">
        <v>170</v>
      </c>
      <c r="Z273" s="4">
        <v>61</v>
      </c>
      <c r="AA273" s="4">
        <f>=ROUNDDOWN(13.2608695652174,0)</f>
      </c>
      <c r="AB273" s="5">
        <v>4.6</v>
      </c>
      <c r="AC273" s="2" t="s">
        <v>101</v>
      </c>
      <c r="AD273" s="4"/>
      <c r="AE273" s="4"/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>
        <v>29</v>
      </c>
      <c r="AQ273" s="8">
        <v>638</v>
      </c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>
        <v>0.0598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 t="s">
        <v>101</v>
      </c>
      <c r="BJ273" s="4">
        <v>118</v>
      </c>
      <c r="BK273" s="8">
        <v>2460.4</v>
      </c>
      <c r="BL273" s="2" t="s">
        <v>659</v>
      </c>
      <c r="BM273" s="7">
        <v>0.2458</v>
      </c>
      <c r="BN273" s="7">
        <v>0.2593</v>
      </c>
      <c r="BO273" s="4">
        <v>29</v>
      </c>
      <c r="BP273" s="8">
        <v>638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101</v>
      </c>
      <c r="BX273" s="2" t="s">
        <v>681</v>
      </c>
      <c r="BY273" s="2" t="s">
        <v>112</v>
      </c>
      <c r="BZ273" s="2" t="s">
        <v>112</v>
      </c>
      <c r="CA273" s="2" t="s">
        <v>101</v>
      </c>
    </row>
    <row r="274">
      <c r="A274" s="2" t="s">
        <v>682</v>
      </c>
      <c r="B274" s="2" t="s">
        <v>88</v>
      </c>
      <c r="C274" s="2" t="s">
        <v>89</v>
      </c>
      <c r="D274" s="2" t="s">
        <v>598</v>
      </c>
      <c r="E274" s="2" t="s">
        <v>599</v>
      </c>
      <c r="F274" s="2" t="s">
        <v>92</v>
      </c>
      <c r="G274" s="2" t="s">
        <v>93</v>
      </c>
      <c r="H274" s="2" t="s">
        <v>94</v>
      </c>
      <c r="I274" s="2" t="s">
        <v>600</v>
      </c>
      <c r="J274" s="2" t="s">
        <v>121</v>
      </c>
      <c r="K274" s="2" t="s">
        <v>244</v>
      </c>
      <c r="L274" s="3">
        <v>20.23</v>
      </c>
      <c r="M274" s="3">
        <v>21.24</v>
      </c>
      <c r="N274" s="3">
        <v>39.99</v>
      </c>
      <c r="O274" s="2" t="s">
        <v>98</v>
      </c>
      <c r="P274" s="2" t="s">
        <v>245</v>
      </c>
      <c r="Q274" s="2" t="s">
        <v>100</v>
      </c>
      <c r="R274" s="2" t="s">
        <v>101</v>
      </c>
      <c r="S274" s="2" t="s">
        <v>246</v>
      </c>
      <c r="T274" s="2" t="s">
        <v>103</v>
      </c>
      <c r="U274" s="2" t="s">
        <v>115</v>
      </c>
      <c r="V274" s="2" t="s">
        <v>105</v>
      </c>
      <c r="W274" s="2" t="s">
        <v>106</v>
      </c>
      <c r="X274" s="2" t="s">
        <v>101</v>
      </c>
      <c r="Y274" s="2" t="s">
        <v>241</v>
      </c>
      <c r="Z274" s="4">
        <v>5</v>
      </c>
      <c r="AA274" s="4">
        <f>=ROUNDDOWN(0.190114068441065,0)</f>
      </c>
      <c r="AB274" s="5">
        <v>26.3</v>
      </c>
      <c r="AC274" s="2" t="s">
        <v>101</v>
      </c>
      <c r="AD274" s="4"/>
      <c r="AE274" s="4"/>
      <c r="AF274" s="6">
        <v>63</v>
      </c>
      <c r="AG274" s="6">
        <v>46</v>
      </c>
      <c r="AH274" s="7">
        <v>0.7749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>
        <v>199</v>
      </c>
      <c r="AQ274" s="8">
        <v>4378</v>
      </c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>
        <v>0.4103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 t="s">
        <v>101</v>
      </c>
      <c r="BJ274" s="4">
        <v>666</v>
      </c>
      <c r="BK274" s="8">
        <v>14450.28</v>
      </c>
      <c r="BL274" s="2" t="s">
        <v>167</v>
      </c>
      <c r="BM274" s="7">
        <v>0.2988</v>
      </c>
      <c r="BN274" s="7">
        <v>0.303</v>
      </c>
      <c r="BO274" s="4">
        <v>199</v>
      </c>
      <c r="BP274" s="8">
        <v>4378</v>
      </c>
      <c r="BQ274" s="4"/>
      <c r="BR274" s="8"/>
      <c r="BS274" s="7"/>
      <c r="BT274" s="7"/>
      <c r="BU274" s="2" t="s">
        <v>110</v>
      </c>
      <c r="BV274" s="2" t="s">
        <v>98</v>
      </c>
      <c r="BW274" s="2" t="s">
        <v>101</v>
      </c>
      <c r="BX274" s="2" t="s">
        <v>168</v>
      </c>
      <c r="BY274" s="2" t="s">
        <v>112</v>
      </c>
      <c r="BZ274" s="2" t="s">
        <v>112</v>
      </c>
      <c r="CA274" s="2" t="s">
        <v>101</v>
      </c>
    </row>
    <row r="275">
      <c r="A275" s="2" t="s">
        <v>683</v>
      </c>
      <c r="B275" s="2" t="s">
        <v>88</v>
      </c>
      <c r="C275" s="2" t="s">
        <v>89</v>
      </c>
      <c r="D275" s="2" t="s">
        <v>598</v>
      </c>
      <c r="E275" s="2" t="s">
        <v>599</v>
      </c>
      <c r="F275" s="2" t="s">
        <v>92</v>
      </c>
      <c r="G275" s="2" t="s">
        <v>93</v>
      </c>
      <c r="H275" s="2" t="s">
        <v>94</v>
      </c>
      <c r="I275" s="2" t="s">
        <v>600</v>
      </c>
      <c r="J275" s="2" t="s">
        <v>123</v>
      </c>
      <c r="K275" s="2" t="s">
        <v>244</v>
      </c>
      <c r="L275" s="3">
        <v>22.61</v>
      </c>
      <c r="M275" s="3">
        <v>23.74</v>
      </c>
      <c r="N275" s="3">
        <v>44.99</v>
      </c>
      <c r="O275" s="2" t="s">
        <v>98</v>
      </c>
      <c r="P275" s="2" t="s">
        <v>245</v>
      </c>
      <c r="Q275" s="2" t="s">
        <v>100</v>
      </c>
      <c r="R275" s="2" t="s">
        <v>101</v>
      </c>
      <c r="S275" s="2" t="s">
        <v>246</v>
      </c>
      <c r="T275" s="2" t="s">
        <v>103</v>
      </c>
      <c r="U275" s="2" t="s">
        <v>115</v>
      </c>
      <c r="V275" s="2" t="s">
        <v>105</v>
      </c>
      <c r="W275" s="2" t="s">
        <v>106</v>
      </c>
      <c r="X275" s="2" t="s">
        <v>101</v>
      </c>
      <c r="Y275" s="2" t="s">
        <v>241</v>
      </c>
      <c r="Z275" s="4">
        <v>28</v>
      </c>
      <c r="AA275" s="4">
        <f>=ROUNDDOWN(1.59090909090909,0)</f>
      </c>
      <c r="AB275" s="5">
        <v>17.6</v>
      </c>
      <c r="AC275" s="2" t="s">
        <v>101</v>
      </c>
      <c r="AD275" s="4"/>
      <c r="AE275" s="4"/>
      <c r="AF275" s="6">
        <v>63</v>
      </c>
      <c r="AG275" s="6">
        <v>46</v>
      </c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>
        <v>139</v>
      </c>
      <c r="AQ275" s="8">
        <v>3387.43</v>
      </c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>
        <v>0.3174</v>
      </c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 t="s">
        <v>101</v>
      </c>
      <c r="BJ275" s="4">
        <v>466</v>
      </c>
      <c r="BK275" s="8">
        <v>11213.92</v>
      </c>
      <c r="BL275" s="2" t="s">
        <v>167</v>
      </c>
      <c r="BM275" s="7">
        <v>0.2983</v>
      </c>
      <c r="BN275" s="7">
        <v>0.3021</v>
      </c>
      <c r="BO275" s="4">
        <v>139</v>
      </c>
      <c r="BP275" s="8">
        <v>3387.43</v>
      </c>
      <c r="BQ275" s="4"/>
      <c r="BR275" s="8"/>
      <c r="BS275" s="7"/>
      <c r="BT275" s="7"/>
      <c r="BU275" s="2" t="s">
        <v>110</v>
      </c>
      <c r="BV275" s="2" t="s">
        <v>98</v>
      </c>
      <c r="BW275" s="2" t="s">
        <v>101</v>
      </c>
      <c r="BX275" s="2" t="s">
        <v>168</v>
      </c>
      <c r="BY275" s="2" t="s">
        <v>112</v>
      </c>
      <c r="BZ275" s="2" t="s">
        <v>112</v>
      </c>
      <c r="CA275" s="2" t="s">
        <v>101</v>
      </c>
    </row>
    <row r="276">
      <c r="A276" s="2" t="s">
        <v>684</v>
      </c>
      <c r="B276" s="2" t="s">
        <v>88</v>
      </c>
      <c r="C276" s="2" t="s">
        <v>89</v>
      </c>
      <c r="D276" s="2" t="s">
        <v>598</v>
      </c>
      <c r="E276" s="2" t="s">
        <v>599</v>
      </c>
      <c r="F276" s="2" t="s">
        <v>92</v>
      </c>
      <c r="G276" s="2" t="s">
        <v>93</v>
      </c>
      <c r="H276" s="2" t="s">
        <v>94</v>
      </c>
      <c r="I276" s="2" t="s">
        <v>600</v>
      </c>
      <c r="J276" s="2" t="s">
        <v>126</v>
      </c>
      <c r="K276" s="2" t="s">
        <v>244</v>
      </c>
      <c r="L276" s="3">
        <v>23.57</v>
      </c>
      <c r="M276" s="3">
        <v>24.75</v>
      </c>
      <c r="N276" s="3">
        <v>44.99</v>
      </c>
      <c r="O276" s="2" t="s">
        <v>98</v>
      </c>
      <c r="P276" s="2" t="s">
        <v>245</v>
      </c>
      <c r="Q276" s="2" t="s">
        <v>100</v>
      </c>
      <c r="R276" s="2" t="s">
        <v>101</v>
      </c>
      <c r="S276" s="2" t="s">
        <v>246</v>
      </c>
      <c r="T276" s="2" t="s">
        <v>103</v>
      </c>
      <c r="U276" s="2" t="s">
        <v>115</v>
      </c>
      <c r="V276" s="2" t="s">
        <v>105</v>
      </c>
      <c r="W276" s="2" t="s">
        <v>106</v>
      </c>
      <c r="X276" s="2" t="s">
        <v>101</v>
      </c>
      <c r="Y276" s="2" t="s">
        <v>170</v>
      </c>
      <c r="Z276" s="4">
        <v>249</v>
      </c>
      <c r="AA276" s="4">
        <f>=ROUNDDOWN(55.3333333333333,0)</f>
      </c>
      <c r="AB276" s="5">
        <v>4.5</v>
      </c>
      <c r="AC276" s="2" t="s">
        <v>101</v>
      </c>
      <c r="AD276" s="4"/>
      <c r="AE276" s="4"/>
      <c r="AF276" s="6">
        <v>63</v>
      </c>
      <c r="AG276" s="6">
        <v>46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>
        <v>34</v>
      </c>
      <c r="AQ276" s="8">
        <v>833</v>
      </c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>
        <v>0.0781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 t="s">
        <v>101</v>
      </c>
      <c r="BJ276" s="4">
        <v>95</v>
      </c>
      <c r="BK276" s="8">
        <v>2544.41</v>
      </c>
      <c r="BL276" s="2" t="s">
        <v>176</v>
      </c>
      <c r="BM276" s="7">
        <v>0.3579</v>
      </c>
      <c r="BN276" s="7">
        <v>0.3274</v>
      </c>
      <c r="BO276" s="4">
        <v>34</v>
      </c>
      <c r="BP276" s="8">
        <v>833</v>
      </c>
      <c r="BQ276" s="4"/>
      <c r="BR276" s="8"/>
      <c r="BS276" s="7"/>
      <c r="BT276" s="7"/>
      <c r="BU276" s="2" t="s">
        <v>110</v>
      </c>
      <c r="BV276" s="2" t="s">
        <v>98</v>
      </c>
      <c r="BW276" s="2" t="s">
        <v>101</v>
      </c>
      <c r="BX276" s="2" t="s">
        <v>206</v>
      </c>
      <c r="BY276" s="2" t="s">
        <v>112</v>
      </c>
      <c r="BZ276" s="2" t="s">
        <v>112</v>
      </c>
      <c r="CA276" s="2" t="s">
        <v>101</v>
      </c>
    </row>
    <row r="277">
      <c r="A277" s="2" t="s">
        <v>685</v>
      </c>
      <c r="B277" s="2" t="s">
        <v>88</v>
      </c>
      <c r="C277" s="2" t="s">
        <v>89</v>
      </c>
      <c r="D277" s="2" t="s">
        <v>598</v>
      </c>
      <c r="E277" s="2" t="s">
        <v>599</v>
      </c>
      <c r="F277" s="2" t="s">
        <v>255</v>
      </c>
      <c r="G277" s="2" t="s">
        <v>256</v>
      </c>
      <c r="H277" s="2" t="s">
        <v>257</v>
      </c>
      <c r="I277" s="2" t="s">
        <v>686</v>
      </c>
      <c r="J277" s="2" t="s">
        <v>96</v>
      </c>
      <c r="K277" s="2" t="s">
        <v>143</v>
      </c>
      <c r="L277" s="3">
        <v>16.9</v>
      </c>
      <c r="M277" s="3">
        <v>17.75</v>
      </c>
      <c r="N277" s="3">
        <v>35.49</v>
      </c>
      <c r="O277" s="2" t="s">
        <v>98</v>
      </c>
      <c r="P277" s="2" t="s">
        <v>99</v>
      </c>
      <c r="Q277" s="2" t="s">
        <v>100</v>
      </c>
      <c r="R277" s="2" t="s">
        <v>101</v>
      </c>
      <c r="S277" s="2" t="s">
        <v>259</v>
      </c>
      <c r="T277" s="2" t="s">
        <v>260</v>
      </c>
      <c r="U277" s="2" t="s">
        <v>104</v>
      </c>
      <c r="V277" s="2" t="s">
        <v>105</v>
      </c>
      <c r="W277" s="2" t="s">
        <v>106</v>
      </c>
      <c r="X277" s="2" t="s">
        <v>101</v>
      </c>
      <c r="Y277" s="2" t="s">
        <v>107</v>
      </c>
      <c r="Z277" s="4">
        <v>1198</v>
      </c>
      <c r="AA277" s="4">
        <f>=ROUNDDOWN(44.3703703703704,0)</f>
      </c>
      <c r="AB277" s="5">
        <v>27</v>
      </c>
      <c r="AC277" s="2" t="s">
        <v>101</v>
      </c>
      <c r="AD277" s="4"/>
      <c r="AE277" s="4"/>
      <c r="AF277" s="6">
        <v>63</v>
      </c>
      <c r="AG277" s="6">
        <v>46</v>
      </c>
      <c r="AH277" s="7">
        <v>0.8095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>
        <v>1915</v>
      </c>
      <c r="AQ277" s="8">
        <v>32555</v>
      </c>
      <c r="AR277" s="4"/>
      <c r="AS277" s="8"/>
      <c r="AT277" s="7"/>
      <c r="AU277" s="7"/>
      <c r="AV277" s="4">
        <v>4449</v>
      </c>
      <c r="AW277" s="8">
        <v>90784.6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>
        <v>0.3586</v>
      </c>
      <c r="BC277" s="4">
        <v>5627</v>
      </c>
      <c r="BD277" s="8">
        <v>116368.2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>
        <v>0.7801</v>
      </c>
      <c r="BJ277" s="4">
        <v>2591</v>
      </c>
      <c r="BK277" s="8">
        <v>46467.97</v>
      </c>
      <c r="BL277" s="2" t="s">
        <v>248</v>
      </c>
      <c r="BM277" s="7">
        <v>0.7391</v>
      </c>
      <c r="BN277" s="7">
        <v>0.7006</v>
      </c>
      <c r="BO277" s="4">
        <v>1915</v>
      </c>
      <c r="BP277" s="8">
        <v>32555</v>
      </c>
      <c r="BQ277" s="4"/>
      <c r="BR277" s="8"/>
      <c r="BS277" s="7"/>
      <c r="BT277" s="7"/>
      <c r="BU277" s="2" t="s">
        <v>110</v>
      </c>
      <c r="BV277" s="2" t="s">
        <v>98</v>
      </c>
      <c r="BW277" s="2" t="s">
        <v>101</v>
      </c>
      <c r="BX277" s="2" t="s">
        <v>687</v>
      </c>
      <c r="BY277" s="2" t="s">
        <v>112</v>
      </c>
      <c r="BZ277" s="2" t="s">
        <v>112</v>
      </c>
      <c r="CA277" s="2" t="s">
        <v>101</v>
      </c>
    </row>
    <row r="278">
      <c r="A278" s="2" t="s">
        <v>688</v>
      </c>
      <c r="B278" s="2" t="s">
        <v>88</v>
      </c>
      <c r="C278" s="2" t="s">
        <v>89</v>
      </c>
      <c r="D278" s="2" t="s">
        <v>598</v>
      </c>
      <c r="E278" s="2" t="s">
        <v>599</v>
      </c>
      <c r="F278" s="2" t="s">
        <v>255</v>
      </c>
      <c r="G278" s="2" t="s">
        <v>256</v>
      </c>
      <c r="H278" s="2" t="s">
        <v>257</v>
      </c>
      <c r="I278" s="2" t="s">
        <v>686</v>
      </c>
      <c r="J278" s="2" t="s">
        <v>263</v>
      </c>
      <c r="K278" s="2" t="s">
        <v>143</v>
      </c>
      <c r="L278" s="3">
        <v>20.23</v>
      </c>
      <c r="M278" s="3">
        <v>21.24</v>
      </c>
      <c r="N278" s="3">
        <v>42.49</v>
      </c>
      <c r="O278" s="2" t="s">
        <v>98</v>
      </c>
      <c r="P278" s="2" t="s">
        <v>99</v>
      </c>
      <c r="Q278" s="2" t="s">
        <v>100</v>
      </c>
      <c r="R278" s="2" t="s">
        <v>101</v>
      </c>
      <c r="S278" s="2" t="s">
        <v>259</v>
      </c>
      <c r="T278" s="2" t="s">
        <v>260</v>
      </c>
      <c r="U278" s="2" t="s">
        <v>115</v>
      </c>
      <c r="V278" s="2" t="s">
        <v>105</v>
      </c>
      <c r="W278" s="2" t="s">
        <v>106</v>
      </c>
      <c r="X278" s="2" t="s">
        <v>101</v>
      </c>
      <c r="Y278" s="2" t="s">
        <v>107</v>
      </c>
      <c r="Z278" s="4">
        <v>1135</v>
      </c>
      <c r="AA278" s="4">
        <f>=ROUNDDOWN(17.1450151057402,0)</f>
      </c>
      <c r="AB278" s="5">
        <v>66.2</v>
      </c>
      <c r="AC278" s="2" t="s">
        <v>101</v>
      </c>
      <c r="AD278" s="4"/>
      <c r="AE278" s="4"/>
      <c r="AF278" s="6">
        <v>63</v>
      </c>
      <c r="AG278" s="6">
        <v>46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1664</v>
      </c>
      <c r="AQ278" s="8">
        <v>35609.6</v>
      </c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>
        <v>0.3922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 t="s">
        <v>101</v>
      </c>
      <c r="BJ278" s="4">
        <v>5655</v>
      </c>
      <c r="BK278" s="8">
        <v>129375.76</v>
      </c>
      <c r="BL278" s="2" t="s">
        <v>606</v>
      </c>
      <c r="BM278" s="7">
        <v>0.2943</v>
      </c>
      <c r="BN278" s="7">
        <v>0.2752</v>
      </c>
      <c r="BO278" s="4">
        <v>1664</v>
      </c>
      <c r="BP278" s="8">
        <v>35609.6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101</v>
      </c>
      <c r="BX278" s="2" t="s">
        <v>261</v>
      </c>
      <c r="BY278" s="2" t="s">
        <v>112</v>
      </c>
      <c r="BZ278" s="2" t="s">
        <v>112</v>
      </c>
      <c r="CA278" s="2" t="s">
        <v>101</v>
      </c>
    </row>
    <row r="279">
      <c r="A279" s="2" t="s">
        <v>689</v>
      </c>
      <c r="B279" s="2" t="s">
        <v>88</v>
      </c>
      <c r="C279" s="2" t="s">
        <v>89</v>
      </c>
      <c r="D279" s="2" t="s">
        <v>598</v>
      </c>
      <c r="E279" s="2" t="s">
        <v>599</v>
      </c>
      <c r="F279" s="2" t="s">
        <v>255</v>
      </c>
      <c r="G279" s="2" t="s">
        <v>256</v>
      </c>
      <c r="H279" s="2" t="s">
        <v>257</v>
      </c>
      <c r="I279" s="2" t="s">
        <v>686</v>
      </c>
      <c r="J279" s="2" t="s">
        <v>265</v>
      </c>
      <c r="K279" s="2" t="s">
        <v>143</v>
      </c>
      <c r="L279" s="3">
        <v>23.57</v>
      </c>
      <c r="M279" s="3">
        <v>24.75</v>
      </c>
      <c r="N279" s="3">
        <v>49.49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259</v>
      </c>
      <c r="T279" s="2" t="s">
        <v>260</v>
      </c>
      <c r="U279" s="2" t="s">
        <v>115</v>
      </c>
      <c r="V279" s="2" t="s">
        <v>105</v>
      </c>
      <c r="W279" s="2" t="s">
        <v>106</v>
      </c>
      <c r="X279" s="2" t="s">
        <v>101</v>
      </c>
      <c r="Y279" s="2" t="s">
        <v>690</v>
      </c>
      <c r="Z279" s="4">
        <v>1265</v>
      </c>
      <c r="AA279" s="4">
        <f>=ROUNDDOWN(24.468085106383,0)</f>
      </c>
      <c r="AB279" s="5">
        <v>51.7</v>
      </c>
      <c r="AC279" s="2" t="s">
        <v>101</v>
      </c>
      <c r="AD279" s="4"/>
      <c r="AE279" s="4"/>
      <c r="AF279" s="6">
        <v>63</v>
      </c>
      <c r="AG279" s="6">
        <v>46</v>
      </c>
      <c r="AH279" s="7">
        <v>0.9643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>
        <v>870</v>
      </c>
      <c r="AQ279" s="8">
        <v>22620</v>
      </c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>
        <v>0.2492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 t="s">
        <v>101</v>
      </c>
      <c r="BJ279" s="4">
        <v>4117</v>
      </c>
      <c r="BK279" s="8">
        <v>110739.21</v>
      </c>
      <c r="BL279" s="2" t="s">
        <v>604</v>
      </c>
      <c r="BM279" s="7">
        <v>0.2113</v>
      </c>
      <c r="BN279" s="7">
        <v>0.2043</v>
      </c>
      <c r="BO279" s="4">
        <v>870</v>
      </c>
      <c r="BP279" s="8">
        <v>22620</v>
      </c>
      <c r="BQ279" s="4"/>
      <c r="BR279" s="8"/>
      <c r="BS279" s="7"/>
      <c r="BT279" s="7"/>
      <c r="BU279" s="2" t="s">
        <v>110</v>
      </c>
      <c r="BV279" s="2" t="s">
        <v>98</v>
      </c>
      <c r="BW279" s="2" t="s">
        <v>101</v>
      </c>
      <c r="BX279" s="2" t="s">
        <v>261</v>
      </c>
      <c r="BY279" s="2" t="s">
        <v>112</v>
      </c>
      <c r="BZ279" s="2" t="s">
        <v>112</v>
      </c>
      <c r="CA279" s="2" t="s">
        <v>101</v>
      </c>
    </row>
    <row r="280">
      <c r="A280" s="2" t="s">
        <v>691</v>
      </c>
      <c r="B280" s="2" t="s">
        <v>88</v>
      </c>
      <c r="C280" s="2" t="s">
        <v>89</v>
      </c>
      <c r="D280" s="2" t="s">
        <v>598</v>
      </c>
      <c r="E280" s="2" t="s">
        <v>599</v>
      </c>
      <c r="F280" s="2" t="s">
        <v>255</v>
      </c>
      <c r="G280" s="2" t="s">
        <v>256</v>
      </c>
      <c r="H280" s="2" t="s">
        <v>257</v>
      </c>
      <c r="I280" s="2" t="s">
        <v>686</v>
      </c>
      <c r="J280" s="2" t="s">
        <v>96</v>
      </c>
      <c r="K280" s="2" t="s">
        <v>97</v>
      </c>
      <c r="L280" s="3">
        <v>16.9</v>
      </c>
      <c r="M280" s="3">
        <v>17.75</v>
      </c>
      <c r="N280" s="3">
        <v>35.49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268</v>
      </c>
      <c r="T280" s="2" t="s">
        <v>260</v>
      </c>
      <c r="U280" s="2" t="s">
        <v>104</v>
      </c>
      <c r="V280" s="2" t="s">
        <v>105</v>
      </c>
      <c r="W280" s="2" t="s">
        <v>106</v>
      </c>
      <c r="X280" s="2" t="s">
        <v>101</v>
      </c>
      <c r="Y280" s="2" t="s">
        <v>269</v>
      </c>
      <c r="Z280" s="4">
        <v>253</v>
      </c>
      <c r="AA280" s="4">
        <f>=ROUNDDOWN(47.7358490566038,0)</f>
      </c>
      <c r="AB280" s="5">
        <v>5.3</v>
      </c>
      <c r="AC280" s="2" t="s">
        <v>101</v>
      </c>
      <c r="AD280" s="4"/>
      <c r="AE280" s="4"/>
      <c r="AF280" s="6">
        <v>63</v>
      </c>
      <c r="AG280" s="6">
        <v>46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>
        <v>104</v>
      </c>
      <c r="AQ280" s="8">
        <v>1820</v>
      </c>
      <c r="AR280" s="4"/>
      <c r="AS280" s="8"/>
      <c r="AT280" s="7"/>
      <c r="AU280" s="7"/>
      <c r="AV280" s="4">
        <v>643</v>
      </c>
      <c r="AW280" s="8">
        <v>14269.1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>
        <v>0.1275</v>
      </c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>
        <v>0.1226</v>
      </c>
      <c r="BJ280" s="4">
        <v>392</v>
      </c>
      <c r="BK280" s="8">
        <v>7470.59</v>
      </c>
      <c r="BL280" s="2" t="s">
        <v>649</v>
      </c>
      <c r="BM280" s="7">
        <v>0.2653</v>
      </c>
      <c r="BN280" s="7">
        <v>0.2436</v>
      </c>
      <c r="BO280" s="4">
        <v>104</v>
      </c>
      <c r="BP280" s="8">
        <v>1820</v>
      </c>
      <c r="BQ280" s="4"/>
      <c r="BR280" s="8"/>
      <c r="BS280" s="7"/>
      <c r="BT280" s="7"/>
      <c r="BU280" s="2" t="s">
        <v>110</v>
      </c>
      <c r="BV280" s="2" t="s">
        <v>98</v>
      </c>
      <c r="BW280" s="2" t="s">
        <v>101</v>
      </c>
      <c r="BX280" s="2" t="s">
        <v>692</v>
      </c>
      <c r="BY280" s="2" t="s">
        <v>112</v>
      </c>
      <c r="BZ280" s="2" t="s">
        <v>112</v>
      </c>
      <c r="CA280" s="2" t="s">
        <v>101</v>
      </c>
    </row>
    <row r="281">
      <c r="A281" s="2" t="s">
        <v>693</v>
      </c>
      <c r="B281" s="2" t="s">
        <v>88</v>
      </c>
      <c r="C281" s="2" t="s">
        <v>89</v>
      </c>
      <c r="D281" s="2" t="s">
        <v>598</v>
      </c>
      <c r="E281" s="2" t="s">
        <v>599</v>
      </c>
      <c r="F281" s="2" t="s">
        <v>255</v>
      </c>
      <c r="G281" s="2" t="s">
        <v>256</v>
      </c>
      <c r="H281" s="2" t="s">
        <v>257</v>
      </c>
      <c r="I281" s="2" t="s">
        <v>686</v>
      </c>
      <c r="J281" s="2" t="s">
        <v>263</v>
      </c>
      <c r="K281" s="2" t="s">
        <v>97</v>
      </c>
      <c r="L281" s="3">
        <v>20.23</v>
      </c>
      <c r="M281" s="3">
        <v>21.24</v>
      </c>
      <c r="N281" s="3">
        <v>42.49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268</v>
      </c>
      <c r="T281" s="2" t="s">
        <v>260</v>
      </c>
      <c r="U281" s="2" t="s">
        <v>115</v>
      </c>
      <c r="V281" s="2" t="s">
        <v>105</v>
      </c>
      <c r="W281" s="2" t="s">
        <v>106</v>
      </c>
      <c r="X281" s="2" t="s">
        <v>101</v>
      </c>
      <c r="Y281" s="2" t="s">
        <v>269</v>
      </c>
      <c r="Z281" s="4">
        <v>1505</v>
      </c>
      <c r="AA281" s="4">
        <f>=ROUNDDOWN(52.076124567474,0)</f>
      </c>
      <c r="AB281" s="5">
        <v>28.9</v>
      </c>
      <c r="AC281" s="2" t="s">
        <v>101</v>
      </c>
      <c r="AD281" s="4"/>
      <c r="AE281" s="4"/>
      <c r="AF281" s="6">
        <v>63</v>
      </c>
      <c r="AG281" s="6">
        <v>46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>
        <v>244</v>
      </c>
      <c r="AQ281" s="8">
        <v>5221.6</v>
      </c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>
        <v>0.3659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 t="s">
        <v>101</v>
      </c>
      <c r="BJ281" s="4">
        <v>2323</v>
      </c>
      <c r="BK281" s="8">
        <v>53058.55</v>
      </c>
      <c r="BL281" s="2" t="s">
        <v>167</v>
      </c>
      <c r="BM281" s="7">
        <v>0.105</v>
      </c>
      <c r="BN281" s="7">
        <v>0.0984</v>
      </c>
      <c r="BO281" s="4">
        <v>244</v>
      </c>
      <c r="BP281" s="8">
        <v>5221.6</v>
      </c>
      <c r="BQ281" s="4"/>
      <c r="BR281" s="8"/>
      <c r="BS281" s="7"/>
      <c r="BT281" s="7"/>
      <c r="BU281" s="2" t="s">
        <v>110</v>
      </c>
      <c r="BV281" s="2" t="s">
        <v>98</v>
      </c>
      <c r="BW281" s="2" t="s">
        <v>101</v>
      </c>
      <c r="BX281" s="2" t="s">
        <v>270</v>
      </c>
      <c r="BY281" s="2" t="s">
        <v>112</v>
      </c>
      <c r="BZ281" s="2" t="s">
        <v>112</v>
      </c>
      <c r="CA281" s="2" t="s">
        <v>101</v>
      </c>
    </row>
    <row r="282">
      <c r="A282" s="2" t="s">
        <v>694</v>
      </c>
      <c r="B282" s="2" t="s">
        <v>88</v>
      </c>
      <c r="C282" s="2" t="s">
        <v>89</v>
      </c>
      <c r="D282" s="2" t="s">
        <v>598</v>
      </c>
      <c r="E282" s="2" t="s">
        <v>599</v>
      </c>
      <c r="F282" s="2" t="s">
        <v>255</v>
      </c>
      <c r="G282" s="2" t="s">
        <v>256</v>
      </c>
      <c r="H282" s="2" t="s">
        <v>257</v>
      </c>
      <c r="I282" s="2" t="s">
        <v>686</v>
      </c>
      <c r="J282" s="2" t="s">
        <v>265</v>
      </c>
      <c r="K282" s="2" t="s">
        <v>97</v>
      </c>
      <c r="L282" s="3">
        <v>23.57</v>
      </c>
      <c r="M282" s="3">
        <v>24.75</v>
      </c>
      <c r="N282" s="3">
        <v>49.49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268</v>
      </c>
      <c r="T282" s="2" t="s">
        <v>260</v>
      </c>
      <c r="U282" s="2" t="s">
        <v>115</v>
      </c>
      <c r="V282" s="2" t="s">
        <v>105</v>
      </c>
      <c r="W282" s="2" t="s">
        <v>106</v>
      </c>
      <c r="X282" s="2" t="s">
        <v>101</v>
      </c>
      <c r="Y282" s="2" t="s">
        <v>269</v>
      </c>
      <c r="Z282" s="4">
        <v>841</v>
      </c>
      <c r="AA282" s="4">
        <f>=ROUNDDOWN(20.4622871046229,0)</f>
      </c>
      <c r="AB282" s="5">
        <v>41.1</v>
      </c>
      <c r="AC282" s="2" t="s">
        <v>101</v>
      </c>
      <c r="AD282" s="4"/>
      <c r="AE282" s="4"/>
      <c r="AF282" s="6">
        <v>63</v>
      </c>
      <c r="AG282" s="6">
        <v>46</v>
      </c>
      <c r="AH282" s="7">
        <v>0.9976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>
        <v>295</v>
      </c>
      <c r="AQ282" s="8">
        <v>7227.5</v>
      </c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>
        <v>0.5065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 t="s">
        <v>101</v>
      </c>
      <c r="BJ282" s="4">
        <v>2694</v>
      </c>
      <c r="BK282" s="8">
        <v>71495.59</v>
      </c>
      <c r="BL282" s="2" t="s">
        <v>606</v>
      </c>
      <c r="BM282" s="7">
        <v>0.1095</v>
      </c>
      <c r="BN282" s="7">
        <v>0.1011</v>
      </c>
      <c r="BO282" s="4">
        <v>295</v>
      </c>
      <c r="BP282" s="8">
        <v>7227.5</v>
      </c>
      <c r="BQ282" s="4"/>
      <c r="BR282" s="8"/>
      <c r="BS282" s="7"/>
      <c r="BT282" s="7"/>
      <c r="BU282" s="2" t="s">
        <v>110</v>
      </c>
      <c r="BV282" s="2" t="s">
        <v>98</v>
      </c>
      <c r="BW282" s="2" t="s">
        <v>101</v>
      </c>
      <c r="BX282" s="2" t="s">
        <v>695</v>
      </c>
      <c r="BY282" s="2" t="s">
        <v>112</v>
      </c>
      <c r="BZ282" s="2" t="s">
        <v>112</v>
      </c>
      <c r="CA282" s="2" t="s">
        <v>101</v>
      </c>
    </row>
    <row r="283">
      <c r="A283" s="2" t="s">
        <v>696</v>
      </c>
      <c r="B283" s="2" t="s">
        <v>88</v>
      </c>
      <c r="C283" s="2" t="s">
        <v>89</v>
      </c>
      <c r="D283" s="2" t="s">
        <v>598</v>
      </c>
      <c r="E283" s="2" t="s">
        <v>599</v>
      </c>
      <c r="F283" s="2" t="s">
        <v>255</v>
      </c>
      <c r="G283" s="2" t="s">
        <v>256</v>
      </c>
      <c r="H283" s="2" t="s">
        <v>257</v>
      </c>
      <c r="I283" s="2" t="s">
        <v>686</v>
      </c>
      <c r="J283" s="2" t="s">
        <v>96</v>
      </c>
      <c r="K283" s="2" t="s">
        <v>277</v>
      </c>
      <c r="L283" s="3">
        <v>16.9</v>
      </c>
      <c r="M283" s="3">
        <v>17.75</v>
      </c>
      <c r="N283" s="3">
        <v>35.49</v>
      </c>
      <c r="O283" s="2" t="s">
        <v>98</v>
      </c>
      <c r="P283" s="2" t="s">
        <v>278</v>
      </c>
      <c r="Q283" s="2" t="s">
        <v>100</v>
      </c>
      <c r="R283" s="2" t="s">
        <v>101</v>
      </c>
      <c r="S283" s="2" t="s">
        <v>279</v>
      </c>
      <c r="T283" s="2" t="s">
        <v>260</v>
      </c>
      <c r="U283" s="2" t="s">
        <v>104</v>
      </c>
      <c r="V283" s="2" t="s">
        <v>105</v>
      </c>
      <c r="W283" s="2" t="s">
        <v>106</v>
      </c>
      <c r="X283" s="2" t="s">
        <v>101</v>
      </c>
      <c r="Y283" s="2" t="s">
        <v>107</v>
      </c>
      <c r="Z283" s="4">
        <v>103</v>
      </c>
      <c r="AA283" s="4">
        <f>=ROUNDDOWN(18.3928571428571,0)</f>
      </c>
      <c r="AB283" s="5">
        <v>5.6</v>
      </c>
      <c r="AC283" s="2" t="s">
        <v>101</v>
      </c>
      <c r="AD283" s="4"/>
      <c r="AE283" s="4"/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>
        <v>163</v>
      </c>
      <c r="AQ283" s="8">
        <v>2771</v>
      </c>
      <c r="AR283" s="4"/>
      <c r="AS283" s="8"/>
      <c r="AT283" s="7"/>
      <c r="AU283" s="7"/>
      <c r="AV283" s="4">
        <v>394</v>
      </c>
      <c r="AW283" s="8">
        <v>8241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>
        <v>0.3362</v>
      </c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>
        <v>0.0708</v>
      </c>
      <c r="BJ283" s="4">
        <v>515</v>
      </c>
      <c r="BK283" s="8">
        <v>9711.82</v>
      </c>
      <c r="BL283" s="2" t="s">
        <v>618</v>
      </c>
      <c r="BM283" s="7">
        <v>0.3165</v>
      </c>
      <c r="BN283" s="7">
        <v>0.2853</v>
      </c>
      <c r="BO283" s="4">
        <v>163</v>
      </c>
      <c r="BP283" s="8">
        <v>2771</v>
      </c>
      <c r="BQ283" s="4"/>
      <c r="BR283" s="8"/>
      <c r="BS283" s="7"/>
      <c r="BT283" s="7"/>
      <c r="BU283" s="2" t="s">
        <v>110</v>
      </c>
      <c r="BV283" s="2" t="s">
        <v>98</v>
      </c>
      <c r="BW283" s="2" t="s">
        <v>101</v>
      </c>
      <c r="BX283" s="2" t="s">
        <v>697</v>
      </c>
      <c r="BY283" s="2" t="s">
        <v>112</v>
      </c>
      <c r="BZ283" s="2" t="s">
        <v>112</v>
      </c>
      <c r="CA283" s="2" t="s">
        <v>101</v>
      </c>
    </row>
    <row r="284">
      <c r="A284" s="2" t="s">
        <v>698</v>
      </c>
      <c r="B284" s="2" t="s">
        <v>88</v>
      </c>
      <c r="C284" s="2" t="s">
        <v>89</v>
      </c>
      <c r="D284" s="2" t="s">
        <v>598</v>
      </c>
      <c r="E284" s="2" t="s">
        <v>599</v>
      </c>
      <c r="F284" s="2" t="s">
        <v>255</v>
      </c>
      <c r="G284" s="2" t="s">
        <v>256</v>
      </c>
      <c r="H284" s="2" t="s">
        <v>257</v>
      </c>
      <c r="I284" s="2" t="s">
        <v>686</v>
      </c>
      <c r="J284" s="2" t="s">
        <v>263</v>
      </c>
      <c r="K284" s="2" t="s">
        <v>277</v>
      </c>
      <c r="L284" s="3">
        <v>20.23</v>
      </c>
      <c r="M284" s="3">
        <v>21.24</v>
      </c>
      <c r="N284" s="3">
        <v>42.49</v>
      </c>
      <c r="O284" s="2" t="s">
        <v>98</v>
      </c>
      <c r="P284" s="2" t="s">
        <v>278</v>
      </c>
      <c r="Q284" s="2" t="s">
        <v>100</v>
      </c>
      <c r="R284" s="2" t="s">
        <v>101</v>
      </c>
      <c r="S284" s="2" t="s">
        <v>279</v>
      </c>
      <c r="T284" s="2" t="s">
        <v>260</v>
      </c>
      <c r="U284" s="2" t="s">
        <v>115</v>
      </c>
      <c r="V284" s="2" t="s">
        <v>105</v>
      </c>
      <c r="W284" s="2" t="s">
        <v>106</v>
      </c>
      <c r="X284" s="2" t="s">
        <v>101</v>
      </c>
      <c r="Y284" s="2" t="s">
        <v>107</v>
      </c>
      <c r="Z284" s="4">
        <v>941</v>
      </c>
      <c r="AA284" s="4">
        <f>=ROUNDDOWN(43.3640552995392,0)</f>
      </c>
      <c r="AB284" s="5">
        <v>21.7</v>
      </c>
      <c r="AC284" s="2" t="s">
        <v>101</v>
      </c>
      <c r="AD284" s="4"/>
      <c r="AE284" s="4"/>
      <c r="AF284" s="6">
        <v>63</v>
      </c>
      <c r="AG284" s="6">
        <v>46</v>
      </c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>
        <v>134</v>
      </c>
      <c r="AQ284" s="8">
        <v>2948</v>
      </c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>
        <v>0.3577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1800</v>
      </c>
      <c r="BK284" s="8">
        <v>41030.68</v>
      </c>
      <c r="BL284" s="2" t="s">
        <v>167</v>
      </c>
      <c r="BM284" s="7">
        <v>0.0744</v>
      </c>
      <c r="BN284" s="7">
        <v>0.0718</v>
      </c>
      <c r="BO284" s="4">
        <v>134</v>
      </c>
      <c r="BP284" s="8">
        <v>2948</v>
      </c>
      <c r="BQ284" s="4"/>
      <c r="BR284" s="8"/>
      <c r="BS284" s="7"/>
      <c r="BT284" s="7"/>
      <c r="BU284" s="2" t="s">
        <v>110</v>
      </c>
      <c r="BV284" s="2" t="s">
        <v>98</v>
      </c>
      <c r="BW284" s="2" t="s">
        <v>101</v>
      </c>
      <c r="BX284" s="2" t="s">
        <v>261</v>
      </c>
      <c r="BY284" s="2" t="s">
        <v>112</v>
      </c>
      <c r="BZ284" s="2" t="s">
        <v>112</v>
      </c>
      <c r="CA284" s="2" t="s">
        <v>101</v>
      </c>
    </row>
    <row r="285">
      <c r="A285" s="2" t="s">
        <v>699</v>
      </c>
      <c r="B285" s="2" t="s">
        <v>88</v>
      </c>
      <c r="C285" s="2" t="s">
        <v>89</v>
      </c>
      <c r="D285" s="2" t="s">
        <v>598</v>
      </c>
      <c r="E285" s="2" t="s">
        <v>599</v>
      </c>
      <c r="F285" s="2" t="s">
        <v>255</v>
      </c>
      <c r="G285" s="2" t="s">
        <v>256</v>
      </c>
      <c r="H285" s="2" t="s">
        <v>257</v>
      </c>
      <c r="I285" s="2" t="s">
        <v>686</v>
      </c>
      <c r="J285" s="2" t="s">
        <v>265</v>
      </c>
      <c r="K285" s="2" t="s">
        <v>277</v>
      </c>
      <c r="L285" s="3">
        <v>23.57</v>
      </c>
      <c r="M285" s="3">
        <v>24.75</v>
      </c>
      <c r="N285" s="3">
        <v>49.49</v>
      </c>
      <c r="O285" s="2" t="s">
        <v>98</v>
      </c>
      <c r="P285" s="2" t="s">
        <v>278</v>
      </c>
      <c r="Q285" s="2" t="s">
        <v>100</v>
      </c>
      <c r="R285" s="2" t="s">
        <v>101</v>
      </c>
      <c r="S285" s="2" t="s">
        <v>279</v>
      </c>
      <c r="T285" s="2" t="s">
        <v>260</v>
      </c>
      <c r="U285" s="2" t="s">
        <v>115</v>
      </c>
      <c r="V285" s="2" t="s">
        <v>105</v>
      </c>
      <c r="W285" s="2" t="s">
        <v>106</v>
      </c>
      <c r="X285" s="2" t="s">
        <v>101</v>
      </c>
      <c r="Y285" s="2" t="s">
        <v>690</v>
      </c>
      <c r="Z285" s="4">
        <v>588</v>
      </c>
      <c r="AA285" s="4">
        <f>=ROUNDDOWN(22.6153846153846,0)</f>
      </c>
      <c r="AB285" s="5">
        <v>26</v>
      </c>
      <c r="AC285" s="2" t="s">
        <v>101</v>
      </c>
      <c r="AD285" s="4"/>
      <c r="AE285" s="4"/>
      <c r="AF285" s="6">
        <v>63</v>
      </c>
      <c r="AG285" s="6">
        <v>46</v>
      </c>
      <c r="AH285" s="7">
        <v>0.9738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>
        <v>97</v>
      </c>
      <c r="AQ285" s="8">
        <v>2522</v>
      </c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>
        <v>0.306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1525</v>
      </c>
      <c r="BK285" s="8">
        <v>40312.9</v>
      </c>
      <c r="BL285" s="2" t="s">
        <v>604</v>
      </c>
      <c r="BM285" s="7">
        <v>0.0636</v>
      </c>
      <c r="BN285" s="7">
        <v>0.0626</v>
      </c>
      <c r="BO285" s="4">
        <v>97</v>
      </c>
      <c r="BP285" s="8">
        <v>2522</v>
      </c>
      <c r="BQ285" s="4"/>
      <c r="BR285" s="8"/>
      <c r="BS285" s="7"/>
      <c r="BT285" s="7"/>
      <c r="BU285" s="2" t="s">
        <v>110</v>
      </c>
      <c r="BV285" s="2" t="s">
        <v>98</v>
      </c>
      <c r="BW285" s="2" t="s">
        <v>101</v>
      </c>
      <c r="BX285" s="2" t="s">
        <v>261</v>
      </c>
      <c r="BY285" s="2" t="s">
        <v>112</v>
      </c>
      <c r="BZ285" s="2" t="s">
        <v>112</v>
      </c>
      <c r="CA285" s="2" t="s">
        <v>101</v>
      </c>
    </row>
    <row r="286">
      <c r="A286" s="2" t="s">
        <v>700</v>
      </c>
      <c r="B286" s="2" t="s">
        <v>88</v>
      </c>
      <c r="C286" s="2" t="s">
        <v>89</v>
      </c>
      <c r="D286" s="2" t="s">
        <v>598</v>
      </c>
      <c r="E286" s="2" t="s">
        <v>599</v>
      </c>
      <c r="F286" s="2" t="s">
        <v>255</v>
      </c>
      <c r="G286" s="2" t="s">
        <v>256</v>
      </c>
      <c r="H286" s="2" t="s">
        <v>257</v>
      </c>
      <c r="I286" s="2" t="s">
        <v>686</v>
      </c>
      <c r="J286" s="2" t="s">
        <v>96</v>
      </c>
      <c r="K286" s="2" t="s">
        <v>294</v>
      </c>
      <c r="L286" s="3">
        <v>16.9</v>
      </c>
      <c r="M286" s="3">
        <v>17.75</v>
      </c>
      <c r="N286" s="3">
        <v>35.49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295</v>
      </c>
      <c r="T286" s="2" t="s">
        <v>260</v>
      </c>
      <c r="U286" s="2" t="s">
        <v>104</v>
      </c>
      <c r="V286" s="2" t="s">
        <v>105</v>
      </c>
      <c r="W286" s="2" t="s">
        <v>106</v>
      </c>
      <c r="X286" s="2" t="s">
        <v>101</v>
      </c>
      <c r="Y286" s="2" t="s">
        <v>124</v>
      </c>
      <c r="Z286" s="4">
        <v>218</v>
      </c>
      <c r="AA286" s="4">
        <f>=ROUNDDOWN(41.1320754716981,0)</f>
      </c>
      <c r="AB286" s="5">
        <v>5.3</v>
      </c>
      <c r="AC286" s="2" t="s">
        <v>101</v>
      </c>
      <c r="AD286" s="4"/>
      <c r="AE286" s="4"/>
      <c r="AF286" s="6">
        <v>63</v>
      </c>
      <c r="AG286" s="6">
        <v>46</v>
      </c>
      <c r="AH286" s="7">
        <v>0.8833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>
        <v>33</v>
      </c>
      <c r="AQ286" s="8">
        <v>577.5</v>
      </c>
      <c r="AR286" s="4"/>
      <c r="AS286" s="8"/>
      <c r="AT286" s="7"/>
      <c r="AU286" s="7"/>
      <c r="AV286" s="4">
        <v>141</v>
      </c>
      <c r="AW286" s="8">
        <v>3073.5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>
        <v>0.1879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0.0264</v>
      </c>
      <c r="BJ286" s="4">
        <v>405</v>
      </c>
      <c r="BK286" s="8">
        <v>7588.89</v>
      </c>
      <c r="BL286" s="2" t="s">
        <v>167</v>
      </c>
      <c r="BM286" s="7">
        <v>0.0815</v>
      </c>
      <c r="BN286" s="7">
        <v>0.0761</v>
      </c>
      <c r="BO286" s="4">
        <v>33</v>
      </c>
      <c r="BP286" s="8">
        <v>577.5</v>
      </c>
      <c r="BQ286" s="4"/>
      <c r="BR286" s="8"/>
      <c r="BS286" s="7"/>
      <c r="BT286" s="7"/>
      <c r="BU286" s="2" t="s">
        <v>110</v>
      </c>
      <c r="BV286" s="2" t="s">
        <v>98</v>
      </c>
      <c r="BW286" s="2" t="s">
        <v>101</v>
      </c>
      <c r="BX286" s="2" t="s">
        <v>610</v>
      </c>
      <c r="BY286" s="2" t="s">
        <v>112</v>
      </c>
      <c r="BZ286" s="2" t="s">
        <v>112</v>
      </c>
      <c r="CA286" s="2" t="s">
        <v>101</v>
      </c>
    </row>
    <row r="287">
      <c r="A287" s="2" t="s">
        <v>701</v>
      </c>
      <c r="B287" s="2" t="s">
        <v>88</v>
      </c>
      <c r="C287" s="2" t="s">
        <v>89</v>
      </c>
      <c r="D287" s="2" t="s">
        <v>598</v>
      </c>
      <c r="E287" s="2" t="s">
        <v>599</v>
      </c>
      <c r="F287" s="2" t="s">
        <v>255</v>
      </c>
      <c r="G287" s="2" t="s">
        <v>256</v>
      </c>
      <c r="H287" s="2" t="s">
        <v>257</v>
      </c>
      <c r="I287" s="2" t="s">
        <v>686</v>
      </c>
      <c r="J287" s="2" t="s">
        <v>263</v>
      </c>
      <c r="K287" s="2" t="s">
        <v>294</v>
      </c>
      <c r="L287" s="3">
        <v>20.23</v>
      </c>
      <c r="M287" s="3">
        <v>21.24</v>
      </c>
      <c r="N287" s="3">
        <v>42.49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295</v>
      </c>
      <c r="T287" s="2" t="s">
        <v>260</v>
      </c>
      <c r="U287" s="2" t="s">
        <v>115</v>
      </c>
      <c r="V287" s="2" t="s">
        <v>105</v>
      </c>
      <c r="W287" s="2" t="s">
        <v>106</v>
      </c>
      <c r="X287" s="2" t="s">
        <v>101</v>
      </c>
      <c r="Y287" s="2" t="s">
        <v>124</v>
      </c>
      <c r="Z287" s="4">
        <v>907</v>
      </c>
      <c r="AA287" s="4">
        <f>=ROUNDDOWN(29.258064516129,0)</f>
      </c>
      <c r="AB287" s="5">
        <v>31</v>
      </c>
      <c r="AC287" s="2" t="s">
        <v>101</v>
      </c>
      <c r="AD287" s="4"/>
      <c r="AE287" s="4"/>
      <c r="AF287" s="6">
        <v>63</v>
      </c>
      <c r="AG287" s="6">
        <v>46</v>
      </c>
      <c r="AH287" s="7">
        <v>0.8643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>
        <v>60</v>
      </c>
      <c r="AQ287" s="8">
        <v>1320</v>
      </c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0.4295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 t="s">
        <v>101</v>
      </c>
      <c r="BJ287" s="4">
        <v>2043</v>
      </c>
      <c r="BK287" s="8">
        <v>45550.73</v>
      </c>
      <c r="BL287" s="2" t="s">
        <v>296</v>
      </c>
      <c r="BM287" s="7">
        <v>0.0294</v>
      </c>
      <c r="BN287" s="7">
        <v>0.029</v>
      </c>
      <c r="BO287" s="4">
        <v>60</v>
      </c>
      <c r="BP287" s="8">
        <v>1320</v>
      </c>
      <c r="BQ287" s="4"/>
      <c r="BR287" s="8"/>
      <c r="BS287" s="7"/>
      <c r="BT287" s="7"/>
      <c r="BU287" s="2" t="s">
        <v>110</v>
      </c>
      <c r="BV287" s="2" t="s">
        <v>98</v>
      </c>
      <c r="BW287" s="2" t="s">
        <v>101</v>
      </c>
      <c r="BX287" s="2" t="s">
        <v>297</v>
      </c>
      <c r="BY287" s="2" t="s">
        <v>112</v>
      </c>
      <c r="BZ287" s="2" t="s">
        <v>112</v>
      </c>
      <c r="CA287" s="2" t="s">
        <v>101</v>
      </c>
    </row>
    <row r="288">
      <c r="A288" s="2" t="s">
        <v>702</v>
      </c>
      <c r="B288" s="2" t="s">
        <v>88</v>
      </c>
      <c r="C288" s="2" t="s">
        <v>89</v>
      </c>
      <c r="D288" s="2" t="s">
        <v>598</v>
      </c>
      <c r="E288" s="2" t="s">
        <v>599</v>
      </c>
      <c r="F288" s="2" t="s">
        <v>255</v>
      </c>
      <c r="G288" s="2" t="s">
        <v>256</v>
      </c>
      <c r="H288" s="2" t="s">
        <v>257</v>
      </c>
      <c r="I288" s="2" t="s">
        <v>686</v>
      </c>
      <c r="J288" s="2" t="s">
        <v>265</v>
      </c>
      <c r="K288" s="2" t="s">
        <v>294</v>
      </c>
      <c r="L288" s="3">
        <v>23.57</v>
      </c>
      <c r="M288" s="3">
        <v>24.75</v>
      </c>
      <c r="N288" s="3">
        <v>49.49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295</v>
      </c>
      <c r="T288" s="2" t="s">
        <v>260</v>
      </c>
      <c r="U288" s="2" t="s">
        <v>115</v>
      </c>
      <c r="V288" s="2" t="s">
        <v>105</v>
      </c>
      <c r="W288" s="2" t="s">
        <v>106</v>
      </c>
      <c r="X288" s="2" t="s">
        <v>101</v>
      </c>
      <c r="Y288" s="2" t="s">
        <v>124</v>
      </c>
      <c r="Z288" s="4">
        <v>849</v>
      </c>
      <c r="AA288" s="4">
        <f>=ROUNDDOWN(24.2571428571429,0)</f>
      </c>
      <c r="AB288" s="5">
        <v>35</v>
      </c>
      <c r="AC288" s="2" t="s">
        <v>101</v>
      </c>
      <c r="AD288" s="4"/>
      <c r="AE288" s="4"/>
      <c r="AF288" s="6">
        <v>63</v>
      </c>
      <c r="AG288" s="6">
        <v>46</v>
      </c>
      <c r="AH288" s="7">
        <v>0.8357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>
        <v>48</v>
      </c>
      <c r="AQ288" s="8">
        <v>1176</v>
      </c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0.3826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1989</v>
      </c>
      <c r="BK288" s="8">
        <v>51777.37</v>
      </c>
      <c r="BL288" s="2" t="s">
        <v>703</v>
      </c>
      <c r="BM288" s="7">
        <v>0.0241</v>
      </c>
      <c r="BN288" s="7">
        <v>0.0227</v>
      </c>
      <c r="BO288" s="4">
        <v>48</v>
      </c>
      <c r="BP288" s="8">
        <v>1176</v>
      </c>
      <c r="BQ288" s="4"/>
      <c r="BR288" s="8"/>
      <c r="BS288" s="7"/>
      <c r="BT288" s="7"/>
      <c r="BU288" s="2" t="s">
        <v>110</v>
      </c>
      <c r="BV288" s="2" t="s">
        <v>98</v>
      </c>
      <c r="BW288" s="2" t="s">
        <v>101</v>
      </c>
      <c r="BX288" s="2" t="s">
        <v>297</v>
      </c>
      <c r="BY288" s="2" t="s">
        <v>112</v>
      </c>
      <c r="BZ288" s="2" t="s">
        <v>112</v>
      </c>
      <c r="CA288" s="2" t="s">
        <v>101</v>
      </c>
    </row>
    <row r="289">
      <c r="A289" s="2" t="s">
        <v>704</v>
      </c>
      <c r="B289" s="2" t="s">
        <v>88</v>
      </c>
      <c r="C289" s="2" t="s">
        <v>89</v>
      </c>
      <c r="D289" s="2" t="s">
        <v>598</v>
      </c>
      <c r="E289" s="2" t="s">
        <v>599</v>
      </c>
      <c r="F289" s="2" t="s">
        <v>354</v>
      </c>
      <c r="G289" s="2" t="s">
        <v>354</v>
      </c>
      <c r="H289" s="2" t="s">
        <v>354</v>
      </c>
      <c r="I289" s="2" t="s">
        <v>705</v>
      </c>
      <c r="J289" s="2" t="s">
        <v>96</v>
      </c>
      <c r="K289" s="2" t="s">
        <v>358</v>
      </c>
      <c r="L289" s="3">
        <v>20.89</v>
      </c>
      <c r="M289" s="3">
        <v>21.93</v>
      </c>
      <c r="N289" s="3">
        <v>37.99</v>
      </c>
      <c r="O289" s="2" t="s">
        <v>98</v>
      </c>
      <c r="P289" s="2" t="s">
        <v>706</v>
      </c>
      <c r="Q289" s="2" t="s">
        <v>100</v>
      </c>
      <c r="R289" s="2" t="s">
        <v>16</v>
      </c>
      <c r="S289" s="2" t="s">
        <v>101</v>
      </c>
      <c r="T289" s="2" t="s">
        <v>101</v>
      </c>
      <c r="U289" s="2" t="s">
        <v>104</v>
      </c>
      <c r="V289" s="2" t="s">
        <v>707</v>
      </c>
      <c r="W289" s="2" t="s">
        <v>101</v>
      </c>
      <c r="X289" s="2" t="s">
        <v>101</v>
      </c>
      <c r="Y289" s="2" t="s">
        <v>362</v>
      </c>
      <c r="Z289" s="4">
        <v>7</v>
      </c>
      <c r="AA289" s="4">
        <f>=ROUNDDOWN(2.1875,0)</f>
      </c>
      <c r="AB289" s="5">
        <v>3.2</v>
      </c>
      <c r="AC289" s="2" t="s">
        <v>101</v>
      </c>
      <c r="AD289" s="4"/>
      <c r="AE289" s="4"/>
      <c r="AF289" s="6">
        <v>63</v>
      </c>
      <c r="AG289" s="6"/>
      <c r="AH289" s="7">
        <v>0.9889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>
        <v>197</v>
      </c>
      <c r="AQ289" s="8">
        <v>4531</v>
      </c>
      <c r="AR289" s="4"/>
      <c r="AS289" s="8"/>
      <c r="AT289" s="7"/>
      <c r="AU289" s="7"/>
      <c r="AV289" s="4">
        <v>417</v>
      </c>
      <c r="AW289" s="8">
        <v>11591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>
        <v>0.3909</v>
      </c>
      <c r="BC289" s="4">
        <v>683</v>
      </c>
      <c r="BD289" s="8">
        <v>19721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0.5877</v>
      </c>
      <c r="BJ289" s="4">
        <v>197</v>
      </c>
      <c r="BK289" s="8">
        <v>4531</v>
      </c>
      <c r="BL289" s="2" t="s">
        <v>708</v>
      </c>
      <c r="BM289" s="7">
        <v>1</v>
      </c>
      <c r="BN289" s="7">
        <v>1</v>
      </c>
      <c r="BO289" s="4">
        <v>197</v>
      </c>
      <c r="BP289" s="8">
        <v>4531</v>
      </c>
      <c r="BQ289" s="4"/>
      <c r="BR289" s="8"/>
      <c r="BS289" s="7"/>
      <c r="BT289" s="7"/>
      <c r="BU289" s="2" t="s">
        <v>110</v>
      </c>
      <c r="BV289" s="2" t="s">
        <v>98</v>
      </c>
      <c r="BW289" s="2" t="s">
        <v>101</v>
      </c>
      <c r="BX289" s="2" t="s">
        <v>709</v>
      </c>
      <c r="BY289" s="2" t="s">
        <v>112</v>
      </c>
      <c r="BZ289" s="2" t="s">
        <v>112</v>
      </c>
      <c r="CA289" s="2" t="s">
        <v>101</v>
      </c>
    </row>
    <row r="290">
      <c r="A290" s="2" t="s">
        <v>710</v>
      </c>
      <c r="B290" s="2" t="s">
        <v>88</v>
      </c>
      <c r="C290" s="2" t="s">
        <v>89</v>
      </c>
      <c r="D290" s="2" t="s">
        <v>598</v>
      </c>
      <c r="E290" s="2" t="s">
        <v>599</v>
      </c>
      <c r="F290" s="2" t="s">
        <v>354</v>
      </c>
      <c r="G290" s="2" t="s">
        <v>354</v>
      </c>
      <c r="H290" s="2" t="s">
        <v>354</v>
      </c>
      <c r="I290" s="2" t="s">
        <v>705</v>
      </c>
      <c r="J290" s="2" t="s">
        <v>263</v>
      </c>
      <c r="K290" s="2" t="s">
        <v>358</v>
      </c>
      <c r="L290" s="3">
        <v>27.49</v>
      </c>
      <c r="M290" s="3">
        <v>28.86</v>
      </c>
      <c r="N290" s="3">
        <v>44.99</v>
      </c>
      <c r="O290" s="2" t="s">
        <v>98</v>
      </c>
      <c r="P290" s="2" t="s">
        <v>706</v>
      </c>
      <c r="Q290" s="2" t="s">
        <v>100</v>
      </c>
      <c r="R290" s="2" t="s">
        <v>16</v>
      </c>
      <c r="S290" s="2" t="s">
        <v>101</v>
      </c>
      <c r="T290" s="2" t="s">
        <v>101</v>
      </c>
      <c r="U290" s="2" t="s">
        <v>115</v>
      </c>
      <c r="V290" s="2" t="s">
        <v>707</v>
      </c>
      <c r="W290" s="2" t="s">
        <v>101</v>
      </c>
      <c r="X290" s="2" t="s">
        <v>101</v>
      </c>
      <c r="Y290" s="2" t="s">
        <v>362</v>
      </c>
      <c r="Z290" s="4">
        <v>416</v>
      </c>
      <c r="AA290" s="4">
        <f>=ROUNDDOWN(83.2,0)</f>
      </c>
      <c r="AB290" s="5">
        <v>5</v>
      </c>
      <c r="AC290" s="2" t="s">
        <v>101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>
        <v>160</v>
      </c>
      <c r="AQ290" s="8">
        <v>4960</v>
      </c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0.4279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162</v>
      </c>
      <c r="BK290" s="8">
        <v>5020.76</v>
      </c>
      <c r="BL290" s="2" t="s">
        <v>711</v>
      </c>
      <c r="BM290" s="7">
        <v>0.9877</v>
      </c>
      <c r="BN290" s="7">
        <v>0.9879</v>
      </c>
      <c r="BO290" s="4">
        <v>160</v>
      </c>
      <c r="BP290" s="8">
        <v>4960</v>
      </c>
      <c r="BQ290" s="4"/>
      <c r="BR290" s="8"/>
      <c r="BS290" s="7"/>
      <c r="BT290" s="7"/>
      <c r="BU290" s="2" t="s">
        <v>110</v>
      </c>
      <c r="BV290" s="2" t="s">
        <v>98</v>
      </c>
      <c r="BW290" s="2" t="s">
        <v>101</v>
      </c>
      <c r="BX290" s="2" t="s">
        <v>709</v>
      </c>
      <c r="BY290" s="2" t="s">
        <v>112</v>
      </c>
      <c r="BZ290" s="2" t="s">
        <v>112</v>
      </c>
      <c r="CA290" s="2" t="s">
        <v>101</v>
      </c>
    </row>
    <row r="291">
      <c r="A291" s="2" t="s">
        <v>712</v>
      </c>
      <c r="B291" s="2" t="s">
        <v>88</v>
      </c>
      <c r="C291" s="2" t="s">
        <v>89</v>
      </c>
      <c r="D291" s="2" t="s">
        <v>598</v>
      </c>
      <c r="E291" s="2" t="s">
        <v>599</v>
      </c>
      <c r="F291" s="2" t="s">
        <v>354</v>
      </c>
      <c r="G291" s="2" t="s">
        <v>354</v>
      </c>
      <c r="H291" s="2" t="s">
        <v>354</v>
      </c>
      <c r="I291" s="2" t="s">
        <v>705</v>
      </c>
      <c r="J291" s="2" t="s">
        <v>265</v>
      </c>
      <c r="K291" s="2" t="s">
        <v>358</v>
      </c>
      <c r="L291" s="3">
        <v>30.24</v>
      </c>
      <c r="M291" s="3">
        <v>31.75</v>
      </c>
      <c r="N291" s="3">
        <v>49.99</v>
      </c>
      <c r="O291" s="2" t="s">
        <v>98</v>
      </c>
      <c r="P291" s="2" t="s">
        <v>706</v>
      </c>
      <c r="Q291" s="2" t="s">
        <v>100</v>
      </c>
      <c r="R291" s="2" t="s">
        <v>16</v>
      </c>
      <c r="S291" s="2" t="s">
        <v>101</v>
      </c>
      <c r="T291" s="2" t="s">
        <v>101</v>
      </c>
      <c r="U291" s="2" t="s">
        <v>115</v>
      </c>
      <c r="V291" s="2" t="s">
        <v>707</v>
      </c>
      <c r="W291" s="2" t="s">
        <v>101</v>
      </c>
      <c r="X291" s="2" t="s">
        <v>101</v>
      </c>
      <c r="Y291" s="2" t="s">
        <v>362</v>
      </c>
      <c r="Z291" s="4">
        <v>456</v>
      </c>
      <c r="AA291" s="4">
        <f>=ROUNDDOWN(304,0)</f>
      </c>
      <c r="AB291" s="5">
        <v>1.5</v>
      </c>
      <c r="AC291" s="2" t="s">
        <v>101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60</v>
      </c>
      <c r="AQ291" s="8">
        <v>2100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0.1812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60</v>
      </c>
      <c r="BK291" s="8">
        <v>2100</v>
      </c>
      <c r="BL291" s="2" t="s">
        <v>708</v>
      </c>
      <c r="BM291" s="7">
        <v>1</v>
      </c>
      <c r="BN291" s="7">
        <v>1</v>
      </c>
      <c r="BO291" s="4">
        <v>60</v>
      </c>
      <c r="BP291" s="8">
        <v>2100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101</v>
      </c>
      <c r="BX291" s="2" t="s">
        <v>713</v>
      </c>
      <c r="BY291" s="2" t="s">
        <v>112</v>
      </c>
      <c r="BZ291" s="2" t="s">
        <v>112</v>
      </c>
      <c r="CA291" s="2" t="s">
        <v>101</v>
      </c>
    </row>
    <row r="292">
      <c r="A292" s="2" t="s">
        <v>714</v>
      </c>
      <c r="B292" s="2" t="s">
        <v>88</v>
      </c>
      <c r="C292" s="2" t="s">
        <v>89</v>
      </c>
      <c r="D292" s="2" t="s">
        <v>598</v>
      </c>
      <c r="E292" s="2" t="s">
        <v>599</v>
      </c>
      <c r="F292" s="2" t="s">
        <v>354</v>
      </c>
      <c r="G292" s="2" t="s">
        <v>354</v>
      </c>
      <c r="H292" s="2" t="s">
        <v>354</v>
      </c>
      <c r="I292" s="2" t="s">
        <v>705</v>
      </c>
      <c r="J292" s="2" t="s">
        <v>96</v>
      </c>
      <c r="K292" s="2" t="s">
        <v>189</v>
      </c>
      <c r="L292" s="3">
        <v>20.89</v>
      </c>
      <c r="M292" s="3">
        <v>21.93</v>
      </c>
      <c r="N292" s="3">
        <v>37.99</v>
      </c>
      <c r="O292" s="2" t="s">
        <v>98</v>
      </c>
      <c r="P292" s="2" t="s">
        <v>706</v>
      </c>
      <c r="Q292" s="2" t="s">
        <v>100</v>
      </c>
      <c r="R292" s="2" t="s">
        <v>16</v>
      </c>
      <c r="S292" s="2" t="s">
        <v>101</v>
      </c>
      <c r="T292" s="2" t="s">
        <v>101</v>
      </c>
      <c r="U292" s="2" t="s">
        <v>104</v>
      </c>
      <c r="V292" s="2" t="s">
        <v>707</v>
      </c>
      <c r="W292" s="2" t="s">
        <v>101</v>
      </c>
      <c r="X292" s="2" t="s">
        <v>101</v>
      </c>
      <c r="Y292" s="2" t="s">
        <v>362</v>
      </c>
      <c r="Z292" s="4">
        <v>89</v>
      </c>
      <c r="AA292" s="4">
        <f>=ROUNDDOWN(148.333333333333,0)</f>
      </c>
      <c r="AB292" s="5">
        <v>0.6</v>
      </c>
      <c r="AC292" s="2" t="s">
        <v>101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25</v>
      </c>
      <c r="AQ292" s="8">
        <v>575</v>
      </c>
      <c r="AR292" s="4"/>
      <c r="AS292" s="8"/>
      <c r="AT292" s="7"/>
      <c r="AU292" s="7"/>
      <c r="AV292" s="4">
        <v>197</v>
      </c>
      <c r="AW292" s="8">
        <v>6079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0.0946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0.3083</v>
      </c>
      <c r="BJ292" s="4">
        <v>27</v>
      </c>
      <c r="BK292" s="8">
        <v>684.76</v>
      </c>
      <c r="BL292" s="2" t="s">
        <v>711</v>
      </c>
      <c r="BM292" s="7">
        <v>0.9259</v>
      </c>
      <c r="BN292" s="7">
        <v>0.8397</v>
      </c>
      <c r="BO292" s="4">
        <v>25</v>
      </c>
      <c r="BP292" s="8">
        <v>575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101</v>
      </c>
      <c r="BX292" s="2" t="s">
        <v>709</v>
      </c>
      <c r="BY292" s="2" t="s">
        <v>112</v>
      </c>
      <c r="BZ292" s="2" t="s">
        <v>112</v>
      </c>
      <c r="CA292" s="2" t="s">
        <v>101</v>
      </c>
    </row>
    <row r="293">
      <c r="A293" s="2" t="s">
        <v>715</v>
      </c>
      <c r="B293" s="2" t="s">
        <v>88</v>
      </c>
      <c r="C293" s="2" t="s">
        <v>89</v>
      </c>
      <c r="D293" s="2" t="s">
        <v>598</v>
      </c>
      <c r="E293" s="2" t="s">
        <v>599</v>
      </c>
      <c r="F293" s="2" t="s">
        <v>354</v>
      </c>
      <c r="G293" s="2" t="s">
        <v>354</v>
      </c>
      <c r="H293" s="2" t="s">
        <v>354</v>
      </c>
      <c r="I293" s="2" t="s">
        <v>705</v>
      </c>
      <c r="J293" s="2" t="s">
        <v>263</v>
      </c>
      <c r="K293" s="2" t="s">
        <v>189</v>
      </c>
      <c r="L293" s="3">
        <v>27.49</v>
      </c>
      <c r="M293" s="3">
        <v>28.86</v>
      </c>
      <c r="N293" s="3">
        <v>44.99</v>
      </c>
      <c r="O293" s="2" t="s">
        <v>98</v>
      </c>
      <c r="P293" s="2" t="s">
        <v>706</v>
      </c>
      <c r="Q293" s="2" t="s">
        <v>100</v>
      </c>
      <c r="R293" s="2" t="s">
        <v>16</v>
      </c>
      <c r="S293" s="2" t="s">
        <v>101</v>
      </c>
      <c r="T293" s="2" t="s">
        <v>101</v>
      </c>
      <c r="U293" s="2" t="s">
        <v>115</v>
      </c>
      <c r="V293" s="2" t="s">
        <v>707</v>
      </c>
      <c r="W293" s="2" t="s">
        <v>101</v>
      </c>
      <c r="X293" s="2" t="s">
        <v>101</v>
      </c>
      <c r="Y293" s="2" t="s">
        <v>362</v>
      </c>
      <c r="Z293" s="4">
        <v>597</v>
      </c>
      <c r="AA293" s="4">
        <f>=ROUNDDOWN(142.142857142857,0)</f>
      </c>
      <c r="AB293" s="5">
        <v>4.2</v>
      </c>
      <c r="AC293" s="2" t="s">
        <v>101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129</v>
      </c>
      <c r="AQ293" s="8">
        <v>3999</v>
      </c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0.6578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 t="s">
        <v>101</v>
      </c>
      <c r="BJ293" s="4">
        <v>130</v>
      </c>
      <c r="BK293" s="8">
        <v>4026.59</v>
      </c>
      <c r="BL293" s="2" t="s">
        <v>711</v>
      </c>
      <c r="BM293" s="7">
        <v>0.9923</v>
      </c>
      <c r="BN293" s="7">
        <v>0.9931</v>
      </c>
      <c r="BO293" s="4">
        <v>129</v>
      </c>
      <c r="BP293" s="8">
        <v>3999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101</v>
      </c>
      <c r="BX293" s="2" t="s">
        <v>165</v>
      </c>
      <c r="BY293" s="2" t="s">
        <v>112</v>
      </c>
      <c r="BZ293" s="2" t="s">
        <v>112</v>
      </c>
      <c r="CA293" s="2" t="s">
        <v>101</v>
      </c>
    </row>
    <row r="294">
      <c r="A294" s="2" t="s">
        <v>716</v>
      </c>
      <c r="B294" s="2" t="s">
        <v>88</v>
      </c>
      <c r="C294" s="2" t="s">
        <v>89</v>
      </c>
      <c r="D294" s="2" t="s">
        <v>598</v>
      </c>
      <c r="E294" s="2" t="s">
        <v>599</v>
      </c>
      <c r="F294" s="2" t="s">
        <v>354</v>
      </c>
      <c r="G294" s="2" t="s">
        <v>354</v>
      </c>
      <c r="H294" s="2" t="s">
        <v>354</v>
      </c>
      <c r="I294" s="2" t="s">
        <v>705</v>
      </c>
      <c r="J294" s="2" t="s">
        <v>265</v>
      </c>
      <c r="K294" s="2" t="s">
        <v>189</v>
      </c>
      <c r="L294" s="3">
        <v>30.24</v>
      </c>
      <c r="M294" s="3">
        <v>31.75</v>
      </c>
      <c r="N294" s="3">
        <v>49.99</v>
      </c>
      <c r="O294" s="2" t="s">
        <v>98</v>
      </c>
      <c r="P294" s="2" t="s">
        <v>706</v>
      </c>
      <c r="Q294" s="2" t="s">
        <v>100</v>
      </c>
      <c r="R294" s="2" t="s">
        <v>16</v>
      </c>
      <c r="S294" s="2" t="s">
        <v>101</v>
      </c>
      <c r="T294" s="2" t="s">
        <v>101</v>
      </c>
      <c r="U294" s="2" t="s">
        <v>115</v>
      </c>
      <c r="V294" s="2" t="s">
        <v>707</v>
      </c>
      <c r="W294" s="2" t="s">
        <v>101</v>
      </c>
      <c r="X294" s="2" t="s">
        <v>101</v>
      </c>
      <c r="Y294" s="2" t="s">
        <v>362</v>
      </c>
      <c r="Z294" s="4">
        <v>592</v>
      </c>
      <c r="AA294" s="4">
        <f>=ROUNDDOWN({0},0)</f>
      </c>
      <c r="AB294" s="5"/>
      <c r="AC294" s="2" t="s">
        <v>101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>
        <v>43</v>
      </c>
      <c r="AQ294" s="8">
        <v>1505</v>
      </c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0.2476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 t="s">
        <v>101</v>
      </c>
      <c r="BJ294" s="4">
        <v>44</v>
      </c>
      <c r="BK294" s="8">
        <v>1540.75</v>
      </c>
      <c r="BL294" s="2" t="s">
        <v>711</v>
      </c>
      <c r="BM294" s="7">
        <v>0.9773</v>
      </c>
      <c r="BN294" s="7">
        <v>0.9768</v>
      </c>
      <c r="BO294" s="4">
        <v>43</v>
      </c>
      <c r="BP294" s="8">
        <v>1505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101</v>
      </c>
      <c r="BX294" s="2" t="s">
        <v>717</v>
      </c>
      <c r="BY294" s="2" t="s">
        <v>112</v>
      </c>
      <c r="BZ294" s="2" t="s">
        <v>112</v>
      </c>
      <c r="CA294" s="2" t="s">
        <v>101</v>
      </c>
    </row>
    <row r="295">
      <c r="A295" s="2" t="s">
        <v>718</v>
      </c>
      <c r="B295" s="2" t="s">
        <v>88</v>
      </c>
      <c r="C295" s="2" t="s">
        <v>89</v>
      </c>
      <c r="D295" s="2" t="s">
        <v>598</v>
      </c>
      <c r="E295" s="2" t="s">
        <v>599</v>
      </c>
      <c r="F295" s="2" t="s">
        <v>354</v>
      </c>
      <c r="G295" s="2" t="s">
        <v>354</v>
      </c>
      <c r="H295" s="2" t="s">
        <v>354</v>
      </c>
      <c r="I295" s="2" t="s">
        <v>705</v>
      </c>
      <c r="J295" s="2" t="s">
        <v>96</v>
      </c>
      <c r="K295" s="2" t="s">
        <v>378</v>
      </c>
      <c r="L295" s="3">
        <v>20.89</v>
      </c>
      <c r="M295" s="3">
        <v>21.93</v>
      </c>
      <c r="N295" s="3">
        <v>37.99</v>
      </c>
      <c r="O295" s="2" t="s">
        <v>98</v>
      </c>
      <c r="P295" s="2" t="s">
        <v>706</v>
      </c>
      <c r="Q295" s="2" t="s">
        <v>100</v>
      </c>
      <c r="R295" s="2" t="s">
        <v>16</v>
      </c>
      <c r="S295" s="2" t="s">
        <v>101</v>
      </c>
      <c r="T295" s="2" t="s">
        <v>101</v>
      </c>
      <c r="U295" s="2" t="s">
        <v>104</v>
      </c>
      <c r="V295" s="2" t="s">
        <v>707</v>
      </c>
      <c r="W295" s="2" t="s">
        <v>101</v>
      </c>
      <c r="X295" s="2" t="s">
        <v>101</v>
      </c>
      <c r="Y295" s="2" t="s">
        <v>362</v>
      </c>
      <c r="Z295" s="4">
        <v>82</v>
      </c>
      <c r="AA295" s="4">
        <f>=ROUNDDOWN(273.333333333333,0)</f>
      </c>
      <c r="AB295" s="5"/>
      <c r="AC295" s="2" t="s">
        <v>101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22</v>
      </c>
      <c r="AQ295" s="8">
        <v>506</v>
      </c>
      <c r="AR295" s="4"/>
      <c r="AS295" s="8"/>
      <c r="AT295" s="7"/>
      <c r="AU295" s="7"/>
      <c r="AV295" s="4">
        <v>69</v>
      </c>
      <c r="AW295" s="8">
        <v>2051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0.2467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0.104</v>
      </c>
      <c r="BJ295" s="4">
        <v>22</v>
      </c>
      <c r="BK295" s="8">
        <v>506</v>
      </c>
      <c r="BL295" s="2" t="s">
        <v>708</v>
      </c>
      <c r="BM295" s="7">
        <v>1</v>
      </c>
      <c r="BN295" s="7">
        <v>1</v>
      </c>
      <c r="BO295" s="4">
        <v>22</v>
      </c>
      <c r="BP295" s="8">
        <v>506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101</v>
      </c>
      <c r="BX295" s="2" t="s">
        <v>713</v>
      </c>
      <c r="BY295" s="2" t="s">
        <v>112</v>
      </c>
      <c r="BZ295" s="2" t="s">
        <v>112</v>
      </c>
      <c r="CA295" s="2" t="s">
        <v>101</v>
      </c>
    </row>
    <row r="296">
      <c r="A296" s="2" t="s">
        <v>719</v>
      </c>
      <c r="B296" s="2" t="s">
        <v>88</v>
      </c>
      <c r="C296" s="2" t="s">
        <v>89</v>
      </c>
      <c r="D296" s="2" t="s">
        <v>598</v>
      </c>
      <c r="E296" s="2" t="s">
        <v>599</v>
      </c>
      <c r="F296" s="2" t="s">
        <v>354</v>
      </c>
      <c r="G296" s="2" t="s">
        <v>354</v>
      </c>
      <c r="H296" s="2" t="s">
        <v>354</v>
      </c>
      <c r="I296" s="2" t="s">
        <v>705</v>
      </c>
      <c r="J296" s="2" t="s">
        <v>263</v>
      </c>
      <c r="K296" s="2" t="s">
        <v>378</v>
      </c>
      <c r="L296" s="3">
        <v>27.49</v>
      </c>
      <c r="M296" s="3">
        <v>28.86</v>
      </c>
      <c r="N296" s="3">
        <v>44.99</v>
      </c>
      <c r="O296" s="2" t="s">
        <v>98</v>
      </c>
      <c r="P296" s="2" t="s">
        <v>706</v>
      </c>
      <c r="Q296" s="2" t="s">
        <v>100</v>
      </c>
      <c r="R296" s="2" t="s">
        <v>16</v>
      </c>
      <c r="S296" s="2" t="s">
        <v>101</v>
      </c>
      <c r="T296" s="2" t="s">
        <v>101</v>
      </c>
      <c r="U296" s="2" t="s">
        <v>115</v>
      </c>
      <c r="V296" s="2" t="s">
        <v>707</v>
      </c>
      <c r="W296" s="2" t="s">
        <v>101</v>
      </c>
      <c r="X296" s="2" t="s">
        <v>101</v>
      </c>
      <c r="Y296" s="2" t="s">
        <v>362</v>
      </c>
      <c r="Z296" s="4">
        <v>443</v>
      </c>
      <c r="AA296" s="4">
        <f>=ROUNDDOWN(738.333333333333,0)</f>
      </c>
      <c r="AB296" s="5">
        <v>0.6</v>
      </c>
      <c r="AC296" s="2" t="s">
        <v>101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25</v>
      </c>
      <c r="AQ296" s="8">
        <v>775</v>
      </c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0.3779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 t="s">
        <v>101</v>
      </c>
      <c r="BJ296" s="4">
        <v>25</v>
      </c>
      <c r="BK296" s="8">
        <v>775</v>
      </c>
      <c r="BL296" s="2" t="s">
        <v>708</v>
      </c>
      <c r="BM296" s="7">
        <v>1</v>
      </c>
      <c r="BN296" s="7">
        <v>1</v>
      </c>
      <c r="BO296" s="4">
        <v>25</v>
      </c>
      <c r="BP296" s="8">
        <v>775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101</v>
      </c>
      <c r="BX296" s="2" t="s">
        <v>709</v>
      </c>
      <c r="BY296" s="2" t="s">
        <v>112</v>
      </c>
      <c r="BZ296" s="2" t="s">
        <v>112</v>
      </c>
      <c r="CA296" s="2" t="s">
        <v>101</v>
      </c>
    </row>
    <row r="297">
      <c r="A297" s="2" t="s">
        <v>720</v>
      </c>
      <c r="B297" s="2" t="s">
        <v>88</v>
      </c>
      <c r="C297" s="2" t="s">
        <v>89</v>
      </c>
      <c r="D297" s="2" t="s">
        <v>598</v>
      </c>
      <c r="E297" s="2" t="s">
        <v>599</v>
      </c>
      <c r="F297" s="2" t="s">
        <v>354</v>
      </c>
      <c r="G297" s="2" t="s">
        <v>354</v>
      </c>
      <c r="H297" s="2" t="s">
        <v>354</v>
      </c>
      <c r="I297" s="2" t="s">
        <v>705</v>
      </c>
      <c r="J297" s="2" t="s">
        <v>265</v>
      </c>
      <c r="K297" s="2" t="s">
        <v>378</v>
      </c>
      <c r="L297" s="3">
        <v>30.24</v>
      </c>
      <c r="M297" s="3">
        <v>31.75</v>
      </c>
      <c r="N297" s="3">
        <v>49.99</v>
      </c>
      <c r="O297" s="2" t="s">
        <v>98</v>
      </c>
      <c r="P297" s="2" t="s">
        <v>706</v>
      </c>
      <c r="Q297" s="2" t="s">
        <v>100</v>
      </c>
      <c r="R297" s="2" t="s">
        <v>16</v>
      </c>
      <c r="S297" s="2" t="s">
        <v>101</v>
      </c>
      <c r="T297" s="2" t="s">
        <v>101</v>
      </c>
      <c r="U297" s="2" t="s">
        <v>115</v>
      </c>
      <c r="V297" s="2" t="s">
        <v>707</v>
      </c>
      <c r="W297" s="2" t="s">
        <v>101</v>
      </c>
      <c r="X297" s="2" t="s">
        <v>101</v>
      </c>
      <c r="Y297" s="2" t="s">
        <v>362</v>
      </c>
      <c r="Z297" s="4">
        <v>374</v>
      </c>
      <c r="AA297" s="4">
        <f>=ROUNDDOWN({0},0)</f>
      </c>
      <c r="AB297" s="5">
        <v>0.3</v>
      </c>
      <c r="AC297" s="2" t="s">
        <v>101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>
        <v>22</v>
      </c>
      <c r="AQ297" s="8">
        <v>770</v>
      </c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0.3754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 t="s">
        <v>101</v>
      </c>
      <c r="BJ297" s="4">
        <v>22</v>
      </c>
      <c r="BK297" s="8">
        <v>770</v>
      </c>
      <c r="BL297" s="2" t="s">
        <v>708</v>
      </c>
      <c r="BM297" s="7">
        <v>1</v>
      </c>
      <c r="BN297" s="7">
        <v>1</v>
      </c>
      <c r="BO297" s="4">
        <v>22</v>
      </c>
      <c r="BP297" s="8">
        <v>770</v>
      </c>
      <c r="BQ297" s="4"/>
      <c r="BR297" s="8"/>
      <c r="BS297" s="7"/>
      <c r="BT297" s="7"/>
      <c r="BU297" s="2" t="s">
        <v>110</v>
      </c>
      <c r="BV297" s="2" t="s">
        <v>98</v>
      </c>
      <c r="BW297" s="2" t="s">
        <v>101</v>
      </c>
      <c r="BX297" s="2" t="s">
        <v>136</v>
      </c>
      <c r="BY297" s="2" t="s">
        <v>112</v>
      </c>
      <c r="BZ297" s="2" t="s">
        <v>112</v>
      </c>
      <c r="CA297" s="2" t="s">
        <v>101</v>
      </c>
    </row>
    <row r="298">
      <c r="A298" s="2" t="s">
        <v>721</v>
      </c>
      <c r="B298" s="2" t="s">
        <v>88</v>
      </c>
      <c r="C298" s="2" t="s">
        <v>89</v>
      </c>
      <c r="D298" s="2" t="s">
        <v>598</v>
      </c>
      <c r="E298" s="2" t="s">
        <v>599</v>
      </c>
      <c r="F298" s="2" t="s">
        <v>548</v>
      </c>
      <c r="G298" s="2" t="s">
        <v>549</v>
      </c>
      <c r="H298" s="2" t="s">
        <v>550</v>
      </c>
      <c r="I298" s="2" t="s">
        <v>722</v>
      </c>
      <c r="J298" s="2" t="s">
        <v>96</v>
      </c>
      <c r="K298" s="2" t="s">
        <v>153</v>
      </c>
      <c r="L298" s="3">
        <v>17.85</v>
      </c>
      <c r="M298" s="3">
        <v>18.74</v>
      </c>
      <c r="N298" s="3">
        <v>37.49</v>
      </c>
      <c r="O298" s="2" t="s">
        <v>462</v>
      </c>
      <c r="P298" s="2" t="s">
        <v>481</v>
      </c>
      <c r="Q298" s="2" t="s">
        <v>100</v>
      </c>
      <c r="R298" s="2" t="s">
        <v>101</v>
      </c>
      <c r="S298" s="2" t="s">
        <v>561</v>
      </c>
      <c r="T298" s="2" t="s">
        <v>552</v>
      </c>
      <c r="U298" s="2" t="s">
        <v>104</v>
      </c>
      <c r="V298" s="2" t="s">
        <v>105</v>
      </c>
      <c r="W298" s="2" t="s">
        <v>310</v>
      </c>
      <c r="X298" s="2" t="s">
        <v>723</v>
      </c>
      <c r="Y298" s="2" t="s">
        <v>101</v>
      </c>
      <c r="Z298" s="4"/>
      <c r="AA298" s="4">
        <f>=ROUNDDOWN({0},0)</f>
      </c>
      <c r="AB298" s="5"/>
      <c r="AC298" s="2" t="s">
        <v>101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/>
      <c r="BK298" s="8"/>
      <c r="BL298" s="2" t="s">
        <v>101</v>
      </c>
      <c r="BM298" s="7"/>
      <c r="BN298" s="7"/>
      <c r="BO298" s="4"/>
      <c r="BP298" s="8"/>
      <c r="BQ298" s="4"/>
      <c r="BR298" s="8"/>
      <c r="BS298" s="7"/>
      <c r="BT298" s="7"/>
      <c r="BU298" s="2" t="s">
        <v>415</v>
      </c>
      <c r="BV298" s="2" t="s">
        <v>98</v>
      </c>
      <c r="BW298" s="2" t="s">
        <v>101</v>
      </c>
      <c r="BX298" s="2" t="s">
        <v>101</v>
      </c>
      <c r="BY298" s="2" t="s">
        <v>112</v>
      </c>
      <c r="BZ298" s="2" t="s">
        <v>112</v>
      </c>
      <c r="CA298" s="2" t="s">
        <v>101</v>
      </c>
    </row>
    <row r="299">
      <c r="A299" s="2" t="s">
        <v>724</v>
      </c>
      <c r="B299" s="2" t="s">
        <v>88</v>
      </c>
      <c r="C299" s="2" t="s">
        <v>89</v>
      </c>
      <c r="D299" s="2" t="s">
        <v>598</v>
      </c>
      <c r="E299" s="2" t="s">
        <v>599</v>
      </c>
      <c r="F299" s="2" t="s">
        <v>548</v>
      </c>
      <c r="G299" s="2" t="s">
        <v>549</v>
      </c>
      <c r="H299" s="2" t="s">
        <v>550</v>
      </c>
      <c r="I299" s="2" t="s">
        <v>722</v>
      </c>
      <c r="J299" s="2" t="s">
        <v>263</v>
      </c>
      <c r="K299" s="2" t="s">
        <v>153</v>
      </c>
      <c r="L299" s="3">
        <v>22.61</v>
      </c>
      <c r="M299" s="3">
        <v>23.74</v>
      </c>
      <c r="N299" s="3">
        <v>47.49</v>
      </c>
      <c r="O299" s="2" t="s">
        <v>462</v>
      </c>
      <c r="P299" s="2" t="s">
        <v>481</v>
      </c>
      <c r="Q299" s="2" t="s">
        <v>100</v>
      </c>
      <c r="R299" s="2" t="s">
        <v>101</v>
      </c>
      <c r="S299" s="2" t="s">
        <v>561</v>
      </c>
      <c r="T299" s="2" t="s">
        <v>552</v>
      </c>
      <c r="U299" s="2" t="s">
        <v>115</v>
      </c>
      <c r="V299" s="2" t="s">
        <v>105</v>
      </c>
      <c r="W299" s="2" t="s">
        <v>310</v>
      </c>
      <c r="X299" s="2" t="s">
        <v>723</v>
      </c>
      <c r="Y299" s="2" t="s">
        <v>101</v>
      </c>
      <c r="Z299" s="4"/>
      <c r="AA299" s="4">
        <f>=ROUNDDOWN({0},0)</f>
      </c>
      <c r="AB299" s="5"/>
      <c r="AC299" s="2" t="s">
        <v>101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/>
      <c r="BK299" s="8"/>
      <c r="BL299" s="2" t="s">
        <v>101</v>
      </c>
      <c r="BM299" s="7"/>
      <c r="BN299" s="7"/>
      <c r="BO299" s="4"/>
      <c r="BP299" s="8"/>
      <c r="BQ299" s="4"/>
      <c r="BR299" s="8"/>
      <c r="BS299" s="7"/>
      <c r="BT299" s="7"/>
      <c r="BU299" s="2" t="s">
        <v>415</v>
      </c>
      <c r="BV299" s="2" t="s">
        <v>98</v>
      </c>
      <c r="BW299" s="2" t="s">
        <v>101</v>
      </c>
      <c r="BX299" s="2" t="s">
        <v>101</v>
      </c>
      <c r="BY299" s="2" t="s">
        <v>112</v>
      </c>
      <c r="BZ299" s="2" t="s">
        <v>112</v>
      </c>
      <c r="CA299" s="2" t="s">
        <v>101</v>
      </c>
    </row>
    <row r="300">
      <c r="A300" s="2" t="s">
        <v>725</v>
      </c>
      <c r="B300" s="2" t="s">
        <v>88</v>
      </c>
      <c r="C300" s="2" t="s">
        <v>89</v>
      </c>
      <c r="D300" s="2" t="s">
        <v>598</v>
      </c>
      <c r="E300" s="2" t="s">
        <v>599</v>
      </c>
      <c r="F300" s="2" t="s">
        <v>548</v>
      </c>
      <c r="G300" s="2" t="s">
        <v>549</v>
      </c>
      <c r="H300" s="2" t="s">
        <v>550</v>
      </c>
      <c r="I300" s="2" t="s">
        <v>722</v>
      </c>
      <c r="J300" s="2" t="s">
        <v>265</v>
      </c>
      <c r="K300" s="2" t="s">
        <v>153</v>
      </c>
      <c r="L300" s="3">
        <v>27.38</v>
      </c>
      <c r="M300" s="3">
        <v>28.75</v>
      </c>
      <c r="N300" s="3">
        <v>57.49</v>
      </c>
      <c r="O300" s="2" t="s">
        <v>462</v>
      </c>
      <c r="P300" s="2" t="s">
        <v>481</v>
      </c>
      <c r="Q300" s="2" t="s">
        <v>100</v>
      </c>
      <c r="R300" s="2" t="s">
        <v>101</v>
      </c>
      <c r="S300" s="2" t="s">
        <v>561</v>
      </c>
      <c r="T300" s="2" t="s">
        <v>552</v>
      </c>
      <c r="U300" s="2" t="s">
        <v>115</v>
      </c>
      <c r="V300" s="2" t="s">
        <v>105</v>
      </c>
      <c r="W300" s="2" t="s">
        <v>310</v>
      </c>
      <c r="X300" s="2" t="s">
        <v>723</v>
      </c>
      <c r="Y300" s="2" t="s">
        <v>101</v>
      </c>
      <c r="Z300" s="4"/>
      <c r="AA300" s="4">
        <f>=ROUNDDOWN({0},0)</f>
      </c>
      <c r="AB300" s="5"/>
      <c r="AC300" s="2" t="s">
        <v>101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/>
      <c r="BK300" s="8"/>
      <c r="BL300" s="2" t="s">
        <v>101</v>
      </c>
      <c r="BM300" s="7"/>
      <c r="BN300" s="7"/>
      <c r="BO300" s="4"/>
      <c r="BP300" s="8"/>
      <c r="BQ300" s="4"/>
      <c r="BR300" s="8"/>
      <c r="BS300" s="7"/>
      <c r="BT300" s="7"/>
      <c r="BU300" s="2" t="s">
        <v>415</v>
      </c>
      <c r="BV300" s="2" t="s">
        <v>98</v>
      </c>
      <c r="BW300" s="2" t="s">
        <v>101</v>
      </c>
      <c r="BX300" s="2" t="s">
        <v>101</v>
      </c>
      <c r="BY300" s="2" t="s">
        <v>112</v>
      </c>
      <c r="BZ300" s="2" t="s">
        <v>112</v>
      </c>
      <c r="CA300" s="2" t="s">
        <v>101</v>
      </c>
    </row>
    <row r="301">
      <c r="A301" s="2" t="s">
        <v>726</v>
      </c>
      <c r="B301" s="2" t="s">
        <v>88</v>
      </c>
      <c r="C301" s="2" t="s">
        <v>89</v>
      </c>
      <c r="D301" s="2" t="s">
        <v>598</v>
      </c>
      <c r="E301" s="2" t="s">
        <v>599</v>
      </c>
      <c r="F301" s="2" t="s">
        <v>548</v>
      </c>
      <c r="G301" s="2" t="s">
        <v>549</v>
      </c>
      <c r="H301" s="2" t="s">
        <v>550</v>
      </c>
      <c r="I301" s="2" t="s">
        <v>722</v>
      </c>
      <c r="J301" s="2" t="s">
        <v>96</v>
      </c>
      <c r="K301" s="2" t="s">
        <v>208</v>
      </c>
      <c r="L301" s="3">
        <v>17.85</v>
      </c>
      <c r="M301" s="3">
        <v>18.74</v>
      </c>
      <c r="N301" s="3">
        <v>37.49</v>
      </c>
      <c r="O301" s="2" t="s">
        <v>462</v>
      </c>
      <c r="P301" s="2" t="s">
        <v>481</v>
      </c>
      <c r="Q301" s="2" t="s">
        <v>100</v>
      </c>
      <c r="R301" s="2" t="s">
        <v>101</v>
      </c>
      <c r="S301" s="2" t="s">
        <v>565</v>
      </c>
      <c r="T301" s="2" t="s">
        <v>552</v>
      </c>
      <c r="U301" s="2" t="s">
        <v>104</v>
      </c>
      <c r="V301" s="2" t="s">
        <v>105</v>
      </c>
      <c r="W301" s="2" t="s">
        <v>310</v>
      </c>
      <c r="X301" s="2" t="s">
        <v>723</v>
      </c>
      <c r="Y301" s="2" t="s">
        <v>101</v>
      </c>
      <c r="Z301" s="4"/>
      <c r="AA301" s="4">
        <f>=ROUNDDOWN({0},0)</f>
      </c>
      <c r="AB301" s="5"/>
      <c r="AC301" s="2" t="s">
        <v>101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/>
      <c r="BJ301" s="4"/>
      <c r="BK301" s="8"/>
      <c r="BL301" s="2" t="s">
        <v>101</v>
      </c>
      <c r="BM301" s="7"/>
      <c r="BN301" s="7"/>
      <c r="BO301" s="4"/>
      <c r="BP301" s="8"/>
      <c r="BQ301" s="4"/>
      <c r="BR301" s="8"/>
      <c r="BS301" s="7"/>
      <c r="BT301" s="7"/>
      <c r="BU301" s="2" t="s">
        <v>415</v>
      </c>
      <c r="BV301" s="2" t="s">
        <v>98</v>
      </c>
      <c r="BW301" s="2" t="s">
        <v>101</v>
      </c>
      <c r="BX301" s="2" t="s">
        <v>101</v>
      </c>
      <c r="BY301" s="2" t="s">
        <v>112</v>
      </c>
      <c r="BZ301" s="2" t="s">
        <v>112</v>
      </c>
      <c r="CA301" s="2" t="s">
        <v>101</v>
      </c>
    </row>
    <row r="302">
      <c r="A302" s="2" t="s">
        <v>727</v>
      </c>
      <c r="B302" s="2" t="s">
        <v>88</v>
      </c>
      <c r="C302" s="2" t="s">
        <v>89</v>
      </c>
      <c r="D302" s="2" t="s">
        <v>598</v>
      </c>
      <c r="E302" s="2" t="s">
        <v>599</v>
      </c>
      <c r="F302" s="2" t="s">
        <v>548</v>
      </c>
      <c r="G302" s="2" t="s">
        <v>549</v>
      </c>
      <c r="H302" s="2" t="s">
        <v>550</v>
      </c>
      <c r="I302" s="2" t="s">
        <v>722</v>
      </c>
      <c r="J302" s="2" t="s">
        <v>263</v>
      </c>
      <c r="K302" s="2" t="s">
        <v>208</v>
      </c>
      <c r="L302" s="3">
        <v>22.61</v>
      </c>
      <c r="M302" s="3">
        <v>23.74</v>
      </c>
      <c r="N302" s="3">
        <v>47.49</v>
      </c>
      <c r="O302" s="2" t="s">
        <v>462</v>
      </c>
      <c r="P302" s="2" t="s">
        <v>481</v>
      </c>
      <c r="Q302" s="2" t="s">
        <v>100</v>
      </c>
      <c r="R302" s="2" t="s">
        <v>101</v>
      </c>
      <c r="S302" s="2" t="s">
        <v>565</v>
      </c>
      <c r="T302" s="2" t="s">
        <v>552</v>
      </c>
      <c r="U302" s="2" t="s">
        <v>115</v>
      </c>
      <c r="V302" s="2" t="s">
        <v>105</v>
      </c>
      <c r="W302" s="2" t="s">
        <v>310</v>
      </c>
      <c r="X302" s="2" t="s">
        <v>723</v>
      </c>
      <c r="Y302" s="2" t="s">
        <v>101</v>
      </c>
      <c r="Z302" s="4"/>
      <c r="AA302" s="4">
        <f>=ROUNDDOWN({0},0)</f>
      </c>
      <c r="AB302" s="5"/>
      <c r="AC302" s="2" t="s">
        <v>101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/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/>
      <c r="BJ302" s="4"/>
      <c r="BK302" s="8"/>
      <c r="BL302" s="2" t="s">
        <v>101</v>
      </c>
      <c r="BM302" s="7"/>
      <c r="BN302" s="7"/>
      <c r="BO302" s="4"/>
      <c r="BP302" s="8"/>
      <c r="BQ302" s="4"/>
      <c r="BR302" s="8"/>
      <c r="BS302" s="7"/>
      <c r="BT302" s="7"/>
      <c r="BU302" s="2" t="s">
        <v>415</v>
      </c>
      <c r="BV302" s="2" t="s">
        <v>98</v>
      </c>
      <c r="BW302" s="2" t="s">
        <v>101</v>
      </c>
      <c r="BX302" s="2" t="s">
        <v>101</v>
      </c>
      <c r="BY302" s="2" t="s">
        <v>112</v>
      </c>
      <c r="BZ302" s="2" t="s">
        <v>112</v>
      </c>
      <c r="CA302" s="2" t="s">
        <v>101</v>
      </c>
    </row>
    <row r="303">
      <c r="A303" s="2" t="s">
        <v>728</v>
      </c>
      <c r="B303" s="2" t="s">
        <v>88</v>
      </c>
      <c r="C303" s="2" t="s">
        <v>89</v>
      </c>
      <c r="D303" s="2" t="s">
        <v>598</v>
      </c>
      <c r="E303" s="2" t="s">
        <v>599</v>
      </c>
      <c r="F303" s="2" t="s">
        <v>548</v>
      </c>
      <c r="G303" s="2" t="s">
        <v>549</v>
      </c>
      <c r="H303" s="2" t="s">
        <v>550</v>
      </c>
      <c r="I303" s="2" t="s">
        <v>722</v>
      </c>
      <c r="J303" s="2" t="s">
        <v>265</v>
      </c>
      <c r="K303" s="2" t="s">
        <v>208</v>
      </c>
      <c r="L303" s="3">
        <v>27.38</v>
      </c>
      <c r="M303" s="3">
        <v>28.75</v>
      </c>
      <c r="N303" s="3">
        <v>57.49</v>
      </c>
      <c r="O303" s="2" t="s">
        <v>462</v>
      </c>
      <c r="P303" s="2" t="s">
        <v>481</v>
      </c>
      <c r="Q303" s="2" t="s">
        <v>100</v>
      </c>
      <c r="R303" s="2" t="s">
        <v>101</v>
      </c>
      <c r="S303" s="2" t="s">
        <v>565</v>
      </c>
      <c r="T303" s="2" t="s">
        <v>552</v>
      </c>
      <c r="U303" s="2" t="s">
        <v>115</v>
      </c>
      <c r="V303" s="2" t="s">
        <v>105</v>
      </c>
      <c r="W303" s="2" t="s">
        <v>310</v>
      </c>
      <c r="X303" s="2" t="s">
        <v>723</v>
      </c>
      <c r="Y303" s="2" t="s">
        <v>101</v>
      </c>
      <c r="Z303" s="4"/>
      <c r="AA303" s="4">
        <f>=ROUNDDOWN({0},0)</f>
      </c>
      <c r="AB303" s="5"/>
      <c r="AC303" s="2" t="s">
        <v>101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/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/>
      <c r="BJ303" s="4"/>
      <c r="BK303" s="8"/>
      <c r="BL303" s="2" t="s">
        <v>101</v>
      </c>
      <c r="BM303" s="7"/>
      <c r="BN303" s="7"/>
      <c r="BO303" s="4"/>
      <c r="BP303" s="8"/>
      <c r="BQ303" s="4"/>
      <c r="BR303" s="8"/>
      <c r="BS303" s="7"/>
      <c r="BT303" s="7"/>
      <c r="BU303" s="2" t="s">
        <v>415</v>
      </c>
      <c r="BV303" s="2" t="s">
        <v>98</v>
      </c>
      <c r="BW303" s="2" t="s">
        <v>101</v>
      </c>
      <c r="BX303" s="2" t="s">
        <v>101</v>
      </c>
      <c r="BY303" s="2" t="s">
        <v>112</v>
      </c>
      <c r="BZ303" s="2" t="s">
        <v>112</v>
      </c>
      <c r="CA303" s="2" t="s">
        <v>101</v>
      </c>
    </row>
    <row r="304">
      <c r="A304" s="2" t="s">
        <v>729</v>
      </c>
      <c r="B304" s="2" t="s">
        <v>88</v>
      </c>
      <c r="C304" s="2" t="s">
        <v>89</v>
      </c>
      <c r="D304" s="2" t="s">
        <v>598</v>
      </c>
      <c r="E304" s="2" t="s">
        <v>599</v>
      </c>
      <c r="F304" s="2" t="s">
        <v>548</v>
      </c>
      <c r="G304" s="2" t="s">
        <v>549</v>
      </c>
      <c r="H304" s="2" t="s">
        <v>550</v>
      </c>
      <c r="I304" s="2" t="s">
        <v>722</v>
      </c>
      <c r="J304" s="2" t="s">
        <v>96</v>
      </c>
      <c r="K304" s="2" t="s">
        <v>143</v>
      </c>
      <c r="L304" s="3">
        <v>17.85</v>
      </c>
      <c r="M304" s="3">
        <v>18.74</v>
      </c>
      <c r="N304" s="3">
        <v>37.49</v>
      </c>
      <c r="O304" s="2" t="s">
        <v>462</v>
      </c>
      <c r="P304" s="2" t="s">
        <v>481</v>
      </c>
      <c r="Q304" s="2" t="s">
        <v>100</v>
      </c>
      <c r="R304" s="2" t="s">
        <v>101</v>
      </c>
      <c r="S304" s="2" t="s">
        <v>572</v>
      </c>
      <c r="T304" s="2" t="s">
        <v>552</v>
      </c>
      <c r="U304" s="2" t="s">
        <v>104</v>
      </c>
      <c r="V304" s="2" t="s">
        <v>105</v>
      </c>
      <c r="W304" s="2" t="s">
        <v>310</v>
      </c>
      <c r="X304" s="2" t="s">
        <v>723</v>
      </c>
      <c r="Y304" s="2" t="s">
        <v>101</v>
      </c>
      <c r="Z304" s="4"/>
      <c r="AA304" s="4">
        <f>=ROUNDDOWN({0},0)</f>
      </c>
      <c r="AB304" s="5"/>
      <c r="AC304" s="2" t="s">
        <v>101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/>
      <c r="BJ304" s="4"/>
      <c r="BK304" s="8"/>
      <c r="BL304" s="2" t="s">
        <v>101</v>
      </c>
      <c r="BM304" s="7"/>
      <c r="BN304" s="7"/>
      <c r="BO304" s="4"/>
      <c r="BP304" s="8"/>
      <c r="BQ304" s="4"/>
      <c r="BR304" s="8"/>
      <c r="BS304" s="7"/>
      <c r="BT304" s="7"/>
      <c r="BU304" s="2" t="s">
        <v>415</v>
      </c>
      <c r="BV304" s="2" t="s">
        <v>98</v>
      </c>
      <c r="BW304" s="2" t="s">
        <v>101</v>
      </c>
      <c r="BX304" s="2" t="s">
        <v>101</v>
      </c>
      <c r="BY304" s="2" t="s">
        <v>112</v>
      </c>
      <c r="BZ304" s="2" t="s">
        <v>112</v>
      </c>
      <c r="CA304" s="2" t="s">
        <v>101</v>
      </c>
    </row>
    <row r="305">
      <c r="A305" s="2" t="s">
        <v>730</v>
      </c>
      <c r="B305" s="2" t="s">
        <v>88</v>
      </c>
      <c r="C305" s="2" t="s">
        <v>89</v>
      </c>
      <c r="D305" s="2" t="s">
        <v>598</v>
      </c>
      <c r="E305" s="2" t="s">
        <v>599</v>
      </c>
      <c r="F305" s="2" t="s">
        <v>548</v>
      </c>
      <c r="G305" s="2" t="s">
        <v>549</v>
      </c>
      <c r="H305" s="2" t="s">
        <v>550</v>
      </c>
      <c r="I305" s="2" t="s">
        <v>722</v>
      </c>
      <c r="J305" s="2" t="s">
        <v>263</v>
      </c>
      <c r="K305" s="2" t="s">
        <v>143</v>
      </c>
      <c r="L305" s="3">
        <v>22.61</v>
      </c>
      <c r="M305" s="3">
        <v>23.74</v>
      </c>
      <c r="N305" s="3">
        <v>47.49</v>
      </c>
      <c r="O305" s="2" t="s">
        <v>462</v>
      </c>
      <c r="P305" s="2" t="s">
        <v>481</v>
      </c>
      <c r="Q305" s="2" t="s">
        <v>100</v>
      </c>
      <c r="R305" s="2" t="s">
        <v>101</v>
      </c>
      <c r="S305" s="2" t="s">
        <v>572</v>
      </c>
      <c r="T305" s="2" t="s">
        <v>552</v>
      </c>
      <c r="U305" s="2" t="s">
        <v>115</v>
      </c>
      <c r="V305" s="2" t="s">
        <v>105</v>
      </c>
      <c r="W305" s="2" t="s">
        <v>310</v>
      </c>
      <c r="X305" s="2" t="s">
        <v>723</v>
      </c>
      <c r="Y305" s="2" t="s">
        <v>101</v>
      </c>
      <c r="Z305" s="4"/>
      <c r="AA305" s="4">
        <f>=ROUNDDOWN({0},0)</f>
      </c>
      <c r="AB305" s="5"/>
      <c r="AC305" s="2" t="s">
        <v>101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/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/>
      <c r="BJ305" s="4"/>
      <c r="BK305" s="8"/>
      <c r="BL305" s="2" t="s">
        <v>101</v>
      </c>
      <c r="BM305" s="7"/>
      <c r="BN305" s="7"/>
      <c r="BO305" s="4"/>
      <c r="BP305" s="8"/>
      <c r="BQ305" s="4"/>
      <c r="BR305" s="8"/>
      <c r="BS305" s="7"/>
      <c r="BT305" s="7"/>
      <c r="BU305" s="2" t="s">
        <v>415</v>
      </c>
      <c r="BV305" s="2" t="s">
        <v>98</v>
      </c>
      <c r="BW305" s="2" t="s">
        <v>101</v>
      </c>
      <c r="BX305" s="2" t="s">
        <v>101</v>
      </c>
      <c r="BY305" s="2" t="s">
        <v>112</v>
      </c>
      <c r="BZ305" s="2" t="s">
        <v>112</v>
      </c>
      <c r="CA305" s="2" t="s">
        <v>101</v>
      </c>
    </row>
    <row r="306">
      <c r="A306" s="2" t="s">
        <v>731</v>
      </c>
      <c r="B306" s="2" t="s">
        <v>88</v>
      </c>
      <c r="C306" s="2" t="s">
        <v>89</v>
      </c>
      <c r="D306" s="2" t="s">
        <v>598</v>
      </c>
      <c r="E306" s="2" t="s">
        <v>599</v>
      </c>
      <c r="F306" s="2" t="s">
        <v>548</v>
      </c>
      <c r="G306" s="2" t="s">
        <v>549</v>
      </c>
      <c r="H306" s="2" t="s">
        <v>550</v>
      </c>
      <c r="I306" s="2" t="s">
        <v>722</v>
      </c>
      <c r="J306" s="2" t="s">
        <v>265</v>
      </c>
      <c r="K306" s="2" t="s">
        <v>143</v>
      </c>
      <c r="L306" s="3">
        <v>27.38</v>
      </c>
      <c r="M306" s="3">
        <v>28.75</v>
      </c>
      <c r="N306" s="3">
        <v>57.49</v>
      </c>
      <c r="O306" s="2" t="s">
        <v>462</v>
      </c>
      <c r="P306" s="2" t="s">
        <v>481</v>
      </c>
      <c r="Q306" s="2" t="s">
        <v>100</v>
      </c>
      <c r="R306" s="2" t="s">
        <v>101</v>
      </c>
      <c r="S306" s="2" t="s">
        <v>572</v>
      </c>
      <c r="T306" s="2" t="s">
        <v>552</v>
      </c>
      <c r="U306" s="2" t="s">
        <v>115</v>
      </c>
      <c r="V306" s="2" t="s">
        <v>105</v>
      </c>
      <c r="W306" s="2" t="s">
        <v>310</v>
      </c>
      <c r="X306" s="2" t="s">
        <v>723</v>
      </c>
      <c r="Y306" s="2" t="s">
        <v>101</v>
      </c>
      <c r="Z306" s="4"/>
      <c r="AA306" s="4">
        <f>=ROUNDDOWN({0},0)</f>
      </c>
      <c r="AB306" s="5"/>
      <c r="AC306" s="2" t="s">
        <v>101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101</v>
      </c>
      <c r="AW306" s="8" t="s">
        <v>101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/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/>
      <c r="BJ306" s="4"/>
      <c r="BK306" s="8"/>
      <c r="BL306" s="2" t="s">
        <v>101</v>
      </c>
      <c r="BM306" s="7"/>
      <c r="BN306" s="7"/>
      <c r="BO306" s="4"/>
      <c r="BP306" s="8"/>
      <c r="BQ306" s="4"/>
      <c r="BR306" s="8"/>
      <c r="BS306" s="7"/>
      <c r="BT306" s="7"/>
      <c r="BU306" s="2" t="s">
        <v>415</v>
      </c>
      <c r="BV306" s="2" t="s">
        <v>98</v>
      </c>
      <c r="BW306" s="2" t="s">
        <v>101</v>
      </c>
      <c r="BX306" s="2" t="s">
        <v>101</v>
      </c>
      <c r="BY306" s="2" t="s">
        <v>112</v>
      </c>
      <c r="BZ306" s="2" t="s">
        <v>112</v>
      </c>
      <c r="CA306" s="2" t="s">
        <v>101</v>
      </c>
    </row>
    <row r="307">
      <c r="A307" s="2" t="s">
        <v>732</v>
      </c>
      <c r="B307" s="2" t="s">
        <v>88</v>
      </c>
      <c r="C307" s="2" t="s">
        <v>89</v>
      </c>
      <c r="D307" s="2" t="s">
        <v>598</v>
      </c>
      <c r="E307" s="2" t="s">
        <v>733</v>
      </c>
      <c r="F307" s="2" t="s">
        <v>528</v>
      </c>
      <c r="G307" s="2" t="s">
        <v>528</v>
      </c>
      <c r="H307" s="2" t="s">
        <v>528</v>
      </c>
      <c r="I307" s="2" t="s">
        <v>734</v>
      </c>
      <c r="J307" s="2" t="s">
        <v>96</v>
      </c>
      <c r="K307" s="2" t="s">
        <v>530</v>
      </c>
      <c r="L307" s="3">
        <v>14.28</v>
      </c>
      <c r="M307" s="3">
        <v>14.99</v>
      </c>
      <c r="N307" s="3">
        <v>29.99</v>
      </c>
      <c r="O307" s="2" t="s">
        <v>285</v>
      </c>
      <c r="P307" s="2" t="s">
        <v>403</v>
      </c>
      <c r="Q307" s="2" t="s">
        <v>100</v>
      </c>
      <c r="R307" s="2" t="s">
        <v>101</v>
      </c>
      <c r="S307" s="2" t="s">
        <v>531</v>
      </c>
      <c r="T307" s="2" t="s">
        <v>103</v>
      </c>
      <c r="U307" s="2" t="s">
        <v>104</v>
      </c>
      <c r="V307" s="2" t="s">
        <v>105</v>
      </c>
      <c r="W307" s="2" t="s">
        <v>106</v>
      </c>
      <c r="X307" s="2" t="s">
        <v>532</v>
      </c>
      <c r="Y307" s="2" t="s">
        <v>282</v>
      </c>
      <c r="Z307" s="4">
        <v>121</v>
      </c>
      <c r="AA307" s="4">
        <f>=ROUNDDOWN(20.1666666666667,0)</f>
      </c>
      <c r="AB307" s="5">
        <v>6</v>
      </c>
      <c r="AC307" s="2" t="s">
        <v>101</v>
      </c>
      <c r="AD307" s="4"/>
      <c r="AE307" s="4"/>
      <c r="AF307" s="6">
        <v>63</v>
      </c>
      <c r="AG307" s="6">
        <v>46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48</v>
      </c>
      <c r="AQ307" s="8">
        <v>560</v>
      </c>
      <c r="AR307" s="4"/>
      <c r="AS307" s="8"/>
      <c r="AT307" s="7"/>
      <c r="AU307" s="7"/>
      <c r="AV307" s="4">
        <v>218</v>
      </c>
      <c r="AW307" s="8">
        <v>3961.92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0.1413</v>
      </c>
      <c r="BC307" s="4">
        <v>388</v>
      </c>
      <c r="BD307" s="8">
        <v>7380.32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0.5368</v>
      </c>
      <c r="BJ307" s="4">
        <v>150</v>
      </c>
      <c r="BK307" s="8">
        <v>2087.69</v>
      </c>
      <c r="BL307" s="2" t="s">
        <v>735</v>
      </c>
      <c r="BM307" s="7">
        <v>0.32</v>
      </c>
      <c r="BN307" s="7">
        <v>0.2682</v>
      </c>
      <c r="BO307" s="4">
        <v>48</v>
      </c>
      <c r="BP307" s="8">
        <v>560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101</v>
      </c>
      <c r="BX307" s="2" t="s">
        <v>261</v>
      </c>
      <c r="BY307" s="2" t="s">
        <v>112</v>
      </c>
      <c r="BZ307" s="2" t="s">
        <v>112</v>
      </c>
      <c r="CA307" s="2" t="s">
        <v>101</v>
      </c>
    </row>
    <row r="308">
      <c r="A308" s="2" t="s">
        <v>736</v>
      </c>
      <c r="B308" s="2" t="s">
        <v>88</v>
      </c>
      <c r="C308" s="2" t="s">
        <v>89</v>
      </c>
      <c r="D308" s="2" t="s">
        <v>598</v>
      </c>
      <c r="E308" s="2" t="s">
        <v>733</v>
      </c>
      <c r="F308" s="2" t="s">
        <v>528</v>
      </c>
      <c r="G308" s="2" t="s">
        <v>528</v>
      </c>
      <c r="H308" s="2" t="s">
        <v>528</v>
      </c>
      <c r="I308" s="2" t="s">
        <v>734</v>
      </c>
      <c r="J308" s="2" t="s">
        <v>263</v>
      </c>
      <c r="K308" s="2" t="s">
        <v>530</v>
      </c>
      <c r="L308" s="3">
        <v>17.85</v>
      </c>
      <c r="M308" s="3">
        <v>18.74</v>
      </c>
      <c r="N308" s="3">
        <v>37.49</v>
      </c>
      <c r="O308" s="2" t="s">
        <v>285</v>
      </c>
      <c r="P308" s="2" t="s">
        <v>403</v>
      </c>
      <c r="Q308" s="2" t="s">
        <v>100</v>
      </c>
      <c r="R308" s="2" t="s">
        <v>101</v>
      </c>
      <c r="S308" s="2" t="s">
        <v>531</v>
      </c>
      <c r="T308" s="2" t="s">
        <v>103</v>
      </c>
      <c r="U308" s="2" t="s">
        <v>115</v>
      </c>
      <c r="V308" s="2" t="s">
        <v>105</v>
      </c>
      <c r="W308" s="2" t="s">
        <v>106</v>
      </c>
      <c r="X308" s="2" t="s">
        <v>532</v>
      </c>
      <c r="Y308" s="2" t="s">
        <v>282</v>
      </c>
      <c r="Z308" s="4">
        <v>346</v>
      </c>
      <c r="AA308" s="4">
        <f>=ROUNDDOWN(38.4444444444444,0)</f>
      </c>
      <c r="AB308" s="5">
        <v>9</v>
      </c>
      <c r="AC308" s="2" t="s">
        <v>101</v>
      </c>
      <c r="AD308" s="4"/>
      <c r="AE308" s="4"/>
      <c r="AF308" s="6">
        <v>63</v>
      </c>
      <c r="AG308" s="6">
        <v>46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>
        <v>69</v>
      </c>
      <c r="AQ308" s="8">
        <v>1179.92</v>
      </c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0.2978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247</v>
      </c>
      <c r="BK308" s="8">
        <v>4431.8</v>
      </c>
      <c r="BL308" s="2" t="s">
        <v>735</v>
      </c>
      <c r="BM308" s="7">
        <v>0.2794</v>
      </c>
      <c r="BN308" s="7">
        <v>0.2662</v>
      </c>
      <c r="BO308" s="4">
        <v>69</v>
      </c>
      <c r="BP308" s="8">
        <v>1179.92</v>
      </c>
      <c r="BQ308" s="4"/>
      <c r="BR308" s="8"/>
      <c r="BS308" s="7"/>
      <c r="BT308" s="7"/>
      <c r="BU308" s="2" t="s">
        <v>110</v>
      </c>
      <c r="BV308" s="2" t="s">
        <v>98</v>
      </c>
      <c r="BW308" s="2" t="s">
        <v>101</v>
      </c>
      <c r="BX308" s="2" t="s">
        <v>261</v>
      </c>
      <c r="BY308" s="2" t="s">
        <v>112</v>
      </c>
      <c r="BZ308" s="2" t="s">
        <v>112</v>
      </c>
      <c r="CA308" s="2" t="s">
        <v>101</v>
      </c>
    </row>
    <row r="309">
      <c r="A309" s="2" t="s">
        <v>737</v>
      </c>
      <c r="B309" s="2" t="s">
        <v>88</v>
      </c>
      <c r="C309" s="2" t="s">
        <v>89</v>
      </c>
      <c r="D309" s="2" t="s">
        <v>598</v>
      </c>
      <c r="E309" s="2" t="s">
        <v>733</v>
      </c>
      <c r="F309" s="2" t="s">
        <v>528</v>
      </c>
      <c r="G309" s="2" t="s">
        <v>528</v>
      </c>
      <c r="H309" s="2" t="s">
        <v>528</v>
      </c>
      <c r="I309" s="2" t="s">
        <v>734</v>
      </c>
      <c r="J309" s="2" t="s">
        <v>265</v>
      </c>
      <c r="K309" s="2" t="s">
        <v>530</v>
      </c>
      <c r="L309" s="3">
        <v>20.23</v>
      </c>
      <c r="M309" s="3">
        <v>21.24</v>
      </c>
      <c r="N309" s="3">
        <v>42.49</v>
      </c>
      <c r="O309" s="2" t="s">
        <v>285</v>
      </c>
      <c r="P309" s="2" t="s">
        <v>403</v>
      </c>
      <c r="Q309" s="2" t="s">
        <v>100</v>
      </c>
      <c r="R309" s="2" t="s">
        <v>101</v>
      </c>
      <c r="S309" s="2" t="s">
        <v>531</v>
      </c>
      <c r="T309" s="2" t="s">
        <v>103</v>
      </c>
      <c r="U309" s="2" t="s">
        <v>115</v>
      </c>
      <c r="V309" s="2" t="s">
        <v>105</v>
      </c>
      <c r="W309" s="2" t="s">
        <v>106</v>
      </c>
      <c r="X309" s="2" t="s">
        <v>532</v>
      </c>
      <c r="Y309" s="2" t="s">
        <v>282</v>
      </c>
      <c r="Z309" s="4">
        <v>287</v>
      </c>
      <c r="AA309" s="4">
        <f>=ROUNDDOWN(31.8888888888889,0)</f>
      </c>
      <c r="AB309" s="5">
        <v>9</v>
      </c>
      <c r="AC309" s="2" t="s">
        <v>101</v>
      </c>
      <c r="AD309" s="4"/>
      <c r="AE309" s="4"/>
      <c r="AF309" s="6">
        <v>63</v>
      </c>
      <c r="AG309" s="6">
        <v>46</v>
      </c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>
        <v>101</v>
      </c>
      <c r="AQ309" s="8">
        <v>2222</v>
      </c>
      <c r="AR309" s="4"/>
      <c r="AS309" s="8"/>
      <c r="AT309" s="7"/>
      <c r="AU309" s="7"/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>
        <v>0.5608</v>
      </c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 t="s">
        <v>101</v>
      </c>
      <c r="BJ309" s="4">
        <v>242</v>
      </c>
      <c r="BK309" s="8">
        <v>5234.91</v>
      </c>
      <c r="BL309" s="2" t="s">
        <v>738</v>
      </c>
      <c r="BM309" s="7">
        <v>0.4174</v>
      </c>
      <c r="BN309" s="7">
        <v>0.4245</v>
      </c>
      <c r="BO309" s="4">
        <v>101</v>
      </c>
      <c r="BP309" s="8">
        <v>2222</v>
      </c>
      <c r="BQ309" s="4"/>
      <c r="BR309" s="8"/>
      <c r="BS309" s="7"/>
      <c r="BT309" s="7"/>
      <c r="BU309" s="2" t="s">
        <v>110</v>
      </c>
      <c r="BV309" s="2" t="s">
        <v>98</v>
      </c>
      <c r="BW309" s="2" t="s">
        <v>101</v>
      </c>
      <c r="BX309" s="2" t="s">
        <v>261</v>
      </c>
      <c r="BY309" s="2" t="s">
        <v>112</v>
      </c>
      <c r="BZ309" s="2" t="s">
        <v>112</v>
      </c>
      <c r="CA309" s="2" t="s">
        <v>101</v>
      </c>
    </row>
    <row r="310">
      <c r="A310" s="2" t="s">
        <v>739</v>
      </c>
      <c r="B310" s="2" t="s">
        <v>88</v>
      </c>
      <c r="C310" s="2" t="s">
        <v>89</v>
      </c>
      <c r="D310" s="2" t="s">
        <v>598</v>
      </c>
      <c r="E310" s="2" t="s">
        <v>733</v>
      </c>
      <c r="F310" s="2" t="s">
        <v>528</v>
      </c>
      <c r="G310" s="2" t="s">
        <v>528</v>
      </c>
      <c r="H310" s="2" t="s">
        <v>528</v>
      </c>
      <c r="I310" s="2" t="s">
        <v>734</v>
      </c>
      <c r="J310" s="2" t="s">
        <v>96</v>
      </c>
      <c r="K310" s="2" t="s">
        <v>542</v>
      </c>
      <c r="L310" s="3">
        <v>14.28</v>
      </c>
      <c r="M310" s="3">
        <v>14.99</v>
      </c>
      <c r="N310" s="3">
        <v>29.99</v>
      </c>
      <c r="O310" s="2" t="s">
        <v>285</v>
      </c>
      <c r="P310" s="2" t="s">
        <v>403</v>
      </c>
      <c r="Q310" s="2" t="s">
        <v>100</v>
      </c>
      <c r="R310" s="2" t="s">
        <v>101</v>
      </c>
      <c r="S310" s="2" t="s">
        <v>543</v>
      </c>
      <c r="T310" s="2" t="s">
        <v>103</v>
      </c>
      <c r="U310" s="2" t="s">
        <v>104</v>
      </c>
      <c r="V310" s="2" t="s">
        <v>105</v>
      </c>
      <c r="W310" s="2" t="s">
        <v>106</v>
      </c>
      <c r="X310" s="2" t="s">
        <v>532</v>
      </c>
      <c r="Y310" s="2" t="s">
        <v>282</v>
      </c>
      <c r="Z310" s="4">
        <v>72</v>
      </c>
      <c r="AA310" s="4">
        <f>=ROUNDDOWN(36,0)</f>
      </c>
      <c r="AB310" s="5">
        <v>2</v>
      </c>
      <c r="AC310" s="2" t="s">
        <v>101</v>
      </c>
      <c r="AD310" s="4"/>
      <c r="AE310" s="4"/>
      <c r="AF310" s="6">
        <v>63</v>
      </c>
      <c r="AG310" s="6">
        <v>46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>
        <v>16</v>
      </c>
      <c r="AQ310" s="8">
        <v>280</v>
      </c>
      <c r="AR310" s="4"/>
      <c r="AS310" s="8"/>
      <c r="AT310" s="7"/>
      <c r="AU310" s="7"/>
      <c r="AV310" s="4">
        <v>93</v>
      </c>
      <c r="AW310" s="8">
        <v>1849.2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>
        <v>0.1514</v>
      </c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>
        <v>0.2506</v>
      </c>
      <c r="BJ310" s="4">
        <v>63</v>
      </c>
      <c r="BK310" s="8">
        <v>982.87</v>
      </c>
      <c r="BL310" s="2" t="s">
        <v>740</v>
      </c>
      <c r="BM310" s="7">
        <v>0.254</v>
      </c>
      <c r="BN310" s="7">
        <v>0.2849</v>
      </c>
      <c r="BO310" s="4">
        <v>16</v>
      </c>
      <c r="BP310" s="8">
        <v>280</v>
      </c>
      <c r="BQ310" s="4"/>
      <c r="BR310" s="8"/>
      <c r="BS310" s="7"/>
      <c r="BT310" s="7"/>
      <c r="BU310" s="2" t="s">
        <v>110</v>
      </c>
      <c r="BV310" s="2" t="s">
        <v>98</v>
      </c>
      <c r="BW310" s="2" t="s">
        <v>101</v>
      </c>
      <c r="BX310" s="2" t="s">
        <v>261</v>
      </c>
      <c r="BY310" s="2" t="s">
        <v>112</v>
      </c>
      <c r="BZ310" s="2" t="s">
        <v>112</v>
      </c>
      <c r="CA310" s="2" t="s">
        <v>101</v>
      </c>
    </row>
    <row r="311">
      <c r="A311" s="2" t="s">
        <v>741</v>
      </c>
      <c r="B311" s="2" t="s">
        <v>88</v>
      </c>
      <c r="C311" s="2" t="s">
        <v>89</v>
      </c>
      <c r="D311" s="2" t="s">
        <v>598</v>
      </c>
      <c r="E311" s="2" t="s">
        <v>733</v>
      </c>
      <c r="F311" s="2" t="s">
        <v>528</v>
      </c>
      <c r="G311" s="2" t="s">
        <v>528</v>
      </c>
      <c r="H311" s="2" t="s">
        <v>528</v>
      </c>
      <c r="I311" s="2" t="s">
        <v>734</v>
      </c>
      <c r="J311" s="2" t="s">
        <v>263</v>
      </c>
      <c r="K311" s="2" t="s">
        <v>542</v>
      </c>
      <c r="L311" s="3">
        <v>17.85</v>
      </c>
      <c r="M311" s="3">
        <v>18.74</v>
      </c>
      <c r="N311" s="3">
        <v>37.49</v>
      </c>
      <c r="O311" s="2" t="s">
        <v>285</v>
      </c>
      <c r="P311" s="2" t="s">
        <v>403</v>
      </c>
      <c r="Q311" s="2" t="s">
        <v>100</v>
      </c>
      <c r="R311" s="2" t="s">
        <v>101</v>
      </c>
      <c r="S311" s="2" t="s">
        <v>543</v>
      </c>
      <c r="T311" s="2" t="s">
        <v>103</v>
      </c>
      <c r="U311" s="2" t="s">
        <v>115</v>
      </c>
      <c r="V311" s="2" t="s">
        <v>105</v>
      </c>
      <c r="W311" s="2" t="s">
        <v>106</v>
      </c>
      <c r="X311" s="2" t="s">
        <v>532</v>
      </c>
      <c r="Y311" s="2" t="s">
        <v>282</v>
      </c>
      <c r="Z311" s="4">
        <v>192</v>
      </c>
      <c r="AA311" s="4">
        <f>=ROUNDDOWN(32,0)</f>
      </c>
      <c r="AB311" s="5">
        <v>6</v>
      </c>
      <c r="AC311" s="2" t="s">
        <v>101</v>
      </c>
      <c r="AD311" s="4"/>
      <c r="AE311" s="4"/>
      <c r="AF311" s="6">
        <v>63</v>
      </c>
      <c r="AG311" s="6">
        <v>46</v>
      </c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>
        <v>52</v>
      </c>
      <c r="AQ311" s="8">
        <v>1019.2</v>
      </c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0.5512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 t="s">
        <v>101</v>
      </c>
      <c r="BJ311" s="4">
        <v>183</v>
      </c>
      <c r="BK311" s="8">
        <v>3392.11</v>
      </c>
      <c r="BL311" s="2" t="s">
        <v>742</v>
      </c>
      <c r="BM311" s="7">
        <v>0.2842</v>
      </c>
      <c r="BN311" s="7">
        <v>0.3005</v>
      </c>
      <c r="BO311" s="4">
        <v>52</v>
      </c>
      <c r="BP311" s="8">
        <v>1019.2</v>
      </c>
      <c r="BQ311" s="4"/>
      <c r="BR311" s="8"/>
      <c r="BS311" s="7"/>
      <c r="BT311" s="7"/>
      <c r="BU311" s="2" t="s">
        <v>110</v>
      </c>
      <c r="BV311" s="2" t="s">
        <v>98</v>
      </c>
      <c r="BW311" s="2" t="s">
        <v>101</v>
      </c>
      <c r="BX311" s="2" t="s">
        <v>261</v>
      </c>
      <c r="BY311" s="2" t="s">
        <v>112</v>
      </c>
      <c r="BZ311" s="2" t="s">
        <v>112</v>
      </c>
      <c r="CA311" s="2" t="s">
        <v>101</v>
      </c>
    </row>
    <row r="312">
      <c r="A312" s="2" t="s">
        <v>743</v>
      </c>
      <c r="B312" s="2" t="s">
        <v>88</v>
      </c>
      <c r="C312" s="2" t="s">
        <v>89</v>
      </c>
      <c r="D312" s="2" t="s">
        <v>598</v>
      </c>
      <c r="E312" s="2" t="s">
        <v>733</v>
      </c>
      <c r="F312" s="2" t="s">
        <v>528</v>
      </c>
      <c r="G312" s="2" t="s">
        <v>528</v>
      </c>
      <c r="H312" s="2" t="s">
        <v>528</v>
      </c>
      <c r="I312" s="2" t="s">
        <v>734</v>
      </c>
      <c r="J312" s="2" t="s">
        <v>265</v>
      </c>
      <c r="K312" s="2" t="s">
        <v>542</v>
      </c>
      <c r="L312" s="3">
        <v>20.23</v>
      </c>
      <c r="M312" s="3">
        <v>21.24</v>
      </c>
      <c r="N312" s="3">
        <v>42.49</v>
      </c>
      <c r="O312" s="2" t="s">
        <v>285</v>
      </c>
      <c r="P312" s="2" t="s">
        <v>403</v>
      </c>
      <c r="Q312" s="2" t="s">
        <v>100</v>
      </c>
      <c r="R312" s="2" t="s">
        <v>101</v>
      </c>
      <c r="S312" s="2" t="s">
        <v>543</v>
      </c>
      <c r="T312" s="2" t="s">
        <v>103</v>
      </c>
      <c r="U312" s="2" t="s">
        <v>115</v>
      </c>
      <c r="V312" s="2" t="s">
        <v>105</v>
      </c>
      <c r="W312" s="2" t="s">
        <v>106</v>
      </c>
      <c r="X312" s="2" t="s">
        <v>532</v>
      </c>
      <c r="Y312" s="2" t="s">
        <v>282</v>
      </c>
      <c r="Z312" s="4">
        <v>422</v>
      </c>
      <c r="AA312" s="4">
        <f>=ROUNDDOWN(70.3333333333333,0)</f>
      </c>
      <c r="AB312" s="5">
        <v>6</v>
      </c>
      <c r="AC312" s="2" t="s">
        <v>101</v>
      </c>
      <c r="AD312" s="4"/>
      <c r="AE312" s="4"/>
      <c r="AF312" s="6">
        <v>63</v>
      </c>
      <c r="AG312" s="6">
        <v>46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>
        <v>25</v>
      </c>
      <c r="AQ312" s="8">
        <v>550</v>
      </c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>
        <v>0.2974</v>
      </c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 t="s">
        <v>101</v>
      </c>
      <c r="BJ312" s="4">
        <v>177</v>
      </c>
      <c r="BK312" s="8">
        <v>3618.5</v>
      </c>
      <c r="BL312" s="2" t="s">
        <v>735</v>
      </c>
      <c r="BM312" s="7">
        <v>0.1412</v>
      </c>
      <c r="BN312" s="7">
        <v>0.152</v>
      </c>
      <c r="BO312" s="4">
        <v>25</v>
      </c>
      <c r="BP312" s="8">
        <v>550</v>
      </c>
      <c r="BQ312" s="4"/>
      <c r="BR312" s="8"/>
      <c r="BS312" s="7"/>
      <c r="BT312" s="7"/>
      <c r="BU312" s="2" t="s">
        <v>110</v>
      </c>
      <c r="BV312" s="2" t="s">
        <v>98</v>
      </c>
      <c r="BW312" s="2" t="s">
        <v>101</v>
      </c>
      <c r="BX312" s="2" t="s">
        <v>261</v>
      </c>
      <c r="BY312" s="2" t="s">
        <v>112</v>
      </c>
      <c r="BZ312" s="2" t="s">
        <v>112</v>
      </c>
      <c r="CA312" s="2" t="s">
        <v>101</v>
      </c>
    </row>
    <row r="313">
      <c r="A313" s="2" t="s">
        <v>744</v>
      </c>
      <c r="B313" s="2" t="s">
        <v>88</v>
      </c>
      <c r="C313" s="2" t="s">
        <v>89</v>
      </c>
      <c r="D313" s="2" t="s">
        <v>598</v>
      </c>
      <c r="E313" s="2" t="s">
        <v>733</v>
      </c>
      <c r="F313" s="2" t="s">
        <v>528</v>
      </c>
      <c r="G313" s="2" t="s">
        <v>528</v>
      </c>
      <c r="H313" s="2" t="s">
        <v>528</v>
      </c>
      <c r="I313" s="2" t="s">
        <v>734</v>
      </c>
      <c r="J313" s="2" t="s">
        <v>96</v>
      </c>
      <c r="K313" s="2" t="s">
        <v>378</v>
      </c>
      <c r="L313" s="3">
        <v>14.28</v>
      </c>
      <c r="M313" s="3">
        <v>14.99</v>
      </c>
      <c r="N313" s="3">
        <v>29.99</v>
      </c>
      <c r="O313" s="2" t="s">
        <v>285</v>
      </c>
      <c r="P313" s="2" t="s">
        <v>403</v>
      </c>
      <c r="Q313" s="2" t="s">
        <v>100</v>
      </c>
      <c r="R313" s="2" t="s">
        <v>101</v>
      </c>
      <c r="S313" s="2" t="s">
        <v>537</v>
      </c>
      <c r="T313" s="2" t="s">
        <v>103</v>
      </c>
      <c r="U313" s="2" t="s">
        <v>104</v>
      </c>
      <c r="V313" s="2" t="s">
        <v>105</v>
      </c>
      <c r="W313" s="2" t="s">
        <v>106</v>
      </c>
      <c r="X313" s="2" t="s">
        <v>532</v>
      </c>
      <c r="Y313" s="2" t="s">
        <v>282</v>
      </c>
      <c r="Z313" s="4">
        <v>144</v>
      </c>
      <c r="AA313" s="4">
        <f>=ROUNDDOWN(24,0)</f>
      </c>
      <c r="AB313" s="5">
        <v>6</v>
      </c>
      <c r="AC313" s="2" t="s">
        <v>101</v>
      </c>
      <c r="AD313" s="4"/>
      <c r="AE313" s="4"/>
      <c r="AF313" s="6">
        <v>63</v>
      </c>
      <c r="AG313" s="6">
        <v>46</v>
      </c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>
        <v>24</v>
      </c>
      <c r="AQ313" s="8">
        <v>350.2</v>
      </c>
      <c r="AR313" s="4"/>
      <c r="AS313" s="8"/>
      <c r="AT313" s="7"/>
      <c r="AU313" s="7"/>
      <c r="AV313" s="4">
        <v>77</v>
      </c>
      <c r="AW313" s="8">
        <v>1569.2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>
        <v>0.2232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0.2126</v>
      </c>
      <c r="BJ313" s="4">
        <v>79</v>
      </c>
      <c r="BK313" s="8">
        <v>1096.47</v>
      </c>
      <c r="BL313" s="2" t="s">
        <v>745</v>
      </c>
      <c r="BM313" s="7">
        <v>0.3038</v>
      </c>
      <c r="BN313" s="7">
        <v>0.3194</v>
      </c>
      <c r="BO313" s="4">
        <v>24</v>
      </c>
      <c r="BP313" s="8">
        <v>350.2</v>
      </c>
      <c r="BQ313" s="4"/>
      <c r="BR313" s="8"/>
      <c r="BS313" s="7"/>
      <c r="BT313" s="7"/>
      <c r="BU313" s="2" t="s">
        <v>110</v>
      </c>
      <c r="BV313" s="2" t="s">
        <v>98</v>
      </c>
      <c r="BW313" s="2" t="s">
        <v>101</v>
      </c>
      <c r="BX313" s="2" t="s">
        <v>261</v>
      </c>
      <c r="BY313" s="2" t="s">
        <v>112</v>
      </c>
      <c r="BZ313" s="2" t="s">
        <v>112</v>
      </c>
      <c r="CA313" s="2" t="s">
        <v>101</v>
      </c>
    </row>
    <row r="314">
      <c r="A314" s="2" t="s">
        <v>746</v>
      </c>
      <c r="B314" s="2" t="s">
        <v>88</v>
      </c>
      <c r="C314" s="2" t="s">
        <v>89</v>
      </c>
      <c r="D314" s="2" t="s">
        <v>598</v>
      </c>
      <c r="E314" s="2" t="s">
        <v>733</v>
      </c>
      <c r="F314" s="2" t="s">
        <v>528</v>
      </c>
      <c r="G314" s="2" t="s">
        <v>528</v>
      </c>
      <c r="H314" s="2" t="s">
        <v>528</v>
      </c>
      <c r="I314" s="2" t="s">
        <v>734</v>
      </c>
      <c r="J314" s="2" t="s">
        <v>263</v>
      </c>
      <c r="K314" s="2" t="s">
        <v>378</v>
      </c>
      <c r="L314" s="3">
        <v>17.85</v>
      </c>
      <c r="M314" s="3">
        <v>18.74</v>
      </c>
      <c r="N314" s="3">
        <v>37.49</v>
      </c>
      <c r="O314" s="2" t="s">
        <v>285</v>
      </c>
      <c r="P314" s="2" t="s">
        <v>403</v>
      </c>
      <c r="Q314" s="2" t="s">
        <v>100</v>
      </c>
      <c r="R314" s="2" t="s">
        <v>101</v>
      </c>
      <c r="S314" s="2" t="s">
        <v>537</v>
      </c>
      <c r="T314" s="2" t="s">
        <v>103</v>
      </c>
      <c r="U314" s="2" t="s">
        <v>115</v>
      </c>
      <c r="V314" s="2" t="s">
        <v>105</v>
      </c>
      <c r="W314" s="2" t="s">
        <v>106</v>
      </c>
      <c r="X314" s="2" t="s">
        <v>532</v>
      </c>
      <c r="Y314" s="2" t="s">
        <v>282</v>
      </c>
      <c r="Z314" s="4">
        <v>2862</v>
      </c>
      <c r="AA314" s="4">
        <f>=ROUNDDOWN(204.428571428571,0)</f>
      </c>
      <c r="AB314" s="5">
        <v>14</v>
      </c>
      <c r="AC314" s="2" t="s">
        <v>101</v>
      </c>
      <c r="AD314" s="4"/>
      <c r="AE314" s="4"/>
      <c r="AF314" s="6">
        <v>63</v>
      </c>
      <c r="AG314" s="6">
        <v>46</v>
      </c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 t="s">
        <v>101</v>
      </c>
      <c r="BJ314" s="4">
        <v>146</v>
      </c>
      <c r="BK314" s="8">
        <v>2775.18</v>
      </c>
      <c r="BL314" s="2" t="s">
        <v>747</v>
      </c>
      <c r="BM314" s="7"/>
      <c r="BN314" s="7"/>
      <c r="BO314" s="4"/>
      <c r="BP314" s="8"/>
      <c r="BQ314" s="4"/>
      <c r="BR314" s="8"/>
      <c r="BS314" s="7"/>
      <c r="BT314" s="7"/>
      <c r="BU314" s="2" t="s">
        <v>110</v>
      </c>
      <c r="BV314" s="2" t="s">
        <v>98</v>
      </c>
      <c r="BW314" s="2" t="s">
        <v>101</v>
      </c>
      <c r="BX314" s="2" t="s">
        <v>261</v>
      </c>
      <c r="BY314" s="2" t="s">
        <v>112</v>
      </c>
      <c r="BZ314" s="2" t="s">
        <v>112</v>
      </c>
      <c r="CA314" s="2" t="s">
        <v>101</v>
      </c>
    </row>
    <row r="315">
      <c r="A315" s="2" t="s">
        <v>748</v>
      </c>
      <c r="B315" s="2" t="s">
        <v>88</v>
      </c>
      <c r="C315" s="2" t="s">
        <v>89</v>
      </c>
      <c r="D315" s="2" t="s">
        <v>598</v>
      </c>
      <c r="E315" s="2" t="s">
        <v>733</v>
      </c>
      <c r="F315" s="2" t="s">
        <v>528</v>
      </c>
      <c r="G315" s="2" t="s">
        <v>528</v>
      </c>
      <c r="H315" s="2" t="s">
        <v>528</v>
      </c>
      <c r="I315" s="2" t="s">
        <v>734</v>
      </c>
      <c r="J315" s="2" t="s">
        <v>265</v>
      </c>
      <c r="K315" s="2" t="s">
        <v>378</v>
      </c>
      <c r="L315" s="3">
        <v>20.23</v>
      </c>
      <c r="M315" s="3">
        <v>21.24</v>
      </c>
      <c r="N315" s="3">
        <v>42.49</v>
      </c>
      <c r="O315" s="2" t="s">
        <v>285</v>
      </c>
      <c r="P315" s="2" t="s">
        <v>403</v>
      </c>
      <c r="Q315" s="2" t="s">
        <v>100</v>
      </c>
      <c r="R315" s="2" t="s">
        <v>101</v>
      </c>
      <c r="S315" s="2" t="s">
        <v>537</v>
      </c>
      <c r="T315" s="2" t="s">
        <v>103</v>
      </c>
      <c r="U315" s="2" t="s">
        <v>115</v>
      </c>
      <c r="V315" s="2" t="s">
        <v>105</v>
      </c>
      <c r="W315" s="2" t="s">
        <v>106</v>
      </c>
      <c r="X315" s="2" t="s">
        <v>532</v>
      </c>
      <c r="Y315" s="2" t="s">
        <v>282</v>
      </c>
      <c r="Z315" s="4">
        <v>526</v>
      </c>
      <c r="AA315" s="4">
        <f>=ROUNDDOWN(58.4444444444444,0)</f>
      </c>
      <c r="AB315" s="5">
        <v>9</v>
      </c>
      <c r="AC315" s="2" t="s">
        <v>101</v>
      </c>
      <c r="AD315" s="4"/>
      <c r="AE315" s="4"/>
      <c r="AF315" s="6">
        <v>63</v>
      </c>
      <c r="AG315" s="6">
        <v>46</v>
      </c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>
        <v>53</v>
      </c>
      <c r="AQ315" s="8">
        <v>1219</v>
      </c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>
        <v>0.7768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 t="s">
        <v>101</v>
      </c>
      <c r="BJ315" s="4">
        <v>182</v>
      </c>
      <c r="BK315" s="8">
        <v>3904.29</v>
      </c>
      <c r="BL315" s="2" t="s">
        <v>738</v>
      </c>
      <c r="BM315" s="7">
        <v>0.2912</v>
      </c>
      <c r="BN315" s="7">
        <v>0.3122</v>
      </c>
      <c r="BO315" s="4">
        <v>53</v>
      </c>
      <c r="BP315" s="8">
        <v>1219</v>
      </c>
      <c r="BQ315" s="4"/>
      <c r="BR315" s="8"/>
      <c r="BS315" s="7"/>
      <c r="BT315" s="7"/>
      <c r="BU315" s="2" t="s">
        <v>110</v>
      </c>
      <c r="BV315" s="2" t="s">
        <v>98</v>
      </c>
      <c r="BW315" s="2" t="s">
        <v>101</v>
      </c>
      <c r="BX315" s="2" t="s">
        <v>261</v>
      </c>
      <c r="BY315" s="2" t="s">
        <v>112</v>
      </c>
      <c r="BZ315" s="2" t="s">
        <v>112</v>
      </c>
      <c r="CA315" s="2" t="s">
        <v>101</v>
      </c>
    </row>
    <row r="316">
      <c r="A316" s="2" t="s">
        <v>749</v>
      </c>
      <c r="B316" s="2" t="s">
        <v>88</v>
      </c>
      <c r="C316" s="2" t="s">
        <v>89</v>
      </c>
      <c r="D316" s="2" t="s">
        <v>750</v>
      </c>
      <c r="E316" s="2" t="s">
        <v>751</v>
      </c>
      <c r="F316" s="2" t="s">
        <v>255</v>
      </c>
      <c r="G316" s="2" t="s">
        <v>256</v>
      </c>
      <c r="H316" s="2" t="s">
        <v>257</v>
      </c>
      <c r="I316" s="2" t="s">
        <v>752</v>
      </c>
      <c r="J316" s="2" t="s">
        <v>96</v>
      </c>
      <c r="K316" s="2" t="s">
        <v>97</v>
      </c>
      <c r="L316" s="3">
        <v>21.42</v>
      </c>
      <c r="M316" s="3">
        <v>22.49</v>
      </c>
      <c r="N316" s="3">
        <v>44.99</v>
      </c>
      <c r="O316" s="2" t="s">
        <v>98</v>
      </c>
      <c r="P316" s="2" t="s">
        <v>481</v>
      </c>
      <c r="Q316" s="2" t="s">
        <v>100</v>
      </c>
      <c r="R316" s="2" t="s">
        <v>101</v>
      </c>
      <c r="S316" s="2" t="s">
        <v>753</v>
      </c>
      <c r="T316" s="2" t="s">
        <v>260</v>
      </c>
      <c r="U316" s="2" t="s">
        <v>104</v>
      </c>
      <c r="V316" s="2" t="s">
        <v>105</v>
      </c>
      <c r="W316" s="2" t="s">
        <v>106</v>
      </c>
      <c r="X316" s="2" t="s">
        <v>101</v>
      </c>
      <c r="Y316" s="2" t="s">
        <v>754</v>
      </c>
      <c r="Z316" s="4">
        <v>196</v>
      </c>
      <c r="AA316" s="4">
        <f>=ROUNDDOWN(63.2258064516129,0)</f>
      </c>
      <c r="AB316" s="5">
        <v>3.1</v>
      </c>
      <c r="AC316" s="2" t="s">
        <v>101</v>
      </c>
      <c r="AD316" s="4"/>
      <c r="AE316" s="4"/>
      <c r="AF316" s="6">
        <v>64</v>
      </c>
      <c r="AG316" s="6"/>
      <c r="AH316" s="7">
        <v>0.8446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>
        <v>15</v>
      </c>
      <c r="AW316" s="8">
        <v>531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/>
      <c r="BC316" s="4">
        <v>50</v>
      </c>
      <c r="BD316" s="8">
        <v>1683.5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0.3154</v>
      </c>
      <c r="BJ316" s="4">
        <v>58</v>
      </c>
      <c r="BK316" s="8">
        <v>1425.9</v>
      </c>
      <c r="BL316" s="2" t="s">
        <v>755</v>
      </c>
      <c r="BM316" s="7"/>
      <c r="BN316" s="7"/>
      <c r="BO316" s="4"/>
      <c r="BP316" s="8"/>
      <c r="BQ316" s="4"/>
      <c r="BR316" s="8"/>
      <c r="BS316" s="7"/>
      <c r="BT316" s="7"/>
      <c r="BU316" s="2" t="s">
        <v>110</v>
      </c>
      <c r="BV316" s="2" t="s">
        <v>98</v>
      </c>
      <c r="BW316" s="2" t="s">
        <v>101</v>
      </c>
      <c r="BX316" s="2" t="s">
        <v>101</v>
      </c>
      <c r="BY316" s="2" t="s">
        <v>112</v>
      </c>
      <c r="BZ316" s="2" t="s">
        <v>112</v>
      </c>
      <c r="CA316" s="2" t="s">
        <v>101</v>
      </c>
    </row>
    <row r="317">
      <c r="A317" s="2" t="s">
        <v>756</v>
      </c>
      <c r="B317" s="2" t="s">
        <v>88</v>
      </c>
      <c r="C317" s="2" t="s">
        <v>89</v>
      </c>
      <c r="D317" s="2" t="s">
        <v>750</v>
      </c>
      <c r="E317" s="2" t="s">
        <v>751</v>
      </c>
      <c r="F317" s="2" t="s">
        <v>255</v>
      </c>
      <c r="G317" s="2" t="s">
        <v>256</v>
      </c>
      <c r="H317" s="2" t="s">
        <v>257</v>
      </c>
      <c r="I317" s="2" t="s">
        <v>752</v>
      </c>
      <c r="J317" s="2" t="s">
        <v>263</v>
      </c>
      <c r="K317" s="2" t="s">
        <v>97</v>
      </c>
      <c r="L317" s="3">
        <v>26.19</v>
      </c>
      <c r="M317" s="3">
        <v>27.5</v>
      </c>
      <c r="N317" s="3">
        <v>54.99</v>
      </c>
      <c r="O317" s="2" t="s">
        <v>98</v>
      </c>
      <c r="P317" s="2" t="s">
        <v>481</v>
      </c>
      <c r="Q317" s="2" t="s">
        <v>100</v>
      </c>
      <c r="R317" s="2" t="s">
        <v>101</v>
      </c>
      <c r="S317" s="2" t="s">
        <v>753</v>
      </c>
      <c r="T317" s="2" t="s">
        <v>260</v>
      </c>
      <c r="U317" s="2" t="s">
        <v>115</v>
      </c>
      <c r="V317" s="2" t="s">
        <v>105</v>
      </c>
      <c r="W317" s="2" t="s">
        <v>106</v>
      </c>
      <c r="X317" s="2" t="s">
        <v>101</v>
      </c>
      <c r="Y317" s="2" t="s">
        <v>757</v>
      </c>
      <c r="Z317" s="4">
        <v>643</v>
      </c>
      <c r="AA317" s="4">
        <f>=ROUNDDOWN(107.166666666667,0)</f>
      </c>
      <c r="AB317" s="5">
        <v>6</v>
      </c>
      <c r="AC317" s="2" t="s">
        <v>101</v>
      </c>
      <c r="AD317" s="4"/>
      <c r="AE317" s="4"/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>
        <v>9</v>
      </c>
      <c r="AQ317" s="8">
        <v>297</v>
      </c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>
        <v>0.5593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 t="s">
        <v>101</v>
      </c>
      <c r="BJ317" s="4">
        <v>148</v>
      </c>
      <c r="BK317" s="8">
        <v>4297.13</v>
      </c>
      <c r="BL317" s="2" t="s">
        <v>758</v>
      </c>
      <c r="BM317" s="7">
        <v>0.0608</v>
      </c>
      <c r="BN317" s="7">
        <v>0.0691</v>
      </c>
      <c r="BO317" s="4">
        <v>9</v>
      </c>
      <c r="BP317" s="8">
        <v>297</v>
      </c>
      <c r="BQ317" s="4"/>
      <c r="BR317" s="8"/>
      <c r="BS317" s="7"/>
      <c r="BT317" s="7"/>
      <c r="BU317" s="2" t="s">
        <v>110</v>
      </c>
      <c r="BV317" s="2" t="s">
        <v>98</v>
      </c>
      <c r="BW317" s="2" t="s">
        <v>101</v>
      </c>
      <c r="BX317" s="2" t="s">
        <v>334</v>
      </c>
      <c r="BY317" s="2" t="s">
        <v>112</v>
      </c>
      <c r="BZ317" s="2" t="s">
        <v>112</v>
      </c>
      <c r="CA317" s="2" t="s">
        <v>101</v>
      </c>
    </row>
    <row r="318">
      <c r="A318" s="2" t="s">
        <v>759</v>
      </c>
      <c r="B318" s="2" t="s">
        <v>88</v>
      </c>
      <c r="C318" s="2" t="s">
        <v>89</v>
      </c>
      <c r="D318" s="2" t="s">
        <v>750</v>
      </c>
      <c r="E318" s="2" t="s">
        <v>751</v>
      </c>
      <c r="F318" s="2" t="s">
        <v>255</v>
      </c>
      <c r="G318" s="2" t="s">
        <v>256</v>
      </c>
      <c r="H318" s="2" t="s">
        <v>257</v>
      </c>
      <c r="I318" s="2" t="s">
        <v>752</v>
      </c>
      <c r="J318" s="2" t="s">
        <v>265</v>
      </c>
      <c r="K318" s="2" t="s">
        <v>97</v>
      </c>
      <c r="L318" s="3">
        <v>28.57</v>
      </c>
      <c r="M318" s="3">
        <v>30</v>
      </c>
      <c r="N318" s="3">
        <v>64.99</v>
      </c>
      <c r="O318" s="2" t="s">
        <v>98</v>
      </c>
      <c r="P318" s="2" t="s">
        <v>481</v>
      </c>
      <c r="Q318" s="2" t="s">
        <v>100</v>
      </c>
      <c r="R318" s="2" t="s">
        <v>101</v>
      </c>
      <c r="S318" s="2" t="s">
        <v>753</v>
      </c>
      <c r="T318" s="2" t="s">
        <v>260</v>
      </c>
      <c r="U318" s="2" t="s">
        <v>115</v>
      </c>
      <c r="V318" s="2" t="s">
        <v>105</v>
      </c>
      <c r="W318" s="2" t="s">
        <v>106</v>
      </c>
      <c r="X318" s="2" t="s">
        <v>101</v>
      </c>
      <c r="Y318" s="2" t="s">
        <v>757</v>
      </c>
      <c r="Z318" s="4">
        <v>594</v>
      </c>
      <c r="AA318" s="4">
        <f>=ROUNDDOWN(81.3698630136986,0)</f>
      </c>
      <c r="AB318" s="5">
        <v>7.3</v>
      </c>
      <c r="AC318" s="2" t="s">
        <v>101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>
        <v>6</v>
      </c>
      <c r="AQ318" s="8">
        <v>234</v>
      </c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>
        <v>0.4407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 t="s">
        <v>101</v>
      </c>
      <c r="BJ318" s="4">
        <v>173</v>
      </c>
      <c r="BK318" s="8">
        <v>5854.72</v>
      </c>
      <c r="BL318" s="2" t="s">
        <v>760</v>
      </c>
      <c r="BM318" s="7">
        <v>0.0347</v>
      </c>
      <c r="BN318" s="7">
        <v>0.04</v>
      </c>
      <c r="BO318" s="4">
        <v>6</v>
      </c>
      <c r="BP318" s="8">
        <v>234</v>
      </c>
      <c r="BQ318" s="4"/>
      <c r="BR318" s="8"/>
      <c r="BS318" s="7"/>
      <c r="BT318" s="7"/>
      <c r="BU318" s="2" t="s">
        <v>110</v>
      </c>
      <c r="BV318" s="2" t="s">
        <v>98</v>
      </c>
      <c r="BW318" s="2" t="s">
        <v>101</v>
      </c>
      <c r="BX318" s="2" t="s">
        <v>761</v>
      </c>
      <c r="BY318" s="2" t="s">
        <v>112</v>
      </c>
      <c r="BZ318" s="2" t="s">
        <v>112</v>
      </c>
      <c r="CA318" s="2" t="s">
        <v>101</v>
      </c>
    </row>
    <row r="319">
      <c r="A319" s="2" t="s">
        <v>762</v>
      </c>
      <c r="B319" s="2" t="s">
        <v>88</v>
      </c>
      <c r="C319" s="2" t="s">
        <v>89</v>
      </c>
      <c r="D319" s="2" t="s">
        <v>750</v>
      </c>
      <c r="E319" s="2" t="s">
        <v>751</v>
      </c>
      <c r="F319" s="2" t="s">
        <v>255</v>
      </c>
      <c r="G319" s="2" t="s">
        <v>256</v>
      </c>
      <c r="H319" s="2" t="s">
        <v>257</v>
      </c>
      <c r="I319" s="2" t="s">
        <v>752</v>
      </c>
      <c r="J319" s="2" t="s">
        <v>96</v>
      </c>
      <c r="K319" s="2" t="s">
        <v>378</v>
      </c>
      <c r="L319" s="3">
        <v>21.42</v>
      </c>
      <c r="M319" s="3">
        <v>22.49</v>
      </c>
      <c r="N319" s="3">
        <v>44.99</v>
      </c>
      <c r="O319" s="2" t="s">
        <v>98</v>
      </c>
      <c r="P319" s="2" t="s">
        <v>481</v>
      </c>
      <c r="Q319" s="2" t="s">
        <v>100</v>
      </c>
      <c r="R319" s="2" t="s">
        <v>101</v>
      </c>
      <c r="S319" s="2" t="s">
        <v>763</v>
      </c>
      <c r="T319" s="2" t="s">
        <v>260</v>
      </c>
      <c r="U319" s="2" t="s">
        <v>104</v>
      </c>
      <c r="V319" s="2" t="s">
        <v>105</v>
      </c>
      <c r="W319" s="2" t="s">
        <v>106</v>
      </c>
      <c r="X319" s="2" t="s">
        <v>101</v>
      </c>
      <c r="Y319" s="2" t="s">
        <v>757</v>
      </c>
      <c r="Z319" s="4">
        <v>167</v>
      </c>
      <c r="AA319" s="4">
        <f>=ROUNDDOWN(83.5,0)</f>
      </c>
      <c r="AB319" s="5">
        <v>2</v>
      </c>
      <c r="AC319" s="2" t="s">
        <v>101</v>
      </c>
      <c r="AD319" s="4"/>
      <c r="AE319" s="4"/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>
        <v>15</v>
      </c>
      <c r="AW319" s="8">
        <v>513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>
        <v>0.3047</v>
      </c>
      <c r="BJ319" s="4">
        <v>31</v>
      </c>
      <c r="BK319" s="8">
        <v>725.86</v>
      </c>
      <c r="BL319" s="2" t="s">
        <v>764</v>
      </c>
      <c r="BM319" s="7"/>
      <c r="BN319" s="7"/>
      <c r="BO319" s="4"/>
      <c r="BP319" s="8"/>
      <c r="BQ319" s="4"/>
      <c r="BR319" s="8"/>
      <c r="BS319" s="7"/>
      <c r="BT319" s="7"/>
      <c r="BU319" s="2" t="s">
        <v>110</v>
      </c>
      <c r="BV319" s="2" t="s">
        <v>98</v>
      </c>
      <c r="BW319" s="2" t="s">
        <v>101</v>
      </c>
      <c r="BX319" s="2" t="s">
        <v>101</v>
      </c>
      <c r="BY319" s="2" t="s">
        <v>112</v>
      </c>
      <c r="BZ319" s="2" t="s">
        <v>112</v>
      </c>
      <c r="CA319" s="2" t="s">
        <v>101</v>
      </c>
    </row>
    <row r="320">
      <c r="A320" s="2" t="s">
        <v>765</v>
      </c>
      <c r="B320" s="2" t="s">
        <v>88</v>
      </c>
      <c r="C320" s="2" t="s">
        <v>89</v>
      </c>
      <c r="D320" s="2" t="s">
        <v>750</v>
      </c>
      <c r="E320" s="2" t="s">
        <v>751</v>
      </c>
      <c r="F320" s="2" t="s">
        <v>255</v>
      </c>
      <c r="G320" s="2" t="s">
        <v>256</v>
      </c>
      <c r="H320" s="2" t="s">
        <v>257</v>
      </c>
      <c r="I320" s="2" t="s">
        <v>752</v>
      </c>
      <c r="J320" s="2" t="s">
        <v>263</v>
      </c>
      <c r="K320" s="2" t="s">
        <v>378</v>
      </c>
      <c r="L320" s="3">
        <v>26.19</v>
      </c>
      <c r="M320" s="3">
        <v>27.5</v>
      </c>
      <c r="N320" s="3">
        <v>54.99</v>
      </c>
      <c r="O320" s="2" t="s">
        <v>98</v>
      </c>
      <c r="P320" s="2" t="s">
        <v>481</v>
      </c>
      <c r="Q320" s="2" t="s">
        <v>100</v>
      </c>
      <c r="R320" s="2" t="s">
        <v>101</v>
      </c>
      <c r="S320" s="2" t="s">
        <v>763</v>
      </c>
      <c r="T320" s="2" t="s">
        <v>260</v>
      </c>
      <c r="U320" s="2" t="s">
        <v>115</v>
      </c>
      <c r="V320" s="2" t="s">
        <v>105</v>
      </c>
      <c r="W320" s="2" t="s">
        <v>106</v>
      </c>
      <c r="X320" s="2" t="s">
        <v>101</v>
      </c>
      <c r="Y320" s="2" t="s">
        <v>754</v>
      </c>
      <c r="Z320" s="4">
        <v>541</v>
      </c>
      <c r="AA320" s="4">
        <f>=ROUNDDOWN(150.277777777778,0)</f>
      </c>
      <c r="AB320" s="5">
        <v>3.6</v>
      </c>
      <c r="AC320" s="2" t="s">
        <v>101</v>
      </c>
      <c r="AD320" s="4"/>
      <c r="AE320" s="4"/>
      <c r="AF320" s="6">
        <v>64</v>
      </c>
      <c r="AG320" s="6"/>
      <c r="AH320" s="7">
        <v>0.8446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>
        <v>12</v>
      </c>
      <c r="AQ320" s="8">
        <v>396</v>
      </c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>
        <v>0.7719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 t="s">
        <v>101</v>
      </c>
      <c r="BJ320" s="4">
        <v>123</v>
      </c>
      <c r="BK320" s="8">
        <v>3571.91</v>
      </c>
      <c r="BL320" s="2" t="s">
        <v>766</v>
      </c>
      <c r="BM320" s="7">
        <v>0.0976</v>
      </c>
      <c r="BN320" s="7">
        <v>0.1109</v>
      </c>
      <c r="BO320" s="4">
        <v>12</v>
      </c>
      <c r="BP320" s="8">
        <v>396</v>
      </c>
      <c r="BQ320" s="4"/>
      <c r="BR320" s="8"/>
      <c r="BS320" s="7"/>
      <c r="BT320" s="7"/>
      <c r="BU320" s="2" t="s">
        <v>110</v>
      </c>
      <c r="BV320" s="2" t="s">
        <v>98</v>
      </c>
      <c r="BW320" s="2" t="s">
        <v>101</v>
      </c>
      <c r="BX320" s="2" t="s">
        <v>334</v>
      </c>
      <c r="BY320" s="2" t="s">
        <v>112</v>
      </c>
      <c r="BZ320" s="2" t="s">
        <v>112</v>
      </c>
      <c r="CA320" s="2" t="s">
        <v>101</v>
      </c>
    </row>
    <row r="321">
      <c r="A321" s="2" t="s">
        <v>767</v>
      </c>
      <c r="B321" s="2" t="s">
        <v>88</v>
      </c>
      <c r="C321" s="2" t="s">
        <v>89</v>
      </c>
      <c r="D321" s="2" t="s">
        <v>750</v>
      </c>
      <c r="E321" s="2" t="s">
        <v>751</v>
      </c>
      <c r="F321" s="2" t="s">
        <v>255</v>
      </c>
      <c r="G321" s="2" t="s">
        <v>256</v>
      </c>
      <c r="H321" s="2" t="s">
        <v>257</v>
      </c>
      <c r="I321" s="2" t="s">
        <v>752</v>
      </c>
      <c r="J321" s="2" t="s">
        <v>265</v>
      </c>
      <c r="K321" s="2" t="s">
        <v>378</v>
      </c>
      <c r="L321" s="3">
        <v>28.57</v>
      </c>
      <c r="M321" s="3">
        <v>30</v>
      </c>
      <c r="N321" s="3">
        <v>64.99</v>
      </c>
      <c r="O321" s="2" t="s">
        <v>98</v>
      </c>
      <c r="P321" s="2" t="s">
        <v>481</v>
      </c>
      <c r="Q321" s="2" t="s">
        <v>100</v>
      </c>
      <c r="R321" s="2" t="s">
        <v>101</v>
      </c>
      <c r="S321" s="2" t="s">
        <v>763</v>
      </c>
      <c r="T321" s="2" t="s">
        <v>260</v>
      </c>
      <c r="U321" s="2" t="s">
        <v>115</v>
      </c>
      <c r="V321" s="2" t="s">
        <v>105</v>
      </c>
      <c r="W321" s="2" t="s">
        <v>106</v>
      </c>
      <c r="X321" s="2" t="s">
        <v>101</v>
      </c>
      <c r="Y321" s="2" t="s">
        <v>757</v>
      </c>
      <c r="Z321" s="4">
        <v>453</v>
      </c>
      <c r="AA321" s="4">
        <f>=ROUNDDOWN({0},0)</f>
      </c>
      <c r="AB321" s="5">
        <v>5.2</v>
      </c>
      <c r="AC321" s="2" t="s">
        <v>101</v>
      </c>
      <c r="AD321" s="4"/>
      <c r="AE321" s="4"/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>
        <v>3</v>
      </c>
      <c r="AQ321" s="8">
        <v>117</v>
      </c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>
        <v>0.2281</v>
      </c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 t="s">
        <v>101</v>
      </c>
      <c r="BJ321" s="4">
        <v>118</v>
      </c>
      <c r="BK321" s="8">
        <v>3847.6</v>
      </c>
      <c r="BL321" s="2" t="s">
        <v>760</v>
      </c>
      <c r="BM321" s="7">
        <v>0.0254</v>
      </c>
      <c r="BN321" s="7">
        <v>0.0304</v>
      </c>
      <c r="BO321" s="4">
        <v>3</v>
      </c>
      <c r="BP321" s="8">
        <v>117</v>
      </c>
      <c r="BQ321" s="4"/>
      <c r="BR321" s="8"/>
      <c r="BS321" s="7"/>
      <c r="BT321" s="7"/>
      <c r="BU321" s="2" t="s">
        <v>110</v>
      </c>
      <c r="BV321" s="2" t="s">
        <v>98</v>
      </c>
      <c r="BW321" s="2" t="s">
        <v>101</v>
      </c>
      <c r="BX321" s="2" t="s">
        <v>761</v>
      </c>
      <c r="BY321" s="2" t="s">
        <v>112</v>
      </c>
      <c r="BZ321" s="2" t="s">
        <v>112</v>
      </c>
      <c r="CA321" s="2" t="s">
        <v>101</v>
      </c>
    </row>
    <row r="322">
      <c r="A322" s="2" t="s">
        <v>768</v>
      </c>
      <c r="B322" s="2" t="s">
        <v>88</v>
      </c>
      <c r="C322" s="2" t="s">
        <v>89</v>
      </c>
      <c r="D322" s="2" t="s">
        <v>750</v>
      </c>
      <c r="E322" s="2" t="s">
        <v>751</v>
      </c>
      <c r="F322" s="2" t="s">
        <v>255</v>
      </c>
      <c r="G322" s="2" t="s">
        <v>256</v>
      </c>
      <c r="H322" s="2" t="s">
        <v>257</v>
      </c>
      <c r="I322" s="2" t="s">
        <v>752</v>
      </c>
      <c r="J322" s="2" t="s">
        <v>96</v>
      </c>
      <c r="K322" s="2" t="s">
        <v>143</v>
      </c>
      <c r="L322" s="3">
        <v>21.42</v>
      </c>
      <c r="M322" s="3">
        <v>22.49</v>
      </c>
      <c r="N322" s="3">
        <v>44.99</v>
      </c>
      <c r="O322" s="2" t="s">
        <v>98</v>
      </c>
      <c r="P322" s="2" t="s">
        <v>481</v>
      </c>
      <c r="Q322" s="2" t="s">
        <v>100</v>
      </c>
      <c r="R322" s="2" t="s">
        <v>101</v>
      </c>
      <c r="S322" s="2" t="s">
        <v>769</v>
      </c>
      <c r="T322" s="2" t="s">
        <v>260</v>
      </c>
      <c r="U322" s="2" t="s">
        <v>104</v>
      </c>
      <c r="V322" s="2" t="s">
        <v>105</v>
      </c>
      <c r="W322" s="2" t="s">
        <v>106</v>
      </c>
      <c r="X322" s="2" t="s">
        <v>101</v>
      </c>
      <c r="Y322" s="2" t="s">
        <v>757</v>
      </c>
      <c r="Z322" s="4">
        <v>325</v>
      </c>
      <c r="AA322" s="4">
        <f>=ROUNDDOWN(361.111111111111,0)</f>
      </c>
      <c r="AB322" s="5">
        <v>0.9</v>
      </c>
      <c r="AC322" s="2" t="s">
        <v>101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>
        <v>11</v>
      </c>
      <c r="AW322" s="8">
        <v>369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0.2192</v>
      </c>
      <c r="BJ322" s="4">
        <v>23</v>
      </c>
      <c r="BK322" s="8">
        <v>542.85</v>
      </c>
      <c r="BL322" s="2" t="s">
        <v>770</v>
      </c>
      <c r="BM322" s="7"/>
      <c r="BN322" s="7"/>
      <c r="BO322" s="4"/>
      <c r="BP322" s="8"/>
      <c r="BQ322" s="4"/>
      <c r="BR322" s="8"/>
      <c r="BS322" s="7"/>
      <c r="BT322" s="7"/>
      <c r="BU322" s="2" t="s">
        <v>110</v>
      </c>
      <c r="BV322" s="2" t="s">
        <v>98</v>
      </c>
      <c r="BW322" s="2" t="s">
        <v>101</v>
      </c>
      <c r="BX322" s="2" t="s">
        <v>101</v>
      </c>
      <c r="BY322" s="2" t="s">
        <v>112</v>
      </c>
      <c r="BZ322" s="2" t="s">
        <v>112</v>
      </c>
      <c r="CA322" s="2" t="s">
        <v>101</v>
      </c>
    </row>
    <row r="323">
      <c r="A323" s="2" t="s">
        <v>771</v>
      </c>
      <c r="B323" s="2" t="s">
        <v>88</v>
      </c>
      <c r="C323" s="2" t="s">
        <v>89</v>
      </c>
      <c r="D323" s="2" t="s">
        <v>750</v>
      </c>
      <c r="E323" s="2" t="s">
        <v>751</v>
      </c>
      <c r="F323" s="2" t="s">
        <v>255</v>
      </c>
      <c r="G323" s="2" t="s">
        <v>256</v>
      </c>
      <c r="H323" s="2" t="s">
        <v>257</v>
      </c>
      <c r="I323" s="2" t="s">
        <v>752</v>
      </c>
      <c r="J323" s="2" t="s">
        <v>263</v>
      </c>
      <c r="K323" s="2" t="s">
        <v>143</v>
      </c>
      <c r="L323" s="3">
        <v>26.19</v>
      </c>
      <c r="M323" s="3">
        <v>27.5</v>
      </c>
      <c r="N323" s="3">
        <v>54.99</v>
      </c>
      <c r="O323" s="2" t="s">
        <v>98</v>
      </c>
      <c r="P323" s="2" t="s">
        <v>481</v>
      </c>
      <c r="Q323" s="2" t="s">
        <v>100</v>
      </c>
      <c r="R323" s="2" t="s">
        <v>101</v>
      </c>
      <c r="S323" s="2" t="s">
        <v>769</v>
      </c>
      <c r="T323" s="2" t="s">
        <v>260</v>
      </c>
      <c r="U323" s="2" t="s">
        <v>115</v>
      </c>
      <c r="V323" s="2" t="s">
        <v>105</v>
      </c>
      <c r="W323" s="2" t="s">
        <v>106</v>
      </c>
      <c r="X323" s="2" t="s">
        <v>101</v>
      </c>
      <c r="Y323" s="2" t="s">
        <v>754</v>
      </c>
      <c r="Z323" s="4">
        <v>1315</v>
      </c>
      <c r="AA323" s="4">
        <f>=ROUNDDOWN(571.739130434783,0)</f>
      </c>
      <c r="AB323" s="5">
        <v>2.3</v>
      </c>
      <c r="AC323" s="2" t="s">
        <v>101</v>
      </c>
      <c r="AD323" s="4"/>
      <c r="AE323" s="4"/>
      <c r="AF323" s="6">
        <v>64</v>
      </c>
      <c r="AG323" s="6"/>
      <c r="AH323" s="7">
        <v>0.8446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>
        <v>10</v>
      </c>
      <c r="AQ323" s="8">
        <v>330</v>
      </c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>
        <v>0.8943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 t="s">
        <v>101</v>
      </c>
      <c r="BJ323" s="4">
        <v>77</v>
      </c>
      <c r="BK323" s="8">
        <v>2484.21</v>
      </c>
      <c r="BL323" s="2" t="s">
        <v>661</v>
      </c>
      <c r="BM323" s="7">
        <v>0.1299</v>
      </c>
      <c r="BN323" s="7">
        <v>0.1328</v>
      </c>
      <c r="BO323" s="4">
        <v>10</v>
      </c>
      <c r="BP323" s="8">
        <v>330</v>
      </c>
      <c r="BQ323" s="4"/>
      <c r="BR323" s="8"/>
      <c r="BS323" s="7"/>
      <c r="BT323" s="7"/>
      <c r="BU323" s="2" t="s">
        <v>110</v>
      </c>
      <c r="BV323" s="2" t="s">
        <v>98</v>
      </c>
      <c r="BW323" s="2" t="s">
        <v>101</v>
      </c>
      <c r="BX323" s="2" t="s">
        <v>772</v>
      </c>
      <c r="BY323" s="2" t="s">
        <v>112</v>
      </c>
      <c r="BZ323" s="2" t="s">
        <v>112</v>
      </c>
      <c r="CA323" s="2" t="s">
        <v>101</v>
      </c>
    </row>
    <row r="324">
      <c r="A324" s="2" t="s">
        <v>773</v>
      </c>
      <c r="B324" s="2" t="s">
        <v>88</v>
      </c>
      <c r="C324" s="2" t="s">
        <v>89</v>
      </c>
      <c r="D324" s="2" t="s">
        <v>750</v>
      </c>
      <c r="E324" s="2" t="s">
        <v>751</v>
      </c>
      <c r="F324" s="2" t="s">
        <v>255</v>
      </c>
      <c r="G324" s="2" t="s">
        <v>256</v>
      </c>
      <c r="H324" s="2" t="s">
        <v>257</v>
      </c>
      <c r="I324" s="2" t="s">
        <v>752</v>
      </c>
      <c r="J324" s="2" t="s">
        <v>265</v>
      </c>
      <c r="K324" s="2" t="s">
        <v>143</v>
      </c>
      <c r="L324" s="3">
        <v>28.57</v>
      </c>
      <c r="M324" s="3">
        <v>30</v>
      </c>
      <c r="N324" s="3">
        <v>64.99</v>
      </c>
      <c r="O324" s="2" t="s">
        <v>98</v>
      </c>
      <c r="P324" s="2" t="s">
        <v>481</v>
      </c>
      <c r="Q324" s="2" t="s">
        <v>100</v>
      </c>
      <c r="R324" s="2" t="s">
        <v>101</v>
      </c>
      <c r="S324" s="2" t="s">
        <v>769</v>
      </c>
      <c r="T324" s="2" t="s">
        <v>260</v>
      </c>
      <c r="U324" s="2" t="s">
        <v>115</v>
      </c>
      <c r="V324" s="2" t="s">
        <v>105</v>
      </c>
      <c r="W324" s="2" t="s">
        <v>106</v>
      </c>
      <c r="X324" s="2" t="s">
        <v>101</v>
      </c>
      <c r="Y324" s="2" t="s">
        <v>754</v>
      </c>
      <c r="Z324" s="4">
        <v>1258</v>
      </c>
      <c r="AA324" s="4">
        <f>=ROUNDDOWN(370,0)</f>
      </c>
      <c r="AB324" s="5">
        <v>3.4</v>
      </c>
      <c r="AC324" s="2" t="s">
        <v>101</v>
      </c>
      <c r="AD324" s="4"/>
      <c r="AE324" s="4"/>
      <c r="AF324" s="6">
        <v>64</v>
      </c>
      <c r="AG324" s="6"/>
      <c r="AH324" s="7">
        <v>0.8446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>
        <v>1</v>
      </c>
      <c r="AQ324" s="8">
        <v>39</v>
      </c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>
        <v>0.1057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 t="s">
        <v>101</v>
      </c>
      <c r="BJ324" s="4">
        <v>88</v>
      </c>
      <c r="BK324" s="8">
        <v>2750.37</v>
      </c>
      <c r="BL324" s="2" t="s">
        <v>774</v>
      </c>
      <c r="BM324" s="7">
        <v>0.0114</v>
      </c>
      <c r="BN324" s="7">
        <v>0.0142</v>
      </c>
      <c r="BO324" s="4">
        <v>1</v>
      </c>
      <c r="BP324" s="8">
        <v>39</v>
      </c>
      <c r="BQ324" s="4"/>
      <c r="BR324" s="8"/>
      <c r="BS324" s="7"/>
      <c r="BT324" s="7"/>
      <c r="BU324" s="2" t="s">
        <v>110</v>
      </c>
      <c r="BV324" s="2" t="s">
        <v>98</v>
      </c>
      <c r="BW324" s="2" t="s">
        <v>101</v>
      </c>
      <c r="BX324" s="2" t="s">
        <v>101</v>
      </c>
      <c r="BY324" s="2" t="s">
        <v>112</v>
      </c>
      <c r="BZ324" s="2" t="s">
        <v>112</v>
      </c>
      <c r="CA324" s="2" t="s">
        <v>101</v>
      </c>
    </row>
    <row r="325">
      <c r="A325" s="2" t="s">
        <v>775</v>
      </c>
      <c r="B325" s="2" t="s">
        <v>88</v>
      </c>
      <c r="C325" s="2" t="s">
        <v>89</v>
      </c>
      <c r="D325" s="2" t="s">
        <v>750</v>
      </c>
      <c r="E325" s="2" t="s">
        <v>751</v>
      </c>
      <c r="F325" s="2" t="s">
        <v>255</v>
      </c>
      <c r="G325" s="2" t="s">
        <v>256</v>
      </c>
      <c r="H325" s="2" t="s">
        <v>257</v>
      </c>
      <c r="I325" s="2" t="s">
        <v>752</v>
      </c>
      <c r="J325" s="2" t="s">
        <v>96</v>
      </c>
      <c r="K325" s="2" t="s">
        <v>346</v>
      </c>
      <c r="L325" s="3">
        <v>21.42</v>
      </c>
      <c r="M325" s="3">
        <v>22.49</v>
      </c>
      <c r="N325" s="3">
        <v>44.99</v>
      </c>
      <c r="O325" s="2" t="s">
        <v>98</v>
      </c>
      <c r="P325" s="2" t="s">
        <v>481</v>
      </c>
      <c r="Q325" s="2" t="s">
        <v>100</v>
      </c>
      <c r="R325" s="2" t="s">
        <v>101</v>
      </c>
      <c r="S325" s="2" t="s">
        <v>776</v>
      </c>
      <c r="T325" s="2" t="s">
        <v>260</v>
      </c>
      <c r="U325" s="2" t="s">
        <v>104</v>
      </c>
      <c r="V325" s="2" t="s">
        <v>105</v>
      </c>
      <c r="W325" s="2" t="s">
        <v>106</v>
      </c>
      <c r="X325" s="2" t="s">
        <v>101</v>
      </c>
      <c r="Y325" s="2" t="s">
        <v>754</v>
      </c>
      <c r="Z325" s="4">
        <v>291</v>
      </c>
      <c r="AA325" s="4">
        <f>=ROUNDDOWN(161.666666666667,0)</f>
      </c>
      <c r="AB325" s="5">
        <v>1.8</v>
      </c>
      <c r="AC325" s="2" t="s">
        <v>101</v>
      </c>
      <c r="AD325" s="4"/>
      <c r="AE325" s="4"/>
      <c r="AF325" s="6">
        <v>64</v>
      </c>
      <c r="AG325" s="6"/>
      <c r="AH325" s="7">
        <v>0.8446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>
        <v>5</v>
      </c>
      <c r="AQ325" s="8">
        <v>132.5</v>
      </c>
      <c r="AR325" s="4"/>
      <c r="AS325" s="8"/>
      <c r="AT325" s="7"/>
      <c r="AU325" s="7"/>
      <c r="AV325" s="4">
        <v>9</v>
      </c>
      <c r="AW325" s="8">
        <v>270.5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>
        <v>0.4898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0.1607</v>
      </c>
      <c r="BJ325" s="4">
        <v>39</v>
      </c>
      <c r="BK325" s="8">
        <v>872.97</v>
      </c>
      <c r="BL325" s="2" t="s">
        <v>777</v>
      </c>
      <c r="BM325" s="7">
        <v>0.1282</v>
      </c>
      <c r="BN325" s="7">
        <v>0.1518</v>
      </c>
      <c r="BO325" s="4">
        <v>5</v>
      </c>
      <c r="BP325" s="8">
        <v>132.5</v>
      </c>
      <c r="BQ325" s="4"/>
      <c r="BR325" s="8"/>
      <c r="BS325" s="7"/>
      <c r="BT325" s="7"/>
      <c r="BU325" s="2" t="s">
        <v>110</v>
      </c>
      <c r="BV325" s="2" t="s">
        <v>98</v>
      </c>
      <c r="BW325" s="2" t="s">
        <v>101</v>
      </c>
      <c r="BX325" s="2" t="s">
        <v>778</v>
      </c>
      <c r="BY325" s="2" t="s">
        <v>112</v>
      </c>
      <c r="BZ325" s="2" t="s">
        <v>112</v>
      </c>
      <c r="CA325" s="2" t="s">
        <v>101</v>
      </c>
    </row>
    <row r="326">
      <c r="A326" s="2" t="s">
        <v>779</v>
      </c>
      <c r="B326" s="2" t="s">
        <v>88</v>
      </c>
      <c r="C326" s="2" t="s">
        <v>89</v>
      </c>
      <c r="D326" s="2" t="s">
        <v>750</v>
      </c>
      <c r="E326" s="2" t="s">
        <v>751</v>
      </c>
      <c r="F326" s="2" t="s">
        <v>255</v>
      </c>
      <c r="G326" s="2" t="s">
        <v>256</v>
      </c>
      <c r="H326" s="2" t="s">
        <v>257</v>
      </c>
      <c r="I326" s="2" t="s">
        <v>752</v>
      </c>
      <c r="J326" s="2" t="s">
        <v>263</v>
      </c>
      <c r="K326" s="2" t="s">
        <v>346</v>
      </c>
      <c r="L326" s="3">
        <v>26.19</v>
      </c>
      <c r="M326" s="3">
        <v>27.5</v>
      </c>
      <c r="N326" s="3">
        <v>54.99</v>
      </c>
      <c r="O326" s="2" t="s">
        <v>98</v>
      </c>
      <c r="P326" s="2" t="s">
        <v>481</v>
      </c>
      <c r="Q326" s="2" t="s">
        <v>100</v>
      </c>
      <c r="R326" s="2" t="s">
        <v>101</v>
      </c>
      <c r="S326" s="2" t="s">
        <v>776</v>
      </c>
      <c r="T326" s="2" t="s">
        <v>260</v>
      </c>
      <c r="U326" s="2" t="s">
        <v>115</v>
      </c>
      <c r="V326" s="2" t="s">
        <v>105</v>
      </c>
      <c r="W326" s="2" t="s">
        <v>106</v>
      </c>
      <c r="X326" s="2" t="s">
        <v>101</v>
      </c>
      <c r="Y326" s="2" t="s">
        <v>754</v>
      </c>
      <c r="Z326" s="4">
        <v>861</v>
      </c>
      <c r="AA326" s="4">
        <f>=ROUNDDOWN(318.888888888889,0)</f>
      </c>
      <c r="AB326" s="5">
        <v>2.7</v>
      </c>
      <c r="AC326" s="2" t="s">
        <v>101</v>
      </c>
      <c r="AD326" s="4"/>
      <c r="AE326" s="4"/>
      <c r="AF326" s="6">
        <v>64</v>
      </c>
      <c r="AG326" s="6"/>
      <c r="AH326" s="7">
        <v>0.8446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>
        <v>3</v>
      </c>
      <c r="AQ326" s="8">
        <v>99</v>
      </c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>
        <v>0.366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 t="s">
        <v>101</v>
      </c>
      <c r="BJ326" s="4">
        <v>75</v>
      </c>
      <c r="BK326" s="8">
        <v>2151.69</v>
      </c>
      <c r="BL326" s="2" t="s">
        <v>780</v>
      </c>
      <c r="BM326" s="7">
        <v>0.04</v>
      </c>
      <c r="BN326" s="7">
        <v>0.046</v>
      </c>
      <c r="BO326" s="4">
        <v>3</v>
      </c>
      <c r="BP326" s="8">
        <v>99</v>
      </c>
      <c r="BQ326" s="4"/>
      <c r="BR326" s="8"/>
      <c r="BS326" s="7"/>
      <c r="BT326" s="7"/>
      <c r="BU326" s="2" t="s">
        <v>110</v>
      </c>
      <c r="BV326" s="2" t="s">
        <v>98</v>
      </c>
      <c r="BW326" s="2" t="s">
        <v>101</v>
      </c>
      <c r="BX326" s="2" t="s">
        <v>781</v>
      </c>
      <c r="BY326" s="2" t="s">
        <v>112</v>
      </c>
      <c r="BZ326" s="2" t="s">
        <v>112</v>
      </c>
      <c r="CA326" s="2" t="s">
        <v>101</v>
      </c>
    </row>
    <row r="327">
      <c r="A327" s="2" t="s">
        <v>782</v>
      </c>
      <c r="B327" s="2" t="s">
        <v>88</v>
      </c>
      <c r="C327" s="2" t="s">
        <v>89</v>
      </c>
      <c r="D327" s="2" t="s">
        <v>750</v>
      </c>
      <c r="E327" s="2" t="s">
        <v>751</v>
      </c>
      <c r="F327" s="2" t="s">
        <v>255</v>
      </c>
      <c r="G327" s="2" t="s">
        <v>256</v>
      </c>
      <c r="H327" s="2" t="s">
        <v>257</v>
      </c>
      <c r="I327" s="2" t="s">
        <v>752</v>
      </c>
      <c r="J327" s="2" t="s">
        <v>265</v>
      </c>
      <c r="K327" s="2" t="s">
        <v>346</v>
      </c>
      <c r="L327" s="3">
        <v>28.57</v>
      </c>
      <c r="M327" s="3">
        <v>30</v>
      </c>
      <c r="N327" s="3">
        <v>64.99</v>
      </c>
      <c r="O327" s="2" t="s">
        <v>98</v>
      </c>
      <c r="P327" s="2" t="s">
        <v>481</v>
      </c>
      <c r="Q327" s="2" t="s">
        <v>100</v>
      </c>
      <c r="R327" s="2" t="s">
        <v>101</v>
      </c>
      <c r="S327" s="2" t="s">
        <v>776</v>
      </c>
      <c r="T327" s="2" t="s">
        <v>260</v>
      </c>
      <c r="U327" s="2" t="s">
        <v>115</v>
      </c>
      <c r="V327" s="2" t="s">
        <v>105</v>
      </c>
      <c r="W327" s="2" t="s">
        <v>106</v>
      </c>
      <c r="X327" s="2" t="s">
        <v>101</v>
      </c>
      <c r="Y327" s="2" t="s">
        <v>757</v>
      </c>
      <c r="Z327" s="4">
        <v>815</v>
      </c>
      <c r="AA327" s="4">
        <f>=ROUNDDOWN(148.181818181818,0)</f>
      </c>
      <c r="AB327" s="5">
        <v>5.5</v>
      </c>
      <c r="AC327" s="2" t="s">
        <v>101</v>
      </c>
      <c r="AD327" s="4"/>
      <c r="AE327" s="4"/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>
        <v>1</v>
      </c>
      <c r="AQ327" s="8">
        <v>39</v>
      </c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>
        <v>0.1442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 t="s">
        <v>101</v>
      </c>
      <c r="BJ327" s="4">
        <v>65</v>
      </c>
      <c r="BK327" s="8">
        <v>2161.53</v>
      </c>
      <c r="BL327" s="2" t="s">
        <v>783</v>
      </c>
      <c r="BM327" s="7">
        <v>0.0154</v>
      </c>
      <c r="BN327" s="7">
        <v>0.018</v>
      </c>
      <c r="BO327" s="4">
        <v>1</v>
      </c>
      <c r="BP327" s="8">
        <v>39</v>
      </c>
      <c r="BQ327" s="4"/>
      <c r="BR327" s="8"/>
      <c r="BS327" s="7"/>
      <c r="BT327" s="7"/>
      <c r="BU327" s="2" t="s">
        <v>110</v>
      </c>
      <c r="BV327" s="2" t="s">
        <v>98</v>
      </c>
      <c r="BW327" s="2" t="s">
        <v>101</v>
      </c>
      <c r="BX327" s="2" t="s">
        <v>101</v>
      </c>
      <c r="BY327" s="2" t="s">
        <v>112</v>
      </c>
      <c r="BZ327" s="2" t="s">
        <v>112</v>
      </c>
      <c r="CA327" s="2" t="s">
        <v>101</v>
      </c>
    </row>
    <row r="328">
      <c r="A328" s="16" t="s">
        <v>784</v>
      </c>
      <c r="B328" s="9" t="s">
        <v>101</v>
      </c>
      <c r="C328" s="9" t="s">
        <v>101</v>
      </c>
      <c r="D328" s="9" t="s">
        <v>101</v>
      </c>
      <c r="E328" s="9" t="s">
        <v>101</v>
      </c>
      <c r="F328" s="9" t="s">
        <v>101</v>
      </c>
      <c r="G328" s="9" t="s">
        <v>101</v>
      </c>
      <c r="H328" s="9" t="s">
        <v>101</v>
      </c>
      <c r="I328" s="9" t="s">
        <v>101</v>
      </c>
      <c r="J328" s="9" t="s">
        <v>101</v>
      </c>
      <c r="K328" s="9" t="s">
        <v>101</v>
      </c>
      <c r="L328" s="10"/>
      <c r="M328" s="10"/>
      <c r="N328" s="10"/>
      <c r="O328" s="9" t="s">
        <v>101</v>
      </c>
      <c r="P328" s="9" t="s">
        <v>101</v>
      </c>
      <c r="Q328" s="9" t="s">
        <v>101</v>
      </c>
      <c r="R328" s="9" t="s">
        <v>101</v>
      </c>
      <c r="S328" s="9" t="s">
        <v>101</v>
      </c>
      <c r="T328" s="9" t="s">
        <v>101</v>
      </c>
      <c r="U328" s="9" t="s">
        <v>101</v>
      </c>
      <c r="V328" s="9" t="s">
        <v>101</v>
      </c>
      <c r="W328" s="9" t="s">
        <v>101</v>
      </c>
      <c r="X328" s="9" t="s">
        <v>101</v>
      </c>
      <c r="Y328" s="9" t="s">
        <v>101</v>
      </c>
      <c r="Z328" s="11">
        <v>192155</v>
      </c>
      <c r="AA328" s="11">
        <f>=ROUNDDOWN({0},0)</f>
      </c>
      <c r="AB328" s="12">
        <v>7258.3</v>
      </c>
      <c r="AC328" s="9" t="s">
        <v>101</v>
      </c>
      <c r="AD328" s="11"/>
      <c r="AE328" s="11">
        <v>44959</v>
      </c>
      <c r="AF328" s="13"/>
      <c r="AG328" s="13"/>
      <c r="AH328" s="14"/>
      <c r="AI328" s="11"/>
      <c r="AJ328" s="11">
        <f>=ROUNDDOWN({0},0)</f>
      </c>
      <c r="AK328" s="12"/>
      <c r="AL328" s="9" t="s">
        <v>101</v>
      </c>
      <c r="AM328" s="11"/>
      <c r="AN328" s="11"/>
      <c r="AO328" s="14"/>
      <c r="AP328" s="11">
        <v>72608</v>
      </c>
      <c r="AQ328" s="15">
        <v>1807526.49</v>
      </c>
      <c r="AR328" s="11"/>
      <c r="AS328" s="15"/>
      <c r="AT328" s="14"/>
      <c r="AU328" s="14"/>
      <c r="AV328" s="11">
        <v>72608</v>
      </c>
      <c r="AW328" s="15">
        <v>1807526.49</v>
      </c>
      <c r="AX328" s="11"/>
      <c r="AY328" s="15"/>
      <c r="AZ328" s="14"/>
      <c r="BA328" s="14"/>
      <c r="BB328" s="14"/>
      <c r="BC328" s="11">
        <v>72608</v>
      </c>
      <c r="BD328" s="15">
        <v>1807526.49</v>
      </c>
      <c r="BE328" s="11"/>
      <c r="BF328" s="15"/>
      <c r="BG328" s="14"/>
      <c r="BH328" s="14"/>
      <c r="BI328" s="14"/>
      <c r="BJ328" s="11"/>
      <c r="BK328" s="15"/>
      <c r="BL328" s="9" t="s">
        <v>101</v>
      </c>
      <c r="BM328" s="14"/>
      <c r="BN328" s="14"/>
      <c r="BO328" s="11">
        <v>72608</v>
      </c>
      <c r="BP328" s="15">
        <v>1807526.49</v>
      </c>
      <c r="BQ328" s="11"/>
      <c r="BR328" s="15"/>
      <c r="BS328" s="14"/>
      <c r="BT328" s="14"/>
      <c r="BU328" s="9" t="s">
        <v>101</v>
      </c>
      <c r="BV328" s="9" t="s">
        <v>101</v>
      </c>
      <c r="BW328" s="9" t="s">
        <v>101</v>
      </c>
      <c r="BX328" s="9" t="s">
        <v>101</v>
      </c>
      <c r="BY328" s="9" t="s">
        <v>101</v>
      </c>
      <c r="BZ328" s="9" t="s">
        <v>101</v>
      </c>
      <c r="CA328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70"/>
    <mergeCell ref="BD6:BD70"/>
    <mergeCell ref="BE6:BE70"/>
    <mergeCell ref="BF6:BF70"/>
    <mergeCell ref="BG6:BG70"/>
    <mergeCell ref="BH6:BH70"/>
    <mergeCell ref="BC71:BC85"/>
    <mergeCell ref="BD71:BD85"/>
    <mergeCell ref="BE71:BE85"/>
    <mergeCell ref="BF71:BF85"/>
    <mergeCell ref="BG71:BG85"/>
    <mergeCell ref="BH71:BH85"/>
    <mergeCell ref="BC86:BC103"/>
    <mergeCell ref="BD86:BD103"/>
    <mergeCell ref="BE86:BE103"/>
    <mergeCell ref="BF86:BF103"/>
    <mergeCell ref="BG86:BG103"/>
    <mergeCell ref="BH86:BH103"/>
    <mergeCell ref="BC104:BC118"/>
    <mergeCell ref="BD104:BD118"/>
    <mergeCell ref="BE104:BE118"/>
    <mergeCell ref="BF104:BF118"/>
    <mergeCell ref="BG104:BG118"/>
    <mergeCell ref="BH104:BH118"/>
    <mergeCell ref="BC119:BC129"/>
    <mergeCell ref="BD119:BD129"/>
    <mergeCell ref="BE119:BE129"/>
    <mergeCell ref="BF119:BF129"/>
    <mergeCell ref="BG119:BG129"/>
    <mergeCell ref="BH119:BH129"/>
    <mergeCell ref="BC130:BC141"/>
    <mergeCell ref="BD130:BD141"/>
    <mergeCell ref="BE130:BE141"/>
    <mergeCell ref="BF130:BF141"/>
    <mergeCell ref="BG130:BG141"/>
    <mergeCell ref="BH130:BH141"/>
    <mergeCell ref="BC142:BC147"/>
    <mergeCell ref="BD142:BD147"/>
    <mergeCell ref="BE142:BE147"/>
    <mergeCell ref="BF142:BF147"/>
    <mergeCell ref="BG142:BG147"/>
    <mergeCell ref="BH142:BH147"/>
    <mergeCell ref="BC148:BC156"/>
    <mergeCell ref="BD148:BD156"/>
    <mergeCell ref="BE148:BE156"/>
    <mergeCell ref="BF148:BF156"/>
    <mergeCell ref="BG148:BG156"/>
    <mergeCell ref="BH148:BH156"/>
    <mergeCell ref="BC157:BC172"/>
    <mergeCell ref="BD157:BD172"/>
    <mergeCell ref="BE157:BE172"/>
    <mergeCell ref="BF157:BF172"/>
    <mergeCell ref="BG157:BG172"/>
    <mergeCell ref="BH157:BH172"/>
    <mergeCell ref="BC173:BC181"/>
    <mergeCell ref="BD173:BD181"/>
    <mergeCell ref="BE173:BE181"/>
    <mergeCell ref="BF173:BF181"/>
    <mergeCell ref="BG173:BG181"/>
    <mergeCell ref="BH173:BH181"/>
    <mergeCell ref="BC182:BC196"/>
    <mergeCell ref="BD182:BD196"/>
    <mergeCell ref="BE182:BE196"/>
    <mergeCell ref="BF182:BF196"/>
    <mergeCell ref="BG182:BG196"/>
    <mergeCell ref="BH182:BH196"/>
    <mergeCell ref="BC197:BC211"/>
    <mergeCell ref="BD197:BD211"/>
    <mergeCell ref="BE197:BE211"/>
    <mergeCell ref="BF197:BF211"/>
    <mergeCell ref="BG197:BG211"/>
    <mergeCell ref="BH197:BH211"/>
    <mergeCell ref="BC212:BC276"/>
    <mergeCell ref="BD212:BD276"/>
    <mergeCell ref="BE212:BE276"/>
    <mergeCell ref="BF212:BF276"/>
    <mergeCell ref="BG212:BG276"/>
    <mergeCell ref="BH212:BH276"/>
    <mergeCell ref="BC277:BC288"/>
    <mergeCell ref="BD277:BD288"/>
    <mergeCell ref="BE277:BE288"/>
    <mergeCell ref="BF277:BF288"/>
    <mergeCell ref="BG277:BG288"/>
    <mergeCell ref="BH277:BH288"/>
    <mergeCell ref="BC289:BC297"/>
    <mergeCell ref="BD289:BD297"/>
    <mergeCell ref="BE289:BE297"/>
    <mergeCell ref="BF289:BF297"/>
    <mergeCell ref="BG289:BG297"/>
    <mergeCell ref="BH289:BH297"/>
    <mergeCell ref="BC298:BC306"/>
    <mergeCell ref="BD298:BD306"/>
    <mergeCell ref="BE298:BE306"/>
    <mergeCell ref="BF298:BF306"/>
    <mergeCell ref="BG298:BG306"/>
    <mergeCell ref="BH298:BH306"/>
    <mergeCell ref="BC307:BC315"/>
    <mergeCell ref="BD307:BD315"/>
    <mergeCell ref="BE307:BE315"/>
    <mergeCell ref="BF307:BF315"/>
    <mergeCell ref="BG307:BG315"/>
    <mergeCell ref="BH307:BH315"/>
    <mergeCell ref="BC316:BC327"/>
    <mergeCell ref="BD316:BD327"/>
    <mergeCell ref="BE316:BE327"/>
    <mergeCell ref="BF316:BF327"/>
    <mergeCell ref="BG316:BG327"/>
    <mergeCell ref="BH316:BH327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5"/>
    <mergeCell ref="AW31:AW35"/>
    <mergeCell ref="AX31:AX35"/>
    <mergeCell ref="AY31:AY35"/>
    <mergeCell ref="AZ31:AZ35"/>
    <mergeCell ref="BA31:BA35"/>
    <mergeCell ref="BI31:BI35"/>
    <mergeCell ref="AV36:AV40"/>
    <mergeCell ref="AW36:AW40"/>
    <mergeCell ref="AX36:AX40"/>
    <mergeCell ref="AY36:AY40"/>
    <mergeCell ref="AZ36:AZ40"/>
    <mergeCell ref="BA36:BA40"/>
    <mergeCell ref="BI36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5"/>
    <mergeCell ref="AW51:AW55"/>
    <mergeCell ref="AX51:AX55"/>
    <mergeCell ref="AY51:AY55"/>
    <mergeCell ref="AZ51:AZ55"/>
    <mergeCell ref="BA51:BA55"/>
    <mergeCell ref="BI51:BI55"/>
    <mergeCell ref="AV56:AV60"/>
    <mergeCell ref="AW56:AW60"/>
    <mergeCell ref="AX56:AX60"/>
    <mergeCell ref="AY56:AY60"/>
    <mergeCell ref="AZ56:AZ60"/>
    <mergeCell ref="BA56:BA60"/>
    <mergeCell ref="BI56:BI60"/>
    <mergeCell ref="AV61:AV65"/>
    <mergeCell ref="AW61:AW65"/>
    <mergeCell ref="AX61:AX65"/>
    <mergeCell ref="AY61:AY65"/>
    <mergeCell ref="AZ61:AZ65"/>
    <mergeCell ref="BA61:BA65"/>
    <mergeCell ref="BI61:BI65"/>
    <mergeCell ref="AV66:AV70"/>
    <mergeCell ref="AW66:AW70"/>
    <mergeCell ref="AX66:AX70"/>
    <mergeCell ref="AY66:AY70"/>
    <mergeCell ref="AZ66:AZ70"/>
    <mergeCell ref="BA66:BA70"/>
    <mergeCell ref="BI66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AV145:AV147"/>
    <mergeCell ref="AW145:AW147"/>
    <mergeCell ref="AX145:AX147"/>
    <mergeCell ref="AY145:AY147"/>
    <mergeCell ref="AZ145:AZ147"/>
    <mergeCell ref="BA145:BA147"/>
    <mergeCell ref="AV148:AV150"/>
    <mergeCell ref="AW148:AW150"/>
    <mergeCell ref="AX148:AX150"/>
    <mergeCell ref="AY148:AY150"/>
    <mergeCell ref="AZ148:AZ150"/>
    <mergeCell ref="BA148:BA150"/>
    <mergeCell ref="AV151:AV153"/>
    <mergeCell ref="AW151:AW153"/>
    <mergeCell ref="AX151:AX153"/>
    <mergeCell ref="AY151:AY153"/>
    <mergeCell ref="AZ151:AZ153"/>
    <mergeCell ref="BA151:BA153"/>
    <mergeCell ref="AV154:AV156"/>
    <mergeCell ref="AW154:AW156"/>
    <mergeCell ref="AX154:AX156"/>
    <mergeCell ref="AY154:AY156"/>
    <mergeCell ref="AZ154:AZ156"/>
    <mergeCell ref="BA154:BA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AV185:AV187"/>
    <mergeCell ref="AW185:AW187"/>
    <mergeCell ref="AX185:AX187"/>
    <mergeCell ref="AY185:AY187"/>
    <mergeCell ref="AZ185:AZ187"/>
    <mergeCell ref="BA185:BA187"/>
    <mergeCell ref="AV188:AV190"/>
    <mergeCell ref="AW188:AW190"/>
    <mergeCell ref="AX188:AX190"/>
    <mergeCell ref="AY188:AY190"/>
    <mergeCell ref="AZ188:AZ190"/>
    <mergeCell ref="BA188:BA190"/>
    <mergeCell ref="AV191:AV193"/>
    <mergeCell ref="AW191:AW193"/>
    <mergeCell ref="AX191:AX193"/>
    <mergeCell ref="AY191:AY193"/>
    <mergeCell ref="AZ191:AZ193"/>
    <mergeCell ref="BA191:BA193"/>
    <mergeCell ref="AV194:AV196"/>
    <mergeCell ref="AW194:AW196"/>
    <mergeCell ref="AX194:AX196"/>
    <mergeCell ref="AY194:AY196"/>
    <mergeCell ref="AZ194:AZ196"/>
    <mergeCell ref="BA194:BA196"/>
    <mergeCell ref="AV197:AV199"/>
    <mergeCell ref="AW197:AW199"/>
    <mergeCell ref="AX197:AX199"/>
    <mergeCell ref="AY197:AY199"/>
    <mergeCell ref="AZ197:AZ199"/>
    <mergeCell ref="BA197:BA199"/>
    <mergeCell ref="AV200:AV202"/>
    <mergeCell ref="AW200:AW202"/>
    <mergeCell ref="AX200:AX202"/>
    <mergeCell ref="AY200:AY202"/>
    <mergeCell ref="AZ200:AZ202"/>
    <mergeCell ref="BA200:BA202"/>
    <mergeCell ref="AV203:AV205"/>
    <mergeCell ref="AW203:AW205"/>
    <mergeCell ref="AX203:AX205"/>
    <mergeCell ref="AY203:AY205"/>
    <mergeCell ref="AZ203:AZ205"/>
    <mergeCell ref="BA203:BA205"/>
    <mergeCell ref="AV206:AV208"/>
    <mergeCell ref="AW206:AW208"/>
    <mergeCell ref="AX206:AX208"/>
    <mergeCell ref="AY206:AY208"/>
    <mergeCell ref="AZ206:AZ208"/>
    <mergeCell ref="BA206:BA208"/>
    <mergeCell ref="AV209:AV211"/>
    <mergeCell ref="AW209:AW211"/>
    <mergeCell ref="AX209:AX211"/>
    <mergeCell ref="AY209:AY211"/>
    <mergeCell ref="AZ209:AZ211"/>
    <mergeCell ref="BA209:BA211"/>
    <mergeCell ref="AV212:AV216"/>
    <mergeCell ref="AW212:AW216"/>
    <mergeCell ref="AX212:AX216"/>
    <mergeCell ref="AY212:AY216"/>
    <mergeCell ref="AZ212:AZ216"/>
    <mergeCell ref="BA212:BA216"/>
    <mergeCell ref="BI212:BI216"/>
    <mergeCell ref="AV217:AV221"/>
    <mergeCell ref="AW217:AW221"/>
    <mergeCell ref="AX217:AX221"/>
    <mergeCell ref="AY217:AY221"/>
    <mergeCell ref="AZ217:AZ221"/>
    <mergeCell ref="BA217:BA221"/>
    <mergeCell ref="BI217:BI221"/>
    <mergeCell ref="AV222:AV226"/>
    <mergeCell ref="AW222:AW226"/>
    <mergeCell ref="AX222:AX226"/>
    <mergeCell ref="AY222:AY226"/>
    <mergeCell ref="AZ222:AZ226"/>
    <mergeCell ref="BA222:BA226"/>
    <mergeCell ref="BI222:BI226"/>
    <mergeCell ref="AV227:AV231"/>
    <mergeCell ref="AW227:AW231"/>
    <mergeCell ref="AX227:AX231"/>
    <mergeCell ref="AY227:AY231"/>
    <mergeCell ref="AZ227:AZ231"/>
    <mergeCell ref="BA227:BA231"/>
    <mergeCell ref="BI227:BI231"/>
    <mergeCell ref="AV232:AV236"/>
    <mergeCell ref="AW232:AW236"/>
    <mergeCell ref="AX232:AX236"/>
    <mergeCell ref="AY232:AY236"/>
    <mergeCell ref="AZ232:AZ236"/>
    <mergeCell ref="BA232:BA236"/>
    <mergeCell ref="BI232:BI236"/>
    <mergeCell ref="AV237:AV241"/>
    <mergeCell ref="AW237:AW241"/>
    <mergeCell ref="AX237:AX241"/>
    <mergeCell ref="AY237:AY241"/>
    <mergeCell ref="AZ237:AZ241"/>
    <mergeCell ref="BA237:BA241"/>
    <mergeCell ref="BI237:BI241"/>
    <mergeCell ref="AV242:AV246"/>
    <mergeCell ref="AW242:AW246"/>
    <mergeCell ref="AX242:AX246"/>
    <mergeCell ref="AY242:AY246"/>
    <mergeCell ref="AZ242:AZ246"/>
    <mergeCell ref="BA242:BA246"/>
    <mergeCell ref="BI242:BI246"/>
    <mergeCell ref="AV247:AV251"/>
    <mergeCell ref="AW247:AW251"/>
    <mergeCell ref="AX247:AX251"/>
    <mergeCell ref="AY247:AY251"/>
    <mergeCell ref="AZ247:AZ251"/>
    <mergeCell ref="BA247:BA251"/>
    <mergeCell ref="BI247:BI251"/>
    <mergeCell ref="AV252:AV256"/>
    <mergeCell ref="AW252:AW256"/>
    <mergeCell ref="AX252:AX256"/>
    <mergeCell ref="AY252:AY256"/>
    <mergeCell ref="AZ252:AZ256"/>
    <mergeCell ref="BA252:BA256"/>
    <mergeCell ref="BI252:BI256"/>
    <mergeCell ref="AV257:AV261"/>
    <mergeCell ref="AW257:AW261"/>
    <mergeCell ref="AX257:AX261"/>
    <mergeCell ref="AY257:AY261"/>
    <mergeCell ref="AZ257:AZ261"/>
    <mergeCell ref="BA257:BA261"/>
    <mergeCell ref="BI257:BI261"/>
    <mergeCell ref="AV262:AV266"/>
    <mergeCell ref="AW262:AW266"/>
    <mergeCell ref="AX262:AX266"/>
    <mergeCell ref="AY262:AY266"/>
    <mergeCell ref="AZ262:AZ266"/>
    <mergeCell ref="BA262:BA266"/>
    <mergeCell ref="BI262:BI266"/>
    <mergeCell ref="AV267:AV271"/>
    <mergeCell ref="AW267:AW271"/>
    <mergeCell ref="AX267:AX271"/>
    <mergeCell ref="AY267:AY271"/>
    <mergeCell ref="AZ267:AZ271"/>
    <mergeCell ref="BA267:BA271"/>
    <mergeCell ref="BI267:BI271"/>
    <mergeCell ref="AV272:AV276"/>
    <mergeCell ref="AW272:AW276"/>
    <mergeCell ref="AX272:AX276"/>
    <mergeCell ref="AY272:AY276"/>
    <mergeCell ref="AZ272:AZ276"/>
    <mergeCell ref="BA272:BA276"/>
    <mergeCell ref="BI272:BI276"/>
    <mergeCell ref="AV277:AV279"/>
    <mergeCell ref="AW277:AW279"/>
    <mergeCell ref="AX277:AX279"/>
    <mergeCell ref="AY277:AY279"/>
    <mergeCell ref="AZ277:AZ279"/>
    <mergeCell ref="BA277:BA279"/>
    <mergeCell ref="BI277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5"/>
    <mergeCell ref="AW283:AW285"/>
    <mergeCell ref="AX283:AX285"/>
    <mergeCell ref="AY283:AY285"/>
    <mergeCell ref="AZ283:AZ285"/>
    <mergeCell ref="BA283:BA285"/>
    <mergeCell ref="BI283:BI285"/>
    <mergeCell ref="AV286:AV288"/>
    <mergeCell ref="AW286:AW288"/>
    <mergeCell ref="AX286:AX288"/>
    <mergeCell ref="AY286:AY288"/>
    <mergeCell ref="AZ286:AZ288"/>
    <mergeCell ref="BA286:BA288"/>
    <mergeCell ref="BI286:BI288"/>
    <mergeCell ref="AV289:AV291"/>
    <mergeCell ref="AW289:AW291"/>
    <mergeCell ref="AX289:AX291"/>
    <mergeCell ref="AY289:AY291"/>
    <mergeCell ref="AZ289:AZ291"/>
    <mergeCell ref="BA289:BA291"/>
    <mergeCell ref="BI289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7"/>
    <mergeCell ref="AW295:AW297"/>
    <mergeCell ref="AX295:AX297"/>
    <mergeCell ref="AY295:AY297"/>
    <mergeCell ref="AZ295:AZ297"/>
    <mergeCell ref="BA295:BA297"/>
    <mergeCell ref="BI295:BI297"/>
    <mergeCell ref="AV298:AV300"/>
    <mergeCell ref="AW298:AW300"/>
    <mergeCell ref="AX298:AX300"/>
    <mergeCell ref="AY298:AY300"/>
    <mergeCell ref="AZ298:AZ300"/>
    <mergeCell ref="BA298:BA300"/>
    <mergeCell ref="AV301:AV303"/>
    <mergeCell ref="AW301:AW303"/>
    <mergeCell ref="AX301:AX303"/>
    <mergeCell ref="AY301:AY303"/>
    <mergeCell ref="AZ301:AZ303"/>
    <mergeCell ref="BA301:BA303"/>
    <mergeCell ref="AV304:AV306"/>
    <mergeCell ref="AW304:AW306"/>
    <mergeCell ref="AX304:AX306"/>
    <mergeCell ref="AY304:AY306"/>
    <mergeCell ref="AZ304:AZ306"/>
    <mergeCell ref="BA304:BA306"/>
    <mergeCell ref="AV307:AV309"/>
    <mergeCell ref="AW307:AW309"/>
    <mergeCell ref="AX307:AX309"/>
    <mergeCell ref="AY307:AY309"/>
    <mergeCell ref="AZ307:AZ309"/>
    <mergeCell ref="BA307:BA309"/>
    <mergeCell ref="BI307:BI309"/>
    <mergeCell ref="AV310:AV312"/>
    <mergeCell ref="AW310:AW312"/>
    <mergeCell ref="AX310:AX312"/>
    <mergeCell ref="AY310:AY312"/>
    <mergeCell ref="AZ310:AZ312"/>
    <mergeCell ref="BA310:BA312"/>
    <mergeCell ref="BI310:BI312"/>
    <mergeCell ref="AV313:AV315"/>
    <mergeCell ref="AW313:AW315"/>
    <mergeCell ref="AX313:AX315"/>
    <mergeCell ref="AY313:AY315"/>
    <mergeCell ref="AZ313:AZ315"/>
    <mergeCell ref="BA313:BA315"/>
    <mergeCell ref="BI313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1"/>
    <mergeCell ref="AW319:AW321"/>
    <mergeCell ref="AX319:AX321"/>
    <mergeCell ref="AY319:AY321"/>
    <mergeCell ref="AZ319:AZ321"/>
    <mergeCell ref="BA319:BA321"/>
    <mergeCell ref="BI319:BI321"/>
    <mergeCell ref="AV322:AV324"/>
    <mergeCell ref="AW322:AW324"/>
    <mergeCell ref="AX322:AX324"/>
    <mergeCell ref="AY322:AY324"/>
    <mergeCell ref="AZ322:AZ324"/>
    <mergeCell ref="BA322:BA324"/>
    <mergeCell ref="BI322:BI324"/>
    <mergeCell ref="AV325:AV327"/>
    <mergeCell ref="AW325:AW327"/>
    <mergeCell ref="AX325:AX327"/>
    <mergeCell ref="AY325:AY327"/>
    <mergeCell ref="AZ325:AZ327"/>
    <mergeCell ref="BA325:BA327"/>
    <mergeCell ref="BI325:BI3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785</v>
      </c>
      <c r="D2" s="0" t="s">
        <v>786</v>
      </c>
      <c r="E2" s="0" t="s">
        <v>787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788</v>
      </c>
      <c r="J4" s="1" t="s">
        <v>789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790</v>
      </c>
      <c r="P4" s="1" t="s">
        <v>791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792</v>
      </c>
      <c r="F5" s="1" t="s">
        <v>793</v>
      </c>
      <c r="G5" s="1" t="s">
        <v>792</v>
      </c>
      <c r="H5" s="1" t="s">
        <v>793</v>
      </c>
      <c r="I5" s="1" t="s">
        <v>788</v>
      </c>
      <c r="J5" s="1" t="s">
        <v>789</v>
      </c>
      <c r="K5" s="1" t="s">
        <v>794</v>
      </c>
      <c r="L5" s="1" t="s">
        <v>795</v>
      </c>
      <c r="M5" s="1" t="s">
        <v>794</v>
      </c>
      <c r="N5" s="1" t="s">
        <v>795</v>
      </c>
      <c r="O5" s="1" t="s">
        <v>790</v>
      </c>
      <c r="P5" s="1" t="s">
        <v>791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33986</v>
      </c>
      <c r="F6" s="8">
        <v>960625.69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30775</v>
      </c>
      <c r="L6" s="8">
        <v>880977.21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501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3211</v>
      </c>
      <c r="L7" s="8">
        <v>79648.48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598</v>
      </c>
      <c r="D8" s="2" t="s">
        <v>599</v>
      </c>
      <c r="E8" s="4">
        <v>38572</v>
      </c>
      <c r="F8" s="8">
        <v>845217.3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38184</v>
      </c>
      <c r="L8" s="8">
        <v>837836.98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598</v>
      </c>
      <c r="D9" s="2" t="s">
        <v>733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388</v>
      </c>
      <c r="L9" s="8">
        <v>7380.32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750</v>
      </c>
      <c r="D10" s="2" t="s">
        <v>751</v>
      </c>
      <c r="E10" s="4">
        <v>50</v>
      </c>
      <c r="F10" s="8">
        <v>1683.5</v>
      </c>
      <c r="G10" s="4"/>
      <c r="H10" s="8"/>
      <c r="I10" s="7"/>
      <c r="J10" s="7"/>
      <c r="K10" s="4">
        <v>50</v>
      </c>
      <c r="L10" s="8">
        <v>1683.5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785</v>
      </c>
      <c r="D2" s="0" t="s">
        <v>786</v>
      </c>
      <c r="E2" s="0" t="s">
        <v>787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788</v>
      </c>
      <c r="I4" s="1" t="s">
        <v>789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790</v>
      </c>
      <c r="O4" s="1" t="s">
        <v>791</v>
      </c>
    </row>
    <row r="5">
      <c r="A5" s="1" t="s">
        <v>53</v>
      </c>
      <c r="B5" s="1" t="s">
        <v>55</v>
      </c>
      <c r="C5" s="1" t="s">
        <v>56</v>
      </c>
      <c r="D5" s="1" t="s">
        <v>792</v>
      </c>
      <c r="E5" s="1" t="s">
        <v>793</v>
      </c>
      <c r="F5" s="1" t="s">
        <v>792</v>
      </c>
      <c r="G5" s="1" t="s">
        <v>793</v>
      </c>
      <c r="H5" s="1" t="s">
        <v>788</v>
      </c>
      <c r="I5" s="1" t="s">
        <v>789</v>
      </c>
      <c r="J5" s="1" t="s">
        <v>794</v>
      </c>
      <c r="K5" s="1" t="s">
        <v>795</v>
      </c>
      <c r="L5" s="1" t="s">
        <v>794</v>
      </c>
      <c r="M5" s="1" t="s">
        <v>795</v>
      </c>
      <c r="N5" s="1" t="s">
        <v>790</v>
      </c>
      <c r="O5" s="1" t="s">
        <v>791</v>
      </c>
    </row>
    <row r="6">
      <c r="A6" s="2" t="s">
        <v>88</v>
      </c>
      <c r="B6" s="2" t="s">
        <v>90</v>
      </c>
      <c r="C6" s="2" t="s">
        <v>91</v>
      </c>
      <c r="D6" s="4">
        <v>33986</v>
      </c>
      <c r="E6" s="8">
        <v>960625.69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30775</v>
      </c>
      <c r="K6" s="8">
        <v>880977.21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501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3211</v>
      </c>
      <c r="K7" s="8">
        <v>79648.48</v>
      </c>
      <c r="L7" s="4"/>
      <c r="M7" s="8"/>
      <c r="N7" s="7"/>
      <c r="O7" s="7"/>
    </row>
    <row r="8">
      <c r="A8" s="2" t="s">
        <v>88</v>
      </c>
      <c r="B8" s="2" t="s">
        <v>598</v>
      </c>
      <c r="C8" s="2" t="s">
        <v>599</v>
      </c>
      <c r="D8" s="4">
        <v>38572</v>
      </c>
      <c r="E8" s="8">
        <v>845217.3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38184</v>
      </c>
      <c r="K8" s="8">
        <v>837836.98</v>
      </c>
      <c r="L8" s="4"/>
      <c r="M8" s="8"/>
      <c r="N8" s="7"/>
      <c r="O8" s="7"/>
    </row>
    <row r="9">
      <c r="A9" s="2" t="s">
        <v>88</v>
      </c>
      <c r="B9" s="2" t="s">
        <v>598</v>
      </c>
      <c r="C9" s="2" t="s">
        <v>733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388</v>
      </c>
      <c r="K9" s="8">
        <v>7380.32</v>
      </c>
      <c r="L9" s="4"/>
      <c r="M9" s="8"/>
      <c r="N9" s="7"/>
      <c r="O9" s="7"/>
    </row>
    <row r="10">
      <c r="A10" s="2" t="s">
        <v>88</v>
      </c>
      <c r="B10" s="2" t="s">
        <v>750</v>
      </c>
      <c r="C10" s="2" t="s">
        <v>751</v>
      </c>
      <c r="D10" s="4">
        <v>50</v>
      </c>
      <c r="E10" s="8">
        <v>1683.5</v>
      </c>
      <c r="F10" s="4"/>
      <c r="G10" s="8"/>
      <c r="H10" s="7"/>
      <c r="I10" s="7"/>
      <c r="J10" s="4">
        <v>50</v>
      </c>
      <c r="K10" s="8">
        <v>1683.5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