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<sst xmlns="http://schemas.openxmlformats.org/spreadsheetml/2006/main" count="2060" uniqueCount="2060">
  <si>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</si>
  <si>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</si>
  <si>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</si>
  <si>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</si>
  <si>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</si>
  <si>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</si>
  <si>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</si>
  <si>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</si>
  <si>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</si>
  <si>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</si>
  <si>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</si>
  <si>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</si>
  <si>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</si>
  <si>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</si>
  <si>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</si>
  <si>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</si>
  <si>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</si>
  <si>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</si>
  <si>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</si>
  <si>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</si>
  <si>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</si>
  <si>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</si>
  <si>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</si>
  <si>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</si>
  <si>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</si>
  <si>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</si>
  <si>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</si>
  <si>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</si>
  <si>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</si>
  <si>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</si>
  <si>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</si>
  <si>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</si>
  <si>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</si>
  <si>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</si>
  <si>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</si>
  <si>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</si>
  <si>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</si>
  <si>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</si>
  <si>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</si>
  <si>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</si>
  <si>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</si>
  <si>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</si>
  <si>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</si>
  <si>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</si>
  <si>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</si>
  <si>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</si>
  <si>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</si>
  <si>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</si>
  <si>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</si>
  <si>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</si>
  <si>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</si>
  <si>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</si>
  <si>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</si>
  <si>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</si>
  <si>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</si>
  <si>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</si>
  <si>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</si>
  <si>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</si>
  <si>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</si>
  <si>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</si>
  <si>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</si>
  <si>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</si>
  <si>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</si>
  <si>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</si>
  <si>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</si>
  <si>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</si>
  <si>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</si>
  <si>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</si>
  <si>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</si>
  <si>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</si>
  <si>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</si>
  <si>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</si>
  <si>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</si>
  <si>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</si>
  <si>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</si>
  <si>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</si>
  <si>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</si>
  <si>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</si>
  <si>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</si>
  <si>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</si>
  <si>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</si>
  <si>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</si>
  <si>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</si>
  <si>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</si>
  <si>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</si>
  <si>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</si>
  <si>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II10-1061</t>
  </si>
  <si>
    <t>ADUL</t>
  </si>
  <si>
    <t>INK+IVY</t>
  </si>
  <si>
    <t>COMFORTER (SET)</t>
  </si>
  <si>
    <t>Comforter Mini Set</t>
  </si>
  <si>
    <t>Mila</t>
  </si>
  <si>
    <t>3 Piece Cotton Comforter Set with Chenille Tufting</t>
  </si>
  <si>
    <t>Full/Queen</t>
  </si>
  <si>
    <t>Navy</t>
  </si>
  <si>
    <t>Active</t>
  </si>
  <si>
    <t>A</t>
  </si>
  <si>
    <t>NO</t>
  </si>
  <si>
    <t/>
  </si>
  <si>
    <t>PP001321;PF004763</t>
  </si>
  <si>
    <t>Plain Fabric</t>
  </si>
  <si>
    <t>3</t>
  </si>
  <si>
    <t>Geometric</t>
  </si>
  <si>
    <t>Boho</t>
  </si>
  <si>
    <t>9/18/2019</t>
  </si>
  <si>
    <t>AMAZON,JCPENNEY01,MACY02,OVERSTOCK01,TGTDVS,ZOLA</t>
  </si>
  <si>
    <t>Setup</t>
  </si>
  <si>
    <t>10/21/2019</t>
  </si>
  <si>
    <t>10/28/2019</t>
  </si>
  <si>
    <t>No</t>
  </si>
  <si>
    <t>II10-1062</t>
  </si>
  <si>
    <t>King/Cal King</t>
  </si>
  <si>
    <t>AMAZON,AMAZONDS,JCPENNEY01,KIRKLANDDS,KOHLDSN,MACY02,OVERSTOCK01,TGTDVS</t>
  </si>
  <si>
    <t>11/6/2019</t>
  </si>
  <si>
    <t>II10-1124</t>
  </si>
  <si>
    <t>Taupe</t>
  </si>
  <si>
    <t>PP001321;PF005135</t>
  </si>
  <si>
    <t>9/23/2020</t>
  </si>
  <si>
    <t>5/7/2025</t>
  </si>
  <si>
    <t>MACY02,OVERSTOCK01,TGTDVS</t>
  </si>
  <si>
    <t>10/10/2020</t>
  </si>
  <si>
    <t>10/26/2020</t>
  </si>
  <si>
    <t>II10-1125</t>
  </si>
  <si>
    <t>3/4/2025</t>
  </si>
  <si>
    <t>BLK01,JCPENNEY01,MACY02,OVERSTOCK01,TGTDVS</t>
  </si>
  <si>
    <t>10/15/2020</t>
  </si>
  <si>
    <t>II10-1315</t>
  </si>
  <si>
    <t>Auburn</t>
  </si>
  <si>
    <t>C</t>
  </si>
  <si>
    <t>PP001321;PF006111</t>
  </si>
  <si>
    <t>Cotton</t>
  </si>
  <si>
    <t>Global</t>
  </si>
  <si>
    <t>11/21/2023</t>
  </si>
  <si>
    <t>2/20/2024</t>
  </si>
  <si>
    <t>9/19/2024</t>
  </si>
  <si>
    <t>II10-1316</t>
  </si>
  <si>
    <t>JCPENNEY01,MACY02,TGTDVS</t>
  </si>
  <si>
    <t>3/19/2024</t>
  </si>
  <si>
    <t>II10-1248</t>
  </si>
  <si>
    <t>Gray</t>
  </si>
  <si>
    <t>B</t>
  </si>
  <si>
    <t>PP001321;PF005708</t>
  </si>
  <si>
    <t>5/5/2022</t>
  </si>
  <si>
    <t>OVERSTOCK01</t>
  </si>
  <si>
    <t>5/20/2022</t>
  </si>
  <si>
    <t>5/27/2022</t>
  </si>
  <si>
    <t>II10-1249</t>
  </si>
  <si>
    <t>AMAZONDS,MACY02,OVERSTOCK01</t>
  </si>
  <si>
    <t>6/3/2022</t>
  </si>
  <si>
    <t>II10-994</t>
  </si>
  <si>
    <t>Imani</t>
  </si>
  <si>
    <t>Cotton Printed Comforter Set with Chenille</t>
  </si>
  <si>
    <t>Ivory</t>
  </si>
  <si>
    <t>A+</t>
  </si>
  <si>
    <t>PF004112</t>
  </si>
  <si>
    <t>12/26/2017</t>
  </si>
  <si>
    <t>AMAZON,ASHFURNDS,BLK01,JCPENNEY01,KOHLDSN,MACY02,OLLIIX,OVERSTOCK01,TGTDVS</t>
  </si>
  <si>
    <t>1/3/2019</t>
  </si>
  <si>
    <t>1/7/2019</t>
  </si>
  <si>
    <t>II10-1094</t>
  </si>
  <si>
    <t>Blush</t>
  </si>
  <si>
    <t>Donation</t>
  </si>
  <si>
    <t>PF005068</t>
  </si>
  <si>
    <t>Global Inspired</t>
  </si>
  <si>
    <t>Casual|Farm House</t>
  </si>
  <si>
    <t>3/30/2020</t>
  </si>
  <si>
    <t>AMAZON,MACY02,TGTDVS</t>
  </si>
  <si>
    <t>Discontinued</t>
  </si>
  <si>
    <t>5/15/2020</t>
  </si>
  <si>
    <t>5/24/2020</t>
  </si>
  <si>
    <t>II10-1089</t>
  </si>
  <si>
    <t>PF005067</t>
  </si>
  <si>
    <t>3/31/2020</t>
  </si>
  <si>
    <t>AMAZON,ASHFURNDS,JCPENNEY01,MACY02,OVERSTOCK01,TGTDVS</t>
  </si>
  <si>
    <t>5/20/2020</t>
  </si>
  <si>
    <t>II10-1346</t>
  </si>
  <si>
    <t>Sage/Ivory</t>
  </si>
  <si>
    <t>TBD</t>
  </si>
  <si>
    <t>3/16/2025</t>
  </si>
  <si>
    <t>Open</t>
  </si>
  <si>
    <t>II10-1347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</si>
  <si>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</si>
  <si>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</si>
  <si>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</si>
  <si>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</si>
  <si>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</si>
  <si>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</si>
  <si>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</si>
  <si>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</si>
  <si>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</si>
  <si>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</si>
  <si>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4/7/2020</t>
  </si>
  <si>
    <t>AMAZON,AMERSIGNDS,MACY02,OVERSTOCK01,TGTDVS</t>
  </si>
  <si>
    <t>5/19/2020</t>
  </si>
  <si>
    <t>II10-1105</t>
  </si>
  <si>
    <t>AMAZON,MACY02,OVERSTOCK01,TGTDVS,ZOLA</t>
  </si>
  <si>
    <t>II10-1270</t>
  </si>
  <si>
    <t>PP001486;PF005762</t>
  </si>
  <si>
    <t>8/23/2022</t>
  </si>
  <si>
    <t>MACY02,OLLIIX,OVERSTOCK01,TGTDVS,ZOLA</t>
  </si>
  <si>
    <t>10/3/2022</t>
  </si>
  <si>
    <t>10/19/2022</t>
  </si>
  <si>
    <t>II10-1271</t>
  </si>
  <si>
    <t>AMAZONDS,MACY02,TGTDVS</t>
  </si>
  <si>
    <t>11/7/2022</t>
  </si>
  <si>
    <t>II10-1149</t>
  </si>
  <si>
    <t>Close-out</t>
  </si>
  <si>
    <t>PP001486;PF005293</t>
  </si>
  <si>
    <t>Solid</t>
  </si>
  <si>
    <t>Farmhouse</t>
  </si>
  <si>
    <t>1/19/2021</t>
  </si>
  <si>
    <t>AMAZON,CSNSTORES,HHGLOBALTTS,MACY02,OLLIIX</t>
  </si>
  <si>
    <t>2/10/2021</t>
  </si>
  <si>
    <t>2/16/2021</t>
  </si>
  <si>
    <t>II10-1150</t>
  </si>
  <si>
    <t>KOHLDSN,MACY02</t>
  </si>
  <si>
    <t>3/5/2021</t>
  </si>
  <si>
    <t>II10-1266</t>
  </si>
  <si>
    <t>PP001486;PF005761</t>
  </si>
  <si>
    <t>10/18/2022</t>
  </si>
  <si>
    <t>II10-1267</t>
  </si>
  <si>
    <t>AMAZONDS,AMERSIGNDS</t>
  </si>
  <si>
    <t>11/9/2022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</si>
  <si>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</si>
  <si>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</si>
  <si>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</si>
  <si>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</si>
  <si>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</si>
  <si>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</si>
  <si>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</si>
  <si>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1/6/2025</t>
  </si>
  <si>
    <t>AMAZON,CSNSTORES,JCPENNEY01,MACY02,TGTDVS</t>
  </si>
  <si>
    <t>3/27/2024</t>
  </si>
  <si>
    <t>II10-1312</t>
  </si>
  <si>
    <t>AMERSIGNDS,JCPENNEY01,KOHLDSN,MACY02,TGTDVS</t>
  </si>
  <si>
    <t>3/14/2024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</si>
  <si>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</si>
  <si>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</si>
  <si>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</si>
  <si>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</si>
  <si>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</si>
  <si>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</si>
  <si>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</si>
  <si>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BOHO</t>
  </si>
  <si>
    <t>2/27/2019</t>
  </si>
  <si>
    <t>2/13/2025</t>
  </si>
  <si>
    <t>AMAZON,MACY02,OLLIIX,OVERSTOCK01</t>
  </si>
  <si>
    <t>7/29/2019</t>
  </si>
  <si>
    <t>8/20/2019</t>
  </si>
  <si>
    <t>II10-1057</t>
  </si>
  <si>
    <t>3/5/2025</t>
  </si>
  <si>
    <t>AMAZON,CSNSTORES,KIRKLANDDS,KOHLDSN,MACY02,OVERSTOCK01,TGTDVS</t>
  </si>
  <si>
    <t>9/3/2019</t>
  </si>
  <si>
    <t>II10-1130</t>
  </si>
  <si>
    <t>Black/White</t>
  </si>
  <si>
    <t>PP001095;PF005261</t>
  </si>
  <si>
    <t>12/17/2020</t>
  </si>
  <si>
    <t>AMAZON,KOHLDSN,OVERSTOCK01</t>
  </si>
  <si>
    <t>12/31/2020</t>
  </si>
  <si>
    <t>1/5/2021</t>
  </si>
  <si>
    <t>II10-1131</t>
  </si>
  <si>
    <t>AMAZON,CSNSTORES,MACY02,TGTDVS,ZOLA</t>
  </si>
  <si>
    <t>1/7/2021</t>
  </si>
  <si>
    <t>II10-1038</t>
  </si>
  <si>
    <t>Rhea</t>
  </si>
  <si>
    <t>Cotton Jacquard Comforter Mini Set</t>
  </si>
  <si>
    <t>Ivory/Charcoal</t>
  </si>
  <si>
    <t>PF004418;PP001731</t>
  </si>
  <si>
    <t>8/30/2018</t>
  </si>
  <si>
    <t>2/17/2025</t>
  </si>
  <si>
    <t>AMAZON,JCPENNEY01,MACY02</t>
  </si>
  <si>
    <t>9/20/2018</t>
  </si>
  <si>
    <t>10/2/2018</t>
  </si>
  <si>
    <t>II10-1039</t>
  </si>
  <si>
    <t>FINGERHUTDS,JCPENNEY01,MACY02,OLLIIX,TGTDVS</t>
  </si>
  <si>
    <t>10/11/2018</t>
  </si>
  <si>
    <t>II10-1100</t>
  </si>
  <si>
    <t>Grey/Black</t>
  </si>
  <si>
    <t>PF005086;PP001731</t>
  </si>
  <si>
    <t>3/9/2020</t>
  </si>
  <si>
    <t>AMAZON,MACY02</t>
  </si>
  <si>
    <t>8/27/2020</t>
  </si>
  <si>
    <t>II10-1101</t>
  </si>
  <si>
    <t>AMAZON,JCPENNEY01,MACY02,OVERSTOCK01</t>
  </si>
  <si>
    <t>II10-1113</t>
  </si>
  <si>
    <t>Arizona</t>
  </si>
  <si>
    <t>3 Piece Cotton Comforter Set</t>
  </si>
  <si>
    <t>Yellow</t>
  </si>
  <si>
    <t>PP001500;PF005109</t>
  </si>
  <si>
    <t>10/3/2020</t>
  </si>
  <si>
    <t>OVERSTOCK01,TGTDVS</t>
  </si>
  <si>
    <t>II10-1069</t>
  </si>
  <si>
    <t>Ellipse</t>
  </si>
  <si>
    <t>Cotton Jacquard Comforter Set</t>
  </si>
  <si>
    <t>PP001094;PF004766</t>
  </si>
  <si>
    <t>8/29/2019</t>
  </si>
  <si>
    <t>CSNSTORES,JCPENNEY01,MACY02,OVERSTOCK01,TGTDVS</t>
  </si>
  <si>
    <t>10/27/2019</t>
  </si>
  <si>
    <t>II10-1070</t>
  </si>
  <si>
    <t>8/28/2019</t>
  </si>
  <si>
    <t>BLK01,CSNSTORES,JCPENNEY01,MACY02,OVERSTOCK01</t>
  </si>
  <si>
    <t>11/5/2019</t>
  </si>
  <si>
    <t>II10-1052</t>
  </si>
  <si>
    <t>PP001094;PF004582</t>
  </si>
  <si>
    <t>3/1/2019</t>
  </si>
  <si>
    <t>CSNSTORES,MACY02,OLLIIX,OVERSTOCK01,TGTDVS</t>
  </si>
  <si>
    <t>8/13/2019</t>
  </si>
  <si>
    <t>8/31/2019</t>
  </si>
  <si>
    <t>II10-1053</t>
  </si>
  <si>
    <t>CSNSTORES,MACY02,OVERSTOCK01</t>
  </si>
  <si>
    <t>9/1/2019</t>
  </si>
  <si>
    <t>II10-1116</t>
  </si>
  <si>
    <t>Cody</t>
  </si>
  <si>
    <t>Gray/Yellow</t>
  </si>
  <si>
    <t>PP001505;PF005117</t>
  </si>
  <si>
    <t>10/21/2020</t>
  </si>
  <si>
    <t>AMAZON,CSNSTORES,OVERSTOCK01,TGTDVS</t>
  </si>
  <si>
    <t>II10-1117</t>
  </si>
  <si>
    <t>CSNSTORES,OVERSTOCK01,TGTDVS</t>
  </si>
  <si>
    <t>1/21/2021</t>
  </si>
  <si>
    <t>II10-1260</t>
  </si>
  <si>
    <t>Gray/Navy</t>
  </si>
  <si>
    <t>PP001505;PF005755</t>
  </si>
  <si>
    <t>8/3/2022</t>
  </si>
  <si>
    <t>AMAZONDS,CSNSTORES,HHGLOBALTTS,OLLIIX,OVERSTOCK01</t>
  </si>
  <si>
    <t>II10-1261</t>
  </si>
  <si>
    <t>ASHFURNDS,HHGLOBALTTS,MACY02,NRTPORT,OVERSTOCK01</t>
  </si>
  <si>
    <t>11/16/2022</t>
  </si>
  <si>
    <t>II10-1324</t>
  </si>
  <si>
    <t>Shay</t>
  </si>
  <si>
    <t>3 Piece Striped Cotton Comforter Set</t>
  </si>
  <si>
    <t>PP001961;PF006246</t>
  </si>
  <si>
    <t>6/4/2024</t>
  </si>
  <si>
    <t>1/13/2025</t>
  </si>
  <si>
    <t>JCPENNEY01,MACY02</t>
  </si>
  <si>
    <t>6/5/2024</t>
  </si>
  <si>
    <t>7/25/2024</t>
  </si>
  <si>
    <t>II10-1325</t>
  </si>
  <si>
    <t>7/15/2024</t>
  </si>
  <si>
    <t>II10-1320</t>
  </si>
  <si>
    <t>Sage</t>
  </si>
  <si>
    <t>PP001961;PF006245</t>
  </si>
  <si>
    <t>3/12/2025</t>
  </si>
  <si>
    <t>JCPENNEY01,MACY02,OLLIIX</t>
  </si>
  <si>
    <t>7/2/2024</t>
  </si>
  <si>
    <t>II10-1321</t>
  </si>
  <si>
    <t>AMAZON,AMAZONDS,CSNSTORES,JCPENNEY01,OLLIIX,OVERSTOCK01</t>
  </si>
  <si>
    <t>6/12/2024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</si>
  <si>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</si>
  <si>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</si>
  <si>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</si>
  <si>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</si>
  <si>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</si>
  <si>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</si>
  <si>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</si>
  <si>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MACY02</t>
  </si>
  <si>
    <t>10/3/2018</t>
  </si>
  <si>
    <t>II10-1331</t>
  </si>
  <si>
    <t>Cairo</t>
  </si>
  <si>
    <t>PF006275;PP001968</t>
  </si>
  <si>
    <t>Plaid</t>
  </si>
  <si>
    <t>7/24/2024</t>
  </si>
  <si>
    <t>7/30/2024</t>
  </si>
  <si>
    <t>8/7/2024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</si>
  <si>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</si>
  <si>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</si>
  <si>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</si>
  <si>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</si>
  <si>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</si>
  <si>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</si>
  <si>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</si>
  <si>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</t>
  </si>
  <si>
    <t>8/6/2020</t>
  </si>
  <si>
    <t>II10-800</t>
  </si>
  <si>
    <t>Masie</t>
  </si>
  <si>
    <t>3 Piece Elastic Embroidered Cotton Comforter Set</t>
  </si>
  <si>
    <t>PF001680;PP000451</t>
  </si>
  <si>
    <t>Transitional</t>
  </si>
  <si>
    <t>AMAZON</t>
  </si>
  <si>
    <t>8/21/2019</t>
  </si>
  <si>
    <t>II10-1214</t>
  </si>
  <si>
    <t>Serena</t>
  </si>
  <si>
    <t>3 Piece Cotton Printed Comforter Set w/ trims</t>
  </si>
  <si>
    <t>PP001725;PF005641</t>
  </si>
  <si>
    <t>Mid-Century</t>
  </si>
  <si>
    <t>11/17/2021</t>
  </si>
  <si>
    <t>JCPENNEY01</t>
  </si>
  <si>
    <t>12/30/2021</t>
  </si>
  <si>
    <t>2/10/2022</t>
  </si>
  <si>
    <t>II10-1215</t>
  </si>
  <si>
    <t>1/26/2022</t>
  </si>
  <si>
    <t>II10-047</t>
  </si>
  <si>
    <t>Comforter (Set)</t>
  </si>
  <si>
    <t>Sutton</t>
  </si>
  <si>
    <t>Cotton Seersucker Comfoter Set</t>
  </si>
  <si>
    <t>Blue</t>
  </si>
  <si>
    <t>PF001590</t>
  </si>
  <si>
    <t>Casual|Mid-Century</t>
  </si>
  <si>
    <t>KOHLDSN,OLLIIX,TGTDVS</t>
  </si>
  <si>
    <t>10/17/2018</t>
  </si>
  <si>
    <t>II10-048</t>
  </si>
  <si>
    <t>King</t>
  </si>
  <si>
    <t>BEALLSDS,KOHLDSN,TGTDVS</t>
  </si>
  <si>
    <t>10/16/2018</t>
  </si>
  <si>
    <t>II12-1118</t>
  </si>
  <si>
    <t>DUVET&amp;DUVET SET</t>
  </si>
  <si>
    <t>Duvet Mini Set</t>
  </si>
  <si>
    <t>3 Piece Cotton Duvet Cover Set</t>
  </si>
  <si>
    <t>CSNSTORES,DESINC,OLLIIX,TGTDVS</t>
  </si>
  <si>
    <t>1/11/2021</t>
  </si>
  <si>
    <t>II12-1119</t>
  </si>
  <si>
    <t>AMAZON,NRTPORT,TGTDVS</t>
  </si>
  <si>
    <t>1/1/2021</t>
  </si>
  <si>
    <t>1/20/2021</t>
  </si>
  <si>
    <t>II12-1262</t>
  </si>
  <si>
    <t>AMAZON,OVERSTOCK01,TGTDVS</t>
  </si>
  <si>
    <t>II12-1058</t>
  </si>
  <si>
    <t>Cotton Printed Duvet Cover Set with Trims</t>
  </si>
  <si>
    <t>BLK01,CSNSTORES,MACY02,TGTDVS</t>
  </si>
  <si>
    <t>II12-1059</t>
  </si>
  <si>
    <t>AMAZON,CSNSTORES,TGTDVS</t>
  </si>
  <si>
    <t>II12-1132</t>
  </si>
  <si>
    <t>II12-1133</t>
  </si>
  <si>
    <t>1/8/2021</t>
  </si>
  <si>
    <t>II12-1110</t>
  </si>
  <si>
    <t>3 Piece Flax and Cotton Blended Duvet Cover Set</t>
  </si>
  <si>
    <t>7/31/2020</t>
  </si>
  <si>
    <t>AMAZONDS,OLLIIX,TGTDVS,ZOLA</t>
  </si>
  <si>
    <t>8/5/2020</t>
  </si>
  <si>
    <t>II12-1063</t>
  </si>
  <si>
    <t>3 Piece Cotton Duvet Cover Set with Chenille Tufting</t>
  </si>
  <si>
    <t>II12-1064</t>
  </si>
  <si>
    <t>CSNSTORES,MACY02,OVERSTOCK01,TGTDVS</t>
  </si>
  <si>
    <t>II12-1126</t>
  </si>
  <si>
    <t>9/30/2020</t>
  </si>
  <si>
    <t>10/20/2020</t>
  </si>
  <si>
    <t>II12-1127</t>
  </si>
  <si>
    <t>JCPENNEY01,MACY02,OVERSTOCK01</t>
  </si>
  <si>
    <t>10/14/2020</t>
  </si>
  <si>
    <t>II12-1317</t>
  </si>
  <si>
    <t>Farm House</t>
  </si>
  <si>
    <t>CSNSTORES,MACY02</t>
  </si>
  <si>
    <t>5/21/2024</t>
  </si>
  <si>
    <t>II12-1318</t>
  </si>
  <si>
    <t>KOHLDSN,OVERSTOCK01</t>
  </si>
  <si>
    <t>II12-1250</t>
  </si>
  <si>
    <t>MACY02,OVERSTOCK01</t>
  </si>
  <si>
    <t>6/1/2022</t>
  </si>
  <si>
    <t>II12-1251</t>
  </si>
  <si>
    <t>6/2/2022</t>
  </si>
  <si>
    <t>II12-1326</t>
  </si>
  <si>
    <t>3 Piece Striped Cotton Duvet Cover Set</t>
  </si>
  <si>
    <t>6/21/2024</t>
  </si>
  <si>
    <t>II12-1327</t>
  </si>
  <si>
    <t>MACY02,TGTDVS</t>
  </si>
  <si>
    <t>II12-1322</t>
  </si>
  <si>
    <t>OLLIIX,OVERSTOCK01,TGTDVS</t>
  </si>
  <si>
    <t>7/3/2024</t>
  </si>
  <si>
    <t>II12-1323</t>
  </si>
  <si>
    <t>JCPENNEY01,OLLIIX</t>
  </si>
  <si>
    <t>6/18/2024</t>
  </si>
  <si>
    <t>II12-1313</t>
  </si>
  <si>
    <t>3 Piece Cotton Blend Chenille Duvet Cover Set</t>
  </si>
  <si>
    <t>CSNSTORES,MACY02,TGTDVS</t>
  </si>
  <si>
    <t>3/29/2024</t>
  </si>
  <si>
    <t>II12-1314</t>
  </si>
  <si>
    <t>5/19/2025</t>
  </si>
  <si>
    <t>3/7/2024</t>
  </si>
  <si>
    <t>II12-1096</t>
  </si>
  <si>
    <t>Cotton Printed Duvet Cover Set with Chenille</t>
  </si>
  <si>
    <t>ASHFURNDS,TGTDVS</t>
  </si>
  <si>
    <t>6/1/2020</t>
  </si>
  <si>
    <t>II12-1092</t>
  </si>
  <si>
    <t>1/7/2025</t>
  </si>
  <si>
    <t>AMAZON,KOHLDSN,MACY02,OVERSTOCK01</t>
  </si>
  <si>
    <t>II12-1348</t>
  </si>
  <si>
    <t>II12-1349</t>
  </si>
  <si>
    <t>II12-1216</t>
  </si>
  <si>
    <t>3 Piece Cotton Printed Duvet Cover Set w/ trims</t>
  </si>
  <si>
    <t>1/19/2022</t>
  </si>
  <si>
    <t>II12-1217</t>
  </si>
  <si>
    <t>3/2/2022</t>
  </si>
  <si>
    <t>II12-598</t>
  </si>
  <si>
    <t>3 Piece Elastic Embroidered Cotton Duvet Cover Set</t>
  </si>
  <si>
    <t>White</t>
  </si>
  <si>
    <t>PF001679;PP000451</t>
  </si>
  <si>
    <t>9/11/2019</t>
  </si>
  <si>
    <t>II12-1102</t>
  </si>
  <si>
    <t>Cotton Jacquard Duvet Cover Mini Set</t>
  </si>
  <si>
    <t>II12-1103</t>
  </si>
  <si>
    <t>II12-783</t>
  </si>
  <si>
    <t>3 Piece Duvet Cover Mini Set</t>
  </si>
  <si>
    <t>AMAZON,AMAZONDS,JCPENNEY01,KOHLDSN,NRTPORT,OVERSTOCK01</t>
  </si>
  <si>
    <t>II12-784</t>
  </si>
  <si>
    <t>AMAZON,OVERSTOCK01</t>
  </si>
  <si>
    <t>10/12/2018</t>
  </si>
  <si>
    <t>II12-554</t>
  </si>
  <si>
    <t>PF001636;PP000371</t>
  </si>
  <si>
    <t>CSNSTORES,KOHLDSN,MACY02</t>
  </si>
  <si>
    <t>10/1/2018</t>
  </si>
  <si>
    <t>II12-787</t>
  </si>
  <si>
    <t>PF001638;PP000371</t>
  </si>
  <si>
    <t>CSNSTORES</t>
  </si>
  <si>
    <t>II12-1333</t>
  </si>
  <si>
    <t>3 Piece Cotton Jacquard Duvet Set</t>
  </si>
  <si>
    <t>8/27/2024</t>
  </si>
  <si>
    <t>II12-1054</t>
  </si>
  <si>
    <t>Cotton Jacquard Duvet Cover Set</t>
  </si>
  <si>
    <t>MACY02,OLLIIX,OVERSTOCK01</t>
  </si>
  <si>
    <t>8/19/2019</t>
  </si>
  <si>
    <t>II12-1055</t>
  </si>
  <si>
    <t>II12-1071</t>
  </si>
  <si>
    <t>II12-1072</t>
  </si>
  <si>
    <t>CSNSTORES,JCPENNEY01,OVERSTOCK01</t>
  </si>
  <si>
    <t>II12-1163</t>
  </si>
  <si>
    <t>Hayes</t>
  </si>
  <si>
    <t>Chenille 3 Piece Cotton Duvet Cover Set</t>
  </si>
  <si>
    <t>PP001587;PF005332</t>
  </si>
  <si>
    <t>4/1/2021</t>
  </si>
  <si>
    <t>5/4/2021</t>
  </si>
  <si>
    <t>5/12/2021</t>
  </si>
  <si>
    <t>II12-1106</t>
  </si>
  <si>
    <t>3 Piece Cotton Jacquard Duvet Cover Set</t>
  </si>
  <si>
    <t>II12-1152</t>
  </si>
  <si>
    <t>1/26/2021</t>
  </si>
  <si>
    <t>OLLIIX</t>
  </si>
  <si>
    <t>3/15/2021</t>
  </si>
  <si>
    <t>II12-1272</t>
  </si>
  <si>
    <t>AMAZONDS,OLLIIX</t>
  </si>
  <si>
    <t>10/24/2022</t>
  </si>
  <si>
    <t>II12-1273</t>
  </si>
  <si>
    <t>11/2/2022</t>
  </si>
  <si>
    <t>II12-1268</t>
  </si>
  <si>
    <t>11/4/2022</t>
  </si>
  <si>
    <t>II12-1269</t>
  </si>
  <si>
    <t>11/30/2022</t>
  </si>
  <si>
    <t>II12-933</t>
  </si>
  <si>
    <t>Duvet&amp;Duvet Set</t>
  </si>
  <si>
    <t>Cotton Duvet Cover Mini Set</t>
  </si>
  <si>
    <t>C+</t>
  </si>
  <si>
    <t>PP000342</t>
  </si>
  <si>
    <t>Ikat</t>
  </si>
  <si>
    <t>10/18/2017</t>
  </si>
  <si>
    <t>10/15/2018</t>
  </si>
  <si>
    <t>II13-1043</t>
  </si>
  <si>
    <t>COVERLET&amp;BEDSPR</t>
  </si>
  <si>
    <t>Coverlet &amp; Bedspread</t>
  </si>
  <si>
    <t>3 Piece Printed Cotton Quilt Set</t>
  </si>
  <si>
    <t>Farm House|Transitional</t>
  </si>
  <si>
    <t>11/18/2018</t>
  </si>
  <si>
    <t>AMAZON,JCPENNEY01,OVERSTOCK01,TGTDVS</t>
  </si>
  <si>
    <t>9/21/2019</t>
  </si>
  <si>
    <t>II13-615</t>
  </si>
  <si>
    <t>Kandula</t>
  </si>
  <si>
    <t>3 Piece Reversible Cotton Quilt Set</t>
  </si>
  <si>
    <t>PF001682</t>
  </si>
  <si>
    <t>AMAZON,CSNSTORES,MACY02,OVERSTOCK01,TGTDVS</t>
  </si>
  <si>
    <t>II13-611</t>
  </si>
  <si>
    <t>Coral</t>
  </si>
  <si>
    <t>PF001681</t>
  </si>
  <si>
    <t>AMAZON,CSNSTORES</t>
  </si>
  <si>
    <t>II13-1201</t>
  </si>
  <si>
    <t>Pomona</t>
  </si>
  <si>
    <t>3 Piece Embroidered Cotton Quilt Set</t>
  </si>
  <si>
    <t>Black</t>
  </si>
  <si>
    <t>PP000486;PF005524</t>
  </si>
  <si>
    <t>9/1/2021</t>
  </si>
  <si>
    <t>10/8/2021</t>
  </si>
  <si>
    <t>12/6/2021</t>
  </si>
  <si>
    <t>II13-1202</t>
  </si>
  <si>
    <t>12/3/2021</t>
  </si>
  <si>
    <t>II13-564</t>
  </si>
  <si>
    <t>PF001639;PP000486</t>
  </si>
  <si>
    <t>10/8/2018</t>
  </si>
  <si>
    <t>II13-1246</t>
  </si>
  <si>
    <t>Salar</t>
  </si>
  <si>
    <t>3 Piece Printed Cotton Quilt Set with Trims</t>
  </si>
  <si>
    <t>PP001746;PF005675</t>
  </si>
  <si>
    <t>8/16/2022</t>
  </si>
  <si>
    <t>12/13/2022</t>
  </si>
  <si>
    <t>II13-1247</t>
  </si>
  <si>
    <t>ASHFURNDS,HHGLOBALTTS,JCPENNEY01</t>
  </si>
  <si>
    <t>11/14/2022</t>
  </si>
  <si>
    <t>II30-1078</t>
  </si>
  <si>
    <t>NORMAL PILLOW</t>
  </si>
  <si>
    <t>Other Pillows</t>
  </si>
  <si>
    <t>Riko</t>
  </si>
  <si>
    <t>Cotton Embroidered Square Pillow</t>
  </si>
  <si>
    <t>20x20"</t>
  </si>
  <si>
    <t>PP001094;PP001321;PP001341;PF004816</t>
  </si>
  <si>
    <t>1</t>
  </si>
  <si>
    <t>8/15/2019</t>
  </si>
  <si>
    <t>12/2/2019</t>
  </si>
  <si>
    <t>12/5/2019</t>
  </si>
  <si>
    <t>II30-998</t>
  </si>
  <si>
    <t>Bea</t>
  </si>
  <si>
    <t>Embroidered Cotton Oblong Pillow with Tassels</t>
  </si>
  <si>
    <t>Oblong</t>
  </si>
  <si>
    <t>1/6/2018</t>
  </si>
  <si>
    <t>AMAZON,ASHFURNDS,MACY02,TGTDVS</t>
  </si>
  <si>
    <t>9/28/2018</t>
  </si>
  <si>
    <t>10/4/2018</t>
  </si>
  <si>
    <t>II30-1086</t>
  </si>
  <si>
    <t>Daria</t>
  </si>
  <si>
    <t>Cotton Oblong Pillow</t>
  </si>
  <si>
    <t>PP001463</t>
  </si>
  <si>
    <t>2/18/2020</t>
  </si>
  <si>
    <t>5/29/2020</t>
  </si>
  <si>
    <t>6/2/2020</t>
  </si>
  <si>
    <t>II30-221</t>
  </si>
  <si>
    <t>Cario</t>
  </si>
  <si>
    <t>Embroidered Square Pillow</t>
  </si>
  <si>
    <t>18x18"</t>
  </si>
  <si>
    <t>PF003342;PP000371;PP000454;PP000478</t>
  </si>
  <si>
    <t>MACY02,OLLIIX</t>
  </si>
  <si>
    <t>10/19/2018</t>
  </si>
  <si>
    <t>II30-549</t>
  </si>
  <si>
    <t>Fleur</t>
  </si>
  <si>
    <t>PF003356;PP000486</t>
  </si>
  <si>
    <t>Medallion</t>
  </si>
  <si>
    <t>Global Inspired|Mid-Century</t>
  </si>
  <si>
    <t>AMAZONDS,CSNSTORES,MACY02</t>
  </si>
  <si>
    <t>II30-1085</t>
  </si>
  <si>
    <t>Kerala</t>
  </si>
  <si>
    <t>Cotton Square Pillow</t>
  </si>
  <si>
    <t>PP001462</t>
  </si>
  <si>
    <t>AMAZONDS,MACY02,OLLIIX</t>
  </si>
  <si>
    <t>6/4/2020</t>
  </si>
  <si>
    <t>II30-609</t>
  </si>
  <si>
    <t>Sofia</t>
  </si>
  <si>
    <t>Cotton Embroidered Decorative Square Pillow</t>
  </si>
  <si>
    <t>Grey</t>
  </si>
  <si>
    <t>PF003362;PP000451;PP000464;PF005628</t>
  </si>
  <si>
    <t>ASHFURNDS,CSNSTORES,MACY02,OLLIIX</t>
  </si>
  <si>
    <t>II11-600</t>
  </si>
  <si>
    <t>BED SKIRT&amp;SHAM</t>
  </si>
  <si>
    <t>Sham</t>
  </si>
  <si>
    <t>Jane</t>
  </si>
  <si>
    <t>Embroidered Euro Sham</t>
  </si>
  <si>
    <t>Euro Sham</t>
  </si>
  <si>
    <t>II11-930</t>
  </si>
  <si>
    <t>Camila</t>
  </si>
  <si>
    <t>Cotton Quilted Euro Sham</t>
  </si>
  <si>
    <t>PP000362</t>
  </si>
  <si>
    <t>Glam/Luxury</t>
  </si>
  <si>
    <t>9/15/2017</t>
  </si>
  <si>
    <t>BLK01,CSNSTORES,MACY02</t>
  </si>
  <si>
    <t>10/9/2018</t>
  </si>
  <si>
    <t>II11-550</t>
  </si>
  <si>
    <t>Isla</t>
  </si>
  <si>
    <t>Cotton Embroidered Euro Sham</t>
  </si>
  <si>
    <t>PF003356;PP000371;PP000486</t>
  </si>
  <si>
    <t>Border</t>
  </si>
  <si>
    <t>Vintage/Shabby Chic</t>
  </si>
  <si>
    <t>ASHFURNDS,BLK01,MACY02</t>
  </si>
  <si>
    <t>II95C-0160</t>
  </si>
  <si>
    <t>ART</t>
  </si>
  <si>
    <t>CANVAS</t>
  </si>
  <si>
    <t>Framed Graphics</t>
  </si>
  <si>
    <t>Neutral Stones</t>
  </si>
  <si>
    <t>Figural 2-piece Framed Canvas Wall Art Set</t>
  </si>
  <si>
    <t>See below</t>
  </si>
  <si>
    <t>2</t>
  </si>
  <si>
    <t>Figurative</t>
  </si>
  <si>
    <t>10/21/2023</t>
  </si>
  <si>
    <t>5/7/2024</t>
  </si>
  <si>
    <t>10/29/2024</t>
  </si>
  <si>
    <t>MT95C-0036A</t>
  </si>
  <si>
    <t>Blue Drift</t>
  </si>
  <si>
    <t>Abstract 5-piece Gallery Framed Canvas Wall Art Set</t>
  </si>
  <si>
    <t>Multi</t>
  </si>
  <si>
    <t>PF005355</t>
  </si>
  <si>
    <t>5</t>
  </si>
  <si>
    <t>Abstract</t>
  </si>
  <si>
    <t>MT Perry Street</t>
  </si>
  <si>
    <t>1/31/2025</t>
  </si>
  <si>
    <t>AMAZONDS,KIRKLANDDS,OVERSTOCK01,ROOMECOM</t>
  </si>
  <si>
    <t>7/8/2022</t>
  </si>
  <si>
    <t>II95C-0157</t>
  </si>
  <si>
    <t>Derby</t>
  </si>
  <si>
    <t>Hand Embellished Horse Framed Canvas Wall Art</t>
  </si>
  <si>
    <t>Lodge/Cabin</t>
  </si>
  <si>
    <t>10/6/2023</t>
  </si>
  <si>
    <t>KOHLDSN,OLLIIX</t>
  </si>
  <si>
    <t>II95C-0161</t>
  </si>
  <si>
    <t>Jeweled Geo</t>
  </si>
  <si>
    <t>Hand-Embellished Abstract 2-Piece Framed Canvas Wall Art Set</t>
  </si>
  <si>
    <t>11/28/2023</t>
  </si>
  <si>
    <t>MACY02,ROOMECOM</t>
  </si>
  <si>
    <t>9/5/2024</t>
  </si>
  <si>
    <t>II95C-0154</t>
  </si>
  <si>
    <t>Canvas</t>
  </si>
  <si>
    <t>Botanical Waterfall</t>
  </si>
  <si>
    <t>Eucalyptus 2-piece Framed Canvas Wall Decor Set</t>
  </si>
  <si>
    <t>Green</t>
  </si>
  <si>
    <t>6/1/2023</t>
  </si>
  <si>
    <t>DESINC,KIRKLANDDS,KOHLDSN,MACY02,OLLIIX,OVERSTOCK01</t>
  </si>
  <si>
    <t>8/25/2023</t>
  </si>
  <si>
    <t>9/11/2023</t>
  </si>
  <si>
    <t>II95C-0142</t>
  </si>
  <si>
    <t>Celestial Orbit Navy</t>
  </si>
  <si>
    <t>Silver Foil Abstract 2-piece Canvas Wall Art Set</t>
  </si>
  <si>
    <t>PP000800</t>
  </si>
  <si>
    <t>AMERSIGNDS,ASHFURNDS</t>
  </si>
  <si>
    <t>5/2/2018</t>
  </si>
  <si>
    <t>6/21/2018</t>
  </si>
  <si>
    <t>II95C-0150</t>
  </si>
  <si>
    <t>Desert Serenity</t>
  </si>
  <si>
    <t>Hand Embellished Abstract 2-piece Framed Canvas Wall Art Set</t>
  </si>
  <si>
    <t>PP001871</t>
  </si>
  <si>
    <t>4/13/2023</t>
  </si>
  <si>
    <t>II95C-0061</t>
  </si>
  <si>
    <t>Rolling Waves</t>
  </si>
  <si>
    <t>Triptych 3-piece Canvas Wall Art Set</t>
  </si>
  <si>
    <t>B-</t>
  </si>
  <si>
    <t>PF001917</t>
  </si>
  <si>
    <t>KIRKLANDDS,OLLIIX,ROOMECOM</t>
  </si>
  <si>
    <t>11/21/2016</t>
  </si>
  <si>
    <t>12/8/2016</t>
  </si>
  <si>
    <t>II95C-0151</t>
  </si>
  <si>
    <t>Silver Sand</t>
  </si>
  <si>
    <t>Hand Embellished Abstract 3-piece Canvas Wall Art Set</t>
  </si>
  <si>
    <t>Silver</t>
  </si>
  <si>
    <t>PP001870</t>
  </si>
  <si>
    <t>II95C-0072</t>
  </si>
  <si>
    <t>Two Black Dominos</t>
  </si>
  <si>
    <t>2-piece Canvas Wall Art Set</t>
  </si>
  <si>
    <t>PF001935</t>
  </si>
  <si>
    <t>Still Life</t>
  </si>
  <si>
    <t>Industrial</t>
  </si>
  <si>
    <t>2/26/2025</t>
  </si>
  <si>
    <t>AMAZON,ASHFURNDS,KIRKLANDDS,OLLIIX</t>
  </si>
  <si>
    <t>11/14/2016</t>
  </si>
  <si>
    <t>1/6/2017</t>
  </si>
  <si>
    <t>II95C-0158</t>
  </si>
  <si>
    <t>Windswept</t>
  </si>
  <si>
    <t>Hand Embellished Highland Bull Canvas Wall Art</t>
  </si>
  <si>
    <t>Brown</t>
  </si>
  <si>
    <t>Cottage/Country</t>
  </si>
  <si>
    <t>5/22/2024</t>
  </si>
  <si>
    <t>II95F-0155</t>
  </si>
  <si>
    <t>DEC. MIRROR</t>
  </si>
  <si>
    <t>Decor Mirror</t>
  </si>
  <si>
    <t>Nova</t>
  </si>
  <si>
    <t>Natural Rattan Rectangle Wall Mirror</t>
  </si>
  <si>
    <t>Coastal</t>
  </si>
  <si>
    <t>8/29/2023</t>
  </si>
  <si>
    <t>CSNSTORES,HDDS,KIRKLANDDS,MACY02,OVERSTOCK01,TGTDVS</t>
  </si>
  <si>
    <t>8/28/2023</t>
  </si>
  <si>
    <t>9/5/2023</t>
  </si>
  <si>
    <t>II95B-0152</t>
  </si>
  <si>
    <t>AWD</t>
  </si>
  <si>
    <t>Awd</t>
  </si>
  <si>
    <t>Henna</t>
  </si>
  <si>
    <t>Framed Medallion Rice Paper Shadow Box Wall Decor</t>
  </si>
  <si>
    <t>Off-White</t>
  </si>
  <si>
    <t>PP001873</t>
  </si>
  <si>
    <t>6/6/2023</t>
  </si>
  <si>
    <t>AMAZON,KIRKLANDDS</t>
  </si>
  <si>
    <t>10/24/2023</t>
  </si>
  <si>
    <t>MT95B-0065</t>
  </si>
  <si>
    <t>Indigo Shells</t>
  </si>
  <si>
    <t>Framed Sea Urchin Shadow Box Wall Decor</t>
  </si>
  <si>
    <t>PP001690</t>
  </si>
  <si>
    <t>11/22/2021</t>
  </si>
  <si>
    <t>2/15/2025</t>
  </si>
  <si>
    <t>2/2/2023</t>
  </si>
  <si>
    <t>II95B-0159</t>
  </si>
  <si>
    <t>Wall Decor</t>
  </si>
  <si>
    <t>Paths Collide</t>
  </si>
  <si>
    <t>Textured Framed Carved Resin Dimensional Wall Décor</t>
  </si>
  <si>
    <t>10/30/2024</t>
  </si>
  <si>
    <t>II167-907</t>
  </si>
  <si>
    <t>Ranger</t>
  </si>
  <si>
    <t>Layered Triangles Wood Wall Decor</t>
  </si>
  <si>
    <t>PF003047</t>
  </si>
  <si>
    <t>8/2/2017</t>
  </si>
  <si>
    <t>LAMPDS</t>
  </si>
  <si>
    <t>11/29/2020</t>
  </si>
  <si>
    <t>12/4/2020</t>
  </si>
  <si>
    <t>II167-905</t>
  </si>
  <si>
    <t>Savoy</t>
  </si>
  <si>
    <t>Distressed Black Metal Wall Decor</t>
  </si>
  <si>
    <t>PF003045</t>
  </si>
  <si>
    <t>AMAZON,AMAZONDS,KIRKLANDDS,OLLIIX</t>
  </si>
  <si>
    <t>IIF22-0039</t>
  </si>
  <si>
    <t>Topi</t>
  </si>
  <si>
    <t>Natural Wood Slice Mosaic Wall Decor</t>
  </si>
  <si>
    <t>PF000990;PP000059</t>
  </si>
  <si>
    <t>5/11/2017</t>
  </si>
  <si>
    <t>CSNSTORES,OLLIIX</t>
  </si>
  <si>
    <t>5/11/2018</t>
  </si>
  <si>
    <t>II95G-0156</t>
  </si>
  <si>
    <t>FRAMED GRAPHICS</t>
  </si>
  <si>
    <t>Dreaming</t>
  </si>
  <si>
    <t>Abstract Landscape Diptych 2-Piece Framed Glass Wall Art Set</t>
  </si>
  <si>
    <t>Blue/Multi</t>
  </si>
  <si>
    <t>JCPENNEY01,KIRKLANDDS,OLLIIX</t>
  </si>
  <si>
    <t>6/13/2024</t>
  </si>
  <si>
    <t>II72-1291</t>
  </si>
  <si>
    <t>BATH</t>
  </si>
  <si>
    <t>BATH RUG</t>
  </si>
  <si>
    <t>Bath Rug</t>
  </si>
  <si>
    <t>Asher</t>
  </si>
  <si>
    <t>Woven Texture Stripe Bath Rug</t>
  </si>
  <si>
    <t>22x58"</t>
  </si>
  <si>
    <t>PP001715;PF005630</t>
  </si>
  <si>
    <t>9/26/2023</t>
  </si>
  <si>
    <t>AMAZON,CSNSTORES,HDDS,KIRKLANDDS,MACY02,OLLIIX,OVERSTOCK01,TGTDVS</t>
  </si>
  <si>
    <t>9/27/2023</t>
  </si>
  <si>
    <t>10/3/2023</t>
  </si>
  <si>
    <t>II72-1227</t>
  </si>
  <si>
    <t>20x32"</t>
  </si>
  <si>
    <t>3/15/2022</t>
  </si>
  <si>
    <t>AMAZON,BLK01,CSNSTORES,HDDS,JCPENNEY01,KIRKLANDDS,LOWESDS,MACY02,OLLIIX,OVERSTOCK01,TGTDVS,ZOLA</t>
  </si>
  <si>
    <t>4/29/2022</t>
  </si>
  <si>
    <t>II72-1339</t>
  </si>
  <si>
    <t>PP001715;PF006277</t>
  </si>
  <si>
    <t>7/13/2024</t>
  </si>
  <si>
    <t>2/10/2025</t>
  </si>
  <si>
    <t>11/28/2024</t>
  </si>
  <si>
    <t>12/10/2024</t>
  </si>
  <si>
    <t>II72-1338</t>
  </si>
  <si>
    <t>AMAZON,BLK01,CSNSTORES,KOHLDSN,MACY02,OVERSTOCK01,TGTDVS</t>
  </si>
  <si>
    <t>II72-1290</t>
  </si>
  <si>
    <t>PP001715;PF005629</t>
  </si>
  <si>
    <t>9/23/2023</t>
  </si>
  <si>
    <t>AMAZON,CSNSTORES,HDDS,KIRKLANDDS,KOHLDSN,MACY02,NRTPORT,OLLIIX,OVERSTOCK01,TGTDVS</t>
  </si>
  <si>
    <t>10/2/2023</t>
  </si>
  <si>
    <t>II72-1226</t>
  </si>
  <si>
    <t>12/23/2021</t>
  </si>
  <si>
    <t>BLK01,CSNSTORES,HDDS,JCPENNEY01,KIRKLANDDS,LOWESDS,MACY02,NRTPORT,OLLIIX,OVERSTOCK01</t>
  </si>
  <si>
    <t>Ready To Offer</t>
  </si>
  <si>
    <t>5/4/2022</t>
  </si>
  <si>
    <t>II70-1319</t>
  </si>
  <si>
    <t>SHOWER CURTAIN</t>
  </si>
  <si>
    <t>Shower Curtain</t>
  </si>
  <si>
    <t>Cotton Printed Shower Curtain with Chenille</t>
  </si>
  <si>
    <t>72x72"</t>
  </si>
  <si>
    <t>White/Navy</t>
  </si>
  <si>
    <t>PP000428;PF005760</t>
  </si>
  <si>
    <t>5/31/2024</t>
  </si>
  <si>
    <t>AMAZONDS,CSNSTORES,JCPENNEY01,KOHLDSN,OLLIIX,OVERSTOCK01,TGTDVS</t>
  </si>
  <si>
    <t>5/30/2024</t>
  </si>
  <si>
    <t>II70-1121</t>
  </si>
  <si>
    <t>A++</t>
  </si>
  <si>
    <t>PF004112;PP001556</t>
  </si>
  <si>
    <t>AMAZON,AMAZONDS,CSNSTORES,DESINC,HDDS,JCPENNEY01,KIRKLANDDS,MACY02,OLLIIX,OVERSTOCK01,TGTDVS</t>
  </si>
  <si>
    <t>10/17/2020</t>
  </si>
  <si>
    <t>10/22/2020</t>
  </si>
  <si>
    <t>II70-1123</t>
  </si>
  <si>
    <t>PF005067;PP001556</t>
  </si>
  <si>
    <t>10/30/2020</t>
  </si>
  <si>
    <t>AMAZON,CSNSTORES,JCPENNEY01,KOHLDSN,MACY02,TGTDVS</t>
  </si>
  <si>
    <t>11/2/2020</t>
  </si>
  <si>
    <t>11/11/2020</t>
  </si>
  <si>
    <t>II70-779</t>
  </si>
  <si>
    <t>Cotton Printed Shower Curtain</t>
  </si>
  <si>
    <t>AMAZON,CSNSTORES,HDDS,JCPENNEY01,KOHLDSN,MACY02,OLLIIX,TGTDVS</t>
  </si>
  <si>
    <t>11/5/2018</t>
  </si>
  <si>
    <t>11/7/2018</t>
  </si>
  <si>
    <t>II70-541</t>
  </si>
  <si>
    <t>2/18/2025</t>
  </si>
  <si>
    <t>AMAZON,CSNSTORES,KOHLDSN,MACY02,TGTDVS</t>
  </si>
  <si>
    <t>11/9/2018</t>
  </si>
  <si>
    <t>II70-1120</t>
  </si>
  <si>
    <t>Cotton Printed Shower Curtain with Trims</t>
  </si>
  <si>
    <t>Shabby Chic</t>
  </si>
  <si>
    <t>6/30/2020</t>
  </si>
  <si>
    <t>2/24/2025</t>
  </si>
  <si>
    <t>II70-1284</t>
  </si>
  <si>
    <t>Cotton Stripe Printed Shower Curtain with Tassel</t>
  </si>
  <si>
    <t>10/13/2022</t>
  </si>
  <si>
    <t>AMAZON,CSNSTORES,JCPENNEY01</t>
  </si>
  <si>
    <t>12/30/2022</t>
  </si>
  <si>
    <t>1/18/2023</t>
  </si>
  <si>
    <t>II51-1142</t>
  </si>
  <si>
    <t>BLK</t>
  </si>
  <si>
    <t>BLANKET</t>
  </si>
  <si>
    <t>Blanket</t>
  </si>
  <si>
    <t>Bree Knit</t>
  </si>
  <si>
    <t>Twin</t>
  </si>
  <si>
    <t>Indigo</t>
  </si>
  <si>
    <t>PP001571;PF005283</t>
  </si>
  <si>
    <t>Acrylic</t>
  </si>
  <si>
    <t>1/16/2021</t>
  </si>
  <si>
    <t>AMAZON,TGTDVS</t>
  </si>
  <si>
    <t>2/17/2021</t>
  </si>
  <si>
    <t>II51-1143</t>
  </si>
  <si>
    <t>AMAZON,JCPENNEY01,TGTDVS</t>
  </si>
  <si>
    <t>II51-1144</t>
  </si>
  <si>
    <t>1/13/2021</t>
  </si>
  <si>
    <t>AMAZON,HDDS,JCPENNEY01,MACY02,TGTDVS</t>
  </si>
  <si>
    <t>II51-724</t>
  </si>
  <si>
    <t>PF003487</t>
  </si>
  <si>
    <t>5/10/2019</t>
  </si>
  <si>
    <t>7/16/2019</t>
  </si>
  <si>
    <t>II51-725</t>
  </si>
  <si>
    <t>AMAZON,ASHFURNDS,JCPENNEY01,MACY02,TGTDVS</t>
  </si>
  <si>
    <t>7/10/2019</t>
  </si>
  <si>
    <t>II51-726</t>
  </si>
  <si>
    <t>AMAZON,CSNSTORES,HDDS,JCPENNEY01,MACY02,OVERSTOCK01,TGTDVS</t>
  </si>
  <si>
    <t>7/2/2019</t>
  </si>
  <si>
    <t>II51-1135</t>
  </si>
  <si>
    <t>PP001571;PF005282</t>
  </si>
  <si>
    <t>II51-1136</t>
  </si>
  <si>
    <t>II51-1137</t>
  </si>
  <si>
    <t>II51-1308</t>
  </si>
  <si>
    <t>Light Blue</t>
  </si>
  <si>
    <t>PP001571;PF006066</t>
  </si>
  <si>
    <t>10/12/2023</t>
  </si>
  <si>
    <t>KOHLDSN,TGTDVS</t>
  </si>
  <si>
    <t>11/3/2023</t>
  </si>
  <si>
    <t>11/14/2023</t>
  </si>
  <si>
    <t>II51-1309</t>
  </si>
  <si>
    <t>11/9/2023</t>
  </si>
  <si>
    <t>II51-1310</t>
  </si>
  <si>
    <t>11/7/2023</t>
  </si>
  <si>
    <t>II50-1297</t>
  </si>
  <si>
    <t>THROW</t>
  </si>
  <si>
    <t>Throw</t>
  </si>
  <si>
    <t>50x60"</t>
  </si>
  <si>
    <t>PP001571;PF006067</t>
  </si>
  <si>
    <t>3/20/2025</t>
  </si>
  <si>
    <t>AMAZON,CSNSTORES,KOHLDSN,OLLIIX,OVERSTOCK01,TGTDVS</t>
  </si>
  <si>
    <t>4/5/2024</t>
  </si>
  <si>
    <t>II50-1296</t>
  </si>
  <si>
    <t>CSNSTORES,JCPENNEY01,KOHLDSN,OVERSTOCK01,TGTDVS</t>
  </si>
  <si>
    <t>4/2/2024</t>
  </si>
  <si>
    <t>II50-1145</t>
  </si>
  <si>
    <t>CSNSTORES,JCPENNEY01,KOHLDSN,MACY02,OLLIIX,OVERSTOCK01,TGTDVS</t>
  </si>
  <si>
    <t>1/29/2021</t>
  </si>
  <si>
    <t>2/1/2021</t>
  </si>
  <si>
    <t>II50-734</t>
  </si>
  <si>
    <t>1/20/2025</t>
  </si>
  <si>
    <t>CSNSTORES,JCPENNEY01,KOHLDSN,OLLIIX,OVERSTOCK01,TGTDVS</t>
  </si>
  <si>
    <t>II50-1138</t>
  </si>
  <si>
    <t>2/2/2021</t>
  </si>
  <si>
    <t>II50-1298</t>
  </si>
  <si>
    <t>PP001571;PF006068</t>
  </si>
  <si>
    <t>AMAZON,CSNSTORES,OLLIIX,OVERSTOCK01,TGTDVS,ZOLA</t>
  </si>
  <si>
    <t>4/11/2024</t>
  </si>
  <si>
    <t>II50-239</t>
  </si>
  <si>
    <t>Stockholm</t>
  </si>
  <si>
    <t>Halmstad</t>
  </si>
  <si>
    <t>Color Block Faux Cashmere Throw</t>
  </si>
  <si>
    <t>PF003433</t>
  </si>
  <si>
    <t>Color Block</t>
  </si>
  <si>
    <t>10/5/2018</t>
  </si>
  <si>
    <t>II50-240</t>
  </si>
  <si>
    <t>PF003434</t>
  </si>
  <si>
    <t>II50-1031</t>
  </si>
  <si>
    <t>PP000943</t>
  </si>
  <si>
    <t>6/27/2018</t>
  </si>
  <si>
    <t>II50-1030</t>
  </si>
  <si>
    <t>II50-238</t>
  </si>
  <si>
    <t>PF003432</t>
  </si>
  <si>
    <t>CSNSTORES,MACY02,OLLIIX</t>
  </si>
  <si>
    <t>II21-1302</t>
  </si>
  <si>
    <t>PILLOWCASE</t>
  </si>
  <si>
    <t>Pillowcase</t>
  </si>
  <si>
    <t>Oblong Pillow Cover</t>
  </si>
  <si>
    <t>12x20"</t>
  </si>
  <si>
    <t>II21-1299</t>
  </si>
  <si>
    <t>Square Pillow Cover</t>
  </si>
  <si>
    <t>CSNSTORES,TGTDVS</t>
  </si>
  <si>
    <t>5/2/2024</t>
  </si>
  <si>
    <t>II21-1305</t>
  </si>
  <si>
    <t>Euro Pillow Cover</t>
  </si>
  <si>
    <t>26x26"</t>
  </si>
  <si>
    <t>4/16/2024</t>
  </si>
  <si>
    <t>II30-740</t>
  </si>
  <si>
    <t>II30-737</t>
  </si>
  <si>
    <t>II30-871</t>
  </si>
  <si>
    <t>II21-1304</t>
  </si>
  <si>
    <t>4/19/2024</t>
  </si>
  <si>
    <t>II21-1301</t>
  </si>
  <si>
    <t>4/30/2024</t>
  </si>
  <si>
    <t>II21-1307</t>
  </si>
  <si>
    <t>4/25/2024</t>
  </si>
  <si>
    <t>II21-1303</t>
  </si>
  <si>
    <t>4/9/2024</t>
  </si>
  <si>
    <t>II21-1300</t>
  </si>
  <si>
    <t>II21-1306</t>
  </si>
  <si>
    <t>II30-1141</t>
  </si>
  <si>
    <t>II30-1139</t>
  </si>
  <si>
    <t>II30-1140</t>
  </si>
  <si>
    <t>2/22/2021</t>
  </si>
  <si>
    <t>II30-1148</t>
  </si>
  <si>
    <t>CSNSTORES,OVERSTOCK01</t>
  </si>
  <si>
    <t>II30-1146</t>
  </si>
  <si>
    <t>2/11/2021</t>
  </si>
  <si>
    <t>II30-1147</t>
  </si>
  <si>
    <t>CSNSTORES,KOHLDSN,OVERSTOCK01</t>
  </si>
  <si>
    <t>2/5/2021</t>
  </si>
  <si>
    <t>II105-0525</t>
  </si>
  <si>
    <t>FUR</t>
  </si>
  <si>
    <t>ACCENT BENCH</t>
  </si>
  <si>
    <t>Storage Bench</t>
  </si>
  <si>
    <t>Bailey</t>
  </si>
  <si>
    <t>Boucle Flip Top Storage Bench</t>
  </si>
  <si>
    <t>6/8/2023</t>
  </si>
  <si>
    <t>AMAZONDS,CSNSTORES,MACY02F,OLLIIX,OVERSTOCK01,TGTDVS</t>
  </si>
  <si>
    <t>12/13/2023</t>
  </si>
  <si>
    <t>12/17/2023</t>
  </si>
  <si>
    <t>II105-0592</t>
  </si>
  <si>
    <t>Chocolate</t>
  </si>
  <si>
    <t>8/15/2024</t>
  </si>
  <si>
    <t>2/3/2025</t>
  </si>
  <si>
    <t>CSNSTORES,KIRKLANDDS,KOHLDSN,OLLIIX,OVERSTOCK01</t>
  </si>
  <si>
    <t>II105-0593</t>
  </si>
  <si>
    <t>Cream</t>
  </si>
  <si>
    <t>II105-0594</t>
  </si>
  <si>
    <t>II105-0546</t>
  </si>
  <si>
    <t>Arcadia</t>
  </si>
  <si>
    <t>Accent Bench with Storage and Upholstered Cushion</t>
  </si>
  <si>
    <t>Walnut Brown</t>
  </si>
  <si>
    <t>10/7/2023</t>
  </si>
  <si>
    <t>1/19/2025</t>
  </si>
  <si>
    <t>AMAZONDS,CSNSTORES,KOHLDSN,OLLIIX,OVERSTOCK01,ZOLA</t>
  </si>
  <si>
    <t>5/3/2024</t>
  </si>
  <si>
    <t>II105-0460</t>
  </si>
  <si>
    <t>Marcie</t>
  </si>
  <si>
    <t>Soft Close Storage Accent Bench</t>
  </si>
  <si>
    <t>3/23/2022</t>
  </si>
  <si>
    <t>CSNSTORES,OLLIIX,OVERSTOCK01,ZOLA</t>
  </si>
  <si>
    <t>5/6/2022</t>
  </si>
  <si>
    <t>5/25/2022</t>
  </si>
  <si>
    <t>II105-0401</t>
  </si>
  <si>
    <t>Bench</t>
  </si>
  <si>
    <t>Mason</t>
  </si>
  <si>
    <t>Accent Bench</t>
  </si>
  <si>
    <t>Tan</t>
  </si>
  <si>
    <t>9/28/2020</t>
  </si>
  <si>
    <t>AMERSIGNDS,ASHFURNDS,CSNSTORES,OVERSTOCK01,TGTDVS</t>
  </si>
  <si>
    <t>4/9/2021</t>
  </si>
  <si>
    <t>4/16/2021</t>
  </si>
  <si>
    <t>II105-0466</t>
  </si>
  <si>
    <t>April</t>
  </si>
  <si>
    <t>Grey Multi</t>
  </si>
  <si>
    <t>2/16/2022</t>
  </si>
  <si>
    <t>HDDS,KIRKLANDDS</t>
  </si>
  <si>
    <t>II105-0256</t>
  </si>
  <si>
    <t>Seadrift</t>
  </si>
  <si>
    <t>Seadrift Hand-woven Water Hyacinth Accent Bench</t>
  </si>
  <si>
    <t>PF004044</t>
  </si>
  <si>
    <t>1/30/2018</t>
  </si>
  <si>
    <t>AMAZONDS,CSNSTORES,MACY02F,OLLIIX,OVERSTOCK01</t>
  </si>
  <si>
    <t>8/18/2020</t>
  </si>
  <si>
    <t>II105-0562</t>
  </si>
  <si>
    <t>Steve</t>
  </si>
  <si>
    <t>Boucle Waterfall Bench</t>
  </si>
  <si>
    <t>42"W</t>
  </si>
  <si>
    <t>Beige</t>
  </si>
  <si>
    <t>3/1/2024</t>
  </si>
  <si>
    <t>CSNSTORES,HDDS,KIRKLANDDS,OLLIIX,OVERSTOCK01</t>
  </si>
  <si>
    <t>II105-0567</t>
  </si>
  <si>
    <t>52"W</t>
  </si>
  <si>
    <t>II105-0524</t>
  </si>
  <si>
    <t>PP001874</t>
  </si>
  <si>
    <t>6/13/2023</t>
  </si>
  <si>
    <t>CSNSTORES,HDDS,KIRKLANDDS,OLLIIX,OVERSTOCK01,ZOLA</t>
  </si>
  <si>
    <t>II105-0569</t>
  </si>
  <si>
    <t>5/1/2024</t>
  </si>
  <si>
    <t>4/23/2025</t>
  </si>
  <si>
    <t>II105-0595</t>
  </si>
  <si>
    <t>8/9/2024</t>
  </si>
  <si>
    <t>II105-0596</t>
  </si>
  <si>
    <t>8/22/2024</t>
  </si>
  <si>
    <t>IIF18-0049</t>
  </si>
  <si>
    <t>ACCENT CHAIR</t>
  </si>
  <si>
    <t>Arm Chair</t>
  </si>
  <si>
    <t>Novak</t>
  </si>
  <si>
    <t>Mid-Century Modern Accent Armchair</t>
  </si>
  <si>
    <t>PF000206</t>
  </si>
  <si>
    <t>1/3/2025</t>
  </si>
  <si>
    <t>3/19/2025</t>
  </si>
  <si>
    <t>ASHFURNDS,CASTLEGATE,CSNSTORES,MACY02F,TGTDVS</t>
  </si>
  <si>
    <t>6/24/2020</t>
  </si>
  <si>
    <t>8/12/2020</t>
  </si>
  <si>
    <t>II100-0434</t>
  </si>
  <si>
    <t>Teal</t>
  </si>
  <si>
    <t>12/1/2020</t>
  </si>
  <si>
    <t>1/23/2025</t>
  </si>
  <si>
    <t>CSNSTORES,MACY02F,OLLIIX,TGTDVS</t>
  </si>
  <si>
    <t>5/19/2021</t>
  </si>
  <si>
    <t>II110-0522</t>
  </si>
  <si>
    <t>4/7/2023</t>
  </si>
  <si>
    <t>CSNSTORES,HDDS,MACY02F,OLLIIX</t>
  </si>
  <si>
    <t>5/8/2024</t>
  </si>
  <si>
    <t>II100-0435</t>
  </si>
  <si>
    <t>AMERSIGNDS,CSNSTORES,MACY02F</t>
  </si>
  <si>
    <t>7/15/2021</t>
  </si>
  <si>
    <t>II110-0397</t>
  </si>
  <si>
    <t>2/28/2020</t>
  </si>
  <si>
    <t>1/28/2025</t>
  </si>
  <si>
    <t>CASTLEGATE,CSNSTORES,MACY02F,OLLIIX</t>
  </si>
  <si>
    <t>11/23/2020</t>
  </si>
  <si>
    <t>II100-0487</t>
  </si>
  <si>
    <t>Spice</t>
  </si>
  <si>
    <t>2/8/2023</t>
  </si>
  <si>
    <t>11/8/2023</t>
  </si>
  <si>
    <t>II100-0495</t>
  </si>
  <si>
    <t>Blake</t>
  </si>
  <si>
    <t>Handcrafted Rattan Upholstered Accent Arm Chair</t>
  </si>
  <si>
    <t>2/23/2023</t>
  </si>
  <si>
    <t>FPF18-0414</t>
  </si>
  <si>
    <t>Crackle</t>
  </si>
  <si>
    <t>Accent Chair</t>
  </si>
  <si>
    <t>PF000018;PP000022</t>
  </si>
  <si>
    <t>4/12/2017</t>
  </si>
  <si>
    <t>IIF18-0054</t>
  </si>
  <si>
    <t>Light Grey</t>
  </si>
  <si>
    <t>PF000207;PP000022</t>
  </si>
  <si>
    <t>OLLIIX,OVERSTOCK01</t>
  </si>
  <si>
    <t>7/8/2020</t>
  </si>
  <si>
    <t>II100-0168</t>
  </si>
  <si>
    <t>PF000129;PP000022</t>
  </si>
  <si>
    <t>CSNSTORES,LAMPDS,MACY02F,OLLIIX</t>
  </si>
  <si>
    <t>5/25/2020</t>
  </si>
  <si>
    <t>II100-0048</t>
  </si>
  <si>
    <t>Easton</t>
  </si>
  <si>
    <t>Low Profile Accent Chair</t>
  </si>
  <si>
    <t>Taupe/Natural</t>
  </si>
  <si>
    <t>PF000111;PP000027</t>
  </si>
  <si>
    <t>3/23/2025</t>
  </si>
  <si>
    <t>ASHFURNDS,CSNSTORES,HDDS,OLLIIX</t>
  </si>
  <si>
    <t>6/15/2020</t>
  </si>
  <si>
    <t>II100-0360</t>
  </si>
  <si>
    <t>Kelly</t>
  </si>
  <si>
    <t>Light Brown</t>
  </si>
  <si>
    <t>6/28/2018</t>
  </si>
  <si>
    <t>AMAZONDS,ASHFURNDS,CSNSTORES,HDDS,KIRKLANDDS,MACY02F,OLLIIX</t>
  </si>
  <si>
    <t>5/18/2020</t>
  </si>
  <si>
    <t>II100-0291</t>
  </si>
  <si>
    <t>Madden</t>
  </si>
  <si>
    <t>1/27/2018</t>
  </si>
  <si>
    <t>IIF18-0046</t>
  </si>
  <si>
    <t>Malibu</t>
  </si>
  <si>
    <t>PF000204;PP000035</t>
  </si>
  <si>
    <t>II100-0063</t>
  </si>
  <si>
    <t>Newport</t>
  </si>
  <si>
    <t>Newport Wide Mid-Century Modern Lounge Chair</t>
  </si>
  <si>
    <t>PF000835;PP000045</t>
  </si>
  <si>
    <t>5/12/2017</t>
  </si>
  <si>
    <t>2/12/2025</t>
  </si>
  <si>
    <t>12/23/2024</t>
  </si>
  <si>
    <t>ASHFURNDS,CSNSTORES,OVERSTOCK01</t>
  </si>
  <si>
    <t>6/29/2020</t>
  </si>
  <si>
    <t>II110-0391</t>
  </si>
  <si>
    <t>Charcoal</t>
  </si>
  <si>
    <t>10/7/2019</t>
  </si>
  <si>
    <t>1/29/2025</t>
  </si>
  <si>
    <t>ASHFURNDS,CASTLEGATE,OLLIIX</t>
  </si>
  <si>
    <t>6/3/2020</t>
  </si>
  <si>
    <t>7/7/2020</t>
  </si>
  <si>
    <t>II100-0382</t>
  </si>
  <si>
    <t>7/31/2018</t>
  </si>
  <si>
    <t>ASHFURNDS,CSNSTORES</t>
  </si>
  <si>
    <t>6/5/2020</t>
  </si>
  <si>
    <t>II110-0388</t>
  </si>
  <si>
    <t>10/8/2019</t>
  </si>
  <si>
    <t>ASHFURNDS,CASTLEGATE,CSNSTORES</t>
  </si>
  <si>
    <t>6/23/2020</t>
  </si>
  <si>
    <t>IIF18-0015</t>
  </si>
  <si>
    <t>Pale Green</t>
  </si>
  <si>
    <t>PF000954;PP000045</t>
  </si>
  <si>
    <t>Microfiber</t>
  </si>
  <si>
    <t>5/27/2020</t>
  </si>
  <si>
    <t>12/30/2020</t>
  </si>
  <si>
    <t>II100-0468</t>
  </si>
  <si>
    <t>1/3/2022</t>
  </si>
  <si>
    <t>4/30/2025</t>
  </si>
  <si>
    <t>CSNSTORES,HDDS,ROOMECOM</t>
  </si>
  <si>
    <t>10/10/2022</t>
  </si>
  <si>
    <t>II100-0088</t>
  </si>
  <si>
    <t>Rocket</t>
  </si>
  <si>
    <t>Lounge Chair</t>
  </si>
  <si>
    <t>Blue/Pecan</t>
  </si>
  <si>
    <t>PF000121;PP000049</t>
  </si>
  <si>
    <t>CSNSTORES,MACY02F,OLLIIX</t>
  </si>
  <si>
    <t>9/17/2020</t>
  </si>
  <si>
    <t>II110-0396</t>
  </si>
  <si>
    <t>2/6/2020</t>
  </si>
  <si>
    <t>11/30/2020</t>
  </si>
  <si>
    <t>9/28/2022</t>
  </si>
  <si>
    <t>FPF18-0350</t>
  </si>
  <si>
    <t>Orange</t>
  </si>
  <si>
    <t>PF000010;PP000049</t>
  </si>
  <si>
    <t>6/22/2020</t>
  </si>
  <si>
    <t>IIF18-0058</t>
  </si>
  <si>
    <t>Seafoam</t>
  </si>
  <si>
    <t>PF000209;PP000049</t>
  </si>
  <si>
    <t>AMAZONDS,ASHFURNDS</t>
  </si>
  <si>
    <t>11/28/2020</t>
  </si>
  <si>
    <t>II100-0166</t>
  </si>
  <si>
    <t>PF000128;PP000049</t>
  </si>
  <si>
    <t>II100-0078</t>
  </si>
  <si>
    <t>Scott</t>
  </si>
  <si>
    <t>Cream/Morrocco</t>
  </si>
  <si>
    <t>PF000836</t>
  </si>
  <si>
    <t>Traditional</t>
  </si>
  <si>
    <t>MACY02F,OLLIIX</t>
  </si>
  <si>
    <t>II100-0267</t>
  </si>
  <si>
    <t>Shasta</t>
  </si>
  <si>
    <t>PP000646</t>
  </si>
  <si>
    <t>1/11/2018</t>
  </si>
  <si>
    <t>ASHFURNDS,KIRKLANDDS,OLLIIX</t>
  </si>
  <si>
    <t>II100-0324</t>
  </si>
  <si>
    <t>Sonia</t>
  </si>
  <si>
    <t>Camel</t>
  </si>
  <si>
    <t>1/12/2018</t>
  </si>
  <si>
    <t>2/2/2025</t>
  </si>
  <si>
    <t>ASHFURNDS,CSNSTORES,KIRKLANDDS,MACY02F,OLLIIX</t>
  </si>
  <si>
    <t>FPF18-0383</t>
  </si>
  <si>
    <t>Waldorf</t>
  </si>
  <si>
    <t>PF000016;PP000062</t>
  </si>
  <si>
    <t>7/27/2020</t>
  </si>
  <si>
    <t>II100-0193</t>
  </si>
  <si>
    <t>7/29/2020</t>
  </si>
  <si>
    <t>II100-0219</t>
  </si>
  <si>
    <t>Armless Chair</t>
  </si>
  <si>
    <t>Boomerang</t>
  </si>
  <si>
    <t>PF000109</t>
  </si>
  <si>
    <t>1/9/2018</t>
  </si>
  <si>
    <t>II100-0044</t>
  </si>
  <si>
    <t>Mustard Yellow/Pecan</t>
  </si>
  <si>
    <t>PF000109;PP000013</t>
  </si>
  <si>
    <t>II100-0357</t>
  </si>
  <si>
    <t>Noe</t>
  </si>
  <si>
    <t>6/1/2018</t>
  </si>
  <si>
    <t>ASHFURNDS,MACY02F</t>
  </si>
  <si>
    <t>9/15/2020</t>
  </si>
  <si>
    <t>II100-0462</t>
  </si>
  <si>
    <t>Roxie</t>
  </si>
  <si>
    <t>1/10/2022</t>
  </si>
  <si>
    <t>8/18/2022</t>
  </si>
  <si>
    <t>II121-0311</t>
  </si>
  <si>
    <t>DINING TABLE</t>
  </si>
  <si>
    <t>Dining Table</t>
  </si>
  <si>
    <t>Sonoma</t>
  </si>
  <si>
    <t>Rectangle Dining Table</t>
  </si>
  <si>
    <t>CSNSTORES,HDDS,KIRKLANDDS,OLLIIX,TGTDVS</t>
  </si>
  <si>
    <t>II121-0501</t>
  </si>
  <si>
    <t>Cove</t>
  </si>
  <si>
    <t>Rectangle Extension Dining Table</t>
  </si>
  <si>
    <t>Pecan</t>
  </si>
  <si>
    <t>2/24/2023</t>
  </si>
  <si>
    <t>2/27/2024</t>
  </si>
  <si>
    <t>II121-0499</t>
  </si>
  <si>
    <t>Kennedy</t>
  </si>
  <si>
    <t>44" Round Dining Table</t>
  </si>
  <si>
    <t>12/2/2022</t>
  </si>
  <si>
    <t>3/8/2024</t>
  </si>
  <si>
    <t>II121-0036</t>
  </si>
  <si>
    <t>Lancaster</t>
  </si>
  <si>
    <t>Round Dining/Gathering Table</t>
  </si>
  <si>
    <t>Amber/Graphite</t>
  </si>
  <si>
    <t>PF000886;PP000034</t>
  </si>
  <si>
    <t>12/9/2020</t>
  </si>
  <si>
    <t>II121-0417</t>
  </si>
  <si>
    <t>Mercer</t>
  </si>
  <si>
    <t>Oval Dining Table</t>
  </si>
  <si>
    <t>1/21/2022</t>
  </si>
  <si>
    <t>Restricted</t>
  </si>
  <si>
    <t>IIF20-0062</t>
  </si>
  <si>
    <t>Bronze</t>
  </si>
  <si>
    <t>PP000039</t>
  </si>
  <si>
    <t>3/26/2025</t>
  </si>
  <si>
    <t>II121-0315</t>
  </si>
  <si>
    <t>Oliver</t>
  </si>
  <si>
    <t>Extension Dining Table</t>
  </si>
  <si>
    <t>II121-0039</t>
  </si>
  <si>
    <t>Renu</t>
  </si>
  <si>
    <t>Round Bar Table</t>
  </si>
  <si>
    <t>PF000887;PP000048</t>
  </si>
  <si>
    <t>4/26/2025</t>
  </si>
  <si>
    <t>CASTLEGATE</t>
  </si>
  <si>
    <t>1/15/2021</t>
  </si>
  <si>
    <t>II103-0498</t>
  </si>
  <si>
    <t>MOTION</t>
  </si>
  <si>
    <t>Swivel</t>
  </si>
  <si>
    <t>Bonn</t>
  </si>
  <si>
    <t>Upholstered 360 Degree Swivel Chair</t>
  </si>
  <si>
    <t>2/22/2023</t>
  </si>
  <si>
    <t>KIRKLANDDS,TGTDVS</t>
  </si>
  <si>
    <t>7/29/2024</t>
  </si>
  <si>
    <t>II103-0564</t>
  </si>
  <si>
    <t>2/28/2024</t>
  </si>
  <si>
    <t>7/17/2024</t>
  </si>
  <si>
    <t>II103-0563</t>
  </si>
  <si>
    <t>3/13/2024</t>
  </si>
  <si>
    <t>2/23/2025</t>
  </si>
  <si>
    <t>KIRKLANDDS,KOHLDSN,OLLIIX</t>
  </si>
  <si>
    <t>II103-0578</t>
  </si>
  <si>
    <t>Jessel</t>
  </si>
  <si>
    <t>Shearling Sherpa Swivel Chair with Wood Base</t>
  </si>
  <si>
    <t>II103-0579</t>
  </si>
  <si>
    <t>3/29/2025</t>
  </si>
  <si>
    <t>II103-0355</t>
  </si>
  <si>
    <t>Nina</t>
  </si>
  <si>
    <t>Swivel Lounge Chair, Star Based Swivel</t>
  </si>
  <si>
    <t>Brown Multi</t>
  </si>
  <si>
    <t>II105-0313</t>
  </si>
  <si>
    <t>DINING BENCH</t>
  </si>
  <si>
    <t>Dining Bench</t>
  </si>
  <si>
    <t>8/23/2020</t>
  </si>
  <si>
    <t>II112-0447</t>
  </si>
  <si>
    <t>Reclaimed White</t>
  </si>
  <si>
    <t>5/28/2021</t>
  </si>
  <si>
    <t>1/26/2025</t>
  </si>
  <si>
    <t>8/10/2021</t>
  </si>
  <si>
    <t>10/13/2021</t>
  </si>
  <si>
    <t>II112-0520</t>
  </si>
  <si>
    <t>Frank</t>
  </si>
  <si>
    <t>6/5/2023</t>
  </si>
  <si>
    <t>1/9/2024</t>
  </si>
  <si>
    <t>FPF20-0338</t>
  </si>
  <si>
    <t>BAR STOOL</t>
  </si>
  <si>
    <t>Counter Stool</t>
  </si>
  <si>
    <t>Tacoma</t>
  </si>
  <si>
    <t>24" Counter stool</t>
  </si>
  <si>
    <t>PF000794;PP000055</t>
  </si>
  <si>
    <t>ROOMECOM,TGTDVS</t>
  </si>
  <si>
    <t>7/13/2020</t>
  </si>
  <si>
    <t>II104-0251</t>
  </si>
  <si>
    <t>PP000055</t>
  </si>
  <si>
    <t>1/31/2018</t>
  </si>
  <si>
    <t>CSNSTORES,HOUZZ</t>
  </si>
  <si>
    <t>6/25/2020</t>
  </si>
  <si>
    <t>II104-0224</t>
  </si>
  <si>
    <t>PP000013</t>
  </si>
  <si>
    <t>12/28/2017</t>
  </si>
  <si>
    <t>1/2/2025</t>
  </si>
  <si>
    <t>II104-0480</t>
  </si>
  <si>
    <t>1/13/2023</t>
  </si>
  <si>
    <t>ASHFURNDS</t>
  </si>
  <si>
    <t>10/25/2023</t>
  </si>
  <si>
    <t>IIF20-0050</t>
  </si>
  <si>
    <t>PF000225;PP000022</t>
  </si>
  <si>
    <t>ASHFURNDS,CSNSTORES,MACY02F,OLLIIX,OVERSTOCK01</t>
  </si>
  <si>
    <t>II104-0030</t>
  </si>
  <si>
    <t>Frazier</t>
  </si>
  <si>
    <t>Counter stool/Barstool (adjustable height)</t>
  </si>
  <si>
    <t>PF000847;PP000029</t>
  </si>
  <si>
    <t>7/15/2020</t>
  </si>
  <si>
    <t>II104-0463</t>
  </si>
  <si>
    <t>Henrick</t>
  </si>
  <si>
    <t>KOHLDSN</t>
  </si>
  <si>
    <t>3/9/2023</t>
  </si>
  <si>
    <t>FPF20-0312</t>
  </si>
  <si>
    <t>Counter Stool with Back</t>
  </si>
  <si>
    <t>Amber</t>
  </si>
  <si>
    <t>PF000784;PP000034</t>
  </si>
  <si>
    <t>9/25/2020</t>
  </si>
  <si>
    <t>II104-0429</t>
  </si>
  <si>
    <t>Oak/Silver</t>
  </si>
  <si>
    <t>11/10/2020</t>
  </si>
  <si>
    <t>HOUZZ,OLLIIX,OVERSTOCK01</t>
  </si>
  <si>
    <t>II104-0490</t>
  </si>
  <si>
    <t>Marino</t>
  </si>
  <si>
    <t>Backless Upholstered Counter Stool 26"H</t>
  </si>
  <si>
    <t>1/10/2023</t>
  </si>
  <si>
    <t>HDDS,HOUZZ,LAMPDS</t>
  </si>
  <si>
    <t>8/13/2024</t>
  </si>
  <si>
    <t>II104-0511</t>
  </si>
  <si>
    <t>Oslo</t>
  </si>
  <si>
    <t>Faux Leather Woven Counter Stool 24"H</t>
  </si>
  <si>
    <t>4/27/2023</t>
  </si>
  <si>
    <t>AMERSIGNDS,CSNSTORES,OLLIIX,OVERSTOCK01</t>
  </si>
  <si>
    <t>Declined</t>
  </si>
  <si>
    <t>II101-0120</t>
  </si>
  <si>
    <t>TRESTLE</t>
  </si>
  <si>
    <t>Reclaimed Brown/ Gun Metal</t>
  </si>
  <si>
    <t>PF000846;PP000060</t>
  </si>
  <si>
    <t>7/7/2017</t>
  </si>
  <si>
    <t>AMAZONDS,OLLIIX,OVERSTOCK01</t>
  </si>
  <si>
    <t>10/27/2020</t>
  </si>
  <si>
    <t>IIF20-0051</t>
  </si>
  <si>
    <t>Bar Stool</t>
  </si>
  <si>
    <t>Barstool</t>
  </si>
  <si>
    <t>PF000226;PP000022</t>
  </si>
  <si>
    <t>CSNSTORES,MACY02F</t>
  </si>
  <si>
    <t>7/22/2020</t>
  </si>
  <si>
    <t>IIF20-0104</t>
  </si>
  <si>
    <t>Barstool with Back</t>
  </si>
  <si>
    <t>PF000980;PP000034</t>
  </si>
  <si>
    <t>4/11/2017</t>
  </si>
  <si>
    <t>CSNSTORES,ROOMECOM</t>
  </si>
  <si>
    <t>8/22/2021</t>
  </si>
  <si>
    <t>II104-0210</t>
  </si>
  <si>
    <t>Swivel Bar Stool</t>
  </si>
  <si>
    <t>Oaktown</t>
  </si>
  <si>
    <t>Backless Bar Stool with Swivel Seat</t>
  </si>
  <si>
    <t>PP000580</t>
  </si>
  <si>
    <t>1/20/2018</t>
  </si>
  <si>
    <t>II104-0481</t>
  </si>
  <si>
    <t>Swivel Counter Stool</t>
  </si>
  <si>
    <t>Adams</t>
  </si>
  <si>
    <t>Faux Leather Swivel Counter Stool</t>
  </si>
  <si>
    <t>4/20/2022</t>
  </si>
  <si>
    <t>1/5/2023</t>
  </si>
  <si>
    <t>4/20/2023</t>
  </si>
  <si>
    <t>II104-0576</t>
  </si>
  <si>
    <t>Micah</t>
  </si>
  <si>
    <t>Woven Rattan Back Swivel Counter Stool</t>
  </si>
  <si>
    <t>7/27/2024</t>
  </si>
  <si>
    <t>II104-0370</t>
  </si>
  <si>
    <t>Cream/Reclaimed Grey</t>
  </si>
  <si>
    <t>8/13/2018</t>
  </si>
  <si>
    <t>11/5/2020</t>
  </si>
  <si>
    <t>II104-0504</t>
  </si>
  <si>
    <t>Rogue</t>
  </si>
  <si>
    <t>Armless 360 Degree Swivel Counter Stool 25"H</t>
  </si>
  <si>
    <t>Dusty Blue</t>
  </si>
  <si>
    <t>10/4/2023</t>
  </si>
  <si>
    <t>CSNSTORES,HOUZZ,OVERSTOCK01</t>
  </si>
  <si>
    <t>II130-0406</t>
  </si>
  <si>
    <t>ACCENT CHEST</t>
  </si>
  <si>
    <t>Cabinet</t>
  </si>
  <si>
    <t>Krista</t>
  </si>
  <si>
    <t>Accent Cabinet</t>
  </si>
  <si>
    <t>CSNSTORES,OLLIIX,OVERSTOCK01</t>
  </si>
  <si>
    <t>IIF17-0082</t>
  </si>
  <si>
    <t>ACCENT TABLE</t>
  </si>
  <si>
    <t>Side Table</t>
  </si>
  <si>
    <t>30" Pedestal</t>
  </si>
  <si>
    <t>1/8/2025</t>
  </si>
  <si>
    <t>II115-0577</t>
  </si>
  <si>
    <t>BED</t>
  </si>
  <si>
    <t>Bed</t>
  </si>
  <si>
    <t>Clark</t>
  </si>
  <si>
    <t>Platform Bed frame with Live-Edge Headboard and Built-in Nightstands/Drawers</t>
  </si>
  <si>
    <t>Queen</t>
  </si>
  <si>
    <t>Dark Brown</t>
  </si>
  <si>
    <t>7/20/2024</t>
  </si>
  <si>
    <t>IIF19-0030</t>
  </si>
  <si>
    <t>Bed with 2 Nightstands</t>
  </si>
  <si>
    <t>PP000018</t>
  </si>
  <si>
    <t>IIF19-0031</t>
  </si>
  <si>
    <t>8/5/2017</t>
  </si>
  <si>
    <t>4/3/2025</t>
  </si>
  <si>
    <t>II115-0555</t>
  </si>
  <si>
    <t>Jameson</t>
  </si>
  <si>
    <t>Woven Faux Leather Bed Queen</t>
  </si>
  <si>
    <t>12/21/2023</t>
  </si>
  <si>
    <t>II108-0523</t>
  </si>
  <si>
    <t>DINING CHAIR</t>
  </si>
  <si>
    <t>Dining Chair</t>
  </si>
  <si>
    <t>Benson</t>
  </si>
  <si>
    <t>Upholstered Dining Chairs with Arms (Set of 2)</t>
  </si>
  <si>
    <t>10/19/2023</t>
  </si>
  <si>
    <t>IIF20-0040</t>
  </si>
  <si>
    <t>Dining Chair (Set of 2)</t>
  </si>
  <si>
    <t>PF000220;PP000013</t>
  </si>
  <si>
    <t>6/16/2020</t>
  </si>
  <si>
    <t>II108-0223</t>
  </si>
  <si>
    <t>11/14/2017</t>
  </si>
  <si>
    <t>ASHFURNDS,HOUZZ</t>
  </si>
  <si>
    <t>IIF20-0057</t>
  </si>
  <si>
    <t>Brooklyn</t>
  </si>
  <si>
    <t>Dining Arm Chair (Set of 2)</t>
  </si>
  <si>
    <t>PF000231;PP000014</t>
  </si>
  <si>
    <t>6/10/2020</t>
  </si>
  <si>
    <t>II108-0521</t>
  </si>
  <si>
    <t>Upholstered Dining Chair (Set of 2)</t>
  </si>
  <si>
    <t>6/28/2023</t>
  </si>
  <si>
    <t>3/9/2025</t>
  </si>
  <si>
    <t>11/6/2023</t>
  </si>
  <si>
    <t>II108-0508</t>
  </si>
  <si>
    <t>Armless Dining Chair Set of 2</t>
  </si>
  <si>
    <t>1/9/2023</t>
  </si>
  <si>
    <t>2/9/2025</t>
  </si>
  <si>
    <t>12/4/2023</t>
  </si>
  <si>
    <t>2/6/2024</t>
  </si>
  <si>
    <t>FPF20-0377</t>
  </si>
  <si>
    <t>PF000795;PP000034</t>
  </si>
  <si>
    <t>CSNSTORES,HDDS</t>
  </si>
  <si>
    <t>II108-0500</t>
  </si>
  <si>
    <t>Lemmy</t>
  </si>
  <si>
    <t>Armless Upholstered Dining Chair Set of 2</t>
  </si>
  <si>
    <t>12/16/2022</t>
  </si>
  <si>
    <t>II108-0371</t>
  </si>
  <si>
    <t>Nola</t>
  </si>
  <si>
    <t>Dining Side Chair (Set of 2)</t>
  </si>
  <si>
    <t>6/29/2018</t>
  </si>
  <si>
    <t>CSNSTORES,HDDS,JCPENNEY01,MACY02F,OLLIIX,OVERSTOCK01</t>
  </si>
  <si>
    <t>9/4/2020</t>
  </si>
  <si>
    <t>II108-0479</t>
  </si>
  <si>
    <t>5/19/2022</t>
  </si>
  <si>
    <t>CSNSTORES,HDDS,JCPENNEY01,KIRKLANDDS,OLLIIX,OVERSTOCK01</t>
  </si>
  <si>
    <t>11/10/2022</t>
  </si>
  <si>
    <t>II100-0117</t>
  </si>
  <si>
    <t>Orange/Dark Brown</t>
  </si>
  <si>
    <t>PF000127</t>
  </si>
  <si>
    <t>7/18/2017</t>
  </si>
  <si>
    <t>9/24/2020</t>
  </si>
  <si>
    <t>II108-0457</t>
  </si>
  <si>
    <t>Dining Side Chair Set of 2</t>
  </si>
  <si>
    <t>Cream/Grey</t>
  </si>
  <si>
    <t>7/19/2022</t>
  </si>
  <si>
    <t>II108-0317</t>
  </si>
  <si>
    <t>Dining Side Chair(Set of 2pcs)</t>
  </si>
  <si>
    <t>Natural/Grey</t>
  </si>
  <si>
    <t>CSNSTORES,MACY02F,OVERSTOCK01,ROOMECOM</t>
  </si>
  <si>
    <t>II108-0510</t>
  </si>
  <si>
    <t>Faux Leather Woven Dining Chairs Set of 2</t>
  </si>
  <si>
    <t>II108-0314</t>
  </si>
  <si>
    <t xml:space="preserve">Dining  Side Chair(Set of 2pcs)</t>
  </si>
  <si>
    <t>10/16/2020</t>
  </si>
  <si>
    <t>II108-0450</t>
  </si>
  <si>
    <t>Reclaimed Grey</t>
  </si>
  <si>
    <t>10/20/2021</t>
  </si>
  <si>
    <t>II108-0449</t>
  </si>
  <si>
    <t>5/3/2021</t>
  </si>
  <si>
    <t>8/19/2021</t>
  </si>
  <si>
    <t>9/28/2021</t>
  </si>
  <si>
    <t>FPF20-0337</t>
  </si>
  <si>
    <t>PF000793;PP000055</t>
  </si>
  <si>
    <t>II116-0070</t>
  </si>
  <si>
    <t>HEADBOARD</t>
  </si>
  <si>
    <t>Headboard</t>
  </si>
  <si>
    <t>Queen Headboard</t>
  </si>
  <si>
    <t>Light Brown Multi/Gun Metal</t>
  </si>
  <si>
    <t>PF000864;PP000048</t>
  </si>
  <si>
    <t>II106-0226</t>
  </si>
  <si>
    <t>LOVESEAT &amp; SOFA</t>
  </si>
  <si>
    <t>Settee</t>
  </si>
  <si>
    <t>Loveseat</t>
  </si>
  <si>
    <t>PF000143</t>
  </si>
  <si>
    <t>12/30/2017</t>
  </si>
  <si>
    <t>II136-0554</t>
  </si>
  <si>
    <t>NIGHTSTAND</t>
  </si>
  <si>
    <t>Nightstand</t>
  </si>
  <si>
    <t>Modern One Drawer Waterfall Nightstand</t>
  </si>
  <si>
    <t>12/29/2023</t>
  </si>
  <si>
    <t>II136-0308</t>
  </si>
  <si>
    <t>Jeremy</t>
  </si>
  <si>
    <t>Storage Nightstand</t>
  </si>
  <si>
    <t>Off-White/Navy</t>
  </si>
  <si>
    <t>2/8/2018</t>
  </si>
  <si>
    <t>II136-0067</t>
  </si>
  <si>
    <t>Solid Wood Nightstand</t>
  </si>
  <si>
    <t>Light Brown Multi</t>
  </si>
  <si>
    <t>PF000903;PP000048</t>
  </si>
  <si>
    <t>II136-0398</t>
  </si>
  <si>
    <t>11/26/2019</t>
  </si>
  <si>
    <t>9/9/2020</t>
  </si>
  <si>
    <t>II136-0503</t>
  </si>
  <si>
    <t>Sunset Cliff</t>
  </si>
  <si>
    <t>1-Drawer Nightstand with Shelf</t>
  </si>
  <si>
    <t>II120-0427</t>
  </si>
  <si>
    <t>OCCASIONL TABLE</t>
  </si>
  <si>
    <t>Coffee Table</t>
  </si>
  <si>
    <t>Blaze</t>
  </si>
  <si>
    <t>Triangle Wood Coffee table</t>
  </si>
  <si>
    <t>AAFESDS,AMAZONDS,CSNSTORES,HOUZZ,KIRKLANDDS,OLLIIX,OVERSTOCK01</t>
  </si>
  <si>
    <t>5/31/2021</t>
  </si>
  <si>
    <t>6/25/2021</t>
  </si>
  <si>
    <t>II120-0553</t>
  </si>
  <si>
    <t>Honey</t>
  </si>
  <si>
    <t>Fluted Hexagon Coffee Table</t>
  </si>
  <si>
    <t>10/10/2023</t>
  </si>
  <si>
    <t>5/13/2024</t>
  </si>
  <si>
    <t>II120-0568</t>
  </si>
  <si>
    <t>Keegan</t>
  </si>
  <si>
    <t>Round Mixed Material Coffee Table with Shelf</t>
  </si>
  <si>
    <t>Oak/Marble</t>
  </si>
  <si>
    <t>3/15/2024</t>
  </si>
  <si>
    <t>II120-0573</t>
  </si>
  <si>
    <t>Layana</t>
  </si>
  <si>
    <t>Faux White Marble Round Coffee Table with Storage</t>
  </si>
  <si>
    <t>Natural/Faux White Marble</t>
  </si>
  <si>
    <t>5/2/2025</t>
  </si>
  <si>
    <t>FPF17-0356</t>
  </si>
  <si>
    <t>IIF17-0045</t>
  </si>
  <si>
    <t>Coffee Table with Tempered Glass</t>
  </si>
  <si>
    <t>PF000178;PP000049</t>
  </si>
  <si>
    <t>CSNSTORES,MACY02F,OLLIIX,OVERSTOCK01</t>
  </si>
  <si>
    <t>10/29/2020</t>
  </si>
  <si>
    <t>II120-0566</t>
  </si>
  <si>
    <t>Skye</t>
  </si>
  <si>
    <t>Round Coffee Table with Shelf</t>
  </si>
  <si>
    <t>4/20/2024</t>
  </si>
  <si>
    <t>II120-0404</t>
  </si>
  <si>
    <t>Wilson</t>
  </si>
  <si>
    <t>White/Black</t>
  </si>
  <si>
    <t>9/2/2020</t>
  </si>
  <si>
    <t>10/6/2022</t>
  </si>
  <si>
    <t>II120-0574</t>
  </si>
  <si>
    <t>Console Table</t>
  </si>
  <si>
    <t>Faux White Marble Console Table with Reeded Wooden Pillar Legs</t>
  </si>
  <si>
    <t>FPF20-0322</t>
  </si>
  <si>
    <t>Monterey</t>
  </si>
  <si>
    <t>64" Console Table</t>
  </si>
  <si>
    <t>64"W</t>
  </si>
  <si>
    <t>PF000791;PP000043</t>
  </si>
  <si>
    <t>CSNSTORES,HDDS,OLLIIX</t>
  </si>
  <si>
    <t>II120-0509</t>
  </si>
  <si>
    <t>54" Console table</t>
  </si>
  <si>
    <t>54"W</t>
  </si>
  <si>
    <t>11/5/2023</t>
  </si>
  <si>
    <t>II120-0459</t>
  </si>
  <si>
    <t>12/8/2021</t>
  </si>
  <si>
    <t>10/31/2023</t>
  </si>
  <si>
    <t>II120-0575</t>
  </si>
  <si>
    <t>II100-0544</t>
  </si>
  <si>
    <t>SECTIONAL SOFA</t>
  </si>
  <si>
    <t>Sectional Sofa</t>
  </si>
  <si>
    <t>Molly</t>
  </si>
  <si>
    <t>Modular Armless Chair</t>
  </si>
  <si>
    <t>Linen</t>
  </si>
  <si>
    <t>1/4/2024</t>
  </si>
  <si>
    <t>II100-0543</t>
  </si>
  <si>
    <t>Modular Corner Chair</t>
  </si>
  <si>
    <t>Corner Chair</t>
  </si>
  <si>
    <t>II101-0545</t>
  </si>
  <si>
    <t>Modular Ottoman</t>
  </si>
  <si>
    <t>Ottoman</t>
  </si>
  <si>
    <t>II100-0506</t>
  </si>
  <si>
    <t>Silver Grey</t>
  </si>
  <si>
    <t>1/31/2023</t>
  </si>
  <si>
    <t>II100-0505</t>
  </si>
  <si>
    <t>1/23/2024</t>
  </si>
  <si>
    <t>II101-0507</t>
  </si>
  <si>
    <t>2/20/2025</t>
  </si>
  <si>
    <t>5/15/2024</t>
  </si>
  <si>
    <t>MP153-0144</t>
  </si>
  <si>
    <t>LGT</t>
  </si>
  <si>
    <t>LGT-TABLE LAMPS</t>
  </si>
  <si>
    <t>Table Task Lamps</t>
  </si>
  <si>
    <t>Prague</t>
  </si>
  <si>
    <t>Alabaster Table Lamp</t>
  </si>
  <si>
    <t>White/Gold</t>
  </si>
  <si>
    <t>PF003238</t>
  </si>
  <si>
    <t>10/26/2017</t>
  </si>
  <si>
    <t>4/23/2018</t>
  </si>
  <si>
    <t>7/5/2018</t>
  </si>
  <si>
    <t>II153-0108</t>
  </si>
  <si>
    <t>Anzio</t>
  </si>
  <si>
    <t>Ceramic Table Lamp</t>
  </si>
  <si>
    <t>6/29/2022</t>
  </si>
  <si>
    <t>II153-0147</t>
  </si>
  <si>
    <t>Bromley</t>
  </si>
  <si>
    <t>Two Tone Pull-chain Table Lamp</t>
  </si>
  <si>
    <t>Gold/Brown</t>
  </si>
  <si>
    <t>6/9/2023</t>
  </si>
  <si>
    <t>JCPENNEY01,TGTDVS</t>
  </si>
  <si>
    <t>9/12/2023</t>
  </si>
  <si>
    <t>II153-0146</t>
  </si>
  <si>
    <t>Grace Ivy</t>
  </si>
  <si>
    <t>Textured Dot Table Lamp</t>
  </si>
  <si>
    <t>AMAZON,JCPENNEY01,OLLIIX,TGTDVS</t>
  </si>
  <si>
    <t>II153-0106</t>
  </si>
  <si>
    <t>Jayda</t>
  </si>
  <si>
    <t>Geometric Ceramic Table Lamp</t>
  </si>
  <si>
    <t>AMERSIGNDS,KIRKLANDDS,KOHLDSN,OLLIIX,TGTDVS</t>
  </si>
  <si>
    <t>7/7/2022</t>
  </si>
  <si>
    <t>5DS153-0050</t>
  </si>
  <si>
    <t>Lumivive</t>
  </si>
  <si>
    <t>17" Mercury Glass Table Lamp</t>
  </si>
  <si>
    <t>Gold</t>
  </si>
  <si>
    <t>1/24/2024</t>
  </si>
  <si>
    <t>AMERSIGNDS,TGTDVS,ZOLA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</si>
  <si>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</si>
  <si>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</si>
  <si>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</si>
  <si>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</si>
  <si>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</si>
  <si>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</si>
  <si>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</si>
  <si>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6/28/2024</t>
  </si>
  <si>
    <t>11/12/2024</t>
  </si>
  <si>
    <t>II153-0159</t>
  </si>
  <si>
    <t>Aquaviva</t>
  </si>
  <si>
    <t xml:space="preserve">Aquaviva </t>
  </si>
  <si>
    <t>Confetti Glass Table Lamp</t>
  </si>
  <si>
    <t>Artisan</t>
  </si>
  <si>
    <t>FB153-1174</t>
  </si>
  <si>
    <t>Ashbourne</t>
  </si>
  <si>
    <t>Embossed Floral Resin Table Lamp</t>
  </si>
  <si>
    <t>12/21/2022</t>
  </si>
  <si>
    <t>12/5/2023</t>
  </si>
  <si>
    <t>II153-0148</t>
  </si>
  <si>
    <t>Bryson</t>
  </si>
  <si>
    <t>Dome-Shaped 2-Light Metal Table Lamp</t>
  </si>
  <si>
    <t>4/17/2024</t>
  </si>
  <si>
    <t>II153-0023</t>
  </si>
  <si>
    <t>Contour</t>
  </si>
  <si>
    <t>PF002798</t>
  </si>
  <si>
    <t>5/1/2018</t>
  </si>
  <si>
    <t>II153-0154</t>
  </si>
  <si>
    <t>Elixir</t>
  </si>
  <si>
    <t>Gold Hourglass Metal Table Lamp</t>
  </si>
  <si>
    <t>3/30/2024</t>
  </si>
  <si>
    <t>5/28/2024</t>
  </si>
  <si>
    <t>II153-0161</t>
  </si>
  <si>
    <t>Ethra</t>
  </si>
  <si>
    <t>7/4/2024</t>
  </si>
  <si>
    <t>II153-0107</t>
  </si>
  <si>
    <t>Everly</t>
  </si>
  <si>
    <t>Ceramic Table Lamp with Handles</t>
  </si>
  <si>
    <t>CSNSTORES,JCPENNEY01</t>
  </si>
  <si>
    <t>6/28/2022</t>
  </si>
  <si>
    <t>II153-0150</t>
  </si>
  <si>
    <t>Flinn</t>
  </si>
  <si>
    <t>23" Resin Table Lamp with Faux Wood Texture</t>
  </si>
  <si>
    <t>Natural Whitewash</t>
  </si>
  <si>
    <t>12/28/2023</t>
  </si>
  <si>
    <t>FB153-1155</t>
  </si>
  <si>
    <t>Fulton</t>
  </si>
  <si>
    <t>Concrete Table Lamp</t>
  </si>
  <si>
    <t>Black/Grey</t>
  </si>
  <si>
    <t>1/27/2021</t>
  </si>
  <si>
    <t>9/29/2022</t>
  </si>
  <si>
    <t>MT153-0051</t>
  </si>
  <si>
    <t>Glendale</t>
  </si>
  <si>
    <t>Ribbed Ceramic Table Lamp</t>
  </si>
  <si>
    <t>10/25/2021</t>
  </si>
  <si>
    <t>6/15/2022</t>
  </si>
  <si>
    <t>MT153-0072</t>
  </si>
  <si>
    <t>Hawley</t>
  </si>
  <si>
    <t>Faux Leather Table Lamp</t>
  </si>
  <si>
    <t>11/15/2023</t>
  </si>
  <si>
    <t>MPS153-0086</t>
  </si>
  <si>
    <t>Holloway</t>
  </si>
  <si>
    <t>Marble Base Table Lamp</t>
  </si>
  <si>
    <t>MT153-0015</t>
  </si>
  <si>
    <t>Jemma</t>
  </si>
  <si>
    <t>MT Bedford</t>
  </si>
  <si>
    <t>6/2/2019</t>
  </si>
  <si>
    <t>7/15/2022</t>
  </si>
  <si>
    <t>II153-0126</t>
  </si>
  <si>
    <t>Kittery</t>
  </si>
  <si>
    <t>Metal Table Lamp with Glass Drum Shade</t>
  </si>
  <si>
    <t>Black Base/Frosted Shade</t>
  </si>
  <si>
    <t>3/4/2022</t>
  </si>
  <si>
    <t>II153-0152</t>
  </si>
  <si>
    <t>Laguna</t>
  </si>
  <si>
    <t>Rattan Weave Shade Table Lamp</t>
  </si>
  <si>
    <t>Gold/Natural</t>
  </si>
  <si>
    <t>7/9/2024</t>
  </si>
  <si>
    <t>MP153-0179</t>
  </si>
  <si>
    <t>Macon</t>
  </si>
  <si>
    <t>Glass Cylinder Table Lamp</t>
  </si>
  <si>
    <t>Clear</t>
  </si>
  <si>
    <t>3/13/2018</t>
  </si>
  <si>
    <t>3/28/2019</t>
  </si>
  <si>
    <t>II153-0144</t>
  </si>
  <si>
    <t>Nelia</t>
  </si>
  <si>
    <t>Frosted Glass Globe Resin Table Lamp</t>
  </si>
  <si>
    <t>2/10/2023</t>
  </si>
  <si>
    <t>AMERSIGNDS,CSNSTORES,ZOLA</t>
  </si>
  <si>
    <t>MP153-0001</t>
  </si>
  <si>
    <t>Tate</t>
  </si>
  <si>
    <t>Boho Textured Ceramic Table Lamp</t>
  </si>
  <si>
    <t>PF002834</t>
  </si>
  <si>
    <t>HDDS,KIRKLANDDS,OVERSTOCK01</t>
  </si>
  <si>
    <t>5/29/2018</t>
  </si>
  <si>
    <t>II153-0160</t>
  </si>
  <si>
    <t>Trilluxe</t>
  </si>
  <si>
    <t>8/17/2024</t>
  </si>
  <si>
    <t>II153-0129</t>
  </si>
  <si>
    <t>Tristan</t>
  </si>
  <si>
    <t>Triangular Ceramic and Wood Table Lamp</t>
  </si>
  <si>
    <t>White Base/Cream Shade</t>
  </si>
  <si>
    <t>3/7/2022</t>
  </si>
  <si>
    <t>6/14/2022</t>
  </si>
  <si>
    <t>II153-0162</t>
  </si>
  <si>
    <t>Veluna</t>
  </si>
  <si>
    <t>Textured Ceramic Table Lamp with Fluted Fabric Shade</t>
  </si>
  <si>
    <t>9/10/2024</t>
  </si>
  <si>
    <t>II153-0155</t>
  </si>
  <si>
    <t>ZenGlossy</t>
  </si>
  <si>
    <t>Asymmetrical Ceramic Table Lamp</t>
  </si>
  <si>
    <t>9/6/2024</t>
  </si>
  <si>
    <t>MPS154-0087</t>
  </si>
  <si>
    <t>LGT-FLOOR LAMPS</t>
  </si>
  <si>
    <t>Floor Lamps</t>
  </si>
  <si>
    <t>3-Globe Light Floor Lamp with Marble Base</t>
  </si>
  <si>
    <t>6/19/2020</t>
  </si>
  <si>
    <t>UH154-0051</t>
  </si>
  <si>
    <t>Alta</t>
  </si>
  <si>
    <t>3-Light Metal Floor Lamp</t>
  </si>
  <si>
    <t>10/5/2017</t>
  </si>
  <si>
    <t>5/15/2019</t>
  </si>
  <si>
    <t>MP154-0200</t>
  </si>
  <si>
    <t>Arched Floor Lamp with Marble Base</t>
  </si>
  <si>
    <t>10/14/2019</t>
  </si>
  <si>
    <t>OLLIIX,ZOLA</t>
  </si>
  <si>
    <t>II154-0123</t>
  </si>
  <si>
    <t>Beacon</t>
  </si>
  <si>
    <t>Arched Metal Floor Lamp with Chimney Shade</t>
  </si>
  <si>
    <t>Matte Black</t>
  </si>
  <si>
    <t>JCPENNEY01,KOHLDSN,OLLIIX</t>
  </si>
  <si>
    <t>11/11/2022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</si>
  <si>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</si>
  <si>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</si>
  <si>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</si>
  <si>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</si>
  <si>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</si>
  <si>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</si>
  <si>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</si>
  <si>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</si>
  <si>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II154-0117</t>
  </si>
  <si>
    <t>Keller</t>
  </si>
  <si>
    <t>Adjustable Arched Floor Lamp with Drum Shade</t>
  </si>
  <si>
    <t>Oil Rubbed Bronze/Cream</t>
  </si>
  <si>
    <t>II154-0158</t>
  </si>
  <si>
    <t>Rattan Weave Shade Floor Lamp</t>
  </si>
  <si>
    <t>FPF21-0367</t>
  </si>
  <si>
    <t>Pacific</t>
  </si>
  <si>
    <t>Metal Tripod Floor Lamp with Glass Shade</t>
  </si>
  <si>
    <t>PF002773</t>
  </si>
  <si>
    <t>8/14/2018</t>
  </si>
  <si>
    <t>II154-0091</t>
  </si>
  <si>
    <t>9/4/2018</t>
  </si>
  <si>
    <t>AMERSIGNDS,CSNSTORES,HDDS</t>
  </si>
  <si>
    <t>6/29/2019</t>
  </si>
  <si>
    <t>II152-0142</t>
  </si>
  <si>
    <t>LGT-FLUSHMOUNTS</t>
  </si>
  <si>
    <t>Flushmounts</t>
  </si>
  <si>
    <t>Mililani</t>
  </si>
  <si>
    <t>Boho Bamboo Flush Mount Ceiling Light</t>
  </si>
  <si>
    <t>11/18/2022</t>
  </si>
  <si>
    <t>CSNSTORES,KOHLDSN,TGTDVS</t>
  </si>
  <si>
    <t>12/27/2023</t>
  </si>
  <si>
    <t>II150-0130</t>
  </si>
  <si>
    <t>LGT-CHANDELIERS</t>
  </si>
  <si>
    <t>Chandeliers</t>
  </si>
  <si>
    <t>Abbott</t>
  </si>
  <si>
    <t>4-Light Metal Shade Chandelier</t>
  </si>
  <si>
    <t>Black/Gold</t>
  </si>
  <si>
    <t>9/8/2022</t>
  </si>
  <si>
    <t>II151-0134</t>
  </si>
  <si>
    <t>Aurelia</t>
  </si>
  <si>
    <t>3-Light Chandelier with Frosted Glass Globe Bulbs</t>
  </si>
  <si>
    <t>3-Light</t>
  </si>
  <si>
    <t>II150-0121</t>
  </si>
  <si>
    <t>Blaire</t>
  </si>
  <si>
    <t>6-light Ombre Glass Globe Chandelier</t>
  </si>
  <si>
    <t>Antique Brass/Amber</t>
  </si>
  <si>
    <t>9/7/2022</t>
  </si>
  <si>
    <t>II150-0153</t>
  </si>
  <si>
    <t>Calista</t>
  </si>
  <si>
    <t>8-Light Metal Chandelier with Globe Bulbs</t>
  </si>
  <si>
    <t>Gold/Clear</t>
  </si>
  <si>
    <t>2/1/2024</t>
  </si>
  <si>
    <t>FB150-1191</t>
  </si>
  <si>
    <t>Curiana</t>
  </si>
  <si>
    <t>5-light Linear Chandelier with Textured Glass Shades</t>
  </si>
  <si>
    <t>Antique Brass</t>
  </si>
  <si>
    <t>9/26/2024</t>
  </si>
  <si>
    <t>II150-0010</t>
  </si>
  <si>
    <t>Cyrus</t>
  </si>
  <si>
    <t>6-Globe Light Architectural Metal Chandelier</t>
  </si>
  <si>
    <t>Antique Bronze</t>
  </si>
  <si>
    <t>PF002786</t>
  </si>
  <si>
    <t>II150-0011</t>
  </si>
  <si>
    <t>PF002787</t>
  </si>
  <si>
    <t>5/7/2018</t>
  </si>
  <si>
    <t>II150-0140</t>
  </si>
  <si>
    <t>Ely</t>
  </si>
  <si>
    <t>3-Light Spiked Chandelier</t>
  </si>
  <si>
    <t>Matte Black /Gold</t>
  </si>
  <si>
    <t>Glam/Luxury|Industrial</t>
  </si>
  <si>
    <t>12/3/2024</t>
  </si>
  <si>
    <t>II150-0118</t>
  </si>
  <si>
    <t>Ezra</t>
  </si>
  <si>
    <t>5-Light Metal Chandelier</t>
  </si>
  <si>
    <t>Antique Brass/White</t>
  </si>
  <si>
    <t>HOUZZ</t>
  </si>
  <si>
    <t>II150-0131</t>
  </si>
  <si>
    <t>Gardham</t>
  </si>
  <si>
    <t>8-Light Sputnik Sphere Chandelier</t>
  </si>
  <si>
    <t>Black/Silver</t>
  </si>
  <si>
    <t>II150-0122</t>
  </si>
  <si>
    <t>Helena</t>
  </si>
  <si>
    <t>6-Light Frosted Glass Globe Linear Chandelier</t>
  </si>
  <si>
    <t>Antique Brass/Black</t>
  </si>
  <si>
    <t>7/14/2022</t>
  </si>
  <si>
    <t>II150-0119</t>
  </si>
  <si>
    <t>Milo</t>
  </si>
  <si>
    <t>6-Light Metal Chandelier</t>
  </si>
  <si>
    <t>6/9/2022</t>
  </si>
  <si>
    <t>II150-0009</t>
  </si>
  <si>
    <t>Paige</t>
  </si>
  <si>
    <t>12-Light Chandelier with Oversized Globe Bulbs</t>
  </si>
  <si>
    <t>PF002785</t>
  </si>
  <si>
    <t>11/29/2018</t>
  </si>
  <si>
    <t>II150-0008</t>
  </si>
  <si>
    <t>PF002784</t>
  </si>
  <si>
    <t>4/21/2017</t>
  </si>
  <si>
    <t>HOUZZ,LAMPDS</t>
  </si>
  <si>
    <t>II150-0077</t>
  </si>
  <si>
    <t>9/7/2019</t>
  </si>
  <si>
    <t>II150-0132</t>
  </si>
  <si>
    <t>Renzetti</t>
  </si>
  <si>
    <t>6-Light Contemporary Candelabra Styled Chandelier</t>
  </si>
  <si>
    <t>8/21/2024</t>
  </si>
  <si>
    <t>II150-0149</t>
  </si>
  <si>
    <t>Serenitie</t>
  </si>
  <si>
    <t>5-Light Linear Chandelier</t>
  </si>
  <si>
    <t>II151-0114</t>
  </si>
  <si>
    <t>LGT-PENDANTS</t>
  </si>
  <si>
    <t>Pendants</t>
  </si>
  <si>
    <t>Adele</t>
  </si>
  <si>
    <t>Farmhouse Metal Pendant</t>
  </si>
  <si>
    <t>II151-0136</t>
  </si>
  <si>
    <t>Aria</t>
  </si>
  <si>
    <t>Geometric Bamboo Pendant</t>
  </si>
  <si>
    <t>10/14/2022</t>
  </si>
  <si>
    <t>II151-0135</t>
  </si>
  <si>
    <t>Astrid</t>
  </si>
  <si>
    <t>Bowl Shaped Bamboo Pendant</t>
  </si>
  <si>
    <t>FB151-1188</t>
  </si>
  <si>
    <t>Bell Shaped Hanging Glass Pendant Light</t>
  </si>
  <si>
    <t>Dia.9"</t>
  </si>
  <si>
    <t>Gold/Amber</t>
  </si>
  <si>
    <t>4/10/2024</t>
  </si>
  <si>
    <t>FB151-1171</t>
  </si>
  <si>
    <t>Gold/Blue</t>
  </si>
  <si>
    <t>AMAZONDS,OVERSTOCK01</t>
  </si>
  <si>
    <t>FB151-1179</t>
  </si>
  <si>
    <t>Dia.13"</t>
  </si>
  <si>
    <t>10/8/2024</t>
  </si>
  <si>
    <t>MP151-0123</t>
  </si>
  <si>
    <t>PF002875</t>
  </si>
  <si>
    <t>HOUZZ,KIRKLANDDS,OVERSTOCK01</t>
  </si>
  <si>
    <t>4/27/2018</t>
  </si>
  <si>
    <t>MP151-0199</t>
  </si>
  <si>
    <t>Silver/Clear</t>
  </si>
  <si>
    <t>KIRKLANDDS,OVERSTOCK01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</si>
  <si>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</si>
  <si>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</si>
  <si>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</si>
  <si>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</si>
  <si>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</si>
  <si>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</si>
  <si>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Natural/Black</t>
  </si>
  <si>
    <t>II151-0105</t>
  </si>
  <si>
    <t>Metal Pendant with Drum Shade</t>
  </si>
  <si>
    <t>Plated Nickel</t>
  </si>
  <si>
    <t>1/28/2021</t>
  </si>
  <si>
    <t>8/11/2023</t>
  </si>
  <si>
    <t>II151-0120</t>
  </si>
  <si>
    <t>saben</t>
  </si>
  <si>
    <t>2-Tier Layered Shade Pendant</t>
  </si>
  <si>
    <t>Gold/White</t>
  </si>
  <si>
    <t>5/30/2023</t>
  </si>
  <si>
    <t>II151-0138</t>
  </si>
  <si>
    <t>Wren</t>
  </si>
  <si>
    <t>Bell Shaped Bamboo Pendant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</si>
  <si>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</si>
  <si>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</si>
  <si>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</si>
  <si>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</si>
  <si>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</si>
  <si>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</si>
  <si>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</si>
  <si>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11/19/2024</t>
  </si>
  <si>
    <t>II155-0145</t>
  </si>
  <si>
    <t>Rattan Weave Shade Wall Sconce</t>
  </si>
  <si>
    <t>8/31/2023</t>
  </si>
  <si>
    <t>FB155-1182</t>
  </si>
  <si>
    <t>Luminex</t>
  </si>
  <si>
    <t>White Ceramic Wall Sconce with Adjustable Swing Arm</t>
  </si>
  <si>
    <t>5/11/2024</t>
  </si>
  <si>
    <t>II73-1256</t>
  </si>
  <si>
    <t>TOWL</t>
  </si>
  <si>
    <t>BATH TOWEL</t>
  </si>
  <si>
    <t>Bath Towel</t>
  </si>
  <si>
    <t>Atlas</t>
  </si>
  <si>
    <t>Rhett</t>
  </si>
  <si>
    <t>Cotton Dobby Slub 6 Piece Towel Set</t>
  </si>
  <si>
    <t>6-Piece</t>
  </si>
  <si>
    <t>PP001772;PF005719</t>
  </si>
  <si>
    <t>6</t>
  </si>
  <si>
    <t>8/5/2022</t>
  </si>
  <si>
    <t>9/9/2022</t>
  </si>
  <si>
    <t>II73-1252</t>
  </si>
  <si>
    <t>PP001772;PF005720</t>
  </si>
  <si>
    <t>AMAZONDS,JCPENNEY01,KOHLDSN,TGTDVS</t>
  </si>
  <si>
    <t>II73-1253</t>
  </si>
  <si>
    <t>PP001772;PF005716</t>
  </si>
  <si>
    <t>AMAZONDS,MACY02,OLLIIX,TGTDVS</t>
  </si>
  <si>
    <t>8/9/2022</t>
  </si>
  <si>
    <t>9/2/2022</t>
  </si>
  <si>
    <t>II73-1255</t>
  </si>
  <si>
    <t>PP001772;PF005718</t>
  </si>
  <si>
    <t>AMAZONDS,TGTDVS</t>
  </si>
  <si>
    <t>11/23/2022</t>
  </si>
  <si>
    <t>II73-1254</t>
  </si>
  <si>
    <t>PP001772;PF005717</t>
  </si>
  <si>
    <t>II40-1184</t>
  </si>
  <si>
    <t>WIN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</si>
  <si>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</si>
  <si>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</si>
  <si>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</si>
  <si>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</si>
  <si>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</si>
  <si>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</si>
  <si>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AMAZON,AMAZONDS,JCPENNEY01,NRTPORT,TGTDVS</t>
  </si>
  <si>
    <t>6/8/2021</t>
  </si>
  <si>
    <t>II40-1183</t>
  </si>
  <si>
    <t>Cotton Printed Curtain Panel with Chenille detail and Lining</t>
  </si>
  <si>
    <t>5/20/2021</t>
  </si>
  <si>
    <t>2/8/2025</t>
  </si>
  <si>
    <t>AMAZON,AMAZONDS,DESINC,OVERSTOCK01,TGTDVS</t>
  </si>
  <si>
    <t>7/5/2021</t>
  </si>
  <si>
    <t>II40-1328</t>
  </si>
  <si>
    <t>Ebby</t>
  </si>
  <si>
    <t>Cora</t>
  </si>
  <si>
    <t>Alaia</t>
  </si>
  <si>
    <t>2pk Poly Printed Curtain Panel with Tufted Stripe</t>
  </si>
  <si>
    <t>2-PK 50x84"</t>
  </si>
  <si>
    <t>White/Taupe</t>
  </si>
  <si>
    <t>PP001971;PF006280</t>
  </si>
  <si>
    <t>6/11/2024</t>
  </si>
  <si>
    <t>II40-1329</t>
  </si>
  <si>
    <t>2-PK 50x95"</t>
  </si>
  <si>
    <t>II40-1234</t>
  </si>
  <si>
    <t>Cotton Printed Curtain Panel with Chenille Stripe and Lining</t>
  </si>
  <si>
    <t>PF005068;PP001556</t>
  </si>
  <si>
    <t>2/2/2022</t>
  </si>
  <si>
    <t>AMAZONDS,HDDS</t>
  </si>
  <si>
    <t>9/22/2022</t>
  </si>
  <si>
    <t>II40-1293</t>
  </si>
  <si>
    <t>50x95"</t>
  </si>
  <si>
    <t>9/13/2023</t>
  </si>
  <si>
    <t>AMAZON,ASHFURNDS,CSNSTORES</t>
  </si>
  <si>
    <t>II40-1350</t>
  </si>
  <si>
    <t>II40-1351</t>
  </si>
  <si>
    <t>II40-1352</t>
  </si>
  <si>
    <t>50x108"</t>
  </si>
  <si>
    <t>II40-1292</t>
  </si>
  <si>
    <t>8/24/2023</t>
  </si>
  <si>
    <t>AMAZON,ASHFURNDS,CSNSTORES,KIRKLANDDS,OLLIIX,OVERSCONSIGN,OVERSTOCK01</t>
  </si>
  <si>
    <t>II40-1345</t>
  </si>
  <si>
    <t>Farm House|Light Filtering</t>
  </si>
  <si>
    <t>11/16/2024</t>
  </si>
  <si>
    <t>4/9/2025</t>
  </si>
  <si>
    <t>II40-1294</t>
  </si>
  <si>
    <t>AMAZON,AMAZONDS,BLK01,CSNSTORES,DESINC,KIRKLANDDS,KOHLDSN,NRTPORT,OLLIIX,OVERSTOCK01</t>
  </si>
  <si>
    <t>II40-1295</t>
  </si>
  <si>
    <t>ASHFURNDS,BLK01,CSNSTORES,JCPENNEY01,OVERSTOCK01</t>
  </si>
  <si>
    <t>II40-1344</t>
  </si>
  <si>
    <t>4/16/2025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</si>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</sst>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4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59.85</v>
      </c>
      <c r="M6" s="3">
        <v>62.84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98</v>
      </c>
      <c r="Y6" s="2" t="s">
        <v>104</v>
      </c>
      <c r="Z6" s="4">
        <v>711</v>
      </c>
      <c r="AA6" s="4">
        <f>=ROUNDDOWN(59.25,0)</f>
      </c>
      <c r="AB6" s="5">
        <v>12</v>
      </c>
      <c r="AC6" s="2" t="s">
        <v>98</v>
      </c>
      <c r="AD6" s="4"/>
      <c r="AE6" s="4"/>
      <c r="AF6" s="6">
        <v>66</v>
      </c>
      <c r="AG6" s="6">
        <v>74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5</v>
      </c>
      <c r="AQ6" s="8">
        <v>363.2</v>
      </c>
      <c r="AR6" s="4"/>
      <c r="AS6" s="8"/>
      <c r="AT6" s="7"/>
      <c r="AU6" s="7"/>
      <c r="AV6" s="4">
        <v>6</v>
      </c>
      <c r="AW6" s="8">
        <v>452.61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0.8025</v>
      </c>
      <c r="BC6" s="4">
        <v>11</v>
      </c>
      <c r="BD6" s="8">
        <v>882.89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0.5126</v>
      </c>
      <c r="BJ6" s="4">
        <v>15</v>
      </c>
      <c r="BK6" s="8">
        <v>1048.38</v>
      </c>
      <c r="BL6" s="2" t="s">
        <v>105</v>
      </c>
      <c r="BM6" s="7">
        <v>0.3333</v>
      </c>
      <c r="BN6" s="7">
        <v>0.3464</v>
      </c>
      <c r="BO6" s="4">
        <v>5</v>
      </c>
      <c r="BP6" s="8">
        <v>363.2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111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98</v>
      </c>
      <c r="Y7" s="2" t="s">
        <v>104</v>
      </c>
      <c r="Z7" s="4">
        <v>644</v>
      </c>
      <c r="AA7" s="4">
        <f>=ROUNDDOWN(46,0)</f>
      </c>
      <c r="AB7" s="5">
        <v>14</v>
      </c>
      <c r="AC7" s="2" t="s">
        <v>98</v>
      </c>
      <c r="AD7" s="4"/>
      <c r="AE7" s="4"/>
      <c r="AF7" s="6">
        <v>66</v>
      </c>
      <c r="AG7" s="6">
        <v>74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1</v>
      </c>
      <c r="AQ7" s="8">
        <v>89.41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0.1975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18</v>
      </c>
      <c r="BK7" s="8">
        <v>1526.89</v>
      </c>
      <c r="BL7" s="2" t="s">
        <v>112</v>
      </c>
      <c r="BM7" s="7">
        <v>0.0556</v>
      </c>
      <c r="BN7" s="7">
        <v>0.0586</v>
      </c>
      <c r="BO7" s="4">
        <v>1</v>
      </c>
      <c r="BP7" s="8">
        <v>89.41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113</v>
      </c>
      <c r="BY7" s="2" t="s">
        <v>109</v>
      </c>
      <c r="BZ7" s="2" t="s">
        <v>98</v>
      </c>
    </row>
    <row r="8">
      <c r="A8" s="2" t="s">
        <v>114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115</v>
      </c>
      <c r="L8" s="3">
        <v>59.85</v>
      </c>
      <c r="M8" s="3">
        <v>62.84</v>
      </c>
      <c r="N8" s="3">
        <v>129.99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116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98</v>
      </c>
      <c r="Y8" s="2" t="s">
        <v>117</v>
      </c>
      <c r="Z8" s="4">
        <v>471</v>
      </c>
      <c r="AA8" s="4">
        <f>=ROUNDDOWN(42.8181818181818,0)</f>
      </c>
      <c r="AB8" s="5">
        <v>11</v>
      </c>
      <c r="AC8" s="2" t="s">
        <v>118</v>
      </c>
      <c r="AD8" s="4">
        <v>180</v>
      </c>
      <c r="AE8" s="4">
        <v>300</v>
      </c>
      <c r="AF8" s="6">
        <v>66</v>
      </c>
      <c r="AG8" s="6">
        <v>74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1</v>
      </c>
      <c r="AQ8" s="8">
        <v>72.64</v>
      </c>
      <c r="AR8" s="4"/>
      <c r="AS8" s="8"/>
      <c r="AT8" s="7"/>
      <c r="AU8" s="7"/>
      <c r="AV8" s="4">
        <v>3</v>
      </c>
      <c r="AW8" s="8">
        <v>251.46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0.2889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0.2848</v>
      </c>
      <c r="BJ8" s="4">
        <v>7</v>
      </c>
      <c r="BK8" s="8">
        <v>504.04</v>
      </c>
      <c r="BL8" s="2" t="s">
        <v>119</v>
      </c>
      <c r="BM8" s="7">
        <v>0.1429</v>
      </c>
      <c r="BN8" s="7">
        <v>0.1441</v>
      </c>
      <c r="BO8" s="4">
        <v>1</v>
      </c>
      <c r="BP8" s="8">
        <v>72.64</v>
      </c>
      <c r="BQ8" s="4"/>
      <c r="BR8" s="8"/>
      <c r="BS8" s="7"/>
      <c r="BT8" s="7"/>
      <c r="BU8" s="2" t="s">
        <v>106</v>
      </c>
      <c r="BV8" s="2" t="s">
        <v>95</v>
      </c>
      <c r="BW8" s="2" t="s">
        <v>120</v>
      </c>
      <c r="BX8" s="2" t="s">
        <v>121</v>
      </c>
      <c r="BY8" s="2" t="s">
        <v>109</v>
      </c>
      <c r="BZ8" s="2" t="s">
        <v>98</v>
      </c>
    </row>
    <row r="9">
      <c r="A9" s="2" t="s">
        <v>122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111</v>
      </c>
      <c r="K9" s="2" t="s">
        <v>115</v>
      </c>
      <c r="L9" s="3">
        <v>74.29</v>
      </c>
      <c r="M9" s="3">
        <v>78</v>
      </c>
      <c r="N9" s="3">
        <v>159.99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116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98</v>
      </c>
      <c r="Y9" s="2" t="s">
        <v>117</v>
      </c>
      <c r="Z9" s="4">
        <v>581</v>
      </c>
      <c r="AA9" s="4">
        <f>=ROUNDDOWN(38.7333333333333,0)</f>
      </c>
      <c r="AB9" s="5">
        <v>15</v>
      </c>
      <c r="AC9" s="2" t="s">
        <v>123</v>
      </c>
      <c r="AD9" s="4">
        <v>190</v>
      </c>
      <c r="AE9" s="4">
        <v>530</v>
      </c>
      <c r="AF9" s="6">
        <v>66</v>
      </c>
      <c r="AG9" s="6">
        <v>74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2</v>
      </c>
      <c r="AQ9" s="8">
        <v>178.82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0.7111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24</v>
      </c>
      <c r="BK9" s="8">
        <v>2091.19</v>
      </c>
      <c r="BL9" s="2" t="s">
        <v>124</v>
      </c>
      <c r="BM9" s="7">
        <v>0.0833</v>
      </c>
      <c r="BN9" s="7">
        <v>0.0855</v>
      </c>
      <c r="BO9" s="4">
        <v>2</v>
      </c>
      <c r="BP9" s="8">
        <v>178.82</v>
      </c>
      <c r="BQ9" s="4"/>
      <c r="BR9" s="8"/>
      <c r="BS9" s="7"/>
      <c r="BT9" s="7"/>
      <c r="BU9" s="2" t="s">
        <v>106</v>
      </c>
      <c r="BV9" s="2" t="s">
        <v>95</v>
      </c>
      <c r="BW9" s="2" t="s">
        <v>120</v>
      </c>
      <c r="BX9" s="2" t="s">
        <v>125</v>
      </c>
      <c r="BY9" s="2" t="s">
        <v>109</v>
      </c>
      <c r="BZ9" s="2" t="s">
        <v>98</v>
      </c>
    </row>
    <row r="10">
      <c r="A10" s="2" t="s">
        <v>126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127</v>
      </c>
      <c r="L10" s="3">
        <v>59.85</v>
      </c>
      <c r="M10" s="3">
        <v>62.84</v>
      </c>
      <c r="N10" s="3">
        <v>129.99</v>
      </c>
      <c r="O10" s="2" t="s">
        <v>95</v>
      </c>
      <c r="P10" s="2" t="s">
        <v>128</v>
      </c>
      <c r="Q10" s="2" t="s">
        <v>97</v>
      </c>
      <c r="R10" s="2" t="s">
        <v>98</v>
      </c>
      <c r="S10" s="2" t="s">
        <v>129</v>
      </c>
      <c r="T10" s="2" t="s">
        <v>130</v>
      </c>
      <c r="U10" s="2" t="s">
        <v>101</v>
      </c>
      <c r="V10" s="2" t="s">
        <v>131</v>
      </c>
      <c r="W10" s="2" t="s">
        <v>103</v>
      </c>
      <c r="X10" s="2" t="s">
        <v>98</v>
      </c>
      <c r="Y10" s="2" t="s">
        <v>132</v>
      </c>
      <c r="Z10" s="4">
        <v>163</v>
      </c>
      <c r="AA10" s="4">
        <f>=ROUNDDOWN(81.5,0)</f>
      </c>
      <c r="AB10" s="5">
        <v>2</v>
      </c>
      <c r="AC10" s="2" t="s">
        <v>98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2</v>
      </c>
      <c r="AW10" s="8">
        <v>178.82</v>
      </c>
      <c r="AX10" s="4" t="s">
        <v>98</v>
      </c>
      <c r="AY10" s="8" t="s">
        <v>98</v>
      </c>
      <c r="AZ10" s="7" t="s">
        <v>98</v>
      </c>
      <c r="BA10" s="7" t="s">
        <v>98</v>
      </c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0.2025</v>
      </c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95</v>
      </c>
      <c r="BW10" s="2" t="s">
        <v>133</v>
      </c>
      <c r="BX10" s="2" t="s">
        <v>134</v>
      </c>
      <c r="BY10" s="2" t="s">
        <v>109</v>
      </c>
      <c r="BZ10" s="2" t="s">
        <v>98</v>
      </c>
    </row>
    <row r="11">
      <c r="A11" s="2" t="s">
        <v>135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111</v>
      </c>
      <c r="K11" s="2" t="s">
        <v>127</v>
      </c>
      <c r="L11" s="3">
        <v>74.29</v>
      </c>
      <c r="M11" s="3">
        <v>78</v>
      </c>
      <c r="N11" s="3">
        <v>159.99</v>
      </c>
      <c r="O11" s="2" t="s">
        <v>95</v>
      </c>
      <c r="P11" s="2" t="s">
        <v>128</v>
      </c>
      <c r="Q11" s="2" t="s">
        <v>97</v>
      </c>
      <c r="R11" s="2" t="s">
        <v>98</v>
      </c>
      <c r="S11" s="2" t="s">
        <v>129</v>
      </c>
      <c r="T11" s="2" t="s">
        <v>130</v>
      </c>
      <c r="U11" s="2" t="s">
        <v>101</v>
      </c>
      <c r="V11" s="2" t="s">
        <v>131</v>
      </c>
      <c r="W11" s="2" t="s">
        <v>103</v>
      </c>
      <c r="X11" s="2" t="s">
        <v>98</v>
      </c>
      <c r="Y11" s="2" t="s">
        <v>132</v>
      </c>
      <c r="Z11" s="4">
        <v>186</v>
      </c>
      <c r="AA11" s="4">
        <f>=ROUNDDOWN(93,0)</f>
      </c>
      <c r="AB11" s="5">
        <v>2</v>
      </c>
      <c r="AC11" s="2" t="s">
        <v>98</v>
      </c>
      <c r="AD11" s="4"/>
      <c r="AE11" s="4"/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2</v>
      </c>
      <c r="AQ11" s="8">
        <v>178.82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4</v>
      </c>
      <c r="BK11" s="8">
        <v>350.56</v>
      </c>
      <c r="BL11" s="2" t="s">
        <v>136</v>
      </c>
      <c r="BM11" s="7">
        <v>0.5</v>
      </c>
      <c r="BN11" s="7">
        <v>0.5101</v>
      </c>
      <c r="BO11" s="4">
        <v>2</v>
      </c>
      <c r="BP11" s="8">
        <v>178.82</v>
      </c>
      <c r="BQ11" s="4"/>
      <c r="BR11" s="8"/>
      <c r="BS11" s="7"/>
      <c r="BT11" s="7"/>
      <c r="BU11" s="2" t="s">
        <v>106</v>
      </c>
      <c r="BV11" s="2" t="s">
        <v>95</v>
      </c>
      <c r="BW11" s="2" t="s">
        <v>133</v>
      </c>
      <c r="BX11" s="2" t="s">
        <v>137</v>
      </c>
      <c r="BY11" s="2" t="s">
        <v>109</v>
      </c>
      <c r="BZ11" s="2" t="s">
        <v>98</v>
      </c>
    </row>
    <row r="12">
      <c r="A12" s="2" t="s">
        <v>138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139</v>
      </c>
      <c r="L12" s="3">
        <v>59.85</v>
      </c>
      <c r="M12" s="3">
        <v>62.84</v>
      </c>
      <c r="N12" s="3">
        <v>129.99</v>
      </c>
      <c r="O12" s="2" t="s">
        <v>95</v>
      </c>
      <c r="P12" s="2" t="s">
        <v>140</v>
      </c>
      <c r="Q12" s="2" t="s">
        <v>97</v>
      </c>
      <c r="R12" s="2" t="s">
        <v>98</v>
      </c>
      <c r="S12" s="2" t="s">
        <v>141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98</v>
      </c>
      <c r="Y12" s="2" t="s">
        <v>142</v>
      </c>
      <c r="Z12" s="4">
        <v>320</v>
      </c>
      <c r="AA12" s="4">
        <f>=ROUNDDOWN(80,0)</f>
      </c>
      <c r="AB12" s="5">
        <v>4</v>
      </c>
      <c r="AC12" s="2" t="s">
        <v>98</v>
      </c>
      <c r="AD12" s="4"/>
      <c r="AE12" s="4"/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1</v>
      </c>
      <c r="BK12" s="8">
        <v>67.45</v>
      </c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95</v>
      </c>
      <c r="BW12" s="2" t="s">
        <v>144</v>
      </c>
      <c r="BX12" s="2" t="s">
        <v>145</v>
      </c>
      <c r="BY12" s="2" t="s">
        <v>109</v>
      </c>
      <c r="BZ12" s="2" t="s">
        <v>98</v>
      </c>
    </row>
    <row r="13">
      <c r="A13" s="2" t="s">
        <v>146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111</v>
      </c>
      <c r="K13" s="2" t="s">
        <v>139</v>
      </c>
      <c r="L13" s="3">
        <v>74.29</v>
      </c>
      <c r="M13" s="3">
        <v>78</v>
      </c>
      <c r="N13" s="3">
        <v>159.99</v>
      </c>
      <c r="O13" s="2" t="s">
        <v>95</v>
      </c>
      <c r="P13" s="2" t="s">
        <v>140</v>
      </c>
      <c r="Q13" s="2" t="s">
        <v>97</v>
      </c>
      <c r="R13" s="2" t="s">
        <v>98</v>
      </c>
      <c r="S13" s="2" t="s">
        <v>141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98</v>
      </c>
      <c r="Y13" s="2" t="s">
        <v>142</v>
      </c>
      <c r="Z13" s="4">
        <v>336</v>
      </c>
      <c r="AA13" s="4">
        <f>=ROUNDDOWN(56,0)</f>
      </c>
      <c r="AB13" s="5">
        <v>6</v>
      </c>
      <c r="AC13" s="2" t="s">
        <v>98</v>
      </c>
      <c r="AD13" s="4"/>
      <c r="AE13" s="4"/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7</v>
      </c>
      <c r="BK13" s="8">
        <v>616.03</v>
      </c>
      <c r="BL13" s="2" t="s">
        <v>147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95</v>
      </c>
      <c r="BW13" s="2" t="s">
        <v>144</v>
      </c>
      <c r="BX13" s="2" t="s">
        <v>148</v>
      </c>
      <c r="BY13" s="2" t="s">
        <v>109</v>
      </c>
      <c r="BZ13" s="2" t="s">
        <v>98</v>
      </c>
    </row>
    <row r="14">
      <c r="A14" s="2" t="s">
        <v>149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93</v>
      </c>
      <c r="K14" s="2" t="s">
        <v>152</v>
      </c>
      <c r="L14" s="3">
        <v>61.18</v>
      </c>
      <c r="M14" s="3">
        <v>64.24</v>
      </c>
      <c r="N14" s="3">
        <v>129.99</v>
      </c>
      <c r="O14" s="2" t="s">
        <v>95</v>
      </c>
      <c r="P14" s="2" t="s">
        <v>153</v>
      </c>
      <c r="Q14" s="2" t="s">
        <v>97</v>
      </c>
      <c r="R14" s="2" t="s">
        <v>98</v>
      </c>
      <c r="S14" s="2" t="s">
        <v>154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98</v>
      </c>
      <c r="Y14" s="2" t="s">
        <v>155</v>
      </c>
      <c r="Z14" s="4">
        <v>1320</v>
      </c>
      <c r="AA14" s="4">
        <f>=ROUNDDOWN(40,0)</f>
      </c>
      <c r="AB14" s="5">
        <v>33</v>
      </c>
      <c r="AC14" s="2" t="s">
        <v>98</v>
      </c>
      <c r="AD14" s="4"/>
      <c r="AE14" s="4"/>
      <c r="AF14" s="6">
        <v>69</v>
      </c>
      <c r="AG14" s="6">
        <v>77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1</v>
      </c>
      <c r="AP14" s="4">
        <v>5</v>
      </c>
      <c r="AQ14" s="8">
        <v>353.15</v>
      </c>
      <c r="AR14" s="4"/>
      <c r="AS14" s="8"/>
      <c r="AT14" s="7"/>
      <c r="AU14" s="7"/>
      <c r="AV14" s="4">
        <v>5</v>
      </c>
      <c r="AW14" s="8">
        <v>353.15</v>
      </c>
      <c r="AX14" s="4"/>
      <c r="AY14" s="8"/>
      <c r="AZ14" s="7"/>
      <c r="BA14" s="7"/>
      <c r="BB14" s="7">
        <v>1</v>
      </c>
      <c r="BC14" s="4">
        <v>7</v>
      </c>
      <c r="BD14" s="8">
        <v>510.7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0.6915</v>
      </c>
      <c r="BJ14" s="4">
        <v>46</v>
      </c>
      <c r="BK14" s="8">
        <v>3168.65</v>
      </c>
      <c r="BL14" s="2" t="s">
        <v>156</v>
      </c>
      <c r="BM14" s="7">
        <v>0.1087</v>
      </c>
      <c r="BN14" s="7">
        <v>0.1115</v>
      </c>
      <c r="BO14" s="4">
        <v>5</v>
      </c>
      <c r="BP14" s="8">
        <v>353.15</v>
      </c>
      <c r="BQ14" s="4"/>
      <c r="BR14" s="8"/>
      <c r="BS14" s="7"/>
      <c r="BT14" s="7"/>
      <c r="BU14" s="2" t="s">
        <v>106</v>
      </c>
      <c r="BV14" s="2" t="s">
        <v>95</v>
      </c>
      <c r="BW14" s="2" t="s">
        <v>157</v>
      </c>
      <c r="BX14" s="2" t="s">
        <v>158</v>
      </c>
      <c r="BY14" s="2" t="s">
        <v>109</v>
      </c>
      <c r="BZ14" s="2" t="s">
        <v>98</v>
      </c>
    </row>
    <row r="15">
      <c r="A15" s="2" t="s">
        <v>159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150</v>
      </c>
      <c r="G15" s="2" t="s">
        <v>150</v>
      </c>
      <c r="H15" s="2" t="s">
        <v>150</v>
      </c>
      <c r="I15" s="2" t="s">
        <v>151</v>
      </c>
      <c r="J15" s="2" t="s">
        <v>111</v>
      </c>
      <c r="K15" s="2" t="s">
        <v>160</v>
      </c>
      <c r="L15" s="3">
        <v>74.29</v>
      </c>
      <c r="M15" s="3">
        <v>78</v>
      </c>
      <c r="N15" s="3">
        <v>159.99</v>
      </c>
      <c r="O15" s="2" t="s">
        <v>161</v>
      </c>
      <c r="P15" s="2" t="s">
        <v>128</v>
      </c>
      <c r="Q15" s="2" t="s">
        <v>97</v>
      </c>
      <c r="R15" s="2" t="s">
        <v>98</v>
      </c>
      <c r="S15" s="2" t="s">
        <v>162</v>
      </c>
      <c r="T15" s="2" t="s">
        <v>130</v>
      </c>
      <c r="U15" s="2" t="s">
        <v>101</v>
      </c>
      <c r="V15" s="2" t="s">
        <v>131</v>
      </c>
      <c r="W15" s="2" t="s">
        <v>163</v>
      </c>
      <c r="X15" s="2" t="s">
        <v>164</v>
      </c>
      <c r="Y15" s="2" t="s">
        <v>165</v>
      </c>
      <c r="Z15" s="4"/>
      <c r="AA15" s="4">
        <f>=ROUNDDOWN({0},0)</f>
      </c>
      <c r="AB15" s="5">
        <v>4</v>
      </c>
      <c r="AC15" s="2" t="s">
        <v>98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1</v>
      </c>
      <c r="AQ15" s="8">
        <v>86.92</v>
      </c>
      <c r="AR15" s="4"/>
      <c r="AS15" s="8"/>
      <c r="AT15" s="7"/>
      <c r="AU15" s="7"/>
      <c r="AV15" s="4">
        <v>1</v>
      </c>
      <c r="AW15" s="8">
        <v>86.92</v>
      </c>
      <c r="AX15" s="4"/>
      <c r="AY15" s="8"/>
      <c r="AZ15" s="7"/>
      <c r="BA15" s="7"/>
      <c r="BB15" s="7">
        <v>1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0.1702</v>
      </c>
      <c r="BJ15" s="4">
        <v>5</v>
      </c>
      <c r="BK15" s="8">
        <v>415.61</v>
      </c>
      <c r="BL15" s="2" t="s">
        <v>166</v>
      </c>
      <c r="BM15" s="7">
        <v>0.2</v>
      </c>
      <c r="BN15" s="7">
        <v>0.2091</v>
      </c>
      <c r="BO15" s="4">
        <v>1</v>
      </c>
      <c r="BP15" s="8">
        <v>86.92</v>
      </c>
      <c r="BQ15" s="4"/>
      <c r="BR15" s="8"/>
      <c r="BS15" s="7"/>
      <c r="BT15" s="7"/>
      <c r="BU15" s="2" t="s">
        <v>106</v>
      </c>
      <c r="BV15" s="2" t="s">
        <v>167</v>
      </c>
      <c r="BW15" s="2" t="s">
        <v>168</v>
      </c>
      <c r="BX15" s="2" t="s">
        <v>169</v>
      </c>
      <c r="BY15" s="2" t="s">
        <v>109</v>
      </c>
      <c r="BZ15" s="2" t="s">
        <v>98</v>
      </c>
    </row>
    <row r="16">
      <c r="A16" s="2" t="s">
        <v>170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150</v>
      </c>
      <c r="G16" s="2" t="s">
        <v>150</v>
      </c>
      <c r="H16" s="2" t="s">
        <v>150</v>
      </c>
      <c r="I16" s="2" t="s">
        <v>151</v>
      </c>
      <c r="J16" s="2" t="s">
        <v>93</v>
      </c>
      <c r="K16" s="2" t="s">
        <v>139</v>
      </c>
      <c r="L16" s="3">
        <v>61.18</v>
      </c>
      <c r="M16" s="3">
        <v>64.24</v>
      </c>
      <c r="N16" s="3">
        <v>129.99</v>
      </c>
      <c r="O16" s="2" t="s">
        <v>95</v>
      </c>
      <c r="P16" s="2" t="s">
        <v>153</v>
      </c>
      <c r="Q16" s="2" t="s">
        <v>97</v>
      </c>
      <c r="R16" s="2" t="s">
        <v>98</v>
      </c>
      <c r="S16" s="2" t="s">
        <v>171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98</v>
      </c>
      <c r="Y16" s="2" t="s">
        <v>172</v>
      </c>
      <c r="Z16" s="4">
        <v>937</v>
      </c>
      <c r="AA16" s="4">
        <f>=ROUNDDOWN(49.3157894736842,0)</f>
      </c>
      <c r="AB16" s="5">
        <v>19</v>
      </c>
      <c r="AC16" s="2" t="s">
        <v>98</v>
      </c>
      <c r="AD16" s="4"/>
      <c r="AE16" s="4"/>
      <c r="AF16" s="6">
        <v>69</v>
      </c>
      <c r="AG16" s="6">
        <v>77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1</v>
      </c>
      <c r="AQ16" s="8">
        <v>70.63</v>
      </c>
      <c r="AR16" s="4"/>
      <c r="AS16" s="8"/>
      <c r="AT16" s="7"/>
      <c r="AU16" s="7"/>
      <c r="AV16" s="4">
        <v>1</v>
      </c>
      <c r="AW16" s="8">
        <v>70.63</v>
      </c>
      <c r="AX16" s="4"/>
      <c r="AY16" s="8"/>
      <c r="AZ16" s="7"/>
      <c r="BA16" s="7"/>
      <c r="BB16" s="7">
        <v>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0.1383</v>
      </c>
      <c r="BJ16" s="4">
        <v>11</v>
      </c>
      <c r="BK16" s="8">
        <v>754.75</v>
      </c>
      <c r="BL16" s="2" t="s">
        <v>173</v>
      </c>
      <c r="BM16" s="7">
        <v>0.0909</v>
      </c>
      <c r="BN16" s="7">
        <v>0.0936</v>
      </c>
      <c r="BO16" s="4">
        <v>1</v>
      </c>
      <c r="BP16" s="8">
        <v>70.63</v>
      </c>
      <c r="BQ16" s="4"/>
      <c r="BR16" s="8"/>
      <c r="BS16" s="7"/>
      <c r="BT16" s="7"/>
      <c r="BU16" s="2" t="s">
        <v>106</v>
      </c>
      <c r="BV16" s="2" t="s">
        <v>95</v>
      </c>
      <c r="BW16" s="2" t="s">
        <v>168</v>
      </c>
      <c r="BX16" s="2" t="s">
        <v>174</v>
      </c>
      <c r="BY16" s="2" t="s">
        <v>109</v>
      </c>
      <c r="BZ16" s="2" t="s">
        <v>98</v>
      </c>
    </row>
    <row r="17">
      <c r="A17" s="2" t="s">
        <v>175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150</v>
      </c>
      <c r="G17" s="2" t="s">
        <v>150</v>
      </c>
      <c r="H17" s="2" t="s">
        <v>150</v>
      </c>
      <c r="I17" s="2" t="s">
        <v>151</v>
      </c>
      <c r="J17" s="2" t="s">
        <v>93</v>
      </c>
      <c r="K17" s="2" t="s">
        <v>176</v>
      </c>
      <c r="L17" s="3">
        <v>61.18</v>
      </c>
      <c r="M17" s="3">
        <v>64.24</v>
      </c>
      <c r="N17" s="3">
        <v>129.99</v>
      </c>
      <c r="O17" s="2" t="s">
        <v>95</v>
      </c>
      <c r="P17" s="2" t="s">
        <v>177</v>
      </c>
      <c r="Q17" s="2" t="s">
        <v>97</v>
      </c>
      <c r="R17" s="2" t="s">
        <v>98</v>
      </c>
      <c r="S17" s="2" t="s">
        <v>98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98</v>
      </c>
      <c r="Y17" s="2" t="s">
        <v>98</v>
      </c>
      <c r="Z17" s="4"/>
      <c r="AA17" s="4">
        <f>=ROUNDDOWN({0},0)</f>
      </c>
      <c r="AB17" s="5"/>
      <c r="AC17" s="2" t="s">
        <v>178</v>
      </c>
      <c r="AD17" s="4">
        <v>290</v>
      </c>
      <c r="AE17" s="4">
        <v>580</v>
      </c>
      <c r="AF17" s="6">
        <v>69</v>
      </c>
      <c r="AG17" s="6"/>
      <c r="AH17" s="7"/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/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/>
      <c r="BK17" s="8"/>
      <c r="BL17" s="2" t="s">
        <v>98</v>
      </c>
      <c r="BM17" s="7"/>
      <c r="BN17" s="7"/>
      <c r="BO17" s="4"/>
      <c r="BP17" s="8"/>
      <c r="BQ17" s="4"/>
      <c r="BR17" s="8"/>
      <c r="BS17" s="7"/>
      <c r="BT17" s="7"/>
      <c r="BU17" s="2" t="s">
        <v>179</v>
      </c>
      <c r="BV17" s="2" t="s">
        <v>95</v>
      </c>
      <c r="BW17" s="2" t="s">
        <v>98</v>
      </c>
      <c r="BX17" s="2" t="s">
        <v>98</v>
      </c>
      <c r="BY17" s="2" t="s">
        <v>109</v>
      </c>
      <c r="BZ17" s="2" t="s">
        <v>98</v>
      </c>
    </row>
    <row r="18">
      <c r="A18" s="2" t="s">
        <v>180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150</v>
      </c>
      <c r="G18" s="2" t="s">
        <v>150</v>
      </c>
      <c r="H18" s="2" t="s">
        <v>150</v>
      </c>
      <c r="I18" s="2" t="s">
        <v>151</v>
      </c>
      <c r="J18" s="2" t="s">
        <v>111</v>
      </c>
      <c r="K18" s="2" t="s">
        <v>176</v>
      </c>
      <c r="L18" s="3">
        <v>74.29</v>
      </c>
      <c r="M18" s="3">
        <v>78</v>
      </c>
      <c r="N18" s="3">
        <v>159.99</v>
      </c>
      <c r="O18" s="2" t="s">
        <v>95</v>
      </c>
      <c r="P18" s="2" t="s">
        <v>177</v>
      </c>
      <c r="Q18" s="2" t="s">
        <v>97</v>
      </c>
      <c r="R18" s="2" t="s">
        <v>98</v>
      </c>
      <c r="S18" s="2" t="s">
        <v>98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98</v>
      </c>
      <c r="Y18" s="2" t="s">
        <v>98</v>
      </c>
      <c r="Z18" s="4"/>
      <c r="AA18" s="4">
        <f>=ROUNDDOWN({0},0)</f>
      </c>
      <c r="AB18" s="5"/>
      <c r="AC18" s="2" t="s">
        <v>178</v>
      </c>
      <c r="AD18" s="4">
        <v>370</v>
      </c>
      <c r="AE18" s="4">
        <v>740</v>
      </c>
      <c r="AF18" s="6">
        <v>69</v>
      </c>
      <c r="AG18" s="6"/>
      <c r="AH18" s="7"/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/>
      <c r="BK18" s="8"/>
      <c r="BL18" s="2" t="s">
        <v>98</v>
      </c>
      <c r="BM18" s="7"/>
      <c r="BN18" s="7"/>
      <c r="BO18" s="4"/>
      <c r="BP18" s="8"/>
      <c r="BQ18" s="4"/>
      <c r="BR18" s="8"/>
      <c r="BS18" s="7"/>
      <c r="BT18" s="7"/>
      <c r="BU18" s="2" t="s">
        <v>179</v>
      </c>
      <c r="BV18" s="2" t="s">
        <v>95</v>
      </c>
      <c r="BW18" s="2" t="s">
        <v>98</v>
      </c>
      <c r="BX18" s="2" t="s">
        <v>98</v>
      </c>
      <c r="BY18" s="2" t="s">
        <v>109</v>
      </c>
      <c r="BZ18" s="2" t="s">
        <v>98</v>
      </c>
    </row>
    <row r="19">
      <c r="A19" s="2" t="s">
        <v>181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182</v>
      </c>
      <c r="G19" s="2" t="s">
        <v>182</v>
      </c>
      <c r="H19" s="2" t="s">
        <v>182</v>
      </c>
      <c r="I19" s="2" t="s">
        <v>183</v>
      </c>
      <c r="J19" s="2" t="s">
        <v>93</v>
      </c>
      <c r="K19" s="2" t="s">
        <v>184</v>
      </c>
      <c r="L19" s="3">
        <v>65</v>
      </c>
      <c r="M19" s="3">
        <v>68.25</v>
      </c>
      <c r="N19" s="3">
        <v>129.99</v>
      </c>
      <c r="O19" s="2" t="s">
        <v>95</v>
      </c>
      <c r="P19" s="2" t="s">
        <v>185</v>
      </c>
      <c r="Q19" s="2" t="s">
        <v>97</v>
      </c>
      <c r="R19" s="2" t="s">
        <v>98</v>
      </c>
      <c r="S19" s="2" t="s">
        <v>186</v>
      </c>
      <c r="T19" s="2" t="s">
        <v>187</v>
      </c>
      <c r="U19" s="2" t="s">
        <v>101</v>
      </c>
      <c r="V19" s="2" t="s">
        <v>188</v>
      </c>
      <c r="W19" s="2" t="s">
        <v>189</v>
      </c>
      <c r="X19" s="2" t="s">
        <v>190</v>
      </c>
      <c r="Y19" s="2" t="s">
        <v>191</v>
      </c>
      <c r="Z19" s="4">
        <v>594</v>
      </c>
      <c r="AA19" s="4">
        <f>=ROUNDDOWN(88.6567164179104,0)</f>
      </c>
      <c r="AB19" s="5">
        <v>6.7</v>
      </c>
      <c r="AC19" s="2" t="s">
        <v>98</v>
      </c>
      <c r="AD19" s="4"/>
      <c r="AE19" s="4"/>
      <c r="AF19" s="6">
        <v>67</v>
      </c>
      <c r="AG19" s="6">
        <v>75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1</v>
      </c>
      <c r="AQ19" s="8">
        <v>73.7</v>
      </c>
      <c r="AR19" s="4"/>
      <c r="AS19" s="8"/>
      <c r="AT19" s="7"/>
      <c r="AU19" s="7"/>
      <c r="AV19" s="4">
        <v>3</v>
      </c>
      <c r="AW19" s="8">
        <v>255.12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0.2889</v>
      </c>
      <c r="BC19" s="4">
        <v>5</v>
      </c>
      <c r="BD19" s="8">
        <v>419.54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0.6081</v>
      </c>
      <c r="BJ19" s="4">
        <v>10</v>
      </c>
      <c r="BK19" s="8">
        <v>744.24</v>
      </c>
      <c r="BL19" s="2" t="s">
        <v>192</v>
      </c>
      <c r="BM19" s="7">
        <v>0.1</v>
      </c>
      <c r="BN19" s="7">
        <v>0.099</v>
      </c>
      <c r="BO19" s="4">
        <v>1</v>
      </c>
      <c r="BP19" s="8">
        <v>73.7</v>
      </c>
      <c r="BQ19" s="4"/>
      <c r="BR19" s="8"/>
      <c r="BS19" s="7"/>
      <c r="BT19" s="7"/>
      <c r="BU19" s="2" t="s">
        <v>106</v>
      </c>
      <c r="BV19" s="2" t="s">
        <v>95</v>
      </c>
      <c r="BW19" s="2" t="s">
        <v>168</v>
      </c>
      <c r="BX19" s="2" t="s">
        <v>193</v>
      </c>
      <c r="BY19" s="2" t="s">
        <v>109</v>
      </c>
      <c r="BZ19" s="2" t="s">
        <v>98</v>
      </c>
    </row>
    <row r="20">
      <c r="A20" s="2" t="s">
        <v>194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182</v>
      </c>
      <c r="G20" s="2" t="s">
        <v>182</v>
      </c>
      <c r="H20" s="2" t="s">
        <v>182</v>
      </c>
      <c r="I20" s="2" t="s">
        <v>183</v>
      </c>
      <c r="J20" s="2" t="s">
        <v>111</v>
      </c>
      <c r="K20" s="2" t="s">
        <v>184</v>
      </c>
      <c r="L20" s="3">
        <v>80</v>
      </c>
      <c r="M20" s="3">
        <v>84</v>
      </c>
      <c r="N20" s="3">
        <v>159.99</v>
      </c>
      <c r="O20" s="2" t="s">
        <v>95</v>
      </c>
      <c r="P20" s="2" t="s">
        <v>185</v>
      </c>
      <c r="Q20" s="2" t="s">
        <v>97</v>
      </c>
      <c r="R20" s="2" t="s">
        <v>98</v>
      </c>
      <c r="S20" s="2" t="s">
        <v>186</v>
      </c>
      <c r="T20" s="2" t="s">
        <v>187</v>
      </c>
      <c r="U20" s="2" t="s">
        <v>101</v>
      </c>
      <c r="V20" s="2" t="s">
        <v>188</v>
      </c>
      <c r="W20" s="2" t="s">
        <v>189</v>
      </c>
      <c r="X20" s="2" t="s">
        <v>190</v>
      </c>
      <c r="Y20" s="2" t="s">
        <v>191</v>
      </c>
      <c r="Z20" s="4">
        <v>372</v>
      </c>
      <c r="AA20" s="4">
        <f>=ROUNDDOWN(53.1428571428571,0)</f>
      </c>
      <c r="AB20" s="5">
        <v>7</v>
      </c>
      <c r="AC20" s="2" t="s">
        <v>98</v>
      </c>
      <c r="AD20" s="4"/>
      <c r="AE20" s="4"/>
      <c r="AF20" s="6">
        <v>67</v>
      </c>
      <c r="AG20" s="6">
        <v>75</v>
      </c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2</v>
      </c>
      <c r="AQ20" s="8">
        <v>181.42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0.7111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7</v>
      </c>
      <c r="BK20" s="8">
        <v>639.21</v>
      </c>
      <c r="BL20" s="2" t="s">
        <v>195</v>
      </c>
      <c r="BM20" s="7">
        <v>0.2857</v>
      </c>
      <c r="BN20" s="7">
        <v>0.2838</v>
      </c>
      <c r="BO20" s="4">
        <v>2</v>
      </c>
      <c r="BP20" s="8">
        <v>181.42</v>
      </c>
      <c r="BQ20" s="4"/>
      <c r="BR20" s="8"/>
      <c r="BS20" s="7"/>
      <c r="BT20" s="7"/>
      <c r="BU20" s="2" t="s">
        <v>106</v>
      </c>
      <c r="BV20" s="2" t="s">
        <v>95</v>
      </c>
      <c r="BW20" s="2" t="s">
        <v>168</v>
      </c>
      <c r="BX20" s="2" t="s">
        <v>169</v>
      </c>
      <c r="BY20" s="2" t="s">
        <v>109</v>
      </c>
      <c r="BZ20" s="2" t="s">
        <v>98</v>
      </c>
    </row>
    <row r="21">
      <c r="A21" s="2" t="s">
        <v>196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182</v>
      </c>
      <c r="G21" s="2" t="s">
        <v>182</v>
      </c>
      <c r="H21" s="2" t="s">
        <v>182</v>
      </c>
      <c r="I21" s="2" t="s">
        <v>183</v>
      </c>
      <c r="J21" s="2" t="s">
        <v>93</v>
      </c>
      <c r="K21" s="2" t="s">
        <v>139</v>
      </c>
      <c r="L21" s="3">
        <v>65</v>
      </c>
      <c r="M21" s="3">
        <v>68.25</v>
      </c>
      <c r="N21" s="3">
        <v>129.99</v>
      </c>
      <c r="O21" s="2" t="s">
        <v>95</v>
      </c>
      <c r="P21" s="2" t="s">
        <v>140</v>
      </c>
      <c r="Q21" s="2" t="s">
        <v>97</v>
      </c>
      <c r="R21" s="2" t="s">
        <v>98</v>
      </c>
      <c r="S21" s="2" t="s">
        <v>197</v>
      </c>
      <c r="T21" s="2" t="s">
        <v>187</v>
      </c>
      <c r="U21" s="2" t="s">
        <v>101</v>
      </c>
      <c r="V21" s="2" t="s">
        <v>188</v>
      </c>
      <c r="W21" s="2" t="s">
        <v>189</v>
      </c>
      <c r="X21" s="2" t="s">
        <v>190</v>
      </c>
      <c r="Y21" s="2" t="s">
        <v>198</v>
      </c>
      <c r="Z21" s="4">
        <v>236</v>
      </c>
      <c r="AA21" s="4">
        <f>=ROUNDDOWN(47.2,0)</f>
      </c>
      <c r="AB21" s="5">
        <v>5</v>
      </c>
      <c r="AC21" s="2" t="s">
        <v>98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>
        <v>1</v>
      </c>
      <c r="AQ21" s="8">
        <v>73.71</v>
      </c>
      <c r="AR21" s="4"/>
      <c r="AS21" s="8"/>
      <c r="AT21" s="7"/>
      <c r="AU21" s="7"/>
      <c r="AV21" s="4">
        <v>2</v>
      </c>
      <c r="AW21" s="8">
        <v>164.42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0.4483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0.3919</v>
      </c>
      <c r="BJ21" s="4">
        <v>6</v>
      </c>
      <c r="BK21" s="8">
        <v>439.51</v>
      </c>
      <c r="BL21" s="2" t="s">
        <v>199</v>
      </c>
      <c r="BM21" s="7">
        <v>0.1667</v>
      </c>
      <c r="BN21" s="7">
        <v>0.1677</v>
      </c>
      <c r="BO21" s="4">
        <v>1</v>
      </c>
      <c r="BP21" s="8">
        <v>73.71</v>
      </c>
      <c r="BQ21" s="4"/>
      <c r="BR21" s="8"/>
      <c r="BS21" s="7"/>
      <c r="BT21" s="7"/>
      <c r="BU21" s="2" t="s">
        <v>106</v>
      </c>
      <c r="BV21" s="2" t="s">
        <v>95</v>
      </c>
      <c r="BW21" s="2" t="s">
        <v>200</v>
      </c>
      <c r="BX21" s="2" t="s">
        <v>201</v>
      </c>
      <c r="BY21" s="2" t="s">
        <v>109</v>
      </c>
      <c r="BZ21" s="2" t="s">
        <v>98</v>
      </c>
    </row>
    <row r="22">
      <c r="A22" s="2" t="s">
        <v>202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182</v>
      </c>
      <c r="G22" s="2" t="s">
        <v>182</v>
      </c>
      <c r="H22" s="2" t="s">
        <v>182</v>
      </c>
      <c r="I22" s="2" t="s">
        <v>183</v>
      </c>
      <c r="J22" s="2" t="s">
        <v>111</v>
      </c>
      <c r="K22" s="2" t="s">
        <v>139</v>
      </c>
      <c r="L22" s="3">
        <v>80</v>
      </c>
      <c r="M22" s="3">
        <v>83.99</v>
      </c>
      <c r="N22" s="3">
        <v>159.99</v>
      </c>
      <c r="O22" s="2" t="s">
        <v>95</v>
      </c>
      <c r="P22" s="2" t="s">
        <v>140</v>
      </c>
      <c r="Q22" s="2" t="s">
        <v>97</v>
      </c>
      <c r="R22" s="2" t="s">
        <v>98</v>
      </c>
      <c r="S22" s="2" t="s">
        <v>197</v>
      </c>
      <c r="T22" s="2" t="s">
        <v>187</v>
      </c>
      <c r="U22" s="2" t="s">
        <v>101</v>
      </c>
      <c r="V22" s="2" t="s">
        <v>188</v>
      </c>
      <c r="W22" s="2" t="s">
        <v>189</v>
      </c>
      <c r="X22" s="2" t="s">
        <v>190</v>
      </c>
      <c r="Y22" s="2" t="s">
        <v>198</v>
      </c>
      <c r="Z22" s="4">
        <v>193</v>
      </c>
      <c r="AA22" s="4">
        <f>=ROUNDDOWN(32.1666666666667,0)</f>
      </c>
      <c r="AB22" s="5">
        <v>6</v>
      </c>
      <c r="AC22" s="2" t="s">
        <v>98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>
        <v>1</v>
      </c>
      <c r="AQ22" s="8">
        <v>90.71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0.5517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3</v>
      </c>
      <c r="BK22" s="8">
        <v>275.09</v>
      </c>
      <c r="BL22" s="2" t="s">
        <v>203</v>
      </c>
      <c r="BM22" s="7">
        <v>0.3333</v>
      </c>
      <c r="BN22" s="7">
        <v>0.3297</v>
      </c>
      <c r="BO22" s="4">
        <v>1</v>
      </c>
      <c r="BP22" s="8">
        <v>90.71</v>
      </c>
      <c r="BQ22" s="4"/>
      <c r="BR22" s="8"/>
      <c r="BS22" s="7"/>
      <c r="BT22" s="7"/>
      <c r="BU22" s="2" t="s">
        <v>106</v>
      </c>
      <c r="BV22" s="2" t="s">
        <v>95</v>
      </c>
      <c r="BW22" s="2" t="s">
        <v>200</v>
      </c>
      <c r="BX22" s="2" t="s">
        <v>204</v>
      </c>
      <c r="BY22" s="2" t="s">
        <v>109</v>
      </c>
      <c r="BZ22" s="2" t="s">
        <v>98</v>
      </c>
    </row>
    <row r="23">
      <c r="A23" s="2" t="s">
        <v>205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182</v>
      </c>
      <c r="G23" s="2" t="s">
        <v>182</v>
      </c>
      <c r="H23" s="2" t="s">
        <v>182</v>
      </c>
      <c r="I23" s="2" t="s">
        <v>183</v>
      </c>
      <c r="J23" s="2" t="s">
        <v>93</v>
      </c>
      <c r="K23" s="2" t="s">
        <v>160</v>
      </c>
      <c r="L23" s="3">
        <v>65</v>
      </c>
      <c r="M23" s="3">
        <v>68.25</v>
      </c>
      <c r="N23" s="3">
        <v>129.99</v>
      </c>
      <c r="O23" s="2" t="s">
        <v>206</v>
      </c>
      <c r="P23" s="2" t="s">
        <v>128</v>
      </c>
      <c r="Q23" s="2" t="s">
        <v>97</v>
      </c>
      <c r="R23" s="2" t="s">
        <v>98</v>
      </c>
      <c r="S23" s="2" t="s">
        <v>207</v>
      </c>
      <c r="T23" s="2" t="s">
        <v>130</v>
      </c>
      <c r="U23" s="2" t="s">
        <v>101</v>
      </c>
      <c r="V23" s="2" t="s">
        <v>208</v>
      </c>
      <c r="W23" s="2" t="s">
        <v>209</v>
      </c>
      <c r="X23" s="2" t="s">
        <v>190</v>
      </c>
      <c r="Y23" s="2" t="s">
        <v>210</v>
      </c>
      <c r="Z23" s="4">
        <v>234</v>
      </c>
      <c r="AA23" s="4">
        <f>=ROUNDDOWN(33.4285714285714,0)</f>
      </c>
      <c r="AB23" s="5">
        <v>7</v>
      </c>
      <c r="AC23" s="2" t="s">
        <v>98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10</v>
      </c>
      <c r="BK23" s="8">
        <v>525.21</v>
      </c>
      <c r="BL23" s="2" t="s">
        <v>211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95</v>
      </c>
      <c r="BW23" s="2" t="s">
        <v>212</v>
      </c>
      <c r="BX23" s="2" t="s">
        <v>213</v>
      </c>
      <c r="BY23" s="2" t="s">
        <v>109</v>
      </c>
      <c r="BZ23" s="2" t="s">
        <v>98</v>
      </c>
    </row>
    <row r="24">
      <c r="A24" s="2" t="s">
        <v>214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182</v>
      </c>
      <c r="G24" s="2" t="s">
        <v>182</v>
      </c>
      <c r="H24" s="2" t="s">
        <v>182</v>
      </c>
      <c r="I24" s="2" t="s">
        <v>183</v>
      </c>
      <c r="J24" s="2" t="s">
        <v>111</v>
      </c>
      <c r="K24" s="2" t="s">
        <v>160</v>
      </c>
      <c r="L24" s="3">
        <v>80</v>
      </c>
      <c r="M24" s="3">
        <v>84</v>
      </c>
      <c r="N24" s="3">
        <v>159.99</v>
      </c>
      <c r="O24" s="2" t="s">
        <v>206</v>
      </c>
      <c r="P24" s="2" t="s">
        <v>128</v>
      </c>
      <c r="Q24" s="2" t="s">
        <v>97</v>
      </c>
      <c r="R24" s="2" t="s">
        <v>98</v>
      </c>
      <c r="S24" s="2" t="s">
        <v>207</v>
      </c>
      <c r="T24" s="2" t="s">
        <v>130</v>
      </c>
      <c r="U24" s="2" t="s">
        <v>101</v>
      </c>
      <c r="V24" s="2" t="s">
        <v>208</v>
      </c>
      <c r="W24" s="2" t="s">
        <v>209</v>
      </c>
      <c r="X24" s="2" t="s">
        <v>190</v>
      </c>
      <c r="Y24" s="2" t="s">
        <v>210</v>
      </c>
      <c r="Z24" s="4">
        <v>161</v>
      </c>
      <c r="AA24" s="4">
        <f>=ROUNDDOWN(40.25,0)</f>
      </c>
      <c r="AB24" s="5">
        <v>4</v>
      </c>
      <c r="AC24" s="2" t="s">
        <v>98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2</v>
      </c>
      <c r="BK24" s="8">
        <v>183.1</v>
      </c>
      <c r="BL24" s="2" t="s">
        <v>215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95</v>
      </c>
      <c r="BW24" s="2" t="s">
        <v>212</v>
      </c>
      <c r="BX24" s="2" t="s">
        <v>216</v>
      </c>
      <c r="BY24" s="2" t="s">
        <v>109</v>
      </c>
      <c r="BZ24" s="2" t="s">
        <v>98</v>
      </c>
    </row>
    <row r="25">
      <c r="A25" s="2" t="s">
        <v>217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182</v>
      </c>
      <c r="G25" s="2" t="s">
        <v>182</v>
      </c>
      <c r="H25" s="2" t="s">
        <v>182</v>
      </c>
      <c r="I25" s="2" t="s">
        <v>183</v>
      </c>
      <c r="J25" s="2" t="s">
        <v>93</v>
      </c>
      <c r="K25" s="2" t="s">
        <v>152</v>
      </c>
      <c r="L25" s="3">
        <v>65</v>
      </c>
      <c r="M25" s="3">
        <v>68.25</v>
      </c>
      <c r="N25" s="3">
        <v>129.99</v>
      </c>
      <c r="O25" s="2" t="s">
        <v>206</v>
      </c>
      <c r="P25" s="2" t="s">
        <v>128</v>
      </c>
      <c r="Q25" s="2" t="s">
        <v>97</v>
      </c>
      <c r="R25" s="2" t="s">
        <v>98</v>
      </c>
      <c r="S25" s="2" t="s">
        <v>218</v>
      </c>
      <c r="T25" s="2" t="s">
        <v>130</v>
      </c>
      <c r="U25" s="2" t="s">
        <v>101</v>
      </c>
      <c r="V25" s="2" t="s">
        <v>208</v>
      </c>
      <c r="W25" s="2" t="s">
        <v>209</v>
      </c>
      <c r="X25" s="2" t="s">
        <v>190</v>
      </c>
      <c r="Y25" s="2" t="s">
        <v>198</v>
      </c>
      <c r="Z25" s="4">
        <v>240</v>
      </c>
      <c r="AA25" s="4">
        <f>=ROUNDDOWN(48,0)</f>
      </c>
      <c r="AB25" s="5">
        <v>5</v>
      </c>
      <c r="AC25" s="2" t="s">
        <v>98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/>
      <c r="BK25" s="8"/>
      <c r="BL25" s="2" t="s">
        <v>98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95</v>
      </c>
      <c r="BW25" s="2" t="s">
        <v>200</v>
      </c>
      <c r="BX25" s="2" t="s">
        <v>219</v>
      </c>
      <c r="BY25" s="2" t="s">
        <v>109</v>
      </c>
      <c r="BZ25" s="2" t="s">
        <v>98</v>
      </c>
    </row>
    <row r="26">
      <c r="A26" s="2" t="s">
        <v>220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182</v>
      </c>
      <c r="G26" s="2" t="s">
        <v>182</v>
      </c>
      <c r="H26" s="2" t="s">
        <v>182</v>
      </c>
      <c r="I26" s="2" t="s">
        <v>183</v>
      </c>
      <c r="J26" s="2" t="s">
        <v>111</v>
      </c>
      <c r="K26" s="2" t="s">
        <v>152</v>
      </c>
      <c r="L26" s="3">
        <v>80</v>
      </c>
      <c r="M26" s="3">
        <v>83.99</v>
      </c>
      <c r="N26" s="3">
        <v>159.99</v>
      </c>
      <c r="O26" s="2" t="s">
        <v>206</v>
      </c>
      <c r="P26" s="2" t="s">
        <v>128</v>
      </c>
      <c r="Q26" s="2" t="s">
        <v>97</v>
      </c>
      <c r="R26" s="2" t="s">
        <v>98</v>
      </c>
      <c r="S26" s="2" t="s">
        <v>218</v>
      </c>
      <c r="T26" s="2" t="s">
        <v>130</v>
      </c>
      <c r="U26" s="2" t="s">
        <v>101</v>
      </c>
      <c r="V26" s="2" t="s">
        <v>208</v>
      </c>
      <c r="W26" s="2" t="s">
        <v>209</v>
      </c>
      <c r="X26" s="2" t="s">
        <v>190</v>
      </c>
      <c r="Y26" s="2" t="s">
        <v>198</v>
      </c>
      <c r="Z26" s="4">
        <v>160</v>
      </c>
      <c r="AA26" s="4">
        <f>=ROUNDDOWN(32,0)</f>
      </c>
      <c r="AB26" s="5">
        <v>5</v>
      </c>
      <c r="AC26" s="2" t="s">
        <v>98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3</v>
      </c>
      <c r="BK26" s="8">
        <v>182.71</v>
      </c>
      <c r="BL26" s="2" t="s">
        <v>221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95</v>
      </c>
      <c r="BW26" s="2" t="s">
        <v>200</v>
      </c>
      <c r="BX26" s="2" t="s">
        <v>222</v>
      </c>
      <c r="BY26" s="2" t="s">
        <v>109</v>
      </c>
      <c r="BZ26" s="2" t="s">
        <v>98</v>
      </c>
    </row>
    <row r="27">
      <c r="A27" s="2" t="s">
        <v>223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224</v>
      </c>
      <c r="G27" s="2" t="s">
        <v>224</v>
      </c>
      <c r="H27" s="2" t="s">
        <v>224</v>
      </c>
      <c r="I27" s="2" t="s">
        <v>225</v>
      </c>
      <c r="J27" s="2" t="s">
        <v>93</v>
      </c>
      <c r="K27" s="2" t="s">
        <v>226</v>
      </c>
      <c r="L27" s="3">
        <v>65</v>
      </c>
      <c r="M27" s="3">
        <v>68.25</v>
      </c>
      <c r="N27" s="3">
        <v>129.99</v>
      </c>
      <c r="O27" s="2" t="s">
        <v>95</v>
      </c>
      <c r="P27" s="2" t="s">
        <v>140</v>
      </c>
      <c r="Q27" s="2" t="s">
        <v>97</v>
      </c>
      <c r="R27" s="2" t="s">
        <v>98</v>
      </c>
      <c r="S27" s="2" t="s">
        <v>227</v>
      </c>
      <c r="T27" s="2" t="s">
        <v>228</v>
      </c>
      <c r="U27" s="2" t="s">
        <v>101</v>
      </c>
      <c r="V27" s="2" t="s">
        <v>102</v>
      </c>
      <c r="W27" s="2" t="s">
        <v>103</v>
      </c>
      <c r="X27" s="2" t="s">
        <v>190</v>
      </c>
      <c r="Y27" s="2" t="s">
        <v>229</v>
      </c>
      <c r="Z27" s="4">
        <v>190</v>
      </c>
      <c r="AA27" s="4">
        <f>=ROUNDDOWN(19,0)</f>
      </c>
      <c r="AB27" s="5">
        <v>10</v>
      </c>
      <c r="AC27" s="2" t="s">
        <v>230</v>
      </c>
      <c r="AD27" s="4">
        <v>140</v>
      </c>
      <c r="AE27" s="4">
        <v>400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1</v>
      </c>
      <c r="AQ27" s="8">
        <v>73.71</v>
      </c>
      <c r="AR27" s="4"/>
      <c r="AS27" s="8"/>
      <c r="AT27" s="7"/>
      <c r="AU27" s="7"/>
      <c r="AV27" s="4">
        <v>3</v>
      </c>
      <c r="AW27" s="8">
        <v>255.15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0.2889</v>
      </c>
      <c r="BC27" s="4">
        <v>3</v>
      </c>
      <c r="BD27" s="8">
        <v>255.15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1</v>
      </c>
      <c r="BJ27" s="4">
        <v>15</v>
      </c>
      <c r="BK27" s="8">
        <v>1102.63</v>
      </c>
      <c r="BL27" s="2" t="s">
        <v>231</v>
      </c>
      <c r="BM27" s="7">
        <v>0.0667</v>
      </c>
      <c r="BN27" s="7">
        <v>0.0668</v>
      </c>
      <c r="BO27" s="4">
        <v>1</v>
      </c>
      <c r="BP27" s="8">
        <v>73.71</v>
      </c>
      <c r="BQ27" s="4"/>
      <c r="BR27" s="8"/>
      <c r="BS27" s="7"/>
      <c r="BT27" s="7"/>
      <c r="BU27" s="2" t="s">
        <v>106</v>
      </c>
      <c r="BV27" s="2" t="s">
        <v>95</v>
      </c>
      <c r="BW27" s="2" t="s">
        <v>133</v>
      </c>
      <c r="BX27" s="2" t="s">
        <v>232</v>
      </c>
      <c r="BY27" s="2" t="s">
        <v>109</v>
      </c>
      <c r="BZ27" s="2" t="s">
        <v>98</v>
      </c>
    </row>
    <row r="28">
      <c r="A28" s="2" t="s">
        <v>233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224</v>
      </c>
      <c r="G28" s="2" t="s">
        <v>224</v>
      </c>
      <c r="H28" s="2" t="s">
        <v>224</v>
      </c>
      <c r="I28" s="2" t="s">
        <v>225</v>
      </c>
      <c r="J28" s="2" t="s">
        <v>111</v>
      </c>
      <c r="K28" s="2" t="s">
        <v>226</v>
      </c>
      <c r="L28" s="3">
        <v>80</v>
      </c>
      <c r="M28" s="3">
        <v>84</v>
      </c>
      <c r="N28" s="3">
        <v>159.99</v>
      </c>
      <c r="O28" s="2" t="s">
        <v>95</v>
      </c>
      <c r="P28" s="2" t="s">
        <v>140</v>
      </c>
      <c r="Q28" s="2" t="s">
        <v>97</v>
      </c>
      <c r="R28" s="2" t="s">
        <v>98</v>
      </c>
      <c r="S28" s="2" t="s">
        <v>227</v>
      </c>
      <c r="T28" s="2" t="s">
        <v>228</v>
      </c>
      <c r="U28" s="2" t="s">
        <v>101</v>
      </c>
      <c r="V28" s="2" t="s">
        <v>102</v>
      </c>
      <c r="W28" s="2" t="s">
        <v>103</v>
      </c>
      <c r="X28" s="2" t="s">
        <v>190</v>
      </c>
      <c r="Y28" s="2" t="s">
        <v>229</v>
      </c>
      <c r="Z28" s="4">
        <v>223</v>
      </c>
      <c r="AA28" s="4">
        <f>=ROUNDDOWN(21.8627450980392,0)</f>
      </c>
      <c r="AB28" s="5">
        <v>10.2</v>
      </c>
      <c r="AC28" s="2" t="s">
        <v>230</v>
      </c>
      <c r="AD28" s="4">
        <v>60</v>
      </c>
      <c r="AE28" s="4">
        <v>310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2</v>
      </c>
      <c r="AQ28" s="8">
        <v>181.44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0.7111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9</v>
      </c>
      <c r="BK28" s="8">
        <v>824.04</v>
      </c>
      <c r="BL28" s="2" t="s">
        <v>234</v>
      </c>
      <c r="BM28" s="7">
        <v>0.2222</v>
      </c>
      <c r="BN28" s="7">
        <v>0.2202</v>
      </c>
      <c r="BO28" s="4">
        <v>2</v>
      </c>
      <c r="BP28" s="8">
        <v>181.44</v>
      </c>
      <c r="BQ28" s="4"/>
      <c r="BR28" s="8"/>
      <c r="BS28" s="7"/>
      <c r="BT28" s="7"/>
      <c r="BU28" s="2" t="s">
        <v>106</v>
      </c>
      <c r="BV28" s="2" t="s">
        <v>95</v>
      </c>
      <c r="BW28" s="2" t="s">
        <v>133</v>
      </c>
      <c r="BX28" s="2" t="s">
        <v>235</v>
      </c>
      <c r="BY28" s="2" t="s">
        <v>109</v>
      </c>
      <c r="BZ28" s="2" t="s">
        <v>98</v>
      </c>
    </row>
    <row r="29">
      <c r="A29" s="2" t="s">
        <v>236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237</v>
      </c>
      <c r="G29" s="2" t="s">
        <v>237</v>
      </c>
      <c r="H29" s="2" t="s">
        <v>237</v>
      </c>
      <c r="I29" s="2" t="s">
        <v>238</v>
      </c>
      <c r="J29" s="2" t="s">
        <v>93</v>
      </c>
      <c r="K29" s="2" t="s">
        <v>239</v>
      </c>
      <c r="L29" s="3">
        <v>51.84</v>
      </c>
      <c r="M29" s="3">
        <v>54.43</v>
      </c>
      <c r="N29" s="3">
        <v>104.99</v>
      </c>
      <c r="O29" s="2" t="s">
        <v>95</v>
      </c>
      <c r="P29" s="2" t="s">
        <v>185</v>
      </c>
      <c r="Q29" s="2" t="s">
        <v>97</v>
      </c>
      <c r="R29" s="2" t="s">
        <v>98</v>
      </c>
      <c r="S29" s="2" t="s">
        <v>240</v>
      </c>
      <c r="T29" s="2" t="s">
        <v>241</v>
      </c>
      <c r="U29" s="2" t="s">
        <v>101</v>
      </c>
      <c r="V29" s="2" t="s">
        <v>188</v>
      </c>
      <c r="W29" s="2" t="s">
        <v>242</v>
      </c>
      <c r="X29" s="2" t="s">
        <v>243</v>
      </c>
      <c r="Y29" s="2" t="s">
        <v>244</v>
      </c>
      <c r="Z29" s="4">
        <v>265</v>
      </c>
      <c r="AA29" s="4">
        <f>=ROUNDDOWN(37.8571428571429,0)</f>
      </c>
      <c r="AB29" s="5">
        <v>7</v>
      </c>
      <c r="AC29" s="2" t="s">
        <v>245</v>
      </c>
      <c r="AD29" s="4">
        <v>30</v>
      </c>
      <c r="AE29" s="4">
        <v>140</v>
      </c>
      <c r="AF29" s="6">
        <v>66</v>
      </c>
      <c r="AG29" s="6">
        <v>49</v>
      </c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/>
      <c r="AQ29" s="8"/>
      <c r="AR29" s="4"/>
      <c r="AS29" s="8"/>
      <c r="AT29" s="7"/>
      <c r="AU29" s="7"/>
      <c r="AV29" s="4">
        <v>2</v>
      </c>
      <c r="AW29" s="8">
        <v>150.2</v>
      </c>
      <c r="AX29" s="4" t="s">
        <v>98</v>
      </c>
      <c r="AY29" s="8" t="s">
        <v>98</v>
      </c>
      <c r="AZ29" s="7" t="s">
        <v>98</v>
      </c>
      <c r="BA29" s="7" t="s">
        <v>98</v>
      </c>
      <c r="BB29" s="7"/>
      <c r="BC29" s="4">
        <v>3</v>
      </c>
      <c r="BD29" s="8">
        <v>225.3</v>
      </c>
      <c r="BE29" s="4" t="s">
        <v>98</v>
      </c>
      <c r="BF29" s="8" t="s">
        <v>98</v>
      </c>
      <c r="BG29" s="7" t="s">
        <v>98</v>
      </c>
      <c r="BH29" s="7" t="s">
        <v>98</v>
      </c>
      <c r="BI29" s="7">
        <v>0.6667</v>
      </c>
      <c r="BJ29" s="4">
        <v>9</v>
      </c>
      <c r="BK29" s="8">
        <v>552.75</v>
      </c>
      <c r="BL29" s="2" t="s">
        <v>246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95</v>
      </c>
      <c r="BW29" s="2" t="s">
        <v>247</v>
      </c>
      <c r="BX29" s="2" t="s">
        <v>248</v>
      </c>
      <c r="BY29" s="2" t="s">
        <v>109</v>
      </c>
      <c r="BZ29" s="2" t="s">
        <v>98</v>
      </c>
    </row>
    <row r="30">
      <c r="A30" s="2" t="s">
        <v>249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237</v>
      </c>
      <c r="G30" s="2" t="s">
        <v>237</v>
      </c>
      <c r="H30" s="2" t="s">
        <v>237</v>
      </c>
      <c r="I30" s="2" t="s">
        <v>238</v>
      </c>
      <c r="J30" s="2" t="s">
        <v>111</v>
      </c>
      <c r="K30" s="2" t="s">
        <v>239</v>
      </c>
      <c r="L30" s="3">
        <v>67.5</v>
      </c>
      <c r="M30" s="3">
        <v>70.88</v>
      </c>
      <c r="N30" s="3">
        <v>134.99</v>
      </c>
      <c r="O30" s="2" t="s">
        <v>95</v>
      </c>
      <c r="P30" s="2" t="s">
        <v>185</v>
      </c>
      <c r="Q30" s="2" t="s">
        <v>97</v>
      </c>
      <c r="R30" s="2" t="s">
        <v>98</v>
      </c>
      <c r="S30" s="2" t="s">
        <v>240</v>
      </c>
      <c r="T30" s="2" t="s">
        <v>241</v>
      </c>
      <c r="U30" s="2" t="s">
        <v>101</v>
      </c>
      <c r="V30" s="2" t="s">
        <v>188</v>
      </c>
      <c r="W30" s="2" t="s">
        <v>242</v>
      </c>
      <c r="X30" s="2" t="s">
        <v>243</v>
      </c>
      <c r="Y30" s="2" t="s">
        <v>244</v>
      </c>
      <c r="Z30" s="4">
        <v>209</v>
      </c>
      <c r="AA30" s="4">
        <f>=ROUNDDOWN(20.9,0)</f>
      </c>
      <c r="AB30" s="5">
        <v>10</v>
      </c>
      <c r="AC30" s="2" t="s">
        <v>250</v>
      </c>
      <c r="AD30" s="4">
        <v>110</v>
      </c>
      <c r="AE30" s="4">
        <v>230</v>
      </c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2</v>
      </c>
      <c r="AQ30" s="8">
        <v>150.2</v>
      </c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1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>
        <v>8</v>
      </c>
      <c r="BK30" s="8">
        <v>604.91</v>
      </c>
      <c r="BL30" s="2" t="s">
        <v>251</v>
      </c>
      <c r="BM30" s="7">
        <v>0.25</v>
      </c>
      <c r="BN30" s="7">
        <v>0.2483</v>
      </c>
      <c r="BO30" s="4">
        <v>2</v>
      </c>
      <c r="BP30" s="8">
        <v>150.2</v>
      </c>
      <c r="BQ30" s="4"/>
      <c r="BR30" s="8"/>
      <c r="BS30" s="7"/>
      <c r="BT30" s="7"/>
      <c r="BU30" s="2" t="s">
        <v>106</v>
      </c>
      <c r="BV30" s="2" t="s">
        <v>95</v>
      </c>
      <c r="BW30" s="2" t="s">
        <v>247</v>
      </c>
      <c r="BX30" s="2" t="s">
        <v>252</v>
      </c>
      <c r="BY30" s="2" t="s">
        <v>109</v>
      </c>
      <c r="BZ30" s="2" t="s">
        <v>98</v>
      </c>
    </row>
    <row r="31">
      <c r="A31" s="2" t="s">
        <v>253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237</v>
      </c>
      <c r="G31" s="2" t="s">
        <v>237</v>
      </c>
      <c r="H31" s="2" t="s">
        <v>237</v>
      </c>
      <c r="I31" s="2" t="s">
        <v>238</v>
      </c>
      <c r="J31" s="2" t="s">
        <v>93</v>
      </c>
      <c r="K31" s="2" t="s">
        <v>254</v>
      </c>
      <c r="L31" s="3">
        <v>51.84</v>
      </c>
      <c r="M31" s="3">
        <v>54.43</v>
      </c>
      <c r="N31" s="3">
        <v>104.99</v>
      </c>
      <c r="O31" s="2" t="s">
        <v>95</v>
      </c>
      <c r="P31" s="2" t="s">
        <v>185</v>
      </c>
      <c r="Q31" s="2" t="s">
        <v>97</v>
      </c>
      <c r="R31" s="2" t="s">
        <v>98</v>
      </c>
      <c r="S31" s="2" t="s">
        <v>255</v>
      </c>
      <c r="T31" s="2" t="s">
        <v>241</v>
      </c>
      <c r="U31" s="2" t="s">
        <v>101</v>
      </c>
      <c r="V31" s="2" t="s">
        <v>188</v>
      </c>
      <c r="W31" s="2" t="s">
        <v>242</v>
      </c>
      <c r="X31" s="2" t="s">
        <v>103</v>
      </c>
      <c r="Y31" s="2" t="s">
        <v>256</v>
      </c>
      <c r="Z31" s="4">
        <v>408</v>
      </c>
      <c r="AA31" s="4">
        <f>=ROUNDDOWN(74.1818181818182,0)</f>
      </c>
      <c r="AB31" s="5">
        <v>5.5</v>
      </c>
      <c r="AC31" s="2" t="s">
        <v>98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/>
      <c r="AQ31" s="8"/>
      <c r="AR31" s="4"/>
      <c r="AS31" s="8"/>
      <c r="AT31" s="7"/>
      <c r="AU31" s="7"/>
      <c r="AV31" s="4">
        <v>1</v>
      </c>
      <c r="AW31" s="8">
        <v>75.1</v>
      </c>
      <c r="AX31" s="4" t="s">
        <v>98</v>
      </c>
      <c r="AY31" s="8" t="s">
        <v>98</v>
      </c>
      <c r="AZ31" s="7" t="s">
        <v>98</v>
      </c>
      <c r="BA31" s="7" t="s">
        <v>98</v>
      </c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0.3333</v>
      </c>
      <c r="BJ31" s="4">
        <v>3</v>
      </c>
      <c r="BK31" s="8">
        <v>184.44</v>
      </c>
      <c r="BL31" s="2" t="s">
        <v>257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95</v>
      </c>
      <c r="BW31" s="2" t="s">
        <v>258</v>
      </c>
      <c r="BX31" s="2" t="s">
        <v>259</v>
      </c>
      <c r="BY31" s="2" t="s">
        <v>109</v>
      </c>
      <c r="BZ31" s="2" t="s">
        <v>98</v>
      </c>
    </row>
    <row r="32">
      <c r="A32" s="2" t="s">
        <v>260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237</v>
      </c>
      <c r="G32" s="2" t="s">
        <v>237</v>
      </c>
      <c r="H32" s="2" t="s">
        <v>237</v>
      </c>
      <c r="I32" s="2" t="s">
        <v>238</v>
      </c>
      <c r="J32" s="2" t="s">
        <v>111</v>
      </c>
      <c r="K32" s="2" t="s">
        <v>254</v>
      </c>
      <c r="L32" s="3">
        <v>67.5</v>
      </c>
      <c r="M32" s="3">
        <v>70.88</v>
      </c>
      <c r="N32" s="3">
        <v>134.99</v>
      </c>
      <c r="O32" s="2" t="s">
        <v>95</v>
      </c>
      <c r="P32" s="2" t="s">
        <v>185</v>
      </c>
      <c r="Q32" s="2" t="s">
        <v>97</v>
      </c>
      <c r="R32" s="2" t="s">
        <v>98</v>
      </c>
      <c r="S32" s="2" t="s">
        <v>255</v>
      </c>
      <c r="T32" s="2" t="s">
        <v>241</v>
      </c>
      <c r="U32" s="2" t="s">
        <v>101</v>
      </c>
      <c r="V32" s="2" t="s">
        <v>188</v>
      </c>
      <c r="W32" s="2" t="s">
        <v>242</v>
      </c>
      <c r="X32" s="2" t="s">
        <v>103</v>
      </c>
      <c r="Y32" s="2" t="s">
        <v>256</v>
      </c>
      <c r="Z32" s="4">
        <v>425</v>
      </c>
      <c r="AA32" s="4">
        <f>=ROUNDDOWN(55.9210526315789,0)</f>
      </c>
      <c r="AB32" s="5">
        <v>7.6</v>
      </c>
      <c r="AC32" s="2" t="s">
        <v>98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1</v>
      </c>
      <c r="AQ32" s="8">
        <v>75.1</v>
      </c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1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5</v>
      </c>
      <c r="BK32" s="8">
        <v>391.8</v>
      </c>
      <c r="BL32" s="2" t="s">
        <v>261</v>
      </c>
      <c r="BM32" s="7">
        <v>0.2</v>
      </c>
      <c r="BN32" s="7">
        <v>0.1917</v>
      </c>
      <c r="BO32" s="4">
        <v>1</v>
      </c>
      <c r="BP32" s="8">
        <v>75.1</v>
      </c>
      <c r="BQ32" s="4"/>
      <c r="BR32" s="8"/>
      <c r="BS32" s="7"/>
      <c r="BT32" s="7"/>
      <c r="BU32" s="2" t="s">
        <v>106</v>
      </c>
      <c r="BV32" s="2" t="s">
        <v>95</v>
      </c>
      <c r="BW32" s="2" t="s">
        <v>258</v>
      </c>
      <c r="BX32" s="2" t="s">
        <v>262</v>
      </c>
      <c r="BY32" s="2" t="s">
        <v>109</v>
      </c>
      <c r="BZ32" s="2" t="s">
        <v>98</v>
      </c>
    </row>
    <row r="33">
      <c r="A33" s="2" t="s">
        <v>263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264</v>
      </c>
      <c r="G33" s="2" t="s">
        <v>264</v>
      </c>
      <c r="H33" s="2" t="s">
        <v>264</v>
      </c>
      <c r="I33" s="2" t="s">
        <v>265</v>
      </c>
      <c r="J33" s="2" t="s">
        <v>93</v>
      </c>
      <c r="K33" s="2" t="s">
        <v>266</v>
      </c>
      <c r="L33" s="3">
        <v>52.99</v>
      </c>
      <c r="M33" s="3">
        <v>55.64</v>
      </c>
      <c r="N33" s="3">
        <v>104.99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267</v>
      </c>
      <c r="T33" s="2" t="s">
        <v>187</v>
      </c>
      <c r="U33" s="2" t="s">
        <v>101</v>
      </c>
      <c r="V33" s="2" t="s">
        <v>188</v>
      </c>
      <c r="W33" s="2" t="s">
        <v>103</v>
      </c>
      <c r="X33" s="2" t="s">
        <v>164</v>
      </c>
      <c r="Y33" s="2" t="s">
        <v>268</v>
      </c>
      <c r="Z33" s="4">
        <v>196</v>
      </c>
      <c r="AA33" s="4">
        <f>=ROUNDDOWN(14.2028985507246,0)</f>
      </c>
      <c r="AB33" s="5">
        <v>13.8</v>
      </c>
      <c r="AC33" s="2" t="s">
        <v>269</v>
      </c>
      <c r="AD33" s="4">
        <v>300</v>
      </c>
      <c r="AE33" s="4">
        <v>600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/>
      <c r="AQ33" s="8"/>
      <c r="AR33" s="4"/>
      <c r="AS33" s="8"/>
      <c r="AT33" s="7"/>
      <c r="AU33" s="7"/>
      <c r="AV33" s="4">
        <v>3</v>
      </c>
      <c r="AW33" s="8">
        <v>215.79</v>
      </c>
      <c r="AX33" s="4" t="s">
        <v>98</v>
      </c>
      <c r="AY33" s="8" t="s">
        <v>98</v>
      </c>
      <c r="AZ33" s="7" t="s">
        <v>98</v>
      </c>
      <c r="BA33" s="7" t="s">
        <v>98</v>
      </c>
      <c r="BB33" s="7"/>
      <c r="BC33" s="4">
        <v>3</v>
      </c>
      <c r="BD33" s="8">
        <v>215.79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1</v>
      </c>
      <c r="BJ33" s="4">
        <v>6</v>
      </c>
      <c r="BK33" s="8">
        <v>370.6</v>
      </c>
      <c r="BL33" s="2" t="s">
        <v>270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95</v>
      </c>
      <c r="BW33" s="2" t="s">
        <v>271</v>
      </c>
      <c r="BX33" s="2" t="s">
        <v>272</v>
      </c>
      <c r="BY33" s="2" t="s">
        <v>109</v>
      </c>
      <c r="BZ33" s="2" t="s">
        <v>98</v>
      </c>
    </row>
    <row r="34">
      <c r="A34" s="2" t="s">
        <v>273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264</v>
      </c>
      <c r="G34" s="2" t="s">
        <v>264</v>
      </c>
      <c r="H34" s="2" t="s">
        <v>264</v>
      </c>
      <c r="I34" s="2" t="s">
        <v>265</v>
      </c>
      <c r="J34" s="2" t="s">
        <v>111</v>
      </c>
      <c r="K34" s="2" t="s">
        <v>266</v>
      </c>
      <c r="L34" s="3">
        <v>69</v>
      </c>
      <c r="M34" s="3">
        <v>72.45</v>
      </c>
      <c r="N34" s="3">
        <v>134.99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267</v>
      </c>
      <c r="T34" s="2" t="s">
        <v>187</v>
      </c>
      <c r="U34" s="2" t="s">
        <v>101</v>
      </c>
      <c r="V34" s="2" t="s">
        <v>188</v>
      </c>
      <c r="W34" s="2" t="s">
        <v>103</v>
      </c>
      <c r="X34" s="2" t="s">
        <v>164</v>
      </c>
      <c r="Y34" s="2" t="s">
        <v>268</v>
      </c>
      <c r="Z34" s="4">
        <v>5641</v>
      </c>
      <c r="AA34" s="4">
        <f>=ROUNDDOWN(242.103004291846,0)</f>
      </c>
      <c r="AB34" s="5">
        <v>23.3</v>
      </c>
      <c r="AC34" s="2" t="s">
        <v>98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3</v>
      </c>
      <c r="AQ34" s="8">
        <v>215.79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1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11</v>
      </c>
      <c r="BK34" s="8">
        <v>816.61</v>
      </c>
      <c r="BL34" s="2" t="s">
        <v>274</v>
      </c>
      <c r="BM34" s="7">
        <v>0.2727</v>
      </c>
      <c r="BN34" s="7">
        <v>0.2643</v>
      </c>
      <c r="BO34" s="4">
        <v>3</v>
      </c>
      <c r="BP34" s="8">
        <v>215.79</v>
      </c>
      <c r="BQ34" s="4"/>
      <c r="BR34" s="8"/>
      <c r="BS34" s="7"/>
      <c r="BT34" s="7"/>
      <c r="BU34" s="2" t="s">
        <v>106</v>
      </c>
      <c r="BV34" s="2" t="s">
        <v>95</v>
      </c>
      <c r="BW34" s="2" t="s">
        <v>271</v>
      </c>
      <c r="BX34" s="2" t="s">
        <v>275</v>
      </c>
      <c r="BY34" s="2" t="s">
        <v>109</v>
      </c>
      <c r="BZ34" s="2" t="s">
        <v>98</v>
      </c>
    </row>
    <row r="35">
      <c r="A35" s="2" t="s">
        <v>276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264</v>
      </c>
      <c r="G35" s="2" t="s">
        <v>264</v>
      </c>
      <c r="H35" s="2" t="s">
        <v>264</v>
      </c>
      <c r="I35" s="2" t="s">
        <v>265</v>
      </c>
      <c r="J35" s="2" t="s">
        <v>93</v>
      </c>
      <c r="K35" s="2" t="s">
        <v>277</v>
      </c>
      <c r="L35" s="3">
        <v>52.99</v>
      </c>
      <c r="M35" s="3">
        <v>55.64</v>
      </c>
      <c r="N35" s="3">
        <v>104.99</v>
      </c>
      <c r="O35" s="2" t="s">
        <v>95</v>
      </c>
      <c r="P35" s="2" t="s">
        <v>140</v>
      </c>
      <c r="Q35" s="2" t="s">
        <v>97</v>
      </c>
      <c r="R35" s="2" t="s">
        <v>98</v>
      </c>
      <c r="S35" s="2" t="s">
        <v>278</v>
      </c>
      <c r="T35" s="2" t="s">
        <v>187</v>
      </c>
      <c r="U35" s="2" t="s">
        <v>101</v>
      </c>
      <c r="V35" s="2" t="s">
        <v>188</v>
      </c>
      <c r="W35" s="2" t="s">
        <v>103</v>
      </c>
      <c r="X35" s="2" t="s">
        <v>164</v>
      </c>
      <c r="Y35" s="2" t="s">
        <v>279</v>
      </c>
      <c r="Z35" s="4">
        <v>339</v>
      </c>
      <c r="AA35" s="4">
        <f>=ROUNDDOWN(56.5,0)</f>
      </c>
      <c r="AB35" s="5">
        <v>6</v>
      </c>
      <c r="AC35" s="2" t="s">
        <v>98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/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5</v>
      </c>
      <c r="BK35" s="8">
        <v>320.59</v>
      </c>
      <c r="BL35" s="2" t="s">
        <v>280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95</v>
      </c>
      <c r="BW35" s="2" t="s">
        <v>168</v>
      </c>
      <c r="BX35" s="2" t="s">
        <v>281</v>
      </c>
      <c r="BY35" s="2" t="s">
        <v>109</v>
      </c>
      <c r="BZ35" s="2" t="s">
        <v>98</v>
      </c>
    </row>
    <row r="36">
      <c r="A36" s="2" t="s">
        <v>282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264</v>
      </c>
      <c r="G36" s="2" t="s">
        <v>264</v>
      </c>
      <c r="H36" s="2" t="s">
        <v>264</v>
      </c>
      <c r="I36" s="2" t="s">
        <v>265</v>
      </c>
      <c r="J36" s="2" t="s">
        <v>111</v>
      </c>
      <c r="K36" s="2" t="s">
        <v>277</v>
      </c>
      <c r="L36" s="3">
        <v>69</v>
      </c>
      <c r="M36" s="3">
        <v>72.45</v>
      </c>
      <c r="N36" s="3">
        <v>134.99</v>
      </c>
      <c r="O36" s="2" t="s">
        <v>95</v>
      </c>
      <c r="P36" s="2" t="s">
        <v>140</v>
      </c>
      <c r="Q36" s="2" t="s">
        <v>97</v>
      </c>
      <c r="R36" s="2" t="s">
        <v>98</v>
      </c>
      <c r="S36" s="2" t="s">
        <v>278</v>
      </c>
      <c r="T36" s="2" t="s">
        <v>187</v>
      </c>
      <c r="U36" s="2" t="s">
        <v>101</v>
      </c>
      <c r="V36" s="2" t="s">
        <v>188</v>
      </c>
      <c r="W36" s="2" t="s">
        <v>103</v>
      </c>
      <c r="X36" s="2" t="s">
        <v>164</v>
      </c>
      <c r="Y36" s="2" t="s">
        <v>279</v>
      </c>
      <c r="Z36" s="4">
        <v>590</v>
      </c>
      <c r="AA36" s="4">
        <f>=ROUNDDOWN(84.2857142857143,0)</f>
      </c>
      <c r="AB36" s="5">
        <v>7</v>
      </c>
      <c r="AC36" s="2" t="s">
        <v>98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6</v>
      </c>
      <c r="BK36" s="8">
        <v>471.83</v>
      </c>
      <c r="BL36" s="2" t="s">
        <v>283</v>
      </c>
      <c r="BM36" s="7"/>
      <c r="BN36" s="7"/>
      <c r="BO36" s="4"/>
      <c r="BP36" s="8"/>
      <c r="BQ36" s="4"/>
      <c r="BR36" s="8"/>
      <c r="BS36" s="7"/>
      <c r="BT36" s="7"/>
      <c r="BU36" s="2" t="s">
        <v>106</v>
      </c>
      <c r="BV36" s="2" t="s">
        <v>95</v>
      </c>
      <c r="BW36" s="2" t="s">
        <v>168</v>
      </c>
      <c r="BX36" s="2" t="s">
        <v>193</v>
      </c>
      <c r="BY36" s="2" t="s">
        <v>109</v>
      </c>
      <c r="BZ36" s="2" t="s">
        <v>98</v>
      </c>
    </row>
    <row r="37">
      <c r="A37" s="2" t="s">
        <v>284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285</v>
      </c>
      <c r="G37" s="2" t="s">
        <v>285</v>
      </c>
      <c r="H37" s="2" t="s">
        <v>285</v>
      </c>
      <c r="I37" s="2" t="s">
        <v>286</v>
      </c>
      <c r="J37" s="2" t="s">
        <v>111</v>
      </c>
      <c r="K37" s="2" t="s">
        <v>287</v>
      </c>
      <c r="L37" s="3">
        <v>91.8</v>
      </c>
      <c r="M37" s="3">
        <v>96.39</v>
      </c>
      <c r="N37" s="3">
        <v>183.99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288</v>
      </c>
      <c r="T37" s="2" t="s">
        <v>100</v>
      </c>
      <c r="U37" s="2" t="s">
        <v>101</v>
      </c>
      <c r="V37" s="2" t="s">
        <v>102</v>
      </c>
      <c r="W37" s="2" t="s">
        <v>103</v>
      </c>
      <c r="X37" s="2" t="s">
        <v>163</v>
      </c>
      <c r="Y37" s="2" t="s">
        <v>289</v>
      </c>
      <c r="Z37" s="4">
        <v>241</v>
      </c>
      <c r="AA37" s="4">
        <f>=ROUNDDOWN(40.1666666666667,0)</f>
      </c>
      <c r="AB37" s="5">
        <v>6</v>
      </c>
      <c r="AC37" s="2" t="s">
        <v>98</v>
      </c>
      <c r="AD37" s="4"/>
      <c r="AE37" s="4"/>
      <c r="AF37" s="6">
        <v>67</v>
      </c>
      <c r="AG37" s="6">
        <v>75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>
        <v>2</v>
      </c>
      <c r="AQ37" s="8">
        <v>208.2</v>
      </c>
      <c r="AR37" s="4"/>
      <c r="AS37" s="8"/>
      <c r="AT37" s="7"/>
      <c r="AU37" s="7"/>
      <c r="AV37" s="4">
        <v>2</v>
      </c>
      <c r="AW37" s="8">
        <v>208.2</v>
      </c>
      <c r="AX37" s="4"/>
      <c r="AY37" s="8"/>
      <c r="AZ37" s="7"/>
      <c r="BA37" s="7"/>
      <c r="BB37" s="7">
        <v>1</v>
      </c>
      <c r="BC37" s="4">
        <v>2</v>
      </c>
      <c r="BD37" s="8">
        <v>208.2</v>
      </c>
      <c r="BE37" s="4"/>
      <c r="BF37" s="8"/>
      <c r="BG37" s="7"/>
      <c r="BH37" s="7"/>
      <c r="BI37" s="7">
        <v>1</v>
      </c>
      <c r="BJ37" s="4">
        <v>3</v>
      </c>
      <c r="BK37" s="8">
        <v>312.3</v>
      </c>
      <c r="BL37" s="2" t="s">
        <v>290</v>
      </c>
      <c r="BM37" s="7">
        <v>0.6667</v>
      </c>
      <c r="BN37" s="7">
        <v>0.6667</v>
      </c>
      <c r="BO37" s="4">
        <v>2</v>
      </c>
      <c r="BP37" s="8">
        <v>208.2</v>
      </c>
      <c r="BQ37" s="4"/>
      <c r="BR37" s="8"/>
      <c r="BS37" s="7"/>
      <c r="BT37" s="7"/>
      <c r="BU37" s="2" t="s">
        <v>106</v>
      </c>
      <c r="BV37" s="2" t="s">
        <v>95</v>
      </c>
      <c r="BW37" s="2" t="s">
        <v>258</v>
      </c>
      <c r="BX37" s="2" t="s">
        <v>259</v>
      </c>
      <c r="BY37" s="2" t="s">
        <v>109</v>
      </c>
      <c r="BZ37" s="2" t="s">
        <v>98</v>
      </c>
    </row>
    <row r="38">
      <c r="A38" s="2" t="s">
        <v>291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292</v>
      </c>
      <c r="G38" s="2" t="s">
        <v>292</v>
      </c>
      <c r="H38" s="2" t="s">
        <v>292</v>
      </c>
      <c r="I38" s="2" t="s">
        <v>293</v>
      </c>
      <c r="J38" s="2" t="s">
        <v>93</v>
      </c>
      <c r="K38" s="2" t="s">
        <v>94</v>
      </c>
      <c r="L38" s="3">
        <v>62.49</v>
      </c>
      <c r="M38" s="3">
        <v>65.62</v>
      </c>
      <c r="N38" s="3">
        <v>124.99</v>
      </c>
      <c r="O38" s="2" t="s">
        <v>95</v>
      </c>
      <c r="P38" s="2" t="s">
        <v>140</v>
      </c>
      <c r="Q38" s="2" t="s">
        <v>97</v>
      </c>
      <c r="R38" s="2" t="s">
        <v>98</v>
      </c>
      <c r="S38" s="2" t="s">
        <v>294</v>
      </c>
      <c r="T38" s="2" t="s">
        <v>187</v>
      </c>
      <c r="U38" s="2" t="s">
        <v>101</v>
      </c>
      <c r="V38" s="2" t="s">
        <v>102</v>
      </c>
      <c r="W38" s="2" t="s">
        <v>242</v>
      </c>
      <c r="X38" s="2" t="s">
        <v>190</v>
      </c>
      <c r="Y38" s="2" t="s">
        <v>295</v>
      </c>
      <c r="Z38" s="4">
        <v>336</v>
      </c>
      <c r="AA38" s="4">
        <f>=ROUNDDOWN(56,0)</f>
      </c>
      <c r="AB38" s="5">
        <v>6</v>
      </c>
      <c r="AC38" s="2" t="s">
        <v>98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2</v>
      </c>
      <c r="AQ38" s="8">
        <v>131.14</v>
      </c>
      <c r="AR38" s="4"/>
      <c r="AS38" s="8"/>
      <c r="AT38" s="7"/>
      <c r="AU38" s="7"/>
      <c r="AV38" s="4">
        <v>2</v>
      </c>
      <c r="AW38" s="8">
        <v>131.14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1</v>
      </c>
      <c r="BC38" s="4">
        <v>3</v>
      </c>
      <c r="BD38" s="8">
        <v>196.71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0.6667</v>
      </c>
      <c r="BJ38" s="4">
        <v>9</v>
      </c>
      <c r="BK38" s="8">
        <v>596.01</v>
      </c>
      <c r="BL38" s="2" t="s">
        <v>296</v>
      </c>
      <c r="BM38" s="7">
        <v>0.2222</v>
      </c>
      <c r="BN38" s="7">
        <v>0.22</v>
      </c>
      <c r="BO38" s="4">
        <v>2</v>
      </c>
      <c r="BP38" s="8">
        <v>131.14</v>
      </c>
      <c r="BQ38" s="4"/>
      <c r="BR38" s="8"/>
      <c r="BS38" s="7"/>
      <c r="BT38" s="7"/>
      <c r="BU38" s="2" t="s">
        <v>106</v>
      </c>
      <c r="BV38" s="2" t="s">
        <v>95</v>
      </c>
      <c r="BW38" s="2" t="s">
        <v>107</v>
      </c>
      <c r="BX38" s="2" t="s">
        <v>297</v>
      </c>
      <c r="BY38" s="2" t="s">
        <v>109</v>
      </c>
      <c r="BZ38" s="2" t="s">
        <v>98</v>
      </c>
    </row>
    <row r="39">
      <c r="A39" s="2" t="s">
        <v>298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292</v>
      </c>
      <c r="G39" s="2" t="s">
        <v>292</v>
      </c>
      <c r="H39" s="2" t="s">
        <v>292</v>
      </c>
      <c r="I39" s="2" t="s">
        <v>293</v>
      </c>
      <c r="J39" s="2" t="s">
        <v>111</v>
      </c>
      <c r="K39" s="2" t="s">
        <v>94</v>
      </c>
      <c r="L39" s="3">
        <v>77.5</v>
      </c>
      <c r="M39" s="3">
        <v>81.37</v>
      </c>
      <c r="N39" s="3">
        <v>154.99</v>
      </c>
      <c r="O39" s="2" t="s">
        <v>95</v>
      </c>
      <c r="P39" s="2" t="s">
        <v>140</v>
      </c>
      <c r="Q39" s="2" t="s">
        <v>97</v>
      </c>
      <c r="R39" s="2" t="s">
        <v>98</v>
      </c>
      <c r="S39" s="2" t="s">
        <v>294</v>
      </c>
      <c r="T39" s="2" t="s">
        <v>187</v>
      </c>
      <c r="U39" s="2" t="s">
        <v>101</v>
      </c>
      <c r="V39" s="2" t="s">
        <v>102</v>
      </c>
      <c r="W39" s="2" t="s">
        <v>242</v>
      </c>
      <c r="X39" s="2" t="s">
        <v>190</v>
      </c>
      <c r="Y39" s="2" t="s">
        <v>299</v>
      </c>
      <c r="Z39" s="4">
        <v>219</v>
      </c>
      <c r="AA39" s="4">
        <f>=ROUNDDOWN(44.6938775510204,0)</f>
      </c>
      <c r="AB39" s="5">
        <v>4.9</v>
      </c>
      <c r="AC39" s="2" t="s">
        <v>98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8</v>
      </c>
      <c r="BK39" s="8">
        <v>666.95</v>
      </c>
      <c r="BL39" s="2" t="s">
        <v>300</v>
      </c>
      <c r="BM39" s="7"/>
      <c r="BN39" s="7"/>
      <c r="BO39" s="4"/>
      <c r="BP39" s="8"/>
      <c r="BQ39" s="4"/>
      <c r="BR39" s="8"/>
      <c r="BS39" s="7"/>
      <c r="BT39" s="7"/>
      <c r="BU39" s="2" t="s">
        <v>106</v>
      </c>
      <c r="BV39" s="2" t="s">
        <v>95</v>
      </c>
      <c r="BW39" s="2" t="s">
        <v>107</v>
      </c>
      <c r="BX39" s="2" t="s">
        <v>301</v>
      </c>
      <c r="BY39" s="2" t="s">
        <v>109</v>
      </c>
      <c r="BZ39" s="2" t="s">
        <v>98</v>
      </c>
    </row>
    <row r="40">
      <c r="A40" s="2" t="s">
        <v>302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292</v>
      </c>
      <c r="G40" s="2" t="s">
        <v>292</v>
      </c>
      <c r="H40" s="2" t="s">
        <v>292</v>
      </c>
      <c r="I40" s="2" t="s">
        <v>293</v>
      </c>
      <c r="J40" s="2" t="s">
        <v>93</v>
      </c>
      <c r="K40" s="2" t="s">
        <v>160</v>
      </c>
      <c r="L40" s="3">
        <v>62.49</v>
      </c>
      <c r="M40" s="3">
        <v>65.62</v>
      </c>
      <c r="N40" s="3">
        <v>124.99</v>
      </c>
      <c r="O40" s="2" t="s">
        <v>95</v>
      </c>
      <c r="P40" s="2" t="s">
        <v>185</v>
      </c>
      <c r="Q40" s="2" t="s">
        <v>97</v>
      </c>
      <c r="R40" s="2" t="s">
        <v>98</v>
      </c>
      <c r="S40" s="2" t="s">
        <v>303</v>
      </c>
      <c r="T40" s="2" t="s">
        <v>187</v>
      </c>
      <c r="U40" s="2" t="s">
        <v>101</v>
      </c>
      <c r="V40" s="2" t="s">
        <v>102</v>
      </c>
      <c r="W40" s="2" t="s">
        <v>242</v>
      </c>
      <c r="X40" s="2" t="s">
        <v>190</v>
      </c>
      <c r="Y40" s="2" t="s">
        <v>304</v>
      </c>
      <c r="Z40" s="4">
        <v>548</v>
      </c>
      <c r="AA40" s="4">
        <f>=ROUNDDOWN(54.8,0)</f>
      </c>
      <c r="AB40" s="5">
        <v>10</v>
      </c>
      <c r="AC40" s="2" t="s">
        <v>98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1</v>
      </c>
      <c r="AQ40" s="8">
        <v>65.57</v>
      </c>
      <c r="AR40" s="4"/>
      <c r="AS40" s="8"/>
      <c r="AT40" s="7"/>
      <c r="AU40" s="7"/>
      <c r="AV40" s="4">
        <v>1</v>
      </c>
      <c r="AW40" s="8">
        <v>65.57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1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0.3333</v>
      </c>
      <c r="BJ40" s="4">
        <v>15</v>
      </c>
      <c r="BK40" s="8">
        <v>994.85</v>
      </c>
      <c r="BL40" s="2" t="s">
        <v>305</v>
      </c>
      <c r="BM40" s="7">
        <v>0.0667</v>
      </c>
      <c r="BN40" s="7">
        <v>0.0659</v>
      </c>
      <c r="BO40" s="4">
        <v>1</v>
      </c>
      <c r="BP40" s="8">
        <v>65.57</v>
      </c>
      <c r="BQ40" s="4"/>
      <c r="BR40" s="8"/>
      <c r="BS40" s="7"/>
      <c r="BT40" s="7"/>
      <c r="BU40" s="2" t="s">
        <v>106</v>
      </c>
      <c r="BV40" s="2" t="s">
        <v>95</v>
      </c>
      <c r="BW40" s="2" t="s">
        <v>306</v>
      </c>
      <c r="BX40" s="2" t="s">
        <v>307</v>
      </c>
      <c r="BY40" s="2" t="s">
        <v>109</v>
      </c>
      <c r="BZ40" s="2" t="s">
        <v>98</v>
      </c>
    </row>
    <row r="41">
      <c r="A41" s="2" t="s">
        <v>308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292</v>
      </c>
      <c r="G41" s="2" t="s">
        <v>292</v>
      </c>
      <c r="H41" s="2" t="s">
        <v>292</v>
      </c>
      <c r="I41" s="2" t="s">
        <v>293</v>
      </c>
      <c r="J41" s="2" t="s">
        <v>111</v>
      </c>
      <c r="K41" s="2" t="s">
        <v>160</v>
      </c>
      <c r="L41" s="3">
        <v>77.5</v>
      </c>
      <c r="M41" s="3">
        <v>81.37</v>
      </c>
      <c r="N41" s="3">
        <v>154.99</v>
      </c>
      <c r="O41" s="2" t="s">
        <v>95</v>
      </c>
      <c r="P41" s="2" t="s">
        <v>185</v>
      </c>
      <c r="Q41" s="2" t="s">
        <v>97</v>
      </c>
      <c r="R41" s="2" t="s">
        <v>98</v>
      </c>
      <c r="S41" s="2" t="s">
        <v>303</v>
      </c>
      <c r="T41" s="2" t="s">
        <v>187</v>
      </c>
      <c r="U41" s="2" t="s">
        <v>101</v>
      </c>
      <c r="V41" s="2" t="s">
        <v>102</v>
      </c>
      <c r="W41" s="2" t="s">
        <v>242</v>
      </c>
      <c r="X41" s="2" t="s">
        <v>190</v>
      </c>
      <c r="Y41" s="2" t="s">
        <v>304</v>
      </c>
      <c r="Z41" s="4">
        <v>422</v>
      </c>
      <c r="AA41" s="4">
        <f>=ROUNDDOWN(70.3333333333333,0)</f>
      </c>
      <c r="AB41" s="5">
        <v>6</v>
      </c>
      <c r="AC41" s="2" t="s">
        <v>98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5</v>
      </c>
      <c r="BK41" s="8">
        <v>422</v>
      </c>
      <c r="BL41" s="2" t="s">
        <v>309</v>
      </c>
      <c r="BM41" s="7"/>
      <c r="BN41" s="7"/>
      <c r="BO41" s="4"/>
      <c r="BP41" s="8"/>
      <c r="BQ41" s="4"/>
      <c r="BR41" s="8"/>
      <c r="BS41" s="7"/>
      <c r="BT41" s="7"/>
      <c r="BU41" s="2" t="s">
        <v>106</v>
      </c>
      <c r="BV41" s="2" t="s">
        <v>95</v>
      </c>
      <c r="BW41" s="2" t="s">
        <v>247</v>
      </c>
      <c r="BX41" s="2" t="s">
        <v>310</v>
      </c>
      <c r="BY41" s="2" t="s">
        <v>109</v>
      </c>
      <c r="BZ41" s="2" t="s">
        <v>98</v>
      </c>
    </row>
    <row r="42">
      <c r="A42" s="2" t="s">
        <v>311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312</v>
      </c>
      <c r="G42" s="2" t="s">
        <v>312</v>
      </c>
      <c r="H42" s="2" t="s">
        <v>312</v>
      </c>
      <c r="I42" s="2" t="s">
        <v>286</v>
      </c>
      <c r="J42" s="2" t="s">
        <v>93</v>
      </c>
      <c r="K42" s="2" t="s">
        <v>313</v>
      </c>
      <c r="L42" s="3">
        <v>70</v>
      </c>
      <c r="M42" s="3">
        <v>73.49</v>
      </c>
      <c r="N42" s="3">
        <v>139.99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314</v>
      </c>
      <c r="T42" s="2" t="s">
        <v>100</v>
      </c>
      <c r="U42" s="2" t="s">
        <v>101</v>
      </c>
      <c r="V42" s="2" t="s">
        <v>188</v>
      </c>
      <c r="W42" s="2" t="s">
        <v>103</v>
      </c>
      <c r="X42" s="2" t="s">
        <v>190</v>
      </c>
      <c r="Y42" s="2" t="s">
        <v>315</v>
      </c>
      <c r="Z42" s="4">
        <v>399</v>
      </c>
      <c r="AA42" s="4">
        <f>=ROUNDDOWN(44.3333333333333,0)</f>
      </c>
      <c r="AB42" s="5">
        <v>9</v>
      </c>
      <c r="AC42" s="2" t="s">
        <v>98</v>
      </c>
      <c r="AD42" s="4"/>
      <c r="AE42" s="4"/>
      <c r="AF42" s="6">
        <v>67</v>
      </c>
      <c r="AG42" s="6">
        <v>75</v>
      </c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>
        <v>1</v>
      </c>
      <c r="AQ42" s="8">
        <v>78.11</v>
      </c>
      <c r="AR42" s="4"/>
      <c r="AS42" s="8"/>
      <c r="AT42" s="7"/>
      <c r="AU42" s="7"/>
      <c r="AV42" s="4">
        <v>2</v>
      </c>
      <c r="AW42" s="8">
        <v>173.47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0.4503</v>
      </c>
      <c r="BC42" s="4">
        <v>2</v>
      </c>
      <c r="BD42" s="8">
        <v>173.47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1</v>
      </c>
      <c r="BJ42" s="4">
        <v>6</v>
      </c>
      <c r="BK42" s="8">
        <v>469.61</v>
      </c>
      <c r="BL42" s="2" t="s">
        <v>316</v>
      </c>
      <c r="BM42" s="7">
        <v>0.1667</v>
      </c>
      <c r="BN42" s="7">
        <v>0.1663</v>
      </c>
      <c r="BO42" s="4">
        <v>1</v>
      </c>
      <c r="BP42" s="8">
        <v>78.11</v>
      </c>
      <c r="BQ42" s="4"/>
      <c r="BR42" s="8"/>
      <c r="BS42" s="7"/>
      <c r="BT42" s="7"/>
      <c r="BU42" s="2" t="s">
        <v>106</v>
      </c>
      <c r="BV42" s="2" t="s">
        <v>95</v>
      </c>
      <c r="BW42" s="2" t="s">
        <v>258</v>
      </c>
      <c r="BX42" s="2" t="s">
        <v>259</v>
      </c>
      <c r="BY42" s="2" t="s">
        <v>109</v>
      </c>
      <c r="BZ42" s="2" t="s">
        <v>98</v>
      </c>
    </row>
    <row r="43">
      <c r="A43" s="2" t="s">
        <v>317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312</v>
      </c>
      <c r="G43" s="2" t="s">
        <v>312</v>
      </c>
      <c r="H43" s="2" t="s">
        <v>312</v>
      </c>
      <c r="I43" s="2" t="s">
        <v>286</v>
      </c>
      <c r="J43" s="2" t="s">
        <v>111</v>
      </c>
      <c r="K43" s="2" t="s">
        <v>313</v>
      </c>
      <c r="L43" s="3">
        <v>85</v>
      </c>
      <c r="M43" s="3">
        <v>89.24</v>
      </c>
      <c r="N43" s="3">
        <v>169.99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314</v>
      </c>
      <c r="T43" s="2" t="s">
        <v>100</v>
      </c>
      <c r="U43" s="2" t="s">
        <v>101</v>
      </c>
      <c r="V43" s="2" t="s">
        <v>188</v>
      </c>
      <c r="W43" s="2" t="s">
        <v>103</v>
      </c>
      <c r="X43" s="2" t="s">
        <v>190</v>
      </c>
      <c r="Y43" s="2" t="s">
        <v>315</v>
      </c>
      <c r="Z43" s="4">
        <v>288</v>
      </c>
      <c r="AA43" s="4">
        <f>=ROUNDDOWN(36,0)</f>
      </c>
      <c r="AB43" s="5">
        <v>8</v>
      </c>
      <c r="AC43" s="2" t="s">
        <v>98</v>
      </c>
      <c r="AD43" s="4"/>
      <c r="AE43" s="4"/>
      <c r="AF43" s="6">
        <v>67</v>
      </c>
      <c r="AG43" s="6">
        <v>75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>
        <v>1</v>
      </c>
      <c r="AQ43" s="8">
        <v>95.36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0.5497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3</v>
      </c>
      <c r="BK43" s="8">
        <v>279.96</v>
      </c>
      <c r="BL43" s="2" t="s">
        <v>318</v>
      </c>
      <c r="BM43" s="7">
        <v>0.3333</v>
      </c>
      <c r="BN43" s="7">
        <v>0.3406</v>
      </c>
      <c r="BO43" s="4">
        <v>1</v>
      </c>
      <c r="BP43" s="8">
        <v>95.36</v>
      </c>
      <c r="BQ43" s="4"/>
      <c r="BR43" s="8"/>
      <c r="BS43" s="7"/>
      <c r="BT43" s="7"/>
      <c r="BU43" s="2" t="s">
        <v>106</v>
      </c>
      <c r="BV43" s="2" t="s">
        <v>95</v>
      </c>
      <c r="BW43" s="2" t="s">
        <v>258</v>
      </c>
      <c r="BX43" s="2" t="s">
        <v>319</v>
      </c>
      <c r="BY43" s="2" t="s">
        <v>109</v>
      </c>
      <c r="BZ43" s="2" t="s">
        <v>98</v>
      </c>
    </row>
    <row r="44">
      <c r="A44" s="2" t="s">
        <v>320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312</v>
      </c>
      <c r="G44" s="2" t="s">
        <v>312</v>
      </c>
      <c r="H44" s="2" t="s">
        <v>312</v>
      </c>
      <c r="I44" s="2" t="s">
        <v>286</v>
      </c>
      <c r="J44" s="2" t="s">
        <v>93</v>
      </c>
      <c r="K44" s="2" t="s">
        <v>321</v>
      </c>
      <c r="L44" s="3">
        <v>70</v>
      </c>
      <c r="M44" s="3">
        <v>73.49</v>
      </c>
      <c r="N44" s="3">
        <v>139.99</v>
      </c>
      <c r="O44" s="2" t="s">
        <v>206</v>
      </c>
      <c r="P44" s="2" t="s">
        <v>128</v>
      </c>
      <c r="Q44" s="2" t="s">
        <v>97</v>
      </c>
      <c r="R44" s="2" t="s">
        <v>98</v>
      </c>
      <c r="S44" s="2" t="s">
        <v>322</v>
      </c>
      <c r="T44" s="2" t="s">
        <v>130</v>
      </c>
      <c r="U44" s="2" t="s">
        <v>101</v>
      </c>
      <c r="V44" s="2" t="s">
        <v>188</v>
      </c>
      <c r="W44" s="2" t="s">
        <v>243</v>
      </c>
      <c r="X44" s="2" t="s">
        <v>190</v>
      </c>
      <c r="Y44" s="2" t="s">
        <v>323</v>
      </c>
      <c r="Z44" s="4">
        <v>140</v>
      </c>
      <c r="AA44" s="4">
        <f>=ROUNDDOWN(18.1818181818182,0)</f>
      </c>
      <c r="AB44" s="5">
        <v>7.7</v>
      </c>
      <c r="AC44" s="2" t="s">
        <v>98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8</v>
      </c>
      <c r="BK44" s="8">
        <v>348.55</v>
      </c>
      <c r="BL44" s="2" t="s">
        <v>324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95</v>
      </c>
      <c r="BW44" s="2" t="s">
        <v>200</v>
      </c>
      <c r="BX44" s="2" t="s">
        <v>201</v>
      </c>
      <c r="BY44" s="2" t="s">
        <v>109</v>
      </c>
      <c r="BZ44" s="2" t="s">
        <v>98</v>
      </c>
    </row>
    <row r="45">
      <c r="A45" s="2" t="s">
        <v>325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312</v>
      </c>
      <c r="G45" s="2" t="s">
        <v>312</v>
      </c>
      <c r="H45" s="2" t="s">
        <v>312</v>
      </c>
      <c r="I45" s="2" t="s">
        <v>286</v>
      </c>
      <c r="J45" s="2" t="s">
        <v>111</v>
      </c>
      <c r="K45" s="2" t="s">
        <v>321</v>
      </c>
      <c r="L45" s="3">
        <v>85</v>
      </c>
      <c r="M45" s="3">
        <v>89.24</v>
      </c>
      <c r="N45" s="3">
        <v>169.99</v>
      </c>
      <c r="O45" s="2" t="s">
        <v>206</v>
      </c>
      <c r="P45" s="2" t="s">
        <v>128</v>
      </c>
      <c r="Q45" s="2" t="s">
        <v>97</v>
      </c>
      <c r="R45" s="2" t="s">
        <v>98</v>
      </c>
      <c r="S45" s="2" t="s">
        <v>322</v>
      </c>
      <c r="T45" s="2" t="s">
        <v>130</v>
      </c>
      <c r="U45" s="2" t="s">
        <v>101</v>
      </c>
      <c r="V45" s="2" t="s">
        <v>188</v>
      </c>
      <c r="W45" s="2" t="s">
        <v>243</v>
      </c>
      <c r="X45" s="2" t="s">
        <v>190</v>
      </c>
      <c r="Y45" s="2" t="s">
        <v>323</v>
      </c>
      <c r="Z45" s="4">
        <v>142</v>
      </c>
      <c r="AA45" s="4">
        <f>=ROUNDDOWN(12.2413793103448,0)</f>
      </c>
      <c r="AB45" s="5">
        <v>11.6</v>
      </c>
      <c r="AC45" s="2" t="s">
        <v>98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 t="s">
        <v>98</v>
      </c>
      <c r="BJ45" s="4">
        <v>14</v>
      </c>
      <c r="BK45" s="8">
        <v>829.48</v>
      </c>
      <c r="BL45" s="2" t="s">
        <v>326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95</v>
      </c>
      <c r="BW45" s="2" t="s">
        <v>200</v>
      </c>
      <c r="BX45" s="2" t="s">
        <v>327</v>
      </c>
      <c r="BY45" s="2" t="s">
        <v>109</v>
      </c>
      <c r="BZ45" s="2" t="s">
        <v>98</v>
      </c>
    </row>
    <row r="46">
      <c r="A46" s="2" t="s">
        <v>328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329</v>
      </c>
      <c r="G46" s="2" t="s">
        <v>329</v>
      </c>
      <c r="H46" s="2" t="s">
        <v>329</v>
      </c>
      <c r="I46" s="2" t="s">
        <v>330</v>
      </c>
      <c r="J46" s="2" t="s">
        <v>93</v>
      </c>
      <c r="K46" s="2" t="s">
        <v>115</v>
      </c>
      <c r="L46" s="3">
        <v>54.85</v>
      </c>
      <c r="M46" s="3">
        <v>57.59</v>
      </c>
      <c r="N46" s="3">
        <v>119.99</v>
      </c>
      <c r="O46" s="2" t="s">
        <v>95</v>
      </c>
      <c r="P46" s="2" t="s">
        <v>140</v>
      </c>
      <c r="Q46" s="2" t="s">
        <v>97</v>
      </c>
      <c r="R46" s="2" t="s">
        <v>98</v>
      </c>
      <c r="S46" s="2" t="s">
        <v>331</v>
      </c>
      <c r="T46" s="2" t="s">
        <v>187</v>
      </c>
      <c r="U46" s="2" t="s">
        <v>101</v>
      </c>
      <c r="V46" s="2" t="s">
        <v>188</v>
      </c>
      <c r="W46" s="2" t="s">
        <v>243</v>
      </c>
      <c r="X46" s="2" t="s">
        <v>190</v>
      </c>
      <c r="Y46" s="2" t="s">
        <v>332</v>
      </c>
      <c r="Z46" s="4">
        <v>127</v>
      </c>
      <c r="AA46" s="4">
        <f>=ROUNDDOWN(21.1666666666667,0)</f>
      </c>
      <c r="AB46" s="5">
        <v>6</v>
      </c>
      <c r="AC46" s="2" t="s">
        <v>333</v>
      </c>
      <c r="AD46" s="4">
        <v>100</v>
      </c>
      <c r="AE46" s="4">
        <v>190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72.58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/>
      <c r="BC46" s="4">
        <v>1</v>
      </c>
      <c r="BD46" s="8">
        <v>72.58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1</v>
      </c>
      <c r="BJ46" s="4">
        <v>2</v>
      </c>
      <c r="BK46" s="8">
        <v>124.97</v>
      </c>
      <c r="BL46" s="2" t="s">
        <v>334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95</v>
      </c>
      <c r="BW46" s="2" t="s">
        <v>335</v>
      </c>
      <c r="BX46" s="2" t="s">
        <v>336</v>
      </c>
      <c r="BY46" s="2" t="s">
        <v>109</v>
      </c>
      <c r="BZ46" s="2" t="s">
        <v>98</v>
      </c>
    </row>
    <row r="47">
      <c r="A47" s="2" t="s">
        <v>337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329</v>
      </c>
      <c r="G47" s="2" t="s">
        <v>329</v>
      </c>
      <c r="H47" s="2" t="s">
        <v>329</v>
      </c>
      <c r="I47" s="2" t="s">
        <v>330</v>
      </c>
      <c r="J47" s="2" t="s">
        <v>111</v>
      </c>
      <c r="K47" s="2" t="s">
        <v>115</v>
      </c>
      <c r="L47" s="3">
        <v>64</v>
      </c>
      <c r="M47" s="3">
        <v>67.2</v>
      </c>
      <c r="N47" s="3">
        <v>139.99</v>
      </c>
      <c r="O47" s="2" t="s">
        <v>95</v>
      </c>
      <c r="P47" s="2" t="s">
        <v>140</v>
      </c>
      <c r="Q47" s="2" t="s">
        <v>97</v>
      </c>
      <c r="R47" s="2" t="s">
        <v>98</v>
      </c>
      <c r="S47" s="2" t="s">
        <v>331</v>
      </c>
      <c r="T47" s="2" t="s">
        <v>187</v>
      </c>
      <c r="U47" s="2" t="s">
        <v>101</v>
      </c>
      <c r="V47" s="2" t="s">
        <v>188</v>
      </c>
      <c r="W47" s="2" t="s">
        <v>243</v>
      </c>
      <c r="X47" s="2" t="s">
        <v>190</v>
      </c>
      <c r="Y47" s="2" t="s">
        <v>335</v>
      </c>
      <c r="Z47" s="4">
        <v>78</v>
      </c>
      <c r="AA47" s="4">
        <f>=ROUNDDOWN(11.1428571428571,0)</f>
      </c>
      <c r="AB47" s="5">
        <v>7</v>
      </c>
      <c r="AC47" s="2" t="s">
        <v>333</v>
      </c>
      <c r="AD47" s="4">
        <v>130</v>
      </c>
      <c r="AE47" s="4">
        <v>240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>
        <v>1</v>
      </c>
      <c r="AQ47" s="8">
        <v>72.58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7</v>
      </c>
      <c r="BK47" s="8">
        <v>522.48</v>
      </c>
      <c r="BL47" s="2" t="s">
        <v>166</v>
      </c>
      <c r="BM47" s="7">
        <v>0.1429</v>
      </c>
      <c r="BN47" s="7">
        <v>0.1389</v>
      </c>
      <c r="BO47" s="4">
        <v>1</v>
      </c>
      <c r="BP47" s="8">
        <v>72.58</v>
      </c>
      <c r="BQ47" s="4"/>
      <c r="BR47" s="8"/>
      <c r="BS47" s="7"/>
      <c r="BT47" s="7"/>
      <c r="BU47" s="2" t="s">
        <v>106</v>
      </c>
      <c r="BV47" s="2" t="s">
        <v>95</v>
      </c>
      <c r="BW47" s="2" t="s">
        <v>335</v>
      </c>
      <c r="BX47" s="2" t="s">
        <v>338</v>
      </c>
      <c r="BY47" s="2" t="s">
        <v>109</v>
      </c>
      <c r="BZ47" s="2" t="s">
        <v>98</v>
      </c>
    </row>
    <row r="48">
      <c r="A48" s="2" t="s">
        <v>339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329</v>
      </c>
      <c r="G48" s="2" t="s">
        <v>329</v>
      </c>
      <c r="H48" s="2" t="s">
        <v>329</v>
      </c>
      <c r="I48" s="2" t="s">
        <v>330</v>
      </c>
      <c r="J48" s="2" t="s">
        <v>93</v>
      </c>
      <c r="K48" s="2" t="s">
        <v>340</v>
      </c>
      <c r="L48" s="3">
        <v>54.85</v>
      </c>
      <c r="M48" s="3">
        <v>57.59</v>
      </c>
      <c r="N48" s="3">
        <v>119.99</v>
      </c>
      <c r="O48" s="2" t="s">
        <v>95</v>
      </c>
      <c r="P48" s="2" t="s">
        <v>140</v>
      </c>
      <c r="Q48" s="2" t="s">
        <v>97</v>
      </c>
      <c r="R48" s="2" t="s">
        <v>98</v>
      </c>
      <c r="S48" s="2" t="s">
        <v>341</v>
      </c>
      <c r="T48" s="2" t="s">
        <v>187</v>
      </c>
      <c r="U48" s="2" t="s">
        <v>101</v>
      </c>
      <c r="V48" s="2" t="s">
        <v>188</v>
      </c>
      <c r="W48" s="2" t="s">
        <v>243</v>
      </c>
      <c r="X48" s="2" t="s">
        <v>190</v>
      </c>
      <c r="Y48" s="2" t="s">
        <v>332</v>
      </c>
      <c r="Z48" s="4">
        <v>159</v>
      </c>
      <c r="AA48" s="4">
        <f>=ROUNDDOWN(19.875,0)</f>
      </c>
      <c r="AB48" s="5">
        <v>8</v>
      </c>
      <c r="AC48" s="2" t="s">
        <v>342</v>
      </c>
      <c r="AD48" s="4">
        <v>120</v>
      </c>
      <c r="AE48" s="4">
        <v>120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7</v>
      </c>
      <c r="BK48" s="8">
        <v>440.56</v>
      </c>
      <c r="BL48" s="2" t="s">
        <v>343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95</v>
      </c>
      <c r="BW48" s="2" t="s">
        <v>335</v>
      </c>
      <c r="BX48" s="2" t="s">
        <v>344</v>
      </c>
      <c r="BY48" s="2" t="s">
        <v>109</v>
      </c>
      <c r="BZ48" s="2" t="s">
        <v>98</v>
      </c>
    </row>
    <row r="49">
      <c r="A49" s="2" t="s">
        <v>345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329</v>
      </c>
      <c r="G49" s="2" t="s">
        <v>329</v>
      </c>
      <c r="H49" s="2" t="s">
        <v>329</v>
      </c>
      <c r="I49" s="2" t="s">
        <v>330</v>
      </c>
      <c r="J49" s="2" t="s">
        <v>111</v>
      </c>
      <c r="K49" s="2" t="s">
        <v>340</v>
      </c>
      <c r="L49" s="3">
        <v>64</v>
      </c>
      <c r="M49" s="3">
        <v>67.2</v>
      </c>
      <c r="N49" s="3">
        <v>139.99</v>
      </c>
      <c r="O49" s="2" t="s">
        <v>95</v>
      </c>
      <c r="P49" s="2" t="s">
        <v>140</v>
      </c>
      <c r="Q49" s="2" t="s">
        <v>97</v>
      </c>
      <c r="R49" s="2" t="s">
        <v>98</v>
      </c>
      <c r="S49" s="2" t="s">
        <v>341</v>
      </c>
      <c r="T49" s="2" t="s">
        <v>187</v>
      </c>
      <c r="U49" s="2" t="s">
        <v>101</v>
      </c>
      <c r="V49" s="2" t="s">
        <v>188</v>
      </c>
      <c r="W49" s="2" t="s">
        <v>243</v>
      </c>
      <c r="X49" s="2" t="s">
        <v>190</v>
      </c>
      <c r="Y49" s="2" t="s">
        <v>332</v>
      </c>
      <c r="Z49" s="4">
        <v>137</v>
      </c>
      <c r="AA49" s="4">
        <f>=ROUNDDOWN(14.1237113402062,0)</f>
      </c>
      <c r="AB49" s="5">
        <v>9.7</v>
      </c>
      <c r="AC49" s="2" t="s">
        <v>342</v>
      </c>
      <c r="AD49" s="4">
        <v>170</v>
      </c>
      <c r="AE49" s="4">
        <v>170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7</v>
      </c>
      <c r="BK49" s="8">
        <v>497.32</v>
      </c>
      <c r="BL49" s="2" t="s">
        <v>346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95</v>
      </c>
      <c r="BW49" s="2" t="s">
        <v>335</v>
      </c>
      <c r="BX49" s="2" t="s">
        <v>347</v>
      </c>
      <c r="BY49" s="2" t="s">
        <v>109</v>
      </c>
      <c r="BZ49" s="2" t="s">
        <v>98</v>
      </c>
    </row>
    <row r="50">
      <c r="A50" s="2" t="s">
        <v>348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349</v>
      </c>
      <c r="G50" s="2" t="s">
        <v>349</v>
      </c>
      <c r="H50" s="2" t="s">
        <v>349</v>
      </c>
      <c r="I50" s="2" t="s">
        <v>350</v>
      </c>
      <c r="J50" s="2" t="s">
        <v>93</v>
      </c>
      <c r="K50" s="2" t="s">
        <v>184</v>
      </c>
      <c r="L50" s="3">
        <v>54</v>
      </c>
      <c r="M50" s="3">
        <v>56.7</v>
      </c>
      <c r="N50" s="3">
        <v>109.99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351</v>
      </c>
      <c r="T50" s="2" t="s">
        <v>100</v>
      </c>
      <c r="U50" s="2" t="s">
        <v>101</v>
      </c>
      <c r="V50" s="2" t="s">
        <v>102</v>
      </c>
      <c r="W50" s="2" t="s">
        <v>352</v>
      </c>
      <c r="X50" s="2" t="s">
        <v>353</v>
      </c>
      <c r="Y50" s="2" t="s">
        <v>354</v>
      </c>
      <c r="Z50" s="4">
        <v>366</v>
      </c>
      <c r="AA50" s="4">
        <f>=ROUNDDOWN(52.2857142857143,0)</f>
      </c>
      <c r="AB50" s="5">
        <v>7</v>
      </c>
      <c r="AC50" s="2" t="s">
        <v>98</v>
      </c>
      <c r="AD50" s="4"/>
      <c r="AE50" s="4"/>
      <c r="AF50" s="6">
        <v>65</v>
      </c>
      <c r="AG50" s="6">
        <v>73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1</v>
      </c>
      <c r="BK50" s="8">
        <v>64</v>
      </c>
      <c r="BL50" s="2" t="s">
        <v>355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95</v>
      </c>
      <c r="BW50" s="2" t="s">
        <v>271</v>
      </c>
      <c r="BX50" s="2" t="s">
        <v>356</v>
      </c>
      <c r="BY50" s="2" t="s">
        <v>109</v>
      </c>
      <c r="BZ50" s="2" t="s">
        <v>98</v>
      </c>
    </row>
    <row r="51">
      <c r="A51" s="2" t="s">
        <v>357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358</v>
      </c>
      <c r="G51" s="2" t="s">
        <v>358</v>
      </c>
      <c r="H51" s="2" t="s">
        <v>358</v>
      </c>
      <c r="I51" s="2" t="s">
        <v>183</v>
      </c>
      <c r="J51" s="2" t="s">
        <v>111</v>
      </c>
      <c r="K51" s="2" t="s">
        <v>152</v>
      </c>
      <c r="L51" s="3">
        <v>68.57</v>
      </c>
      <c r="M51" s="3">
        <v>72</v>
      </c>
      <c r="N51" s="3">
        <v>149.99</v>
      </c>
      <c r="O51" s="2" t="s">
        <v>95</v>
      </c>
      <c r="P51" s="2" t="s">
        <v>177</v>
      </c>
      <c r="Q51" s="2" t="s">
        <v>97</v>
      </c>
      <c r="R51" s="2" t="s">
        <v>98</v>
      </c>
      <c r="S51" s="2" t="s">
        <v>359</v>
      </c>
      <c r="T51" s="2" t="s">
        <v>187</v>
      </c>
      <c r="U51" s="2" t="s">
        <v>101</v>
      </c>
      <c r="V51" s="2" t="s">
        <v>360</v>
      </c>
      <c r="W51" s="2" t="s">
        <v>242</v>
      </c>
      <c r="X51" s="2" t="s">
        <v>98</v>
      </c>
      <c r="Y51" s="2" t="s">
        <v>361</v>
      </c>
      <c r="Z51" s="4">
        <v>3</v>
      </c>
      <c r="AA51" s="4">
        <f>=ROUNDDOWN(0.9375,0)</f>
      </c>
      <c r="AB51" s="5">
        <v>3.2</v>
      </c>
      <c r="AC51" s="2" t="s">
        <v>98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98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95</v>
      </c>
      <c r="BW51" s="2" t="s">
        <v>362</v>
      </c>
      <c r="BX51" s="2" t="s">
        <v>363</v>
      </c>
      <c r="BY51" s="2" t="s">
        <v>109</v>
      </c>
      <c r="BZ51" s="2" t="s">
        <v>98</v>
      </c>
    </row>
    <row r="52">
      <c r="A52" s="2" t="s">
        <v>364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365</v>
      </c>
      <c r="G52" s="2" t="s">
        <v>365</v>
      </c>
      <c r="H52" s="2" t="s">
        <v>365</v>
      </c>
      <c r="I52" s="2" t="s">
        <v>366</v>
      </c>
      <c r="J52" s="2" t="s">
        <v>93</v>
      </c>
      <c r="K52" s="2" t="s">
        <v>367</v>
      </c>
      <c r="L52" s="3">
        <v>75.6</v>
      </c>
      <c r="M52" s="3">
        <v>79.38</v>
      </c>
      <c r="N52" s="3">
        <v>151.99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368</v>
      </c>
      <c r="T52" s="2" t="s">
        <v>100</v>
      </c>
      <c r="U52" s="2" t="s">
        <v>101</v>
      </c>
      <c r="V52" s="2" t="s">
        <v>369</v>
      </c>
      <c r="W52" s="2" t="s">
        <v>103</v>
      </c>
      <c r="X52" s="2" t="s">
        <v>98</v>
      </c>
      <c r="Y52" s="2" t="s">
        <v>370</v>
      </c>
      <c r="Z52" s="4">
        <v>400</v>
      </c>
      <c r="AA52" s="4">
        <f>=ROUNDDOWN(50,0)</f>
      </c>
      <c r="AB52" s="5">
        <v>8</v>
      </c>
      <c r="AC52" s="2" t="s">
        <v>230</v>
      </c>
      <c r="AD52" s="4">
        <v>83</v>
      </c>
      <c r="AE52" s="4">
        <v>83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</v>
      </c>
      <c r="BK52" s="8">
        <v>173.88</v>
      </c>
      <c r="BL52" s="2" t="s">
        <v>371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95</v>
      </c>
      <c r="BW52" s="2" t="s">
        <v>370</v>
      </c>
      <c r="BX52" s="2" t="s">
        <v>372</v>
      </c>
      <c r="BY52" s="2" t="s">
        <v>109</v>
      </c>
      <c r="BZ52" s="2" t="s">
        <v>98</v>
      </c>
    </row>
    <row r="53">
      <c r="A53" s="2" t="s">
        <v>373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374</v>
      </c>
      <c r="G53" s="2" t="s">
        <v>374</v>
      </c>
      <c r="H53" s="2" t="s">
        <v>374</v>
      </c>
      <c r="I53" s="2" t="s">
        <v>375</v>
      </c>
      <c r="J53" s="2" t="s">
        <v>111</v>
      </c>
      <c r="K53" s="2" t="s">
        <v>94</v>
      </c>
      <c r="L53" s="3">
        <v>75</v>
      </c>
      <c r="M53" s="3">
        <v>78.74</v>
      </c>
      <c r="N53" s="3">
        <v>149.99</v>
      </c>
      <c r="O53" s="2" t="s">
        <v>161</v>
      </c>
      <c r="P53" s="2" t="s">
        <v>128</v>
      </c>
      <c r="Q53" s="2" t="s">
        <v>97</v>
      </c>
      <c r="R53" s="2" t="s">
        <v>98</v>
      </c>
      <c r="S53" s="2" t="s">
        <v>376</v>
      </c>
      <c r="T53" s="2" t="s">
        <v>98</v>
      </c>
      <c r="U53" s="2" t="s">
        <v>98</v>
      </c>
      <c r="V53" s="2" t="s">
        <v>208</v>
      </c>
      <c r="W53" s="2" t="s">
        <v>377</v>
      </c>
      <c r="X53" s="2" t="s">
        <v>353</v>
      </c>
      <c r="Y53" s="2" t="s">
        <v>354</v>
      </c>
      <c r="Z53" s="4"/>
      <c r="AA53" s="4">
        <f>=ROUNDDOWN({0},0)</f>
      </c>
      <c r="AB53" s="5">
        <v>3.8</v>
      </c>
      <c r="AC53" s="2" t="s">
        <v>98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1</v>
      </c>
      <c r="BK53" s="8">
        <v>37.76</v>
      </c>
      <c r="BL53" s="2" t="s">
        <v>378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95</v>
      </c>
      <c r="BW53" s="2" t="s">
        <v>247</v>
      </c>
      <c r="BX53" s="2" t="s">
        <v>379</v>
      </c>
      <c r="BY53" s="2" t="s">
        <v>109</v>
      </c>
      <c r="BZ53" s="2" t="s">
        <v>98</v>
      </c>
    </row>
    <row r="54">
      <c r="A54" s="2" t="s">
        <v>380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381</v>
      </c>
      <c r="G54" s="2" t="s">
        <v>381</v>
      </c>
      <c r="H54" s="2" t="s">
        <v>381</v>
      </c>
      <c r="I54" s="2" t="s">
        <v>382</v>
      </c>
      <c r="J54" s="2" t="s">
        <v>93</v>
      </c>
      <c r="K54" s="2" t="s">
        <v>94</v>
      </c>
      <c r="L54" s="3">
        <v>62.4</v>
      </c>
      <c r="M54" s="3">
        <v>65.52</v>
      </c>
      <c r="N54" s="3">
        <v>129.99</v>
      </c>
      <c r="O54" s="2" t="s">
        <v>161</v>
      </c>
      <c r="P54" s="2" t="s">
        <v>128</v>
      </c>
      <c r="Q54" s="2" t="s">
        <v>97</v>
      </c>
      <c r="R54" s="2" t="s">
        <v>98</v>
      </c>
      <c r="S54" s="2" t="s">
        <v>383</v>
      </c>
      <c r="T54" s="2" t="s">
        <v>98</v>
      </c>
      <c r="U54" s="2" t="s">
        <v>101</v>
      </c>
      <c r="V54" s="2" t="s">
        <v>103</v>
      </c>
      <c r="W54" s="2" t="s">
        <v>384</v>
      </c>
      <c r="X54" s="2" t="s">
        <v>190</v>
      </c>
      <c r="Y54" s="2" t="s">
        <v>385</v>
      </c>
      <c r="Z54" s="4">
        <v>383</v>
      </c>
      <c r="AA54" s="4">
        <f>=ROUNDDOWN(127.666666666667,0)</f>
      </c>
      <c r="AB54" s="5">
        <v>3</v>
      </c>
      <c r="AC54" s="2" t="s">
        <v>98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>
        <v>1</v>
      </c>
      <c r="BK54" s="8">
        <v>34.4</v>
      </c>
      <c r="BL54" s="2" t="s">
        <v>386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95</v>
      </c>
      <c r="BW54" s="2" t="s">
        <v>387</v>
      </c>
      <c r="BX54" s="2" t="s">
        <v>388</v>
      </c>
      <c r="BY54" s="2" t="s">
        <v>109</v>
      </c>
      <c r="BZ54" s="2" t="s">
        <v>98</v>
      </c>
    </row>
    <row r="55">
      <c r="A55" s="2" t="s">
        <v>389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381</v>
      </c>
      <c r="G55" s="2" t="s">
        <v>381</v>
      </c>
      <c r="H55" s="2" t="s">
        <v>381</v>
      </c>
      <c r="I55" s="2" t="s">
        <v>382</v>
      </c>
      <c r="J55" s="2" t="s">
        <v>111</v>
      </c>
      <c r="K55" s="2" t="s">
        <v>94</v>
      </c>
      <c r="L55" s="3">
        <v>76.8</v>
      </c>
      <c r="M55" s="3">
        <v>80.64</v>
      </c>
      <c r="N55" s="3">
        <v>159.99</v>
      </c>
      <c r="O55" s="2" t="s">
        <v>161</v>
      </c>
      <c r="P55" s="2" t="s">
        <v>128</v>
      </c>
      <c r="Q55" s="2" t="s">
        <v>97</v>
      </c>
      <c r="R55" s="2" t="s">
        <v>98</v>
      </c>
      <c r="S55" s="2" t="s">
        <v>383</v>
      </c>
      <c r="T55" s="2" t="s">
        <v>98</v>
      </c>
      <c r="U55" s="2" t="s">
        <v>101</v>
      </c>
      <c r="V55" s="2" t="s">
        <v>103</v>
      </c>
      <c r="W55" s="2" t="s">
        <v>384</v>
      </c>
      <c r="X55" s="2" t="s">
        <v>190</v>
      </c>
      <c r="Y55" s="2" t="s">
        <v>385</v>
      </c>
      <c r="Z55" s="4">
        <v>478</v>
      </c>
      <c r="AA55" s="4">
        <f>=ROUNDDOWN(159.333333333333,0)</f>
      </c>
      <c r="AB55" s="5">
        <v>3</v>
      </c>
      <c r="AC55" s="2" t="s">
        <v>98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/>
      <c r="BK55" s="8"/>
      <c r="BL55" s="2" t="s">
        <v>98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95</v>
      </c>
      <c r="BW55" s="2" t="s">
        <v>387</v>
      </c>
      <c r="BX55" s="2" t="s">
        <v>390</v>
      </c>
      <c r="BY55" s="2" t="s">
        <v>109</v>
      </c>
      <c r="BZ55" s="2" t="s">
        <v>98</v>
      </c>
    </row>
    <row r="56">
      <c r="A56" s="2" t="s">
        <v>391</v>
      </c>
      <c r="B56" s="2" t="s">
        <v>87</v>
      </c>
      <c r="C56" s="2" t="s">
        <v>88</v>
      </c>
      <c r="D56" s="2" t="s">
        <v>89</v>
      </c>
      <c r="E56" s="2" t="s">
        <v>392</v>
      </c>
      <c r="F56" s="2" t="s">
        <v>393</v>
      </c>
      <c r="G56" s="2" t="s">
        <v>393</v>
      </c>
      <c r="H56" s="2" t="s">
        <v>393</v>
      </c>
      <c r="I56" s="2" t="s">
        <v>394</v>
      </c>
      <c r="J56" s="2" t="s">
        <v>93</v>
      </c>
      <c r="K56" s="2" t="s">
        <v>395</v>
      </c>
      <c r="L56" s="3">
        <v>70</v>
      </c>
      <c r="M56" s="3">
        <v>73.49</v>
      </c>
      <c r="N56" s="3">
        <v>139.99</v>
      </c>
      <c r="O56" s="2" t="s">
        <v>206</v>
      </c>
      <c r="P56" s="2" t="s">
        <v>128</v>
      </c>
      <c r="Q56" s="2" t="s">
        <v>97</v>
      </c>
      <c r="R56" s="2" t="s">
        <v>98</v>
      </c>
      <c r="S56" s="2" t="s">
        <v>396</v>
      </c>
      <c r="T56" s="2" t="s">
        <v>98</v>
      </c>
      <c r="U56" s="2" t="s">
        <v>98</v>
      </c>
      <c r="V56" s="2" t="s">
        <v>188</v>
      </c>
      <c r="W56" s="2" t="s">
        <v>209</v>
      </c>
      <c r="X56" s="2" t="s">
        <v>397</v>
      </c>
      <c r="Y56" s="2" t="s">
        <v>354</v>
      </c>
      <c r="Z56" s="4">
        <v>56</v>
      </c>
      <c r="AA56" s="4">
        <f>=ROUNDDOWN(14.7368421052632,0)</f>
      </c>
      <c r="AB56" s="5">
        <v>3.8</v>
      </c>
      <c r="AC56" s="2" t="s">
        <v>98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>
        <v>2</v>
      </c>
      <c r="AQ56" s="8">
        <v>150.68</v>
      </c>
      <c r="AR56" s="4"/>
      <c r="AS56" s="8"/>
      <c r="AT56" s="7"/>
      <c r="AU56" s="7"/>
      <c r="AV56" s="4">
        <v>4</v>
      </c>
      <c r="AW56" s="8">
        <v>324.52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0.4643</v>
      </c>
      <c r="BC56" s="4">
        <v>4</v>
      </c>
      <c r="BD56" s="8">
        <v>324.52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1</v>
      </c>
      <c r="BJ56" s="4">
        <v>4</v>
      </c>
      <c r="BK56" s="8">
        <v>270.67</v>
      </c>
      <c r="BL56" s="2" t="s">
        <v>398</v>
      </c>
      <c r="BM56" s="7">
        <v>0.5</v>
      </c>
      <c r="BN56" s="7">
        <v>0.5567</v>
      </c>
      <c r="BO56" s="4">
        <v>2</v>
      </c>
      <c r="BP56" s="8">
        <v>150.68</v>
      </c>
      <c r="BQ56" s="4"/>
      <c r="BR56" s="8"/>
      <c r="BS56" s="7"/>
      <c r="BT56" s="7"/>
      <c r="BU56" s="2" t="s">
        <v>106</v>
      </c>
      <c r="BV56" s="2" t="s">
        <v>95</v>
      </c>
      <c r="BW56" s="2" t="s">
        <v>271</v>
      </c>
      <c r="BX56" s="2" t="s">
        <v>399</v>
      </c>
      <c r="BY56" s="2" t="s">
        <v>109</v>
      </c>
      <c r="BZ56" s="2" t="s">
        <v>98</v>
      </c>
    </row>
    <row r="57">
      <c r="A57" s="2" t="s">
        <v>400</v>
      </c>
      <c r="B57" s="2" t="s">
        <v>87</v>
      </c>
      <c r="C57" s="2" t="s">
        <v>88</v>
      </c>
      <c r="D57" s="2" t="s">
        <v>89</v>
      </c>
      <c r="E57" s="2" t="s">
        <v>392</v>
      </c>
      <c r="F57" s="2" t="s">
        <v>393</v>
      </c>
      <c r="G57" s="2" t="s">
        <v>393</v>
      </c>
      <c r="H57" s="2" t="s">
        <v>393</v>
      </c>
      <c r="I57" s="2" t="s">
        <v>394</v>
      </c>
      <c r="J57" s="2" t="s">
        <v>401</v>
      </c>
      <c r="K57" s="2" t="s">
        <v>395</v>
      </c>
      <c r="L57" s="3">
        <v>80</v>
      </c>
      <c r="M57" s="3">
        <v>83.99</v>
      </c>
      <c r="N57" s="3">
        <v>159.99</v>
      </c>
      <c r="O57" s="2" t="s">
        <v>206</v>
      </c>
      <c r="P57" s="2" t="s">
        <v>128</v>
      </c>
      <c r="Q57" s="2" t="s">
        <v>97</v>
      </c>
      <c r="R57" s="2" t="s">
        <v>98</v>
      </c>
      <c r="S57" s="2" t="s">
        <v>396</v>
      </c>
      <c r="T57" s="2" t="s">
        <v>98</v>
      </c>
      <c r="U57" s="2" t="s">
        <v>98</v>
      </c>
      <c r="V57" s="2" t="s">
        <v>188</v>
      </c>
      <c r="W57" s="2" t="s">
        <v>209</v>
      </c>
      <c r="X57" s="2" t="s">
        <v>397</v>
      </c>
      <c r="Y57" s="2" t="s">
        <v>354</v>
      </c>
      <c r="Z57" s="4">
        <v>59</v>
      </c>
      <c r="AA57" s="4">
        <f>=ROUNDDOWN(15.5263157894737,0)</f>
      </c>
      <c r="AB57" s="5">
        <v>3.8</v>
      </c>
      <c r="AC57" s="2" t="s">
        <v>98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>
        <v>2</v>
      </c>
      <c r="AQ57" s="8">
        <v>173.84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0.5357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5</v>
      </c>
      <c r="BK57" s="8">
        <v>351.58</v>
      </c>
      <c r="BL57" s="2" t="s">
        <v>402</v>
      </c>
      <c r="BM57" s="7">
        <v>0.4</v>
      </c>
      <c r="BN57" s="7">
        <v>0.4945</v>
      </c>
      <c r="BO57" s="4">
        <v>2</v>
      </c>
      <c r="BP57" s="8">
        <v>173.84</v>
      </c>
      <c r="BQ57" s="4"/>
      <c r="BR57" s="8"/>
      <c r="BS57" s="7"/>
      <c r="BT57" s="7"/>
      <c r="BU57" s="2" t="s">
        <v>106</v>
      </c>
      <c r="BV57" s="2" t="s">
        <v>95</v>
      </c>
      <c r="BW57" s="2" t="s">
        <v>271</v>
      </c>
      <c r="BX57" s="2" t="s">
        <v>403</v>
      </c>
      <c r="BY57" s="2" t="s">
        <v>109</v>
      </c>
      <c r="BZ57" s="2" t="s">
        <v>98</v>
      </c>
    </row>
    <row r="58">
      <c r="A58" s="2" t="s">
        <v>404</v>
      </c>
      <c r="B58" s="2" t="s">
        <v>87</v>
      </c>
      <c r="C58" s="2" t="s">
        <v>88</v>
      </c>
      <c r="D58" s="2" t="s">
        <v>405</v>
      </c>
      <c r="E58" s="2" t="s">
        <v>406</v>
      </c>
      <c r="F58" s="2" t="s">
        <v>312</v>
      </c>
      <c r="G58" s="2" t="s">
        <v>312</v>
      </c>
      <c r="H58" s="2" t="s">
        <v>312</v>
      </c>
      <c r="I58" s="2" t="s">
        <v>407</v>
      </c>
      <c r="J58" s="2" t="s">
        <v>93</v>
      </c>
      <c r="K58" s="2" t="s">
        <v>313</v>
      </c>
      <c r="L58" s="3">
        <v>58.8</v>
      </c>
      <c r="M58" s="3">
        <v>61.73</v>
      </c>
      <c r="N58" s="3">
        <v>119.99</v>
      </c>
      <c r="O58" s="2" t="s">
        <v>95</v>
      </c>
      <c r="P58" s="2" t="s">
        <v>140</v>
      </c>
      <c r="Q58" s="2" t="s">
        <v>97</v>
      </c>
      <c r="R58" s="2" t="s">
        <v>98</v>
      </c>
      <c r="S58" s="2" t="s">
        <v>314</v>
      </c>
      <c r="T58" s="2" t="s">
        <v>100</v>
      </c>
      <c r="U58" s="2" t="s">
        <v>101</v>
      </c>
      <c r="V58" s="2" t="s">
        <v>188</v>
      </c>
      <c r="W58" s="2" t="s">
        <v>103</v>
      </c>
      <c r="X58" s="2" t="s">
        <v>190</v>
      </c>
      <c r="Y58" s="2" t="s">
        <v>315</v>
      </c>
      <c r="Z58" s="4">
        <v>116</v>
      </c>
      <c r="AA58" s="4">
        <f>=ROUNDDOWN(23.2,0)</f>
      </c>
      <c r="AB58" s="5">
        <v>5</v>
      </c>
      <c r="AC58" s="2" t="s">
        <v>98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>
        <v>3</v>
      </c>
      <c r="AQ58" s="8">
        <v>194.91</v>
      </c>
      <c r="AR58" s="4"/>
      <c r="AS58" s="8"/>
      <c r="AT58" s="7"/>
      <c r="AU58" s="7"/>
      <c r="AV58" s="4">
        <v>5</v>
      </c>
      <c r="AW58" s="8">
        <v>358.75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0.5433</v>
      </c>
      <c r="BC58" s="4">
        <v>7</v>
      </c>
      <c r="BD58" s="8">
        <v>492.11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0.729</v>
      </c>
      <c r="BJ58" s="4">
        <v>7</v>
      </c>
      <c r="BK58" s="8">
        <v>494.64</v>
      </c>
      <c r="BL58" s="2" t="s">
        <v>408</v>
      </c>
      <c r="BM58" s="7">
        <v>0.4286</v>
      </c>
      <c r="BN58" s="7">
        <v>0.394</v>
      </c>
      <c r="BO58" s="4">
        <v>3</v>
      </c>
      <c r="BP58" s="8">
        <v>194.91</v>
      </c>
      <c r="BQ58" s="4"/>
      <c r="BR58" s="8"/>
      <c r="BS58" s="7"/>
      <c r="BT58" s="7"/>
      <c r="BU58" s="2" t="s">
        <v>106</v>
      </c>
      <c r="BV58" s="2" t="s">
        <v>95</v>
      </c>
      <c r="BW58" s="2" t="s">
        <v>258</v>
      </c>
      <c r="BX58" s="2" t="s">
        <v>409</v>
      </c>
      <c r="BY58" s="2" t="s">
        <v>109</v>
      </c>
      <c r="BZ58" s="2" t="s">
        <v>98</v>
      </c>
    </row>
    <row r="59">
      <c r="A59" s="2" t="s">
        <v>410</v>
      </c>
      <c r="B59" s="2" t="s">
        <v>87</v>
      </c>
      <c r="C59" s="2" t="s">
        <v>88</v>
      </c>
      <c r="D59" s="2" t="s">
        <v>405</v>
      </c>
      <c r="E59" s="2" t="s">
        <v>406</v>
      </c>
      <c r="F59" s="2" t="s">
        <v>312</v>
      </c>
      <c r="G59" s="2" t="s">
        <v>312</v>
      </c>
      <c r="H59" s="2" t="s">
        <v>312</v>
      </c>
      <c r="I59" s="2" t="s">
        <v>407</v>
      </c>
      <c r="J59" s="2" t="s">
        <v>111</v>
      </c>
      <c r="K59" s="2" t="s">
        <v>313</v>
      </c>
      <c r="L59" s="3">
        <v>73.5</v>
      </c>
      <c r="M59" s="3">
        <v>77.17</v>
      </c>
      <c r="N59" s="3">
        <v>149.99</v>
      </c>
      <c r="O59" s="2" t="s">
        <v>95</v>
      </c>
      <c r="P59" s="2" t="s">
        <v>140</v>
      </c>
      <c r="Q59" s="2" t="s">
        <v>97</v>
      </c>
      <c r="R59" s="2" t="s">
        <v>98</v>
      </c>
      <c r="S59" s="2" t="s">
        <v>314</v>
      </c>
      <c r="T59" s="2" t="s">
        <v>100</v>
      </c>
      <c r="U59" s="2" t="s">
        <v>101</v>
      </c>
      <c r="V59" s="2" t="s">
        <v>188</v>
      </c>
      <c r="W59" s="2" t="s">
        <v>243</v>
      </c>
      <c r="X59" s="2" t="s">
        <v>190</v>
      </c>
      <c r="Y59" s="2" t="s">
        <v>315</v>
      </c>
      <c r="Z59" s="4">
        <v>119</v>
      </c>
      <c r="AA59" s="4">
        <f>=ROUNDDOWN(23.8,0)</f>
      </c>
      <c r="AB59" s="5">
        <v>5</v>
      </c>
      <c r="AC59" s="2" t="s">
        <v>98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>
        <v>2</v>
      </c>
      <c r="AQ59" s="8">
        <v>163.84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0.4567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6</v>
      </c>
      <c r="BK59" s="8">
        <v>474.6</v>
      </c>
      <c r="BL59" s="2" t="s">
        <v>411</v>
      </c>
      <c r="BM59" s="7">
        <v>0.3333</v>
      </c>
      <c r="BN59" s="7">
        <v>0.3452</v>
      </c>
      <c r="BO59" s="4">
        <v>2</v>
      </c>
      <c r="BP59" s="8">
        <v>163.84</v>
      </c>
      <c r="BQ59" s="4"/>
      <c r="BR59" s="8"/>
      <c r="BS59" s="7"/>
      <c r="BT59" s="7"/>
      <c r="BU59" s="2" t="s">
        <v>106</v>
      </c>
      <c r="BV59" s="2" t="s">
        <v>95</v>
      </c>
      <c r="BW59" s="2" t="s">
        <v>412</v>
      </c>
      <c r="BX59" s="2" t="s">
        <v>413</v>
      </c>
      <c r="BY59" s="2" t="s">
        <v>109</v>
      </c>
      <c r="BZ59" s="2" t="s">
        <v>98</v>
      </c>
    </row>
    <row r="60">
      <c r="A60" s="2" t="s">
        <v>414</v>
      </c>
      <c r="B60" s="2" t="s">
        <v>87</v>
      </c>
      <c r="C60" s="2" t="s">
        <v>88</v>
      </c>
      <c r="D60" s="2" t="s">
        <v>405</v>
      </c>
      <c r="E60" s="2" t="s">
        <v>406</v>
      </c>
      <c r="F60" s="2" t="s">
        <v>312</v>
      </c>
      <c r="G60" s="2" t="s">
        <v>312</v>
      </c>
      <c r="H60" s="2" t="s">
        <v>312</v>
      </c>
      <c r="I60" s="2" t="s">
        <v>407</v>
      </c>
      <c r="J60" s="2" t="s">
        <v>93</v>
      </c>
      <c r="K60" s="2" t="s">
        <v>321</v>
      </c>
      <c r="L60" s="3">
        <v>58.8</v>
      </c>
      <c r="M60" s="3">
        <v>61.73</v>
      </c>
      <c r="N60" s="3">
        <v>119.99</v>
      </c>
      <c r="O60" s="2" t="s">
        <v>206</v>
      </c>
      <c r="P60" s="2" t="s">
        <v>128</v>
      </c>
      <c r="Q60" s="2" t="s">
        <v>97</v>
      </c>
      <c r="R60" s="2" t="s">
        <v>98</v>
      </c>
      <c r="S60" s="2" t="s">
        <v>322</v>
      </c>
      <c r="T60" s="2" t="s">
        <v>130</v>
      </c>
      <c r="U60" s="2" t="s">
        <v>101</v>
      </c>
      <c r="V60" s="2" t="s">
        <v>188</v>
      </c>
      <c r="W60" s="2" t="s">
        <v>243</v>
      </c>
      <c r="X60" s="2" t="s">
        <v>190</v>
      </c>
      <c r="Y60" s="2" t="s">
        <v>323</v>
      </c>
      <c r="Z60" s="4">
        <v>37</v>
      </c>
      <c r="AA60" s="4">
        <f>=ROUNDDOWN(12.7586206896552,0)</f>
      </c>
      <c r="AB60" s="5">
        <v>2.9</v>
      </c>
      <c r="AC60" s="2" t="s">
        <v>98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2</v>
      </c>
      <c r="AQ60" s="8">
        <v>133.36</v>
      </c>
      <c r="AR60" s="4"/>
      <c r="AS60" s="8"/>
      <c r="AT60" s="7"/>
      <c r="AU60" s="7"/>
      <c r="AV60" s="4">
        <v>2</v>
      </c>
      <c r="AW60" s="8">
        <v>133.36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0.271</v>
      </c>
      <c r="BJ60" s="4">
        <v>6</v>
      </c>
      <c r="BK60" s="8">
        <v>273.77</v>
      </c>
      <c r="BL60" s="2" t="s">
        <v>415</v>
      </c>
      <c r="BM60" s="7">
        <v>0.3333</v>
      </c>
      <c r="BN60" s="7">
        <v>0.4871</v>
      </c>
      <c r="BO60" s="4">
        <v>2</v>
      </c>
      <c r="BP60" s="8">
        <v>133.36</v>
      </c>
      <c r="BQ60" s="4"/>
      <c r="BR60" s="8"/>
      <c r="BS60" s="7"/>
      <c r="BT60" s="7"/>
      <c r="BU60" s="2" t="s">
        <v>106</v>
      </c>
      <c r="BV60" s="2" t="s">
        <v>95</v>
      </c>
      <c r="BW60" s="2" t="s">
        <v>200</v>
      </c>
      <c r="BX60" s="2" t="s">
        <v>201</v>
      </c>
      <c r="BY60" s="2" t="s">
        <v>109</v>
      </c>
      <c r="BZ60" s="2" t="s">
        <v>98</v>
      </c>
    </row>
    <row r="61">
      <c r="A61" s="2" t="s">
        <v>416</v>
      </c>
      <c r="B61" s="2" t="s">
        <v>87</v>
      </c>
      <c r="C61" s="2" t="s">
        <v>88</v>
      </c>
      <c r="D61" s="2" t="s">
        <v>405</v>
      </c>
      <c r="E61" s="2" t="s">
        <v>406</v>
      </c>
      <c r="F61" s="2" t="s">
        <v>237</v>
      </c>
      <c r="G61" s="2" t="s">
        <v>237</v>
      </c>
      <c r="H61" s="2" t="s">
        <v>237</v>
      </c>
      <c r="I61" s="2" t="s">
        <v>417</v>
      </c>
      <c r="J61" s="2" t="s">
        <v>93</v>
      </c>
      <c r="K61" s="2" t="s">
        <v>239</v>
      </c>
      <c r="L61" s="3">
        <v>43.2</v>
      </c>
      <c r="M61" s="3">
        <v>45.36</v>
      </c>
      <c r="N61" s="3">
        <v>84.99</v>
      </c>
      <c r="O61" s="2" t="s">
        <v>95</v>
      </c>
      <c r="P61" s="2" t="s">
        <v>185</v>
      </c>
      <c r="Q61" s="2" t="s">
        <v>97</v>
      </c>
      <c r="R61" s="2" t="s">
        <v>98</v>
      </c>
      <c r="S61" s="2" t="s">
        <v>240</v>
      </c>
      <c r="T61" s="2" t="s">
        <v>241</v>
      </c>
      <c r="U61" s="2" t="s">
        <v>101</v>
      </c>
      <c r="V61" s="2" t="s">
        <v>188</v>
      </c>
      <c r="W61" s="2" t="s">
        <v>242</v>
      </c>
      <c r="X61" s="2" t="s">
        <v>243</v>
      </c>
      <c r="Y61" s="2" t="s">
        <v>244</v>
      </c>
      <c r="Z61" s="4">
        <v>336</v>
      </c>
      <c r="AA61" s="4">
        <f>=ROUNDDOWN(48,0)</f>
      </c>
      <c r="AB61" s="5">
        <v>7</v>
      </c>
      <c r="AC61" s="2" t="s">
        <v>98</v>
      </c>
      <c r="AD61" s="4"/>
      <c r="AE61" s="4"/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>
        <v>4</v>
      </c>
      <c r="AQ61" s="8">
        <v>210.64</v>
      </c>
      <c r="AR61" s="4"/>
      <c r="AS61" s="8"/>
      <c r="AT61" s="7"/>
      <c r="AU61" s="7"/>
      <c r="AV61" s="4">
        <v>5</v>
      </c>
      <c r="AW61" s="8">
        <v>280.86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0.75</v>
      </c>
      <c r="BC61" s="4">
        <v>6</v>
      </c>
      <c r="BD61" s="8">
        <v>351.08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0.8</v>
      </c>
      <c r="BJ61" s="4">
        <v>8</v>
      </c>
      <c r="BK61" s="8">
        <v>408.13</v>
      </c>
      <c r="BL61" s="2" t="s">
        <v>418</v>
      </c>
      <c r="BM61" s="7">
        <v>0.5</v>
      </c>
      <c r="BN61" s="7">
        <v>0.5161</v>
      </c>
      <c r="BO61" s="4">
        <v>4</v>
      </c>
      <c r="BP61" s="8">
        <v>210.64</v>
      </c>
      <c r="BQ61" s="4"/>
      <c r="BR61" s="8"/>
      <c r="BS61" s="7"/>
      <c r="BT61" s="7"/>
      <c r="BU61" s="2" t="s">
        <v>106</v>
      </c>
      <c r="BV61" s="2" t="s">
        <v>95</v>
      </c>
      <c r="BW61" s="2" t="s">
        <v>247</v>
      </c>
      <c r="BX61" s="2" t="s">
        <v>307</v>
      </c>
      <c r="BY61" s="2" t="s">
        <v>109</v>
      </c>
      <c r="BZ61" s="2" t="s">
        <v>98</v>
      </c>
    </row>
    <row r="62">
      <c r="A62" s="2" t="s">
        <v>419</v>
      </c>
      <c r="B62" s="2" t="s">
        <v>87</v>
      </c>
      <c r="C62" s="2" t="s">
        <v>88</v>
      </c>
      <c r="D62" s="2" t="s">
        <v>405</v>
      </c>
      <c r="E62" s="2" t="s">
        <v>406</v>
      </c>
      <c r="F62" s="2" t="s">
        <v>237</v>
      </c>
      <c r="G62" s="2" t="s">
        <v>237</v>
      </c>
      <c r="H62" s="2" t="s">
        <v>237</v>
      </c>
      <c r="I62" s="2" t="s">
        <v>417</v>
      </c>
      <c r="J62" s="2" t="s">
        <v>111</v>
      </c>
      <c r="K62" s="2" t="s">
        <v>239</v>
      </c>
      <c r="L62" s="3">
        <v>57.33</v>
      </c>
      <c r="M62" s="3">
        <v>60.2</v>
      </c>
      <c r="N62" s="3">
        <v>114.99</v>
      </c>
      <c r="O62" s="2" t="s">
        <v>95</v>
      </c>
      <c r="P62" s="2" t="s">
        <v>185</v>
      </c>
      <c r="Q62" s="2" t="s">
        <v>97</v>
      </c>
      <c r="R62" s="2" t="s">
        <v>98</v>
      </c>
      <c r="S62" s="2" t="s">
        <v>240</v>
      </c>
      <c r="T62" s="2" t="s">
        <v>241</v>
      </c>
      <c r="U62" s="2" t="s">
        <v>101</v>
      </c>
      <c r="V62" s="2" t="s">
        <v>188</v>
      </c>
      <c r="W62" s="2" t="s">
        <v>242</v>
      </c>
      <c r="X62" s="2" t="s">
        <v>243</v>
      </c>
      <c r="Y62" s="2" t="s">
        <v>244</v>
      </c>
      <c r="Z62" s="4">
        <v>191</v>
      </c>
      <c r="AA62" s="4">
        <f>=ROUNDDOWN(19.2929292929293,0)</f>
      </c>
      <c r="AB62" s="5">
        <v>9.9</v>
      </c>
      <c r="AC62" s="2" t="s">
        <v>245</v>
      </c>
      <c r="AD62" s="4">
        <v>60</v>
      </c>
      <c r="AE62" s="4">
        <v>130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>
        <v>1</v>
      </c>
      <c r="AQ62" s="8">
        <v>70.22</v>
      </c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0.25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4</v>
      </c>
      <c r="BK62" s="8">
        <v>265.64</v>
      </c>
      <c r="BL62" s="2" t="s">
        <v>420</v>
      </c>
      <c r="BM62" s="7">
        <v>0.25</v>
      </c>
      <c r="BN62" s="7">
        <v>0.2643</v>
      </c>
      <c r="BO62" s="4">
        <v>1</v>
      </c>
      <c r="BP62" s="8">
        <v>70.22</v>
      </c>
      <c r="BQ62" s="4"/>
      <c r="BR62" s="8"/>
      <c r="BS62" s="7"/>
      <c r="BT62" s="7"/>
      <c r="BU62" s="2" t="s">
        <v>106</v>
      </c>
      <c r="BV62" s="2" t="s">
        <v>95</v>
      </c>
      <c r="BW62" s="2" t="s">
        <v>248</v>
      </c>
      <c r="BX62" s="2" t="s">
        <v>379</v>
      </c>
      <c r="BY62" s="2" t="s">
        <v>109</v>
      </c>
      <c r="BZ62" s="2" t="s">
        <v>98</v>
      </c>
    </row>
    <row r="63">
      <c r="A63" s="2" t="s">
        <v>421</v>
      </c>
      <c r="B63" s="2" t="s">
        <v>87</v>
      </c>
      <c r="C63" s="2" t="s">
        <v>88</v>
      </c>
      <c r="D63" s="2" t="s">
        <v>405</v>
      </c>
      <c r="E63" s="2" t="s">
        <v>406</v>
      </c>
      <c r="F63" s="2" t="s">
        <v>237</v>
      </c>
      <c r="G63" s="2" t="s">
        <v>237</v>
      </c>
      <c r="H63" s="2" t="s">
        <v>237</v>
      </c>
      <c r="I63" s="2" t="s">
        <v>417</v>
      </c>
      <c r="J63" s="2" t="s">
        <v>93</v>
      </c>
      <c r="K63" s="2" t="s">
        <v>254</v>
      </c>
      <c r="L63" s="3">
        <v>43.2</v>
      </c>
      <c r="M63" s="3">
        <v>45.36</v>
      </c>
      <c r="N63" s="3">
        <v>84.99</v>
      </c>
      <c r="O63" s="2" t="s">
        <v>95</v>
      </c>
      <c r="P63" s="2" t="s">
        <v>140</v>
      </c>
      <c r="Q63" s="2" t="s">
        <v>97</v>
      </c>
      <c r="R63" s="2" t="s">
        <v>98</v>
      </c>
      <c r="S63" s="2" t="s">
        <v>255</v>
      </c>
      <c r="T63" s="2" t="s">
        <v>241</v>
      </c>
      <c r="U63" s="2" t="s">
        <v>101</v>
      </c>
      <c r="V63" s="2" t="s">
        <v>188</v>
      </c>
      <c r="W63" s="2" t="s">
        <v>242</v>
      </c>
      <c r="X63" s="2" t="s">
        <v>103</v>
      </c>
      <c r="Y63" s="2" t="s">
        <v>256</v>
      </c>
      <c r="Z63" s="4">
        <v>218</v>
      </c>
      <c r="AA63" s="4">
        <f>=ROUNDDOWN(54.5,0)</f>
      </c>
      <c r="AB63" s="5">
        <v>4</v>
      </c>
      <c r="AC63" s="2" t="s">
        <v>98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/>
      <c r="AQ63" s="8"/>
      <c r="AR63" s="4"/>
      <c r="AS63" s="8"/>
      <c r="AT63" s="7"/>
      <c r="AU63" s="7"/>
      <c r="AV63" s="4">
        <v>1</v>
      </c>
      <c r="AW63" s="8">
        <v>70.22</v>
      </c>
      <c r="AX63" s="4" t="s">
        <v>98</v>
      </c>
      <c r="AY63" s="8" t="s">
        <v>98</v>
      </c>
      <c r="AZ63" s="7" t="s">
        <v>98</v>
      </c>
      <c r="BA63" s="7" t="s">
        <v>98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0.2</v>
      </c>
      <c r="BJ63" s="4">
        <v>1</v>
      </c>
      <c r="BK63" s="8">
        <v>47.39</v>
      </c>
      <c r="BL63" s="2" t="s">
        <v>143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95</v>
      </c>
      <c r="BW63" s="2" t="s">
        <v>258</v>
      </c>
      <c r="BX63" s="2" t="s">
        <v>262</v>
      </c>
      <c r="BY63" s="2" t="s">
        <v>109</v>
      </c>
      <c r="BZ63" s="2" t="s">
        <v>98</v>
      </c>
    </row>
    <row r="64">
      <c r="A64" s="2" t="s">
        <v>422</v>
      </c>
      <c r="B64" s="2" t="s">
        <v>87</v>
      </c>
      <c r="C64" s="2" t="s">
        <v>88</v>
      </c>
      <c r="D64" s="2" t="s">
        <v>405</v>
      </c>
      <c r="E64" s="2" t="s">
        <v>406</v>
      </c>
      <c r="F64" s="2" t="s">
        <v>237</v>
      </c>
      <c r="G64" s="2" t="s">
        <v>237</v>
      </c>
      <c r="H64" s="2" t="s">
        <v>237</v>
      </c>
      <c r="I64" s="2" t="s">
        <v>417</v>
      </c>
      <c r="J64" s="2" t="s">
        <v>111</v>
      </c>
      <c r="K64" s="2" t="s">
        <v>254</v>
      </c>
      <c r="L64" s="3">
        <v>57.33</v>
      </c>
      <c r="M64" s="3">
        <v>60.2</v>
      </c>
      <c r="N64" s="3">
        <v>114.99</v>
      </c>
      <c r="O64" s="2" t="s">
        <v>95</v>
      </c>
      <c r="P64" s="2" t="s">
        <v>140</v>
      </c>
      <c r="Q64" s="2" t="s">
        <v>97</v>
      </c>
      <c r="R64" s="2" t="s">
        <v>98</v>
      </c>
      <c r="S64" s="2" t="s">
        <v>255</v>
      </c>
      <c r="T64" s="2" t="s">
        <v>241</v>
      </c>
      <c r="U64" s="2" t="s">
        <v>101</v>
      </c>
      <c r="V64" s="2" t="s">
        <v>188</v>
      </c>
      <c r="W64" s="2" t="s">
        <v>242</v>
      </c>
      <c r="X64" s="2" t="s">
        <v>103</v>
      </c>
      <c r="Y64" s="2" t="s">
        <v>256</v>
      </c>
      <c r="Z64" s="4">
        <v>175</v>
      </c>
      <c r="AA64" s="4">
        <f>=ROUNDDOWN(35,0)</f>
      </c>
      <c r="AB64" s="5">
        <v>5</v>
      </c>
      <c r="AC64" s="2" t="s">
        <v>98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>
        <v>1</v>
      </c>
      <c r="AQ64" s="8">
        <v>70.22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1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3</v>
      </c>
      <c r="BK64" s="8">
        <v>206.09</v>
      </c>
      <c r="BL64" s="2" t="s">
        <v>420</v>
      </c>
      <c r="BM64" s="7">
        <v>0.3333</v>
      </c>
      <c r="BN64" s="7">
        <v>0.3407</v>
      </c>
      <c r="BO64" s="4">
        <v>1</v>
      </c>
      <c r="BP64" s="8">
        <v>70.22</v>
      </c>
      <c r="BQ64" s="4"/>
      <c r="BR64" s="8"/>
      <c r="BS64" s="7"/>
      <c r="BT64" s="7"/>
      <c r="BU64" s="2" t="s">
        <v>106</v>
      </c>
      <c r="BV64" s="2" t="s">
        <v>95</v>
      </c>
      <c r="BW64" s="2" t="s">
        <v>258</v>
      </c>
      <c r="BX64" s="2" t="s">
        <v>423</v>
      </c>
      <c r="BY64" s="2" t="s">
        <v>109</v>
      </c>
      <c r="BZ64" s="2" t="s">
        <v>98</v>
      </c>
    </row>
    <row r="65">
      <c r="A65" s="2" t="s">
        <v>424</v>
      </c>
      <c r="B65" s="2" t="s">
        <v>87</v>
      </c>
      <c r="C65" s="2" t="s">
        <v>88</v>
      </c>
      <c r="D65" s="2" t="s">
        <v>405</v>
      </c>
      <c r="E65" s="2" t="s">
        <v>406</v>
      </c>
      <c r="F65" s="2" t="s">
        <v>365</v>
      </c>
      <c r="G65" s="2" t="s">
        <v>365</v>
      </c>
      <c r="H65" s="2" t="s">
        <v>365</v>
      </c>
      <c r="I65" s="2" t="s">
        <v>425</v>
      </c>
      <c r="J65" s="2" t="s">
        <v>93</v>
      </c>
      <c r="K65" s="2" t="s">
        <v>367</v>
      </c>
      <c r="L65" s="3">
        <v>64.79</v>
      </c>
      <c r="M65" s="3">
        <v>68.03</v>
      </c>
      <c r="N65" s="3">
        <v>131.99</v>
      </c>
      <c r="O65" s="2" t="s">
        <v>95</v>
      </c>
      <c r="P65" s="2" t="s">
        <v>185</v>
      </c>
      <c r="Q65" s="2" t="s">
        <v>97</v>
      </c>
      <c r="R65" s="2" t="s">
        <v>98</v>
      </c>
      <c r="S65" s="2" t="s">
        <v>368</v>
      </c>
      <c r="T65" s="2" t="s">
        <v>100</v>
      </c>
      <c r="U65" s="2" t="s">
        <v>101</v>
      </c>
      <c r="V65" s="2" t="s">
        <v>369</v>
      </c>
      <c r="W65" s="2" t="s">
        <v>103</v>
      </c>
      <c r="X65" s="2" t="s">
        <v>98</v>
      </c>
      <c r="Y65" s="2" t="s">
        <v>426</v>
      </c>
      <c r="Z65" s="4">
        <v>145</v>
      </c>
      <c r="AA65" s="4">
        <f>=ROUNDDOWN(36.25,0)</f>
      </c>
      <c r="AB65" s="5">
        <v>4</v>
      </c>
      <c r="AC65" s="2" t="s">
        <v>230</v>
      </c>
      <c r="AD65" s="4">
        <v>123</v>
      </c>
      <c r="AE65" s="4">
        <v>123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>
        <v>4</v>
      </c>
      <c r="AQ65" s="8">
        <v>293.88</v>
      </c>
      <c r="AR65" s="4"/>
      <c r="AS65" s="8"/>
      <c r="AT65" s="7"/>
      <c r="AU65" s="7"/>
      <c r="AV65" s="4">
        <v>4</v>
      </c>
      <c r="AW65" s="8">
        <v>293.88</v>
      </c>
      <c r="AX65" s="4"/>
      <c r="AY65" s="8"/>
      <c r="AZ65" s="7"/>
      <c r="BA65" s="7"/>
      <c r="BB65" s="7">
        <v>1</v>
      </c>
      <c r="BC65" s="4">
        <v>4</v>
      </c>
      <c r="BD65" s="8">
        <v>293.88</v>
      </c>
      <c r="BE65" s="4"/>
      <c r="BF65" s="8"/>
      <c r="BG65" s="7"/>
      <c r="BH65" s="7"/>
      <c r="BI65" s="7">
        <v>1</v>
      </c>
      <c r="BJ65" s="4">
        <v>7</v>
      </c>
      <c r="BK65" s="8">
        <v>516.69</v>
      </c>
      <c r="BL65" s="2" t="s">
        <v>427</v>
      </c>
      <c r="BM65" s="7">
        <v>0.5714</v>
      </c>
      <c r="BN65" s="7">
        <v>0.5688</v>
      </c>
      <c r="BO65" s="4">
        <v>4</v>
      </c>
      <c r="BP65" s="8">
        <v>293.88</v>
      </c>
      <c r="BQ65" s="4"/>
      <c r="BR65" s="8"/>
      <c r="BS65" s="7"/>
      <c r="BT65" s="7"/>
      <c r="BU65" s="2" t="s">
        <v>106</v>
      </c>
      <c r="BV65" s="2" t="s">
        <v>95</v>
      </c>
      <c r="BW65" s="2" t="s">
        <v>426</v>
      </c>
      <c r="BX65" s="2" t="s">
        <v>428</v>
      </c>
      <c r="BY65" s="2" t="s">
        <v>109</v>
      </c>
      <c r="BZ65" s="2" t="s">
        <v>98</v>
      </c>
    </row>
    <row r="66">
      <c r="A66" s="2" t="s">
        <v>429</v>
      </c>
      <c r="B66" s="2" t="s">
        <v>87</v>
      </c>
      <c r="C66" s="2" t="s">
        <v>88</v>
      </c>
      <c r="D66" s="2" t="s">
        <v>405</v>
      </c>
      <c r="E66" s="2" t="s">
        <v>406</v>
      </c>
      <c r="F66" s="2" t="s">
        <v>91</v>
      </c>
      <c r="G66" s="2" t="s">
        <v>91</v>
      </c>
      <c r="H66" s="2" t="s">
        <v>91</v>
      </c>
      <c r="I66" s="2" t="s">
        <v>430</v>
      </c>
      <c r="J66" s="2" t="s">
        <v>93</v>
      </c>
      <c r="K66" s="2" t="s">
        <v>94</v>
      </c>
      <c r="L66" s="3">
        <v>51.3</v>
      </c>
      <c r="M66" s="3">
        <v>53.86</v>
      </c>
      <c r="N66" s="3">
        <v>109.99</v>
      </c>
      <c r="O66" s="2" t="s">
        <v>95</v>
      </c>
      <c r="P66" s="2" t="s">
        <v>185</v>
      </c>
      <c r="Q66" s="2" t="s">
        <v>97</v>
      </c>
      <c r="R66" s="2" t="s">
        <v>98</v>
      </c>
      <c r="S66" s="2" t="s">
        <v>99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98</v>
      </c>
      <c r="Y66" s="2" t="s">
        <v>104</v>
      </c>
      <c r="Z66" s="4">
        <v>352</v>
      </c>
      <c r="AA66" s="4">
        <f>=ROUNDDOWN(50.2857142857143,0)</f>
      </c>
      <c r="AB66" s="5">
        <v>7</v>
      </c>
      <c r="AC66" s="2" t="s">
        <v>98</v>
      </c>
      <c r="AD66" s="4"/>
      <c r="AE66" s="4"/>
      <c r="AF66" s="6">
        <v>66</v>
      </c>
      <c r="AG66" s="6">
        <v>74</v>
      </c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/>
      <c r="AQ66" s="8"/>
      <c r="AR66" s="4"/>
      <c r="AS66" s="8"/>
      <c r="AT66" s="7"/>
      <c r="AU66" s="7"/>
      <c r="AV66" s="4">
        <v>2</v>
      </c>
      <c r="AW66" s="8">
        <v>153.6</v>
      </c>
      <c r="AX66" s="4" t="s">
        <v>98</v>
      </c>
      <c r="AY66" s="8" t="s">
        <v>98</v>
      </c>
      <c r="AZ66" s="7" t="s">
        <v>98</v>
      </c>
      <c r="BA66" s="7" t="s">
        <v>98</v>
      </c>
      <c r="BB66" s="7"/>
      <c r="BC66" s="4">
        <v>3</v>
      </c>
      <c r="BD66" s="8">
        <v>213.94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0.718</v>
      </c>
      <c r="BJ66" s="4">
        <v>9</v>
      </c>
      <c r="BK66" s="8">
        <v>508.61</v>
      </c>
      <c r="BL66" s="2" t="s">
        <v>309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95</v>
      </c>
      <c r="BW66" s="2" t="s">
        <v>107</v>
      </c>
      <c r="BX66" s="2" t="s">
        <v>108</v>
      </c>
      <c r="BY66" s="2" t="s">
        <v>109</v>
      </c>
      <c r="BZ66" s="2" t="s">
        <v>98</v>
      </c>
    </row>
    <row r="67">
      <c r="A67" s="2" t="s">
        <v>431</v>
      </c>
      <c r="B67" s="2" t="s">
        <v>87</v>
      </c>
      <c r="C67" s="2" t="s">
        <v>88</v>
      </c>
      <c r="D67" s="2" t="s">
        <v>405</v>
      </c>
      <c r="E67" s="2" t="s">
        <v>406</v>
      </c>
      <c r="F67" s="2" t="s">
        <v>91</v>
      </c>
      <c r="G67" s="2" t="s">
        <v>91</v>
      </c>
      <c r="H67" s="2" t="s">
        <v>91</v>
      </c>
      <c r="I67" s="2" t="s">
        <v>430</v>
      </c>
      <c r="J67" s="2" t="s">
        <v>111</v>
      </c>
      <c r="K67" s="2" t="s">
        <v>94</v>
      </c>
      <c r="L67" s="3">
        <v>65.55</v>
      </c>
      <c r="M67" s="3">
        <v>68.83</v>
      </c>
      <c r="N67" s="3">
        <v>139.99</v>
      </c>
      <c r="O67" s="2" t="s">
        <v>95</v>
      </c>
      <c r="P67" s="2" t="s">
        <v>185</v>
      </c>
      <c r="Q67" s="2" t="s">
        <v>97</v>
      </c>
      <c r="R67" s="2" t="s">
        <v>98</v>
      </c>
      <c r="S67" s="2" t="s">
        <v>99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98</v>
      </c>
      <c r="Y67" s="2" t="s">
        <v>104</v>
      </c>
      <c r="Z67" s="4">
        <v>358</v>
      </c>
      <c r="AA67" s="4">
        <f>=ROUNDDOWN(44.75,0)</f>
      </c>
      <c r="AB67" s="5">
        <v>8</v>
      </c>
      <c r="AC67" s="2" t="s">
        <v>98</v>
      </c>
      <c r="AD67" s="4"/>
      <c r="AE67" s="4"/>
      <c r="AF67" s="6">
        <v>66</v>
      </c>
      <c r="AG67" s="6">
        <v>74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>
        <v>2</v>
      </c>
      <c r="AQ67" s="8">
        <v>153.6</v>
      </c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1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11</v>
      </c>
      <c r="BK67" s="8">
        <v>802.66</v>
      </c>
      <c r="BL67" s="2" t="s">
        <v>432</v>
      </c>
      <c r="BM67" s="7">
        <v>0.1818</v>
      </c>
      <c r="BN67" s="7">
        <v>0.1914</v>
      </c>
      <c r="BO67" s="4">
        <v>2</v>
      </c>
      <c r="BP67" s="8">
        <v>153.6</v>
      </c>
      <c r="BQ67" s="4"/>
      <c r="BR67" s="8"/>
      <c r="BS67" s="7"/>
      <c r="BT67" s="7"/>
      <c r="BU67" s="2" t="s">
        <v>106</v>
      </c>
      <c r="BV67" s="2" t="s">
        <v>95</v>
      </c>
      <c r="BW67" s="2" t="s">
        <v>107</v>
      </c>
      <c r="BX67" s="2" t="s">
        <v>108</v>
      </c>
      <c r="BY67" s="2" t="s">
        <v>109</v>
      </c>
      <c r="BZ67" s="2" t="s">
        <v>98</v>
      </c>
    </row>
    <row r="68">
      <c r="A68" s="2" t="s">
        <v>433</v>
      </c>
      <c r="B68" s="2" t="s">
        <v>87</v>
      </c>
      <c r="C68" s="2" t="s">
        <v>88</v>
      </c>
      <c r="D68" s="2" t="s">
        <v>405</v>
      </c>
      <c r="E68" s="2" t="s">
        <v>406</v>
      </c>
      <c r="F68" s="2" t="s">
        <v>91</v>
      </c>
      <c r="G68" s="2" t="s">
        <v>91</v>
      </c>
      <c r="H68" s="2" t="s">
        <v>91</v>
      </c>
      <c r="I68" s="2" t="s">
        <v>430</v>
      </c>
      <c r="J68" s="2" t="s">
        <v>93</v>
      </c>
      <c r="K68" s="2" t="s">
        <v>115</v>
      </c>
      <c r="L68" s="3">
        <v>51.3</v>
      </c>
      <c r="M68" s="3">
        <v>53.86</v>
      </c>
      <c r="N68" s="3">
        <v>109.99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116</v>
      </c>
      <c r="T68" s="2" t="s">
        <v>100</v>
      </c>
      <c r="U68" s="2" t="s">
        <v>101</v>
      </c>
      <c r="V68" s="2" t="s">
        <v>102</v>
      </c>
      <c r="W68" s="2" t="s">
        <v>103</v>
      </c>
      <c r="X68" s="2" t="s">
        <v>98</v>
      </c>
      <c r="Y68" s="2" t="s">
        <v>434</v>
      </c>
      <c r="Z68" s="4">
        <v>279</v>
      </c>
      <c r="AA68" s="4">
        <f>=ROUNDDOWN(46.5,0)</f>
      </c>
      <c r="AB68" s="5">
        <v>6</v>
      </c>
      <c r="AC68" s="2" t="s">
        <v>123</v>
      </c>
      <c r="AD68" s="4">
        <v>50</v>
      </c>
      <c r="AE68" s="4">
        <v>140</v>
      </c>
      <c r="AF68" s="6">
        <v>66</v>
      </c>
      <c r="AG68" s="6">
        <v>74</v>
      </c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>
        <v>1</v>
      </c>
      <c r="AQ68" s="8">
        <v>60.34</v>
      </c>
      <c r="AR68" s="4"/>
      <c r="AS68" s="8"/>
      <c r="AT68" s="7"/>
      <c r="AU68" s="7"/>
      <c r="AV68" s="4">
        <v>1</v>
      </c>
      <c r="AW68" s="8">
        <v>60.34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1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0.282</v>
      </c>
      <c r="BJ68" s="4">
        <v>5</v>
      </c>
      <c r="BK68" s="8">
        <v>299.88</v>
      </c>
      <c r="BL68" s="2" t="s">
        <v>136</v>
      </c>
      <c r="BM68" s="7">
        <v>0.2</v>
      </c>
      <c r="BN68" s="7">
        <v>0.2012</v>
      </c>
      <c r="BO68" s="4">
        <v>1</v>
      </c>
      <c r="BP68" s="8">
        <v>60.34</v>
      </c>
      <c r="BQ68" s="4"/>
      <c r="BR68" s="8"/>
      <c r="BS68" s="7"/>
      <c r="BT68" s="7"/>
      <c r="BU68" s="2" t="s">
        <v>106</v>
      </c>
      <c r="BV68" s="2" t="s">
        <v>95</v>
      </c>
      <c r="BW68" s="2" t="s">
        <v>120</v>
      </c>
      <c r="BX68" s="2" t="s">
        <v>435</v>
      </c>
      <c r="BY68" s="2" t="s">
        <v>109</v>
      </c>
      <c r="BZ68" s="2" t="s">
        <v>98</v>
      </c>
    </row>
    <row r="69">
      <c r="A69" s="2" t="s">
        <v>436</v>
      </c>
      <c r="B69" s="2" t="s">
        <v>87</v>
      </c>
      <c r="C69" s="2" t="s">
        <v>88</v>
      </c>
      <c r="D69" s="2" t="s">
        <v>405</v>
      </c>
      <c r="E69" s="2" t="s">
        <v>406</v>
      </c>
      <c r="F69" s="2" t="s">
        <v>91</v>
      </c>
      <c r="G69" s="2" t="s">
        <v>91</v>
      </c>
      <c r="H69" s="2" t="s">
        <v>91</v>
      </c>
      <c r="I69" s="2" t="s">
        <v>430</v>
      </c>
      <c r="J69" s="2" t="s">
        <v>111</v>
      </c>
      <c r="K69" s="2" t="s">
        <v>115</v>
      </c>
      <c r="L69" s="3">
        <v>65.55</v>
      </c>
      <c r="M69" s="3">
        <v>68.83</v>
      </c>
      <c r="N69" s="3">
        <v>139.99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116</v>
      </c>
      <c r="T69" s="2" t="s">
        <v>100</v>
      </c>
      <c r="U69" s="2" t="s">
        <v>101</v>
      </c>
      <c r="V69" s="2" t="s">
        <v>102</v>
      </c>
      <c r="W69" s="2" t="s">
        <v>103</v>
      </c>
      <c r="X69" s="2" t="s">
        <v>98</v>
      </c>
      <c r="Y69" s="2" t="s">
        <v>434</v>
      </c>
      <c r="Z69" s="4">
        <v>452</v>
      </c>
      <c r="AA69" s="4">
        <f>=ROUNDDOWN(75.3333333333333,0)</f>
      </c>
      <c r="AB69" s="5">
        <v>6</v>
      </c>
      <c r="AC69" s="2" t="s">
        <v>98</v>
      </c>
      <c r="AD69" s="4"/>
      <c r="AE69" s="4"/>
      <c r="AF69" s="6">
        <v>66</v>
      </c>
      <c r="AG69" s="6">
        <v>74</v>
      </c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11</v>
      </c>
      <c r="BK69" s="8">
        <v>819.43</v>
      </c>
      <c r="BL69" s="2" t="s">
        <v>437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95</v>
      </c>
      <c r="BW69" s="2" t="s">
        <v>120</v>
      </c>
      <c r="BX69" s="2" t="s">
        <v>438</v>
      </c>
      <c r="BY69" s="2" t="s">
        <v>109</v>
      </c>
      <c r="BZ69" s="2" t="s">
        <v>98</v>
      </c>
    </row>
    <row r="70">
      <c r="A70" s="2" t="s">
        <v>439</v>
      </c>
      <c r="B70" s="2" t="s">
        <v>87</v>
      </c>
      <c r="C70" s="2" t="s">
        <v>88</v>
      </c>
      <c r="D70" s="2" t="s">
        <v>405</v>
      </c>
      <c r="E70" s="2" t="s">
        <v>406</v>
      </c>
      <c r="F70" s="2" t="s">
        <v>91</v>
      </c>
      <c r="G70" s="2" t="s">
        <v>91</v>
      </c>
      <c r="H70" s="2" t="s">
        <v>91</v>
      </c>
      <c r="I70" s="2" t="s">
        <v>430</v>
      </c>
      <c r="J70" s="2" t="s">
        <v>93</v>
      </c>
      <c r="K70" s="2" t="s">
        <v>127</v>
      </c>
      <c r="L70" s="3">
        <v>51.3</v>
      </c>
      <c r="M70" s="3">
        <v>53.86</v>
      </c>
      <c r="N70" s="3">
        <v>109.99</v>
      </c>
      <c r="O70" s="2" t="s">
        <v>206</v>
      </c>
      <c r="P70" s="2" t="s">
        <v>128</v>
      </c>
      <c r="Q70" s="2" t="s">
        <v>97</v>
      </c>
      <c r="R70" s="2" t="s">
        <v>98</v>
      </c>
      <c r="S70" s="2" t="s">
        <v>129</v>
      </c>
      <c r="T70" s="2" t="s">
        <v>130</v>
      </c>
      <c r="U70" s="2" t="s">
        <v>101</v>
      </c>
      <c r="V70" s="2" t="s">
        <v>131</v>
      </c>
      <c r="W70" s="2" t="s">
        <v>163</v>
      </c>
      <c r="X70" s="2" t="s">
        <v>440</v>
      </c>
      <c r="Y70" s="2" t="s">
        <v>132</v>
      </c>
      <c r="Z70" s="4">
        <v>78</v>
      </c>
      <c r="AA70" s="4">
        <f>=ROUNDDOWN(78,0)</f>
      </c>
      <c r="AB70" s="5">
        <v>1</v>
      </c>
      <c r="AC70" s="2" t="s">
        <v>98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2</v>
      </c>
      <c r="BK70" s="8">
        <v>96.44</v>
      </c>
      <c r="BL70" s="2" t="s">
        <v>441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95</v>
      </c>
      <c r="BW70" s="2" t="s">
        <v>133</v>
      </c>
      <c r="BX70" s="2" t="s">
        <v>442</v>
      </c>
      <c r="BY70" s="2" t="s">
        <v>109</v>
      </c>
      <c r="BZ70" s="2" t="s">
        <v>98</v>
      </c>
    </row>
    <row r="71">
      <c r="A71" s="2" t="s">
        <v>443</v>
      </c>
      <c r="B71" s="2" t="s">
        <v>87</v>
      </c>
      <c r="C71" s="2" t="s">
        <v>88</v>
      </c>
      <c r="D71" s="2" t="s">
        <v>405</v>
      </c>
      <c r="E71" s="2" t="s">
        <v>406</v>
      </c>
      <c r="F71" s="2" t="s">
        <v>91</v>
      </c>
      <c r="G71" s="2" t="s">
        <v>91</v>
      </c>
      <c r="H71" s="2" t="s">
        <v>91</v>
      </c>
      <c r="I71" s="2" t="s">
        <v>430</v>
      </c>
      <c r="J71" s="2" t="s">
        <v>111</v>
      </c>
      <c r="K71" s="2" t="s">
        <v>127</v>
      </c>
      <c r="L71" s="3">
        <v>65.55</v>
      </c>
      <c r="M71" s="3">
        <v>68.83</v>
      </c>
      <c r="N71" s="3">
        <v>139.99</v>
      </c>
      <c r="O71" s="2" t="s">
        <v>206</v>
      </c>
      <c r="P71" s="2" t="s">
        <v>128</v>
      </c>
      <c r="Q71" s="2" t="s">
        <v>97</v>
      </c>
      <c r="R71" s="2" t="s">
        <v>98</v>
      </c>
      <c r="S71" s="2" t="s">
        <v>129</v>
      </c>
      <c r="T71" s="2" t="s">
        <v>130</v>
      </c>
      <c r="U71" s="2" t="s">
        <v>101</v>
      </c>
      <c r="V71" s="2" t="s">
        <v>131</v>
      </c>
      <c r="W71" s="2" t="s">
        <v>163</v>
      </c>
      <c r="X71" s="2" t="s">
        <v>440</v>
      </c>
      <c r="Y71" s="2" t="s">
        <v>132</v>
      </c>
      <c r="Z71" s="4">
        <v>137</v>
      </c>
      <c r="AA71" s="4">
        <f>=ROUNDDOWN(137,0)</f>
      </c>
      <c r="AB71" s="5">
        <v>1</v>
      </c>
      <c r="AC71" s="2" t="s">
        <v>98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2</v>
      </c>
      <c r="BK71" s="8">
        <v>146.83</v>
      </c>
      <c r="BL71" s="2" t="s">
        <v>444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95</v>
      </c>
      <c r="BW71" s="2" t="s">
        <v>133</v>
      </c>
      <c r="BX71" s="2" t="s">
        <v>98</v>
      </c>
      <c r="BY71" s="2" t="s">
        <v>109</v>
      </c>
      <c r="BZ71" s="2" t="s">
        <v>98</v>
      </c>
    </row>
    <row r="72">
      <c r="A72" s="2" t="s">
        <v>445</v>
      </c>
      <c r="B72" s="2" t="s">
        <v>87</v>
      </c>
      <c r="C72" s="2" t="s">
        <v>88</v>
      </c>
      <c r="D72" s="2" t="s">
        <v>405</v>
      </c>
      <c r="E72" s="2" t="s">
        <v>406</v>
      </c>
      <c r="F72" s="2" t="s">
        <v>91</v>
      </c>
      <c r="G72" s="2" t="s">
        <v>91</v>
      </c>
      <c r="H72" s="2" t="s">
        <v>91</v>
      </c>
      <c r="I72" s="2" t="s">
        <v>430</v>
      </c>
      <c r="J72" s="2" t="s">
        <v>93</v>
      </c>
      <c r="K72" s="2" t="s">
        <v>139</v>
      </c>
      <c r="L72" s="3">
        <v>51.3</v>
      </c>
      <c r="M72" s="3">
        <v>53.86</v>
      </c>
      <c r="N72" s="3">
        <v>109.99</v>
      </c>
      <c r="O72" s="2" t="s">
        <v>95</v>
      </c>
      <c r="P72" s="2" t="s">
        <v>140</v>
      </c>
      <c r="Q72" s="2" t="s">
        <v>97</v>
      </c>
      <c r="R72" s="2" t="s">
        <v>98</v>
      </c>
      <c r="S72" s="2" t="s">
        <v>141</v>
      </c>
      <c r="T72" s="2" t="s">
        <v>100</v>
      </c>
      <c r="U72" s="2" t="s">
        <v>101</v>
      </c>
      <c r="V72" s="2" t="s">
        <v>102</v>
      </c>
      <c r="W72" s="2" t="s">
        <v>103</v>
      </c>
      <c r="X72" s="2" t="s">
        <v>98</v>
      </c>
      <c r="Y72" s="2" t="s">
        <v>142</v>
      </c>
      <c r="Z72" s="4">
        <v>84</v>
      </c>
      <c r="AA72" s="4">
        <f>=ROUNDDOWN(28,0)</f>
      </c>
      <c r="AB72" s="5">
        <v>3</v>
      </c>
      <c r="AC72" s="2" t="s">
        <v>98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4</v>
      </c>
      <c r="BK72" s="8">
        <v>230.62</v>
      </c>
      <c r="BL72" s="2" t="s">
        <v>446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95</v>
      </c>
      <c r="BW72" s="2" t="s">
        <v>144</v>
      </c>
      <c r="BX72" s="2" t="s">
        <v>447</v>
      </c>
      <c r="BY72" s="2" t="s">
        <v>109</v>
      </c>
      <c r="BZ72" s="2" t="s">
        <v>98</v>
      </c>
    </row>
    <row r="73">
      <c r="A73" s="2" t="s">
        <v>448</v>
      </c>
      <c r="B73" s="2" t="s">
        <v>87</v>
      </c>
      <c r="C73" s="2" t="s">
        <v>88</v>
      </c>
      <c r="D73" s="2" t="s">
        <v>405</v>
      </c>
      <c r="E73" s="2" t="s">
        <v>406</v>
      </c>
      <c r="F73" s="2" t="s">
        <v>91</v>
      </c>
      <c r="G73" s="2" t="s">
        <v>91</v>
      </c>
      <c r="H73" s="2" t="s">
        <v>91</v>
      </c>
      <c r="I73" s="2" t="s">
        <v>430</v>
      </c>
      <c r="J73" s="2" t="s">
        <v>111</v>
      </c>
      <c r="K73" s="2" t="s">
        <v>139</v>
      </c>
      <c r="L73" s="3">
        <v>65.55</v>
      </c>
      <c r="M73" s="3">
        <v>68.83</v>
      </c>
      <c r="N73" s="3">
        <v>139.99</v>
      </c>
      <c r="O73" s="2" t="s">
        <v>95</v>
      </c>
      <c r="P73" s="2" t="s">
        <v>140</v>
      </c>
      <c r="Q73" s="2" t="s">
        <v>97</v>
      </c>
      <c r="R73" s="2" t="s">
        <v>98</v>
      </c>
      <c r="S73" s="2" t="s">
        <v>141</v>
      </c>
      <c r="T73" s="2" t="s">
        <v>100</v>
      </c>
      <c r="U73" s="2" t="s">
        <v>101</v>
      </c>
      <c r="V73" s="2" t="s">
        <v>102</v>
      </c>
      <c r="W73" s="2" t="s">
        <v>103</v>
      </c>
      <c r="X73" s="2" t="s">
        <v>98</v>
      </c>
      <c r="Y73" s="2" t="s">
        <v>142</v>
      </c>
      <c r="Z73" s="4">
        <v>150</v>
      </c>
      <c r="AA73" s="4">
        <f>=ROUNDDOWN(50,0)</f>
      </c>
      <c r="AB73" s="5">
        <v>3</v>
      </c>
      <c r="AC73" s="2" t="s">
        <v>98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2</v>
      </c>
      <c r="BK73" s="8">
        <v>146.68</v>
      </c>
      <c r="BL73" s="2" t="s">
        <v>446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95</v>
      </c>
      <c r="BW73" s="2" t="s">
        <v>144</v>
      </c>
      <c r="BX73" s="2" t="s">
        <v>449</v>
      </c>
      <c r="BY73" s="2" t="s">
        <v>109</v>
      </c>
      <c r="BZ73" s="2" t="s">
        <v>98</v>
      </c>
    </row>
    <row r="74">
      <c r="A74" s="2" t="s">
        <v>450</v>
      </c>
      <c r="B74" s="2" t="s">
        <v>87</v>
      </c>
      <c r="C74" s="2" t="s">
        <v>88</v>
      </c>
      <c r="D74" s="2" t="s">
        <v>405</v>
      </c>
      <c r="E74" s="2" t="s">
        <v>406</v>
      </c>
      <c r="F74" s="2" t="s">
        <v>329</v>
      </c>
      <c r="G74" s="2" t="s">
        <v>329</v>
      </c>
      <c r="H74" s="2" t="s">
        <v>329</v>
      </c>
      <c r="I74" s="2" t="s">
        <v>451</v>
      </c>
      <c r="J74" s="2" t="s">
        <v>93</v>
      </c>
      <c r="K74" s="2" t="s">
        <v>115</v>
      </c>
      <c r="L74" s="3">
        <v>45.71</v>
      </c>
      <c r="M74" s="3">
        <v>48</v>
      </c>
      <c r="N74" s="3">
        <v>99.99</v>
      </c>
      <c r="O74" s="2" t="s">
        <v>95</v>
      </c>
      <c r="P74" s="2" t="s">
        <v>140</v>
      </c>
      <c r="Q74" s="2" t="s">
        <v>97</v>
      </c>
      <c r="R74" s="2" t="s">
        <v>98</v>
      </c>
      <c r="S74" s="2" t="s">
        <v>331</v>
      </c>
      <c r="T74" s="2" t="s">
        <v>187</v>
      </c>
      <c r="U74" s="2" t="s">
        <v>101</v>
      </c>
      <c r="V74" s="2" t="s">
        <v>188</v>
      </c>
      <c r="W74" s="2" t="s">
        <v>243</v>
      </c>
      <c r="X74" s="2" t="s">
        <v>190</v>
      </c>
      <c r="Y74" s="2" t="s">
        <v>332</v>
      </c>
      <c r="Z74" s="4">
        <v>143</v>
      </c>
      <c r="AA74" s="4">
        <f>=ROUNDDOWN(35.75,0)</f>
      </c>
      <c r="AB74" s="5">
        <v>4</v>
      </c>
      <c r="AC74" s="2" t="s">
        <v>333</v>
      </c>
      <c r="AD74" s="4">
        <v>80</v>
      </c>
      <c r="AE74" s="4">
        <v>150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>
        <v>1</v>
      </c>
      <c r="AQ74" s="8">
        <v>51.84</v>
      </c>
      <c r="AR74" s="4"/>
      <c r="AS74" s="8"/>
      <c r="AT74" s="7"/>
      <c r="AU74" s="7"/>
      <c r="AV74" s="4">
        <v>2</v>
      </c>
      <c r="AW74" s="8">
        <v>114.04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0.4546</v>
      </c>
      <c r="BC74" s="4">
        <v>3</v>
      </c>
      <c r="BD74" s="8">
        <v>165.88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0.6875</v>
      </c>
      <c r="BJ74" s="4">
        <v>1</v>
      </c>
      <c r="BK74" s="8">
        <v>51.84</v>
      </c>
      <c r="BL74" s="2" t="s">
        <v>16</v>
      </c>
      <c r="BM74" s="7">
        <v>1</v>
      </c>
      <c r="BN74" s="7">
        <v>1</v>
      </c>
      <c r="BO74" s="4">
        <v>1</v>
      </c>
      <c r="BP74" s="8">
        <v>51.84</v>
      </c>
      <c r="BQ74" s="4"/>
      <c r="BR74" s="8"/>
      <c r="BS74" s="7"/>
      <c r="BT74" s="7"/>
      <c r="BU74" s="2" t="s">
        <v>106</v>
      </c>
      <c r="BV74" s="2" t="s">
        <v>95</v>
      </c>
      <c r="BW74" s="2" t="s">
        <v>335</v>
      </c>
      <c r="BX74" s="2" t="s">
        <v>452</v>
      </c>
      <c r="BY74" s="2" t="s">
        <v>109</v>
      </c>
      <c r="BZ74" s="2" t="s">
        <v>98</v>
      </c>
    </row>
    <row r="75">
      <c r="A75" s="2" t="s">
        <v>453</v>
      </c>
      <c r="B75" s="2" t="s">
        <v>87</v>
      </c>
      <c r="C75" s="2" t="s">
        <v>88</v>
      </c>
      <c r="D75" s="2" t="s">
        <v>405</v>
      </c>
      <c r="E75" s="2" t="s">
        <v>406</v>
      </c>
      <c r="F75" s="2" t="s">
        <v>329</v>
      </c>
      <c r="G75" s="2" t="s">
        <v>329</v>
      </c>
      <c r="H75" s="2" t="s">
        <v>329</v>
      </c>
      <c r="I75" s="2" t="s">
        <v>451</v>
      </c>
      <c r="J75" s="2" t="s">
        <v>111</v>
      </c>
      <c r="K75" s="2" t="s">
        <v>115</v>
      </c>
      <c r="L75" s="3">
        <v>54.85</v>
      </c>
      <c r="M75" s="3">
        <v>57.59</v>
      </c>
      <c r="N75" s="3">
        <v>119.99</v>
      </c>
      <c r="O75" s="2" t="s">
        <v>95</v>
      </c>
      <c r="P75" s="2" t="s">
        <v>140</v>
      </c>
      <c r="Q75" s="2" t="s">
        <v>97</v>
      </c>
      <c r="R75" s="2" t="s">
        <v>98</v>
      </c>
      <c r="S75" s="2" t="s">
        <v>331</v>
      </c>
      <c r="T75" s="2" t="s">
        <v>187</v>
      </c>
      <c r="U75" s="2" t="s">
        <v>101</v>
      </c>
      <c r="V75" s="2" t="s">
        <v>188</v>
      </c>
      <c r="W75" s="2" t="s">
        <v>243</v>
      </c>
      <c r="X75" s="2" t="s">
        <v>190</v>
      </c>
      <c r="Y75" s="2" t="s">
        <v>332</v>
      </c>
      <c r="Z75" s="4">
        <v>58</v>
      </c>
      <c r="AA75" s="4">
        <f>=ROUNDDOWN(14.5,0)</f>
      </c>
      <c r="AB75" s="5">
        <v>4</v>
      </c>
      <c r="AC75" s="2" t="s">
        <v>333</v>
      </c>
      <c r="AD75" s="4">
        <v>130</v>
      </c>
      <c r="AE75" s="4">
        <v>220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>
        <v>1</v>
      </c>
      <c r="AQ75" s="8">
        <v>62.2</v>
      </c>
      <c r="AR75" s="4"/>
      <c r="AS75" s="8"/>
      <c r="AT75" s="7"/>
      <c r="AU75" s="7"/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0.5454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2</v>
      </c>
      <c r="BK75" s="8">
        <v>126.7</v>
      </c>
      <c r="BL75" s="2" t="s">
        <v>454</v>
      </c>
      <c r="BM75" s="7">
        <v>0.5</v>
      </c>
      <c r="BN75" s="7">
        <v>0.4909</v>
      </c>
      <c r="BO75" s="4">
        <v>1</v>
      </c>
      <c r="BP75" s="8">
        <v>62.2</v>
      </c>
      <c r="BQ75" s="4"/>
      <c r="BR75" s="8"/>
      <c r="BS75" s="7"/>
      <c r="BT75" s="7"/>
      <c r="BU75" s="2" t="s">
        <v>106</v>
      </c>
      <c r="BV75" s="2" t="s">
        <v>95</v>
      </c>
      <c r="BW75" s="2" t="s">
        <v>335</v>
      </c>
      <c r="BX75" s="2" t="s">
        <v>363</v>
      </c>
      <c r="BY75" s="2" t="s">
        <v>109</v>
      </c>
      <c r="BZ75" s="2" t="s">
        <v>98</v>
      </c>
    </row>
    <row r="76">
      <c r="A76" s="2" t="s">
        <v>455</v>
      </c>
      <c r="B76" s="2" t="s">
        <v>87</v>
      </c>
      <c r="C76" s="2" t="s">
        <v>88</v>
      </c>
      <c r="D76" s="2" t="s">
        <v>405</v>
      </c>
      <c r="E76" s="2" t="s">
        <v>406</v>
      </c>
      <c r="F76" s="2" t="s">
        <v>329</v>
      </c>
      <c r="G76" s="2" t="s">
        <v>329</v>
      </c>
      <c r="H76" s="2" t="s">
        <v>329</v>
      </c>
      <c r="I76" s="2" t="s">
        <v>451</v>
      </c>
      <c r="J76" s="2" t="s">
        <v>93</v>
      </c>
      <c r="K76" s="2" t="s">
        <v>340</v>
      </c>
      <c r="L76" s="3">
        <v>45.71</v>
      </c>
      <c r="M76" s="3">
        <v>48</v>
      </c>
      <c r="N76" s="3">
        <v>99.99</v>
      </c>
      <c r="O76" s="2" t="s">
        <v>95</v>
      </c>
      <c r="P76" s="2" t="s">
        <v>140</v>
      </c>
      <c r="Q76" s="2" t="s">
        <v>97</v>
      </c>
      <c r="R76" s="2" t="s">
        <v>98</v>
      </c>
      <c r="S76" s="2" t="s">
        <v>341</v>
      </c>
      <c r="T76" s="2" t="s">
        <v>187</v>
      </c>
      <c r="U76" s="2" t="s">
        <v>101</v>
      </c>
      <c r="V76" s="2" t="s">
        <v>188</v>
      </c>
      <c r="W76" s="2" t="s">
        <v>243</v>
      </c>
      <c r="X76" s="2" t="s">
        <v>190</v>
      </c>
      <c r="Y76" s="2" t="s">
        <v>332</v>
      </c>
      <c r="Z76" s="4">
        <v>136</v>
      </c>
      <c r="AA76" s="4">
        <f>=ROUNDDOWN(27.2,0)</f>
      </c>
      <c r="AB76" s="5">
        <v>5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>
        <v>1</v>
      </c>
      <c r="AQ76" s="8">
        <v>51.84</v>
      </c>
      <c r="AR76" s="4"/>
      <c r="AS76" s="8"/>
      <c r="AT76" s="7"/>
      <c r="AU76" s="7"/>
      <c r="AV76" s="4">
        <v>1</v>
      </c>
      <c r="AW76" s="8">
        <v>51.84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0.3125</v>
      </c>
      <c r="BJ76" s="4">
        <v>4</v>
      </c>
      <c r="BK76" s="8">
        <v>209.76</v>
      </c>
      <c r="BL76" s="2" t="s">
        <v>456</v>
      </c>
      <c r="BM76" s="7">
        <v>0.25</v>
      </c>
      <c r="BN76" s="7">
        <v>0.2471</v>
      </c>
      <c r="BO76" s="4">
        <v>1</v>
      </c>
      <c r="BP76" s="8">
        <v>51.84</v>
      </c>
      <c r="BQ76" s="4"/>
      <c r="BR76" s="8"/>
      <c r="BS76" s="7"/>
      <c r="BT76" s="7"/>
      <c r="BU76" s="2" t="s">
        <v>106</v>
      </c>
      <c r="BV76" s="2" t="s">
        <v>95</v>
      </c>
      <c r="BW76" s="2" t="s">
        <v>335</v>
      </c>
      <c r="BX76" s="2" t="s">
        <v>457</v>
      </c>
      <c r="BY76" s="2" t="s">
        <v>109</v>
      </c>
      <c r="BZ76" s="2" t="s">
        <v>98</v>
      </c>
    </row>
    <row r="77">
      <c r="A77" s="2" t="s">
        <v>458</v>
      </c>
      <c r="B77" s="2" t="s">
        <v>87</v>
      </c>
      <c r="C77" s="2" t="s">
        <v>88</v>
      </c>
      <c r="D77" s="2" t="s">
        <v>405</v>
      </c>
      <c r="E77" s="2" t="s">
        <v>406</v>
      </c>
      <c r="F77" s="2" t="s">
        <v>329</v>
      </c>
      <c r="G77" s="2" t="s">
        <v>329</v>
      </c>
      <c r="H77" s="2" t="s">
        <v>329</v>
      </c>
      <c r="I77" s="2" t="s">
        <v>451</v>
      </c>
      <c r="J77" s="2" t="s">
        <v>111</v>
      </c>
      <c r="K77" s="2" t="s">
        <v>340</v>
      </c>
      <c r="L77" s="3">
        <v>54.85</v>
      </c>
      <c r="M77" s="3">
        <v>57.59</v>
      </c>
      <c r="N77" s="3">
        <v>119.99</v>
      </c>
      <c r="O77" s="2" t="s">
        <v>95</v>
      </c>
      <c r="P77" s="2" t="s">
        <v>140</v>
      </c>
      <c r="Q77" s="2" t="s">
        <v>97</v>
      </c>
      <c r="R77" s="2" t="s">
        <v>98</v>
      </c>
      <c r="S77" s="2" t="s">
        <v>341</v>
      </c>
      <c r="T77" s="2" t="s">
        <v>187</v>
      </c>
      <c r="U77" s="2" t="s">
        <v>101</v>
      </c>
      <c r="V77" s="2" t="s">
        <v>188</v>
      </c>
      <c r="W77" s="2" t="s">
        <v>243</v>
      </c>
      <c r="X77" s="2" t="s">
        <v>190</v>
      </c>
      <c r="Y77" s="2" t="s">
        <v>332</v>
      </c>
      <c r="Z77" s="4">
        <v>165</v>
      </c>
      <c r="AA77" s="4">
        <f>=ROUNDDOWN(33,0)</f>
      </c>
      <c r="AB77" s="5">
        <v>5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2</v>
      </c>
      <c r="BK77" s="8">
        <v>145.89</v>
      </c>
      <c r="BL77" s="2" t="s">
        <v>459</v>
      </c>
      <c r="BM77" s="7"/>
      <c r="BN77" s="7"/>
      <c r="BO77" s="4"/>
      <c r="BP77" s="8"/>
      <c r="BQ77" s="4"/>
      <c r="BR77" s="8"/>
      <c r="BS77" s="7"/>
      <c r="BT77" s="7"/>
      <c r="BU77" s="2" t="s">
        <v>106</v>
      </c>
      <c r="BV77" s="2" t="s">
        <v>95</v>
      </c>
      <c r="BW77" s="2" t="s">
        <v>335</v>
      </c>
      <c r="BX77" s="2" t="s">
        <v>460</v>
      </c>
      <c r="BY77" s="2" t="s">
        <v>109</v>
      </c>
      <c r="BZ77" s="2" t="s">
        <v>98</v>
      </c>
    </row>
    <row r="78">
      <c r="A78" s="2" t="s">
        <v>461</v>
      </c>
      <c r="B78" s="2" t="s">
        <v>87</v>
      </c>
      <c r="C78" s="2" t="s">
        <v>88</v>
      </c>
      <c r="D78" s="2" t="s">
        <v>405</v>
      </c>
      <c r="E78" s="2" t="s">
        <v>406</v>
      </c>
      <c r="F78" s="2" t="s">
        <v>224</v>
      </c>
      <c r="G78" s="2" t="s">
        <v>224</v>
      </c>
      <c r="H78" s="2" t="s">
        <v>224</v>
      </c>
      <c r="I78" s="2" t="s">
        <v>462</v>
      </c>
      <c r="J78" s="2" t="s">
        <v>93</v>
      </c>
      <c r="K78" s="2" t="s">
        <v>226</v>
      </c>
      <c r="L78" s="3">
        <v>53.9</v>
      </c>
      <c r="M78" s="3">
        <v>56.6</v>
      </c>
      <c r="N78" s="3">
        <v>109.99</v>
      </c>
      <c r="O78" s="2" t="s">
        <v>95</v>
      </c>
      <c r="P78" s="2" t="s">
        <v>140</v>
      </c>
      <c r="Q78" s="2" t="s">
        <v>97</v>
      </c>
      <c r="R78" s="2" t="s">
        <v>98</v>
      </c>
      <c r="S78" s="2" t="s">
        <v>227</v>
      </c>
      <c r="T78" s="2" t="s">
        <v>228</v>
      </c>
      <c r="U78" s="2" t="s">
        <v>101</v>
      </c>
      <c r="V78" s="2" t="s">
        <v>102</v>
      </c>
      <c r="W78" s="2" t="s">
        <v>103</v>
      </c>
      <c r="X78" s="2" t="s">
        <v>190</v>
      </c>
      <c r="Y78" s="2" t="s">
        <v>229</v>
      </c>
      <c r="Z78" s="4">
        <v>136</v>
      </c>
      <c r="AA78" s="4">
        <f>=ROUNDDOWN(28.3333333333333,0)</f>
      </c>
      <c r="AB78" s="5">
        <v>4.8</v>
      </c>
      <c r="AC78" s="2" t="s">
        <v>230</v>
      </c>
      <c r="AD78" s="4">
        <v>70</v>
      </c>
      <c r="AE78" s="4">
        <v>190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>
        <v>1</v>
      </c>
      <c r="AQ78" s="8">
        <v>61.12</v>
      </c>
      <c r="AR78" s="4"/>
      <c r="AS78" s="8"/>
      <c r="AT78" s="7"/>
      <c r="AU78" s="7"/>
      <c r="AV78" s="4">
        <v>2</v>
      </c>
      <c r="AW78" s="8">
        <v>137.32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0.4451</v>
      </c>
      <c r="BC78" s="4">
        <v>2</v>
      </c>
      <c r="BD78" s="8">
        <v>137.32</v>
      </c>
      <c r="BE78" s="4" t="s">
        <v>98</v>
      </c>
      <c r="BF78" s="8" t="s">
        <v>98</v>
      </c>
      <c r="BG78" s="7" t="s">
        <v>98</v>
      </c>
      <c r="BH78" s="7" t="s">
        <v>98</v>
      </c>
      <c r="BI78" s="7">
        <v>1</v>
      </c>
      <c r="BJ78" s="4">
        <v>9</v>
      </c>
      <c r="BK78" s="8">
        <v>561.45</v>
      </c>
      <c r="BL78" s="2" t="s">
        <v>463</v>
      </c>
      <c r="BM78" s="7">
        <v>0.1111</v>
      </c>
      <c r="BN78" s="7">
        <v>0.1089</v>
      </c>
      <c r="BO78" s="4">
        <v>1</v>
      </c>
      <c r="BP78" s="8">
        <v>61.12</v>
      </c>
      <c r="BQ78" s="4"/>
      <c r="BR78" s="8"/>
      <c r="BS78" s="7"/>
      <c r="BT78" s="7"/>
      <c r="BU78" s="2" t="s">
        <v>106</v>
      </c>
      <c r="BV78" s="2" t="s">
        <v>95</v>
      </c>
      <c r="BW78" s="2" t="s">
        <v>133</v>
      </c>
      <c r="BX78" s="2" t="s">
        <v>464</v>
      </c>
      <c r="BY78" s="2" t="s">
        <v>109</v>
      </c>
      <c r="BZ78" s="2" t="s">
        <v>98</v>
      </c>
    </row>
    <row r="79">
      <c r="A79" s="2" t="s">
        <v>465</v>
      </c>
      <c r="B79" s="2" t="s">
        <v>87</v>
      </c>
      <c r="C79" s="2" t="s">
        <v>88</v>
      </c>
      <c r="D79" s="2" t="s">
        <v>405</v>
      </c>
      <c r="E79" s="2" t="s">
        <v>406</v>
      </c>
      <c r="F79" s="2" t="s">
        <v>224</v>
      </c>
      <c r="G79" s="2" t="s">
        <v>224</v>
      </c>
      <c r="H79" s="2" t="s">
        <v>224</v>
      </c>
      <c r="I79" s="2" t="s">
        <v>462</v>
      </c>
      <c r="J79" s="2" t="s">
        <v>111</v>
      </c>
      <c r="K79" s="2" t="s">
        <v>226</v>
      </c>
      <c r="L79" s="3">
        <v>67.2</v>
      </c>
      <c r="M79" s="3">
        <v>70.56</v>
      </c>
      <c r="N79" s="3">
        <v>139.99</v>
      </c>
      <c r="O79" s="2" t="s">
        <v>95</v>
      </c>
      <c r="P79" s="2" t="s">
        <v>140</v>
      </c>
      <c r="Q79" s="2" t="s">
        <v>97</v>
      </c>
      <c r="R79" s="2" t="s">
        <v>98</v>
      </c>
      <c r="S79" s="2" t="s">
        <v>227</v>
      </c>
      <c r="T79" s="2" t="s">
        <v>228</v>
      </c>
      <c r="U79" s="2" t="s">
        <v>101</v>
      </c>
      <c r="V79" s="2" t="s">
        <v>102</v>
      </c>
      <c r="W79" s="2" t="s">
        <v>103</v>
      </c>
      <c r="X79" s="2" t="s">
        <v>190</v>
      </c>
      <c r="Y79" s="2" t="s">
        <v>229</v>
      </c>
      <c r="Z79" s="4">
        <v>128</v>
      </c>
      <c r="AA79" s="4">
        <f>=ROUNDDOWN(21.3333333333333,0)</f>
      </c>
      <c r="AB79" s="5">
        <v>6</v>
      </c>
      <c r="AC79" s="2" t="s">
        <v>466</v>
      </c>
      <c r="AD79" s="4">
        <v>170</v>
      </c>
      <c r="AE79" s="4">
        <v>170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>
        <v>1</v>
      </c>
      <c r="AQ79" s="8">
        <v>76.2</v>
      </c>
      <c r="AR79" s="4"/>
      <c r="AS79" s="8"/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0.5549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11</v>
      </c>
      <c r="BK79" s="8">
        <v>858.03</v>
      </c>
      <c r="BL79" s="2" t="s">
        <v>463</v>
      </c>
      <c r="BM79" s="7">
        <v>0.0909</v>
      </c>
      <c r="BN79" s="7">
        <v>0.0888</v>
      </c>
      <c r="BO79" s="4">
        <v>1</v>
      </c>
      <c r="BP79" s="8">
        <v>76.2</v>
      </c>
      <c r="BQ79" s="4"/>
      <c r="BR79" s="8"/>
      <c r="BS79" s="7"/>
      <c r="BT79" s="7"/>
      <c r="BU79" s="2" t="s">
        <v>106</v>
      </c>
      <c r="BV79" s="2" t="s">
        <v>95</v>
      </c>
      <c r="BW79" s="2" t="s">
        <v>133</v>
      </c>
      <c r="BX79" s="2" t="s">
        <v>467</v>
      </c>
      <c r="BY79" s="2" t="s">
        <v>109</v>
      </c>
      <c r="BZ79" s="2" t="s">
        <v>98</v>
      </c>
    </row>
    <row r="80">
      <c r="A80" s="2" t="s">
        <v>468</v>
      </c>
      <c r="B80" s="2" t="s">
        <v>87</v>
      </c>
      <c r="C80" s="2" t="s">
        <v>88</v>
      </c>
      <c r="D80" s="2" t="s">
        <v>405</v>
      </c>
      <c r="E80" s="2" t="s">
        <v>406</v>
      </c>
      <c r="F80" s="2" t="s">
        <v>150</v>
      </c>
      <c r="G80" s="2" t="s">
        <v>150</v>
      </c>
      <c r="H80" s="2" t="s">
        <v>150</v>
      </c>
      <c r="I80" s="2" t="s">
        <v>469</v>
      </c>
      <c r="J80" s="2" t="s">
        <v>111</v>
      </c>
      <c r="K80" s="2" t="s">
        <v>160</v>
      </c>
      <c r="L80" s="3">
        <v>65.55</v>
      </c>
      <c r="M80" s="3">
        <v>68.83</v>
      </c>
      <c r="N80" s="3">
        <v>139.99</v>
      </c>
      <c r="O80" s="2" t="s">
        <v>206</v>
      </c>
      <c r="P80" s="2" t="s">
        <v>128</v>
      </c>
      <c r="Q80" s="2" t="s">
        <v>97</v>
      </c>
      <c r="R80" s="2" t="s">
        <v>98</v>
      </c>
      <c r="S80" s="2" t="s">
        <v>162</v>
      </c>
      <c r="T80" s="2" t="s">
        <v>130</v>
      </c>
      <c r="U80" s="2" t="s">
        <v>101</v>
      </c>
      <c r="V80" s="2" t="s">
        <v>131</v>
      </c>
      <c r="W80" s="2" t="s">
        <v>163</v>
      </c>
      <c r="X80" s="2" t="s">
        <v>164</v>
      </c>
      <c r="Y80" s="2" t="s">
        <v>165</v>
      </c>
      <c r="Z80" s="4">
        <v>24</v>
      </c>
      <c r="AA80" s="4">
        <f>=ROUNDDOWN(8,0)</f>
      </c>
      <c r="AB80" s="5">
        <v>3</v>
      </c>
      <c r="AC80" s="2" t="s">
        <v>98</v>
      </c>
      <c r="AD80" s="4"/>
      <c r="AE80" s="4"/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>
        <v>1</v>
      </c>
      <c r="AQ80" s="8">
        <v>69.69</v>
      </c>
      <c r="AR80" s="4"/>
      <c r="AS80" s="8"/>
      <c r="AT80" s="7"/>
      <c r="AU80" s="7"/>
      <c r="AV80" s="4">
        <v>1</v>
      </c>
      <c r="AW80" s="8">
        <v>69.69</v>
      </c>
      <c r="AX80" s="4"/>
      <c r="AY80" s="8"/>
      <c r="AZ80" s="7"/>
      <c r="BA80" s="7"/>
      <c r="BB80" s="7">
        <v>1</v>
      </c>
      <c r="BC80" s="4">
        <v>1</v>
      </c>
      <c r="BD80" s="8">
        <v>69.69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1</v>
      </c>
      <c r="BJ80" s="4">
        <v>2</v>
      </c>
      <c r="BK80" s="8">
        <v>124.75</v>
      </c>
      <c r="BL80" s="2" t="s">
        <v>470</v>
      </c>
      <c r="BM80" s="7">
        <v>0.5</v>
      </c>
      <c r="BN80" s="7">
        <v>0.5586</v>
      </c>
      <c r="BO80" s="4">
        <v>1</v>
      </c>
      <c r="BP80" s="8">
        <v>69.69</v>
      </c>
      <c r="BQ80" s="4"/>
      <c r="BR80" s="8"/>
      <c r="BS80" s="7"/>
      <c r="BT80" s="7"/>
      <c r="BU80" s="2" t="s">
        <v>106</v>
      </c>
      <c r="BV80" s="2" t="s">
        <v>95</v>
      </c>
      <c r="BW80" s="2" t="s">
        <v>168</v>
      </c>
      <c r="BX80" s="2" t="s">
        <v>471</v>
      </c>
      <c r="BY80" s="2" t="s">
        <v>109</v>
      </c>
      <c r="BZ80" s="2" t="s">
        <v>98</v>
      </c>
    </row>
    <row r="81">
      <c r="A81" s="2" t="s">
        <v>472</v>
      </c>
      <c r="B81" s="2" t="s">
        <v>87</v>
      </c>
      <c r="C81" s="2" t="s">
        <v>88</v>
      </c>
      <c r="D81" s="2" t="s">
        <v>405</v>
      </c>
      <c r="E81" s="2" t="s">
        <v>406</v>
      </c>
      <c r="F81" s="2" t="s">
        <v>150</v>
      </c>
      <c r="G81" s="2" t="s">
        <v>150</v>
      </c>
      <c r="H81" s="2" t="s">
        <v>150</v>
      </c>
      <c r="I81" s="2" t="s">
        <v>469</v>
      </c>
      <c r="J81" s="2" t="s">
        <v>111</v>
      </c>
      <c r="K81" s="2" t="s">
        <v>139</v>
      </c>
      <c r="L81" s="3">
        <v>65.55</v>
      </c>
      <c r="M81" s="3">
        <v>68.83</v>
      </c>
      <c r="N81" s="3">
        <v>139.99</v>
      </c>
      <c r="O81" s="2" t="s">
        <v>95</v>
      </c>
      <c r="P81" s="2" t="s">
        <v>140</v>
      </c>
      <c r="Q81" s="2" t="s">
        <v>97</v>
      </c>
      <c r="R81" s="2" t="s">
        <v>98</v>
      </c>
      <c r="S81" s="2" t="s">
        <v>171</v>
      </c>
      <c r="T81" s="2" t="s">
        <v>100</v>
      </c>
      <c r="U81" s="2" t="s">
        <v>101</v>
      </c>
      <c r="V81" s="2" t="s">
        <v>102</v>
      </c>
      <c r="W81" s="2" t="s">
        <v>103</v>
      </c>
      <c r="X81" s="2" t="s">
        <v>98</v>
      </c>
      <c r="Y81" s="2" t="s">
        <v>165</v>
      </c>
      <c r="Z81" s="4">
        <v>434</v>
      </c>
      <c r="AA81" s="4">
        <f>=ROUNDDOWN(54.25,0)</f>
      </c>
      <c r="AB81" s="5">
        <v>8</v>
      </c>
      <c r="AC81" s="2" t="s">
        <v>473</v>
      </c>
      <c r="AD81" s="4">
        <v>76</v>
      </c>
      <c r="AE81" s="4">
        <v>76</v>
      </c>
      <c r="AF81" s="6">
        <v>69</v>
      </c>
      <c r="AG81" s="6">
        <v>77</v>
      </c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9</v>
      </c>
      <c r="BK81" s="8">
        <v>653.5</v>
      </c>
      <c r="BL81" s="2" t="s">
        <v>474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95</v>
      </c>
      <c r="BW81" s="2" t="s">
        <v>168</v>
      </c>
      <c r="BX81" s="2" t="s">
        <v>193</v>
      </c>
      <c r="BY81" s="2" t="s">
        <v>109</v>
      </c>
      <c r="BZ81" s="2" t="s">
        <v>98</v>
      </c>
    </row>
    <row r="82">
      <c r="A82" s="2" t="s">
        <v>475</v>
      </c>
      <c r="B82" s="2" t="s">
        <v>87</v>
      </c>
      <c r="C82" s="2" t="s">
        <v>88</v>
      </c>
      <c r="D82" s="2" t="s">
        <v>405</v>
      </c>
      <c r="E82" s="2" t="s">
        <v>406</v>
      </c>
      <c r="F82" s="2" t="s">
        <v>150</v>
      </c>
      <c r="G82" s="2" t="s">
        <v>150</v>
      </c>
      <c r="H82" s="2" t="s">
        <v>150</v>
      </c>
      <c r="I82" s="2" t="s">
        <v>469</v>
      </c>
      <c r="J82" s="2" t="s">
        <v>93</v>
      </c>
      <c r="K82" s="2" t="s">
        <v>176</v>
      </c>
      <c r="L82" s="3">
        <v>51.3</v>
      </c>
      <c r="M82" s="3">
        <v>53.87</v>
      </c>
      <c r="N82" s="3">
        <v>109.99</v>
      </c>
      <c r="O82" s="2" t="s">
        <v>95</v>
      </c>
      <c r="P82" s="2" t="s">
        <v>177</v>
      </c>
      <c r="Q82" s="2" t="s">
        <v>97</v>
      </c>
      <c r="R82" s="2" t="s">
        <v>98</v>
      </c>
      <c r="S82" s="2" t="s">
        <v>98</v>
      </c>
      <c r="T82" s="2" t="s">
        <v>100</v>
      </c>
      <c r="U82" s="2" t="s">
        <v>101</v>
      </c>
      <c r="V82" s="2" t="s">
        <v>102</v>
      </c>
      <c r="W82" s="2" t="s">
        <v>242</v>
      </c>
      <c r="X82" s="2" t="s">
        <v>98</v>
      </c>
      <c r="Y82" s="2" t="s">
        <v>98</v>
      </c>
      <c r="Z82" s="4"/>
      <c r="AA82" s="4">
        <f>=ROUNDDOWN({0},0)</f>
      </c>
      <c r="AB82" s="5"/>
      <c r="AC82" s="2" t="s">
        <v>178</v>
      </c>
      <c r="AD82" s="4">
        <v>116</v>
      </c>
      <c r="AE82" s="4">
        <v>230</v>
      </c>
      <c r="AF82" s="6">
        <v>69</v>
      </c>
      <c r="AG82" s="6"/>
      <c r="AH82" s="7"/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/>
      <c r="BK82" s="8"/>
      <c r="BL82" s="2" t="s">
        <v>98</v>
      </c>
      <c r="BM82" s="7"/>
      <c r="BN82" s="7"/>
      <c r="BO82" s="4"/>
      <c r="BP82" s="8"/>
      <c r="BQ82" s="4"/>
      <c r="BR82" s="8"/>
      <c r="BS82" s="7"/>
      <c r="BT82" s="7"/>
      <c r="BU82" s="2" t="s">
        <v>179</v>
      </c>
      <c r="BV82" s="2" t="s">
        <v>95</v>
      </c>
      <c r="BW82" s="2" t="s">
        <v>98</v>
      </c>
      <c r="BX82" s="2" t="s">
        <v>98</v>
      </c>
      <c r="BY82" s="2" t="s">
        <v>109</v>
      </c>
      <c r="BZ82" s="2" t="s">
        <v>98</v>
      </c>
    </row>
    <row r="83">
      <c r="A83" s="2" t="s">
        <v>476</v>
      </c>
      <c r="B83" s="2" t="s">
        <v>87</v>
      </c>
      <c r="C83" s="2" t="s">
        <v>88</v>
      </c>
      <c r="D83" s="2" t="s">
        <v>405</v>
      </c>
      <c r="E83" s="2" t="s">
        <v>406</v>
      </c>
      <c r="F83" s="2" t="s">
        <v>150</v>
      </c>
      <c r="G83" s="2" t="s">
        <v>150</v>
      </c>
      <c r="H83" s="2" t="s">
        <v>150</v>
      </c>
      <c r="I83" s="2" t="s">
        <v>469</v>
      </c>
      <c r="J83" s="2" t="s">
        <v>111</v>
      </c>
      <c r="K83" s="2" t="s">
        <v>176</v>
      </c>
      <c r="L83" s="3">
        <v>65.55</v>
      </c>
      <c r="M83" s="3">
        <v>68.83</v>
      </c>
      <c r="N83" s="3">
        <v>139.99</v>
      </c>
      <c r="O83" s="2" t="s">
        <v>95</v>
      </c>
      <c r="P83" s="2" t="s">
        <v>177</v>
      </c>
      <c r="Q83" s="2" t="s">
        <v>97</v>
      </c>
      <c r="R83" s="2" t="s">
        <v>98</v>
      </c>
      <c r="S83" s="2" t="s">
        <v>98</v>
      </c>
      <c r="T83" s="2" t="s">
        <v>100</v>
      </c>
      <c r="U83" s="2" t="s">
        <v>101</v>
      </c>
      <c r="V83" s="2" t="s">
        <v>102</v>
      </c>
      <c r="W83" s="2" t="s">
        <v>242</v>
      </c>
      <c r="X83" s="2" t="s">
        <v>98</v>
      </c>
      <c r="Y83" s="2" t="s">
        <v>98</v>
      </c>
      <c r="Z83" s="4"/>
      <c r="AA83" s="4">
        <f>=ROUNDDOWN({0},0)</f>
      </c>
      <c r="AB83" s="5"/>
      <c r="AC83" s="2" t="s">
        <v>178</v>
      </c>
      <c r="AD83" s="4">
        <v>126</v>
      </c>
      <c r="AE83" s="4">
        <v>250</v>
      </c>
      <c r="AF83" s="6">
        <v>69</v>
      </c>
      <c r="AG83" s="6"/>
      <c r="AH83" s="7"/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/>
      <c r="BK83" s="8"/>
      <c r="BL83" s="2" t="s">
        <v>98</v>
      </c>
      <c r="BM83" s="7"/>
      <c r="BN83" s="7"/>
      <c r="BO83" s="4"/>
      <c r="BP83" s="8"/>
      <c r="BQ83" s="4"/>
      <c r="BR83" s="8"/>
      <c r="BS83" s="7"/>
      <c r="BT83" s="7"/>
      <c r="BU83" s="2" t="s">
        <v>179</v>
      </c>
      <c r="BV83" s="2" t="s">
        <v>95</v>
      </c>
      <c r="BW83" s="2" t="s">
        <v>98</v>
      </c>
      <c r="BX83" s="2" t="s">
        <v>98</v>
      </c>
      <c r="BY83" s="2" t="s">
        <v>109</v>
      </c>
      <c r="BZ83" s="2" t="s">
        <v>98</v>
      </c>
    </row>
    <row r="84">
      <c r="A84" s="2" t="s">
        <v>477</v>
      </c>
      <c r="B84" s="2" t="s">
        <v>87</v>
      </c>
      <c r="C84" s="2" t="s">
        <v>88</v>
      </c>
      <c r="D84" s="2" t="s">
        <v>405</v>
      </c>
      <c r="E84" s="2" t="s">
        <v>406</v>
      </c>
      <c r="F84" s="2" t="s">
        <v>381</v>
      </c>
      <c r="G84" s="2" t="s">
        <v>381</v>
      </c>
      <c r="H84" s="2" t="s">
        <v>381</v>
      </c>
      <c r="I84" s="2" t="s">
        <v>478</v>
      </c>
      <c r="J84" s="2" t="s">
        <v>93</v>
      </c>
      <c r="K84" s="2" t="s">
        <v>94</v>
      </c>
      <c r="L84" s="3">
        <v>52.8</v>
      </c>
      <c r="M84" s="3">
        <v>55.44</v>
      </c>
      <c r="N84" s="3">
        <v>109.99</v>
      </c>
      <c r="O84" s="2" t="s">
        <v>161</v>
      </c>
      <c r="P84" s="2" t="s">
        <v>128</v>
      </c>
      <c r="Q84" s="2" t="s">
        <v>97</v>
      </c>
      <c r="R84" s="2" t="s">
        <v>98</v>
      </c>
      <c r="S84" s="2" t="s">
        <v>383</v>
      </c>
      <c r="T84" s="2" t="s">
        <v>98</v>
      </c>
      <c r="U84" s="2" t="s">
        <v>101</v>
      </c>
      <c r="V84" s="2" t="s">
        <v>103</v>
      </c>
      <c r="W84" s="2" t="s">
        <v>384</v>
      </c>
      <c r="X84" s="2" t="s">
        <v>190</v>
      </c>
      <c r="Y84" s="2" t="s">
        <v>385</v>
      </c>
      <c r="Z84" s="4">
        <v>124</v>
      </c>
      <c r="AA84" s="4">
        <f>=ROUNDDOWN(95.3846153846154,0)</f>
      </c>
      <c r="AB84" s="5">
        <v>1.3</v>
      </c>
      <c r="AC84" s="2" t="s">
        <v>98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>
        <v>1</v>
      </c>
      <c r="AQ84" s="8">
        <v>59.88</v>
      </c>
      <c r="AR84" s="4"/>
      <c r="AS84" s="8"/>
      <c r="AT84" s="7"/>
      <c r="AU84" s="7"/>
      <c r="AV84" s="4">
        <v>1</v>
      </c>
      <c r="AW84" s="8">
        <v>59.88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1</v>
      </c>
      <c r="BC84" s="4">
        <v>1</v>
      </c>
      <c r="BD84" s="8">
        <v>59.88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>
        <v>1</v>
      </c>
      <c r="BJ84" s="4">
        <v>1</v>
      </c>
      <c r="BK84" s="8">
        <v>59.88</v>
      </c>
      <c r="BL84" s="2" t="s">
        <v>16</v>
      </c>
      <c r="BM84" s="7">
        <v>1</v>
      </c>
      <c r="BN84" s="7">
        <v>1</v>
      </c>
      <c r="BO84" s="4">
        <v>1</v>
      </c>
      <c r="BP84" s="8">
        <v>59.88</v>
      </c>
      <c r="BQ84" s="4"/>
      <c r="BR84" s="8"/>
      <c r="BS84" s="7"/>
      <c r="BT84" s="7"/>
      <c r="BU84" s="2" t="s">
        <v>106</v>
      </c>
      <c r="BV84" s="2" t="s">
        <v>95</v>
      </c>
      <c r="BW84" s="2" t="s">
        <v>387</v>
      </c>
      <c r="BX84" s="2" t="s">
        <v>479</v>
      </c>
      <c r="BY84" s="2" t="s">
        <v>109</v>
      </c>
      <c r="BZ84" s="2" t="s">
        <v>98</v>
      </c>
    </row>
    <row r="85">
      <c r="A85" s="2" t="s">
        <v>480</v>
      </c>
      <c r="B85" s="2" t="s">
        <v>87</v>
      </c>
      <c r="C85" s="2" t="s">
        <v>88</v>
      </c>
      <c r="D85" s="2" t="s">
        <v>405</v>
      </c>
      <c r="E85" s="2" t="s">
        <v>406</v>
      </c>
      <c r="F85" s="2" t="s">
        <v>381</v>
      </c>
      <c r="G85" s="2" t="s">
        <v>381</v>
      </c>
      <c r="H85" s="2" t="s">
        <v>381</v>
      </c>
      <c r="I85" s="2" t="s">
        <v>478</v>
      </c>
      <c r="J85" s="2" t="s">
        <v>111</v>
      </c>
      <c r="K85" s="2" t="s">
        <v>94</v>
      </c>
      <c r="L85" s="3">
        <v>67.2</v>
      </c>
      <c r="M85" s="3">
        <v>70.56</v>
      </c>
      <c r="N85" s="3">
        <v>139.99</v>
      </c>
      <c r="O85" s="2" t="s">
        <v>161</v>
      </c>
      <c r="P85" s="2" t="s">
        <v>128</v>
      </c>
      <c r="Q85" s="2" t="s">
        <v>97</v>
      </c>
      <c r="R85" s="2" t="s">
        <v>98</v>
      </c>
      <c r="S85" s="2" t="s">
        <v>383</v>
      </c>
      <c r="T85" s="2" t="s">
        <v>98</v>
      </c>
      <c r="U85" s="2" t="s">
        <v>101</v>
      </c>
      <c r="V85" s="2" t="s">
        <v>103</v>
      </c>
      <c r="W85" s="2" t="s">
        <v>384</v>
      </c>
      <c r="X85" s="2" t="s">
        <v>190</v>
      </c>
      <c r="Y85" s="2" t="s">
        <v>385</v>
      </c>
      <c r="Z85" s="4">
        <v>361</v>
      </c>
      <c r="AA85" s="4">
        <f>=ROUNDDOWN(361,0)</f>
      </c>
      <c r="AB85" s="5">
        <v>1</v>
      </c>
      <c r="AC85" s="2" t="s">
        <v>98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1</v>
      </c>
      <c r="BK85" s="8">
        <v>37.05</v>
      </c>
      <c r="BL85" s="2" t="s">
        <v>386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95</v>
      </c>
      <c r="BW85" s="2" t="s">
        <v>387</v>
      </c>
      <c r="BX85" s="2" t="s">
        <v>481</v>
      </c>
      <c r="BY85" s="2" t="s">
        <v>109</v>
      </c>
      <c r="BZ85" s="2" t="s">
        <v>98</v>
      </c>
    </row>
    <row r="86">
      <c r="A86" s="2" t="s">
        <v>482</v>
      </c>
      <c r="B86" s="2" t="s">
        <v>87</v>
      </c>
      <c r="C86" s="2" t="s">
        <v>88</v>
      </c>
      <c r="D86" s="2" t="s">
        <v>405</v>
      </c>
      <c r="E86" s="2" t="s">
        <v>406</v>
      </c>
      <c r="F86" s="2" t="s">
        <v>374</v>
      </c>
      <c r="G86" s="2" t="s">
        <v>374</v>
      </c>
      <c r="H86" s="2" t="s">
        <v>98</v>
      </c>
      <c r="I86" s="2" t="s">
        <v>483</v>
      </c>
      <c r="J86" s="2" t="s">
        <v>93</v>
      </c>
      <c r="K86" s="2" t="s">
        <v>484</v>
      </c>
      <c r="L86" s="3">
        <v>49</v>
      </c>
      <c r="M86" s="3">
        <v>51.44</v>
      </c>
      <c r="N86" s="3">
        <v>99.99</v>
      </c>
      <c r="O86" s="2" t="s">
        <v>95</v>
      </c>
      <c r="P86" s="2" t="s">
        <v>140</v>
      </c>
      <c r="Q86" s="2" t="s">
        <v>97</v>
      </c>
      <c r="R86" s="2" t="s">
        <v>98</v>
      </c>
      <c r="S86" s="2" t="s">
        <v>485</v>
      </c>
      <c r="T86" s="2" t="s">
        <v>241</v>
      </c>
      <c r="U86" s="2" t="s">
        <v>101</v>
      </c>
      <c r="V86" s="2" t="s">
        <v>208</v>
      </c>
      <c r="W86" s="2" t="s">
        <v>103</v>
      </c>
      <c r="X86" s="2" t="s">
        <v>190</v>
      </c>
      <c r="Y86" s="2" t="s">
        <v>354</v>
      </c>
      <c r="Z86" s="4">
        <v>215</v>
      </c>
      <c r="AA86" s="4">
        <f>=ROUNDDOWN(35.8333333333333,0)</f>
      </c>
      <c r="AB86" s="5">
        <v>6</v>
      </c>
      <c r="AC86" s="2" t="s">
        <v>98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>
        <v>1</v>
      </c>
      <c r="AQ86" s="8">
        <v>54.86</v>
      </c>
      <c r="AR86" s="4"/>
      <c r="AS86" s="8"/>
      <c r="AT86" s="7"/>
      <c r="AU86" s="7"/>
      <c r="AV86" s="4">
        <v>1</v>
      </c>
      <c r="AW86" s="8">
        <v>54.86</v>
      </c>
      <c r="AX86" s="4"/>
      <c r="AY86" s="8"/>
      <c r="AZ86" s="7"/>
      <c r="BA86" s="7"/>
      <c r="BB86" s="7">
        <v>1</v>
      </c>
      <c r="BC86" s="4">
        <v>1</v>
      </c>
      <c r="BD86" s="8">
        <v>54.86</v>
      </c>
      <c r="BE86" s="4"/>
      <c r="BF86" s="8"/>
      <c r="BG86" s="7"/>
      <c r="BH86" s="7"/>
      <c r="BI86" s="7">
        <v>1</v>
      </c>
      <c r="BJ86" s="4">
        <v>3</v>
      </c>
      <c r="BK86" s="8">
        <v>158.84</v>
      </c>
      <c r="BL86" s="2" t="s">
        <v>454</v>
      </c>
      <c r="BM86" s="7">
        <v>0.3333</v>
      </c>
      <c r="BN86" s="7">
        <v>0.3454</v>
      </c>
      <c r="BO86" s="4">
        <v>1</v>
      </c>
      <c r="BP86" s="8">
        <v>54.86</v>
      </c>
      <c r="BQ86" s="4"/>
      <c r="BR86" s="8"/>
      <c r="BS86" s="7"/>
      <c r="BT86" s="7"/>
      <c r="BU86" s="2" t="s">
        <v>106</v>
      </c>
      <c r="BV86" s="2" t="s">
        <v>95</v>
      </c>
      <c r="BW86" s="2" t="s">
        <v>247</v>
      </c>
      <c r="BX86" s="2" t="s">
        <v>486</v>
      </c>
      <c r="BY86" s="2" t="s">
        <v>109</v>
      </c>
      <c r="BZ86" s="2" t="s">
        <v>98</v>
      </c>
    </row>
    <row r="87">
      <c r="A87" s="2" t="s">
        <v>487</v>
      </c>
      <c r="B87" s="2" t="s">
        <v>87</v>
      </c>
      <c r="C87" s="2" t="s">
        <v>88</v>
      </c>
      <c r="D87" s="2" t="s">
        <v>405</v>
      </c>
      <c r="E87" s="2" t="s">
        <v>406</v>
      </c>
      <c r="F87" s="2" t="s">
        <v>264</v>
      </c>
      <c r="G87" s="2" t="s">
        <v>264</v>
      </c>
      <c r="H87" s="2" t="s">
        <v>264</v>
      </c>
      <c r="I87" s="2" t="s">
        <v>488</v>
      </c>
      <c r="J87" s="2" t="s">
        <v>93</v>
      </c>
      <c r="K87" s="2" t="s">
        <v>277</v>
      </c>
      <c r="L87" s="3">
        <v>44.16</v>
      </c>
      <c r="M87" s="3">
        <v>46.37</v>
      </c>
      <c r="N87" s="3">
        <v>84.99</v>
      </c>
      <c r="O87" s="2" t="s">
        <v>95</v>
      </c>
      <c r="P87" s="2" t="s">
        <v>140</v>
      </c>
      <c r="Q87" s="2" t="s">
        <v>97</v>
      </c>
      <c r="R87" s="2" t="s">
        <v>98</v>
      </c>
      <c r="S87" s="2" t="s">
        <v>278</v>
      </c>
      <c r="T87" s="2" t="s">
        <v>187</v>
      </c>
      <c r="U87" s="2" t="s">
        <v>101</v>
      </c>
      <c r="V87" s="2" t="s">
        <v>188</v>
      </c>
      <c r="W87" s="2" t="s">
        <v>103</v>
      </c>
      <c r="X87" s="2" t="s">
        <v>164</v>
      </c>
      <c r="Y87" s="2" t="s">
        <v>279</v>
      </c>
      <c r="Z87" s="4">
        <v>133</v>
      </c>
      <c r="AA87" s="4">
        <f>=ROUNDDOWN(51.1538461538462,0)</f>
      </c>
      <c r="AB87" s="5">
        <v>2.6</v>
      </c>
      <c r="AC87" s="2" t="s">
        <v>98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>
        <v>1</v>
      </c>
      <c r="AQ87" s="8">
        <v>42.39</v>
      </c>
      <c r="AR87" s="4"/>
      <c r="AS87" s="8"/>
      <c r="AT87" s="7"/>
      <c r="AU87" s="7"/>
      <c r="AV87" s="4">
        <v>1</v>
      </c>
      <c r="AW87" s="8">
        <v>42.39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1</v>
      </c>
      <c r="BC87" s="4">
        <v>1</v>
      </c>
      <c r="BD87" s="8">
        <v>42.39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1</v>
      </c>
      <c r="BJ87" s="4">
        <v>1</v>
      </c>
      <c r="BK87" s="8">
        <v>42.39</v>
      </c>
      <c r="BL87" s="2" t="s">
        <v>16</v>
      </c>
      <c r="BM87" s="7">
        <v>1</v>
      </c>
      <c r="BN87" s="7">
        <v>1</v>
      </c>
      <c r="BO87" s="4">
        <v>1</v>
      </c>
      <c r="BP87" s="8">
        <v>42.39</v>
      </c>
      <c r="BQ87" s="4"/>
      <c r="BR87" s="8"/>
      <c r="BS87" s="7"/>
      <c r="BT87" s="7"/>
      <c r="BU87" s="2" t="s">
        <v>106</v>
      </c>
      <c r="BV87" s="2" t="s">
        <v>95</v>
      </c>
      <c r="BW87" s="2" t="s">
        <v>168</v>
      </c>
      <c r="BX87" s="2" t="s">
        <v>174</v>
      </c>
      <c r="BY87" s="2" t="s">
        <v>109</v>
      </c>
      <c r="BZ87" s="2" t="s">
        <v>98</v>
      </c>
    </row>
    <row r="88">
      <c r="A88" s="2" t="s">
        <v>489</v>
      </c>
      <c r="B88" s="2" t="s">
        <v>87</v>
      </c>
      <c r="C88" s="2" t="s">
        <v>88</v>
      </c>
      <c r="D88" s="2" t="s">
        <v>405</v>
      </c>
      <c r="E88" s="2" t="s">
        <v>406</v>
      </c>
      <c r="F88" s="2" t="s">
        <v>264</v>
      </c>
      <c r="G88" s="2" t="s">
        <v>264</v>
      </c>
      <c r="H88" s="2" t="s">
        <v>264</v>
      </c>
      <c r="I88" s="2" t="s">
        <v>488</v>
      </c>
      <c r="J88" s="2" t="s">
        <v>111</v>
      </c>
      <c r="K88" s="2" t="s">
        <v>277</v>
      </c>
      <c r="L88" s="3">
        <v>58.6</v>
      </c>
      <c r="M88" s="3">
        <v>61.53</v>
      </c>
      <c r="N88" s="3">
        <v>114.99</v>
      </c>
      <c r="O88" s="2" t="s">
        <v>95</v>
      </c>
      <c r="P88" s="2" t="s">
        <v>140</v>
      </c>
      <c r="Q88" s="2" t="s">
        <v>97</v>
      </c>
      <c r="R88" s="2" t="s">
        <v>98</v>
      </c>
      <c r="S88" s="2" t="s">
        <v>278</v>
      </c>
      <c r="T88" s="2" t="s">
        <v>187</v>
      </c>
      <c r="U88" s="2" t="s">
        <v>101</v>
      </c>
      <c r="V88" s="2" t="s">
        <v>188</v>
      </c>
      <c r="W88" s="2" t="s">
        <v>103</v>
      </c>
      <c r="X88" s="2" t="s">
        <v>164</v>
      </c>
      <c r="Y88" s="2" t="s">
        <v>279</v>
      </c>
      <c r="Z88" s="4">
        <v>302</v>
      </c>
      <c r="AA88" s="4">
        <f>=ROUNDDOWN(60.4,0)</f>
      </c>
      <c r="AB88" s="5">
        <v>5</v>
      </c>
      <c r="AC88" s="2" t="s">
        <v>98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2</v>
      </c>
      <c r="BK88" s="8">
        <v>125.42</v>
      </c>
      <c r="BL88" s="2" t="s">
        <v>441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95</v>
      </c>
      <c r="BW88" s="2" t="s">
        <v>168</v>
      </c>
      <c r="BX88" s="2" t="s">
        <v>174</v>
      </c>
      <c r="BY88" s="2" t="s">
        <v>109</v>
      </c>
      <c r="BZ88" s="2" t="s">
        <v>98</v>
      </c>
    </row>
    <row r="89">
      <c r="A89" s="2" t="s">
        <v>490</v>
      </c>
      <c r="B89" s="2" t="s">
        <v>87</v>
      </c>
      <c r="C89" s="2" t="s">
        <v>88</v>
      </c>
      <c r="D89" s="2" t="s">
        <v>405</v>
      </c>
      <c r="E89" s="2" t="s">
        <v>406</v>
      </c>
      <c r="F89" s="2" t="s">
        <v>349</v>
      </c>
      <c r="G89" s="2" t="s">
        <v>349</v>
      </c>
      <c r="H89" s="2" t="s">
        <v>349</v>
      </c>
      <c r="I89" s="2" t="s">
        <v>491</v>
      </c>
      <c r="J89" s="2" t="s">
        <v>93</v>
      </c>
      <c r="K89" s="2" t="s">
        <v>184</v>
      </c>
      <c r="L89" s="3">
        <v>44.1</v>
      </c>
      <c r="M89" s="3">
        <v>46.3</v>
      </c>
      <c r="N89" s="3">
        <v>89.99</v>
      </c>
      <c r="O89" s="2" t="s">
        <v>95</v>
      </c>
      <c r="P89" s="2" t="s">
        <v>140</v>
      </c>
      <c r="Q89" s="2" t="s">
        <v>97</v>
      </c>
      <c r="R89" s="2" t="s">
        <v>98</v>
      </c>
      <c r="S89" s="2" t="s">
        <v>351</v>
      </c>
      <c r="T89" s="2" t="s">
        <v>100</v>
      </c>
      <c r="U89" s="2" t="s">
        <v>101</v>
      </c>
      <c r="V89" s="2" t="s">
        <v>102</v>
      </c>
      <c r="W89" s="2" t="s">
        <v>352</v>
      </c>
      <c r="X89" s="2" t="s">
        <v>353</v>
      </c>
      <c r="Y89" s="2" t="s">
        <v>354</v>
      </c>
      <c r="Z89" s="4">
        <v>125</v>
      </c>
      <c r="AA89" s="4">
        <f>=ROUNDDOWN(31.25,0)</f>
      </c>
      <c r="AB89" s="5">
        <v>4</v>
      </c>
      <c r="AC89" s="2" t="s">
        <v>98</v>
      </c>
      <c r="AD89" s="4"/>
      <c r="AE89" s="4"/>
      <c r="AF89" s="6">
        <v>65</v>
      </c>
      <c r="AG89" s="6">
        <v>73</v>
      </c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/>
      <c r="BJ89" s="4">
        <v>9</v>
      </c>
      <c r="BK89" s="8">
        <v>496.18</v>
      </c>
      <c r="BL89" s="2" t="s">
        <v>492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271</v>
      </c>
      <c r="BX89" s="2" t="s">
        <v>403</v>
      </c>
      <c r="BY89" s="2" t="s">
        <v>109</v>
      </c>
      <c r="BZ89" s="2" t="s">
        <v>98</v>
      </c>
    </row>
    <row r="90">
      <c r="A90" s="2" t="s">
        <v>493</v>
      </c>
      <c r="B90" s="2" t="s">
        <v>87</v>
      </c>
      <c r="C90" s="2" t="s">
        <v>88</v>
      </c>
      <c r="D90" s="2" t="s">
        <v>405</v>
      </c>
      <c r="E90" s="2" t="s">
        <v>406</v>
      </c>
      <c r="F90" s="2" t="s">
        <v>349</v>
      </c>
      <c r="G90" s="2" t="s">
        <v>349</v>
      </c>
      <c r="H90" s="2" t="s">
        <v>349</v>
      </c>
      <c r="I90" s="2" t="s">
        <v>491</v>
      </c>
      <c r="J90" s="2" t="s">
        <v>111</v>
      </c>
      <c r="K90" s="2" t="s">
        <v>184</v>
      </c>
      <c r="L90" s="3">
        <v>58.5</v>
      </c>
      <c r="M90" s="3">
        <v>61.42</v>
      </c>
      <c r="N90" s="3">
        <v>119.99</v>
      </c>
      <c r="O90" s="2" t="s">
        <v>95</v>
      </c>
      <c r="P90" s="2" t="s">
        <v>140</v>
      </c>
      <c r="Q90" s="2" t="s">
        <v>97</v>
      </c>
      <c r="R90" s="2" t="s">
        <v>98</v>
      </c>
      <c r="S90" s="2" t="s">
        <v>351</v>
      </c>
      <c r="T90" s="2" t="s">
        <v>100</v>
      </c>
      <c r="U90" s="2" t="s">
        <v>101</v>
      </c>
      <c r="V90" s="2" t="s">
        <v>102</v>
      </c>
      <c r="W90" s="2" t="s">
        <v>352</v>
      </c>
      <c r="X90" s="2" t="s">
        <v>353</v>
      </c>
      <c r="Y90" s="2" t="s">
        <v>354</v>
      </c>
      <c r="Z90" s="4">
        <v>83</v>
      </c>
      <c r="AA90" s="4">
        <f>=ROUNDDOWN(27.6666666666667,0)</f>
      </c>
      <c r="AB90" s="5">
        <v>3</v>
      </c>
      <c r="AC90" s="2" t="s">
        <v>98</v>
      </c>
      <c r="AD90" s="4"/>
      <c r="AE90" s="4"/>
      <c r="AF90" s="6">
        <v>65</v>
      </c>
      <c r="AG90" s="6">
        <v>73</v>
      </c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6</v>
      </c>
      <c r="BK90" s="8">
        <v>415.05</v>
      </c>
      <c r="BL90" s="2" t="s">
        <v>494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95</v>
      </c>
      <c r="BW90" s="2" t="s">
        <v>271</v>
      </c>
      <c r="BX90" s="2" t="s">
        <v>495</v>
      </c>
      <c r="BY90" s="2" t="s">
        <v>109</v>
      </c>
      <c r="BZ90" s="2" t="s">
        <v>98</v>
      </c>
    </row>
    <row r="91">
      <c r="A91" s="2" t="s">
        <v>496</v>
      </c>
      <c r="B91" s="2" t="s">
        <v>87</v>
      </c>
      <c r="C91" s="2" t="s">
        <v>88</v>
      </c>
      <c r="D91" s="2" t="s">
        <v>405</v>
      </c>
      <c r="E91" s="2" t="s">
        <v>406</v>
      </c>
      <c r="F91" s="2" t="s">
        <v>349</v>
      </c>
      <c r="G91" s="2" t="s">
        <v>349</v>
      </c>
      <c r="H91" s="2" t="s">
        <v>349</v>
      </c>
      <c r="I91" s="2" t="s">
        <v>491</v>
      </c>
      <c r="J91" s="2" t="s">
        <v>93</v>
      </c>
      <c r="K91" s="2" t="s">
        <v>94</v>
      </c>
      <c r="L91" s="3">
        <v>44.1</v>
      </c>
      <c r="M91" s="3">
        <v>46.3</v>
      </c>
      <c r="N91" s="3">
        <v>89.99</v>
      </c>
      <c r="O91" s="2" t="s">
        <v>95</v>
      </c>
      <c r="P91" s="2" t="s">
        <v>140</v>
      </c>
      <c r="Q91" s="2" t="s">
        <v>97</v>
      </c>
      <c r="R91" s="2" t="s">
        <v>98</v>
      </c>
      <c r="S91" s="2" t="s">
        <v>497</v>
      </c>
      <c r="T91" s="2" t="s">
        <v>100</v>
      </c>
      <c r="U91" s="2" t="s">
        <v>101</v>
      </c>
      <c r="V91" s="2" t="s">
        <v>102</v>
      </c>
      <c r="W91" s="2" t="s">
        <v>352</v>
      </c>
      <c r="X91" s="2" t="s">
        <v>353</v>
      </c>
      <c r="Y91" s="2" t="s">
        <v>354</v>
      </c>
      <c r="Z91" s="4">
        <v>397</v>
      </c>
      <c r="AA91" s="4">
        <f>=ROUNDDOWN(79.4,0)</f>
      </c>
      <c r="AB91" s="5">
        <v>5</v>
      </c>
      <c r="AC91" s="2" t="s">
        <v>98</v>
      </c>
      <c r="AD91" s="4"/>
      <c r="AE91" s="4"/>
      <c r="AF91" s="6">
        <v>65</v>
      </c>
      <c r="AG91" s="6">
        <v>73</v>
      </c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7</v>
      </c>
      <c r="BK91" s="8">
        <v>321.25</v>
      </c>
      <c r="BL91" s="2" t="s">
        <v>498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271</v>
      </c>
      <c r="BX91" s="2" t="s">
        <v>499</v>
      </c>
      <c r="BY91" s="2" t="s">
        <v>109</v>
      </c>
      <c r="BZ91" s="2" t="s">
        <v>98</v>
      </c>
    </row>
    <row r="92">
      <c r="A92" s="2" t="s">
        <v>500</v>
      </c>
      <c r="B92" s="2" t="s">
        <v>87</v>
      </c>
      <c r="C92" s="2" t="s">
        <v>88</v>
      </c>
      <c r="D92" s="2" t="s">
        <v>405</v>
      </c>
      <c r="E92" s="2" t="s">
        <v>406</v>
      </c>
      <c r="F92" s="2" t="s">
        <v>349</v>
      </c>
      <c r="G92" s="2" t="s">
        <v>349</v>
      </c>
      <c r="H92" s="2" t="s">
        <v>349</v>
      </c>
      <c r="I92" s="2" t="s">
        <v>491</v>
      </c>
      <c r="J92" s="2" t="s">
        <v>93</v>
      </c>
      <c r="K92" s="2" t="s">
        <v>287</v>
      </c>
      <c r="L92" s="3">
        <v>44.1</v>
      </c>
      <c r="M92" s="3">
        <v>46.3</v>
      </c>
      <c r="N92" s="3">
        <v>89.99</v>
      </c>
      <c r="O92" s="2" t="s">
        <v>95</v>
      </c>
      <c r="P92" s="2" t="s">
        <v>140</v>
      </c>
      <c r="Q92" s="2" t="s">
        <v>97</v>
      </c>
      <c r="R92" s="2" t="s">
        <v>98</v>
      </c>
      <c r="S92" s="2" t="s">
        <v>501</v>
      </c>
      <c r="T92" s="2" t="s">
        <v>100</v>
      </c>
      <c r="U92" s="2" t="s">
        <v>101</v>
      </c>
      <c r="V92" s="2" t="s">
        <v>102</v>
      </c>
      <c r="W92" s="2" t="s">
        <v>352</v>
      </c>
      <c r="X92" s="2" t="s">
        <v>353</v>
      </c>
      <c r="Y92" s="2" t="s">
        <v>354</v>
      </c>
      <c r="Z92" s="4">
        <v>172</v>
      </c>
      <c r="AA92" s="4">
        <f>=ROUNDDOWN(66.1538461538461,0)</f>
      </c>
      <c r="AB92" s="5">
        <v>2.6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/>
      <c r="BJ92" s="4">
        <v>1</v>
      </c>
      <c r="BK92" s="8">
        <v>47.81</v>
      </c>
      <c r="BL92" s="2" t="s">
        <v>502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271</v>
      </c>
      <c r="BX92" s="2" t="s">
        <v>272</v>
      </c>
      <c r="BY92" s="2" t="s">
        <v>109</v>
      </c>
      <c r="BZ92" s="2" t="s">
        <v>98</v>
      </c>
    </row>
    <row r="93">
      <c r="A93" s="2" t="s">
        <v>503</v>
      </c>
      <c r="B93" s="2" t="s">
        <v>87</v>
      </c>
      <c r="C93" s="2" t="s">
        <v>88</v>
      </c>
      <c r="D93" s="2" t="s">
        <v>405</v>
      </c>
      <c r="E93" s="2" t="s">
        <v>406</v>
      </c>
      <c r="F93" s="2" t="s">
        <v>358</v>
      </c>
      <c r="G93" s="2" t="s">
        <v>358</v>
      </c>
      <c r="H93" s="2" t="s">
        <v>358</v>
      </c>
      <c r="I93" s="2" t="s">
        <v>504</v>
      </c>
      <c r="J93" s="2" t="s">
        <v>111</v>
      </c>
      <c r="K93" s="2" t="s">
        <v>152</v>
      </c>
      <c r="L93" s="3">
        <v>54.85</v>
      </c>
      <c r="M93" s="3">
        <v>57.59</v>
      </c>
      <c r="N93" s="3">
        <v>119.99</v>
      </c>
      <c r="O93" s="2" t="s">
        <v>95</v>
      </c>
      <c r="P93" s="2" t="s">
        <v>177</v>
      </c>
      <c r="Q93" s="2" t="s">
        <v>97</v>
      </c>
      <c r="R93" s="2" t="s">
        <v>98</v>
      </c>
      <c r="S93" s="2" t="s">
        <v>359</v>
      </c>
      <c r="T93" s="2" t="s">
        <v>187</v>
      </c>
      <c r="U93" s="2" t="s">
        <v>101</v>
      </c>
      <c r="V93" s="2" t="s">
        <v>360</v>
      </c>
      <c r="W93" s="2" t="s">
        <v>242</v>
      </c>
      <c r="X93" s="2" t="s">
        <v>98</v>
      </c>
      <c r="Y93" s="2" t="s">
        <v>361</v>
      </c>
      <c r="Z93" s="4">
        <v>113</v>
      </c>
      <c r="AA93" s="4">
        <f>=ROUNDDOWN(40.3571428571429,0)</f>
      </c>
      <c r="AB93" s="5">
        <v>2.8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4</v>
      </c>
      <c r="BK93" s="8">
        <v>258</v>
      </c>
      <c r="BL93" s="2" t="s">
        <v>355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362</v>
      </c>
      <c r="BX93" s="2" t="s">
        <v>505</v>
      </c>
      <c r="BY93" s="2" t="s">
        <v>109</v>
      </c>
      <c r="BZ93" s="2" t="s">
        <v>98</v>
      </c>
    </row>
    <row r="94">
      <c r="A94" s="2" t="s">
        <v>506</v>
      </c>
      <c r="B94" s="2" t="s">
        <v>87</v>
      </c>
      <c r="C94" s="2" t="s">
        <v>88</v>
      </c>
      <c r="D94" s="2" t="s">
        <v>405</v>
      </c>
      <c r="E94" s="2" t="s">
        <v>406</v>
      </c>
      <c r="F94" s="2" t="s">
        <v>292</v>
      </c>
      <c r="G94" s="2" t="s">
        <v>292</v>
      </c>
      <c r="H94" s="2" t="s">
        <v>292</v>
      </c>
      <c r="I94" s="2" t="s">
        <v>507</v>
      </c>
      <c r="J94" s="2" t="s">
        <v>93</v>
      </c>
      <c r="K94" s="2" t="s">
        <v>160</v>
      </c>
      <c r="L94" s="3">
        <v>50.4</v>
      </c>
      <c r="M94" s="3">
        <v>52.91</v>
      </c>
      <c r="N94" s="3">
        <v>104.99</v>
      </c>
      <c r="O94" s="2" t="s">
        <v>95</v>
      </c>
      <c r="P94" s="2" t="s">
        <v>185</v>
      </c>
      <c r="Q94" s="2" t="s">
        <v>97</v>
      </c>
      <c r="R94" s="2" t="s">
        <v>98</v>
      </c>
      <c r="S94" s="2" t="s">
        <v>303</v>
      </c>
      <c r="T94" s="2" t="s">
        <v>187</v>
      </c>
      <c r="U94" s="2" t="s">
        <v>101</v>
      </c>
      <c r="V94" s="2" t="s">
        <v>102</v>
      </c>
      <c r="W94" s="2" t="s">
        <v>242</v>
      </c>
      <c r="X94" s="2" t="s">
        <v>190</v>
      </c>
      <c r="Y94" s="2" t="s">
        <v>304</v>
      </c>
      <c r="Z94" s="4">
        <v>452</v>
      </c>
      <c r="AA94" s="4">
        <f>=ROUNDDOWN(75.3333333333333,0)</f>
      </c>
      <c r="AB94" s="5">
        <v>6</v>
      </c>
      <c r="AC94" s="2" t="s">
        <v>98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>
        <v>5</v>
      </c>
      <c r="BK94" s="8">
        <v>278.86</v>
      </c>
      <c r="BL94" s="2" t="s">
        <v>508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247</v>
      </c>
      <c r="BX94" s="2" t="s">
        <v>509</v>
      </c>
      <c r="BY94" s="2" t="s">
        <v>109</v>
      </c>
      <c r="BZ94" s="2" t="s">
        <v>98</v>
      </c>
    </row>
    <row r="95">
      <c r="A95" s="2" t="s">
        <v>510</v>
      </c>
      <c r="B95" s="2" t="s">
        <v>87</v>
      </c>
      <c r="C95" s="2" t="s">
        <v>88</v>
      </c>
      <c r="D95" s="2" t="s">
        <v>405</v>
      </c>
      <c r="E95" s="2" t="s">
        <v>406</v>
      </c>
      <c r="F95" s="2" t="s">
        <v>292</v>
      </c>
      <c r="G95" s="2" t="s">
        <v>292</v>
      </c>
      <c r="H95" s="2" t="s">
        <v>292</v>
      </c>
      <c r="I95" s="2" t="s">
        <v>507</v>
      </c>
      <c r="J95" s="2" t="s">
        <v>111</v>
      </c>
      <c r="K95" s="2" t="s">
        <v>160</v>
      </c>
      <c r="L95" s="3">
        <v>66.15</v>
      </c>
      <c r="M95" s="3">
        <v>69.45</v>
      </c>
      <c r="N95" s="3">
        <v>134.99</v>
      </c>
      <c r="O95" s="2" t="s">
        <v>95</v>
      </c>
      <c r="P95" s="2" t="s">
        <v>185</v>
      </c>
      <c r="Q95" s="2" t="s">
        <v>97</v>
      </c>
      <c r="R95" s="2" t="s">
        <v>98</v>
      </c>
      <c r="S95" s="2" t="s">
        <v>303</v>
      </c>
      <c r="T95" s="2" t="s">
        <v>187</v>
      </c>
      <c r="U95" s="2" t="s">
        <v>101</v>
      </c>
      <c r="V95" s="2" t="s">
        <v>102</v>
      </c>
      <c r="W95" s="2" t="s">
        <v>242</v>
      </c>
      <c r="X95" s="2" t="s">
        <v>190</v>
      </c>
      <c r="Y95" s="2" t="s">
        <v>304</v>
      </c>
      <c r="Z95" s="4">
        <v>251</v>
      </c>
      <c r="AA95" s="4">
        <f>=ROUNDDOWN(50.2,0)</f>
      </c>
      <c r="AB95" s="5">
        <v>5</v>
      </c>
      <c r="AC95" s="2" t="s">
        <v>98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>
        <v>5</v>
      </c>
      <c r="BK95" s="8">
        <v>353.69</v>
      </c>
      <c r="BL95" s="2" t="s">
        <v>334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95</v>
      </c>
      <c r="BW95" s="2" t="s">
        <v>247</v>
      </c>
      <c r="BX95" s="2" t="s">
        <v>486</v>
      </c>
      <c r="BY95" s="2" t="s">
        <v>109</v>
      </c>
      <c r="BZ95" s="2" t="s">
        <v>98</v>
      </c>
    </row>
    <row r="96">
      <c r="A96" s="2" t="s">
        <v>511</v>
      </c>
      <c r="B96" s="2" t="s">
        <v>87</v>
      </c>
      <c r="C96" s="2" t="s">
        <v>88</v>
      </c>
      <c r="D96" s="2" t="s">
        <v>405</v>
      </c>
      <c r="E96" s="2" t="s">
        <v>406</v>
      </c>
      <c r="F96" s="2" t="s">
        <v>292</v>
      </c>
      <c r="G96" s="2" t="s">
        <v>292</v>
      </c>
      <c r="H96" s="2" t="s">
        <v>292</v>
      </c>
      <c r="I96" s="2" t="s">
        <v>507</v>
      </c>
      <c r="J96" s="2" t="s">
        <v>93</v>
      </c>
      <c r="K96" s="2" t="s">
        <v>94</v>
      </c>
      <c r="L96" s="3">
        <v>50.4</v>
      </c>
      <c r="M96" s="3">
        <v>52.91</v>
      </c>
      <c r="N96" s="3">
        <v>104.99</v>
      </c>
      <c r="O96" s="2" t="s">
        <v>95</v>
      </c>
      <c r="P96" s="2" t="s">
        <v>140</v>
      </c>
      <c r="Q96" s="2" t="s">
        <v>97</v>
      </c>
      <c r="R96" s="2" t="s">
        <v>98</v>
      </c>
      <c r="S96" s="2" t="s">
        <v>294</v>
      </c>
      <c r="T96" s="2" t="s">
        <v>187</v>
      </c>
      <c r="U96" s="2" t="s">
        <v>101</v>
      </c>
      <c r="V96" s="2" t="s">
        <v>102</v>
      </c>
      <c r="W96" s="2" t="s">
        <v>242</v>
      </c>
      <c r="X96" s="2" t="s">
        <v>190</v>
      </c>
      <c r="Y96" s="2" t="s">
        <v>299</v>
      </c>
      <c r="Z96" s="4">
        <v>165</v>
      </c>
      <c r="AA96" s="4">
        <f>=ROUNDDOWN(55,0)</f>
      </c>
      <c r="AB96" s="5">
        <v>3</v>
      </c>
      <c r="AC96" s="2" t="s">
        <v>98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/>
      <c r="BJ96" s="4">
        <v>4</v>
      </c>
      <c r="BK96" s="8">
        <v>216.53</v>
      </c>
      <c r="BL96" s="2" t="s">
        <v>309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107</v>
      </c>
      <c r="BX96" s="2" t="s">
        <v>108</v>
      </c>
      <c r="BY96" s="2" t="s">
        <v>109</v>
      </c>
      <c r="BZ96" s="2" t="s">
        <v>98</v>
      </c>
    </row>
    <row r="97">
      <c r="A97" s="2" t="s">
        <v>512</v>
      </c>
      <c r="B97" s="2" t="s">
        <v>87</v>
      </c>
      <c r="C97" s="2" t="s">
        <v>88</v>
      </c>
      <c r="D97" s="2" t="s">
        <v>405</v>
      </c>
      <c r="E97" s="2" t="s">
        <v>406</v>
      </c>
      <c r="F97" s="2" t="s">
        <v>292</v>
      </c>
      <c r="G97" s="2" t="s">
        <v>292</v>
      </c>
      <c r="H97" s="2" t="s">
        <v>292</v>
      </c>
      <c r="I97" s="2" t="s">
        <v>507</v>
      </c>
      <c r="J97" s="2" t="s">
        <v>111</v>
      </c>
      <c r="K97" s="2" t="s">
        <v>94</v>
      </c>
      <c r="L97" s="3">
        <v>66.15</v>
      </c>
      <c r="M97" s="3">
        <v>69.45</v>
      </c>
      <c r="N97" s="3">
        <v>134.99</v>
      </c>
      <c r="O97" s="2" t="s">
        <v>95</v>
      </c>
      <c r="P97" s="2" t="s">
        <v>140</v>
      </c>
      <c r="Q97" s="2" t="s">
        <v>97</v>
      </c>
      <c r="R97" s="2" t="s">
        <v>98</v>
      </c>
      <c r="S97" s="2" t="s">
        <v>294</v>
      </c>
      <c r="T97" s="2" t="s">
        <v>187</v>
      </c>
      <c r="U97" s="2" t="s">
        <v>101</v>
      </c>
      <c r="V97" s="2" t="s">
        <v>102</v>
      </c>
      <c r="W97" s="2" t="s">
        <v>242</v>
      </c>
      <c r="X97" s="2" t="s">
        <v>190</v>
      </c>
      <c r="Y97" s="2" t="s">
        <v>295</v>
      </c>
      <c r="Z97" s="4">
        <v>140</v>
      </c>
      <c r="AA97" s="4">
        <f>=ROUNDDOWN(41.1764705882353,0)</f>
      </c>
      <c r="AB97" s="5">
        <v>3.4</v>
      </c>
      <c r="AC97" s="2" t="s">
        <v>98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>
        <v>6</v>
      </c>
      <c r="BK97" s="8">
        <v>435.61</v>
      </c>
      <c r="BL97" s="2" t="s">
        <v>513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95</v>
      </c>
      <c r="BW97" s="2" t="s">
        <v>107</v>
      </c>
      <c r="BX97" s="2" t="s">
        <v>108</v>
      </c>
      <c r="BY97" s="2" t="s">
        <v>109</v>
      </c>
      <c r="BZ97" s="2" t="s">
        <v>98</v>
      </c>
    </row>
    <row r="98">
      <c r="A98" s="2" t="s">
        <v>514</v>
      </c>
      <c r="B98" s="2" t="s">
        <v>87</v>
      </c>
      <c r="C98" s="2" t="s">
        <v>88</v>
      </c>
      <c r="D98" s="2" t="s">
        <v>405</v>
      </c>
      <c r="E98" s="2" t="s">
        <v>406</v>
      </c>
      <c r="F98" s="2" t="s">
        <v>515</v>
      </c>
      <c r="G98" s="2" t="s">
        <v>515</v>
      </c>
      <c r="H98" s="2" t="s">
        <v>515</v>
      </c>
      <c r="I98" s="2" t="s">
        <v>516</v>
      </c>
      <c r="J98" s="2" t="s">
        <v>93</v>
      </c>
      <c r="K98" s="2" t="s">
        <v>139</v>
      </c>
      <c r="L98" s="3">
        <v>58.57</v>
      </c>
      <c r="M98" s="3">
        <v>61.5</v>
      </c>
      <c r="N98" s="3">
        <v>129.99</v>
      </c>
      <c r="O98" s="2" t="s">
        <v>206</v>
      </c>
      <c r="P98" s="2" t="s">
        <v>128</v>
      </c>
      <c r="Q98" s="2" t="s">
        <v>97</v>
      </c>
      <c r="R98" s="2" t="s">
        <v>98</v>
      </c>
      <c r="S98" s="2" t="s">
        <v>517</v>
      </c>
      <c r="T98" s="2" t="s">
        <v>130</v>
      </c>
      <c r="U98" s="2" t="s">
        <v>101</v>
      </c>
      <c r="V98" s="2" t="s">
        <v>103</v>
      </c>
      <c r="W98" s="2" t="s">
        <v>163</v>
      </c>
      <c r="X98" s="2" t="s">
        <v>377</v>
      </c>
      <c r="Y98" s="2" t="s">
        <v>518</v>
      </c>
      <c r="Z98" s="4"/>
      <c r="AA98" s="4">
        <f>=ROUNDDOWN({0},0)</f>
      </c>
      <c r="AB98" s="5">
        <v>1.2</v>
      </c>
      <c r="AC98" s="2" t="s">
        <v>98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98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519</v>
      </c>
      <c r="BX98" s="2" t="s">
        <v>520</v>
      </c>
      <c r="BY98" s="2" t="s">
        <v>109</v>
      </c>
      <c r="BZ98" s="2" t="s">
        <v>98</v>
      </c>
    </row>
    <row r="99">
      <c r="A99" s="2" t="s">
        <v>521</v>
      </c>
      <c r="B99" s="2" t="s">
        <v>87</v>
      </c>
      <c r="C99" s="2" t="s">
        <v>88</v>
      </c>
      <c r="D99" s="2" t="s">
        <v>405</v>
      </c>
      <c r="E99" s="2" t="s">
        <v>406</v>
      </c>
      <c r="F99" s="2" t="s">
        <v>182</v>
      </c>
      <c r="G99" s="2" t="s">
        <v>182</v>
      </c>
      <c r="H99" s="2" t="s">
        <v>182</v>
      </c>
      <c r="I99" s="2" t="s">
        <v>522</v>
      </c>
      <c r="J99" s="2" t="s">
        <v>93</v>
      </c>
      <c r="K99" s="2" t="s">
        <v>184</v>
      </c>
      <c r="L99" s="3">
        <v>55</v>
      </c>
      <c r="M99" s="3">
        <v>57.75</v>
      </c>
      <c r="N99" s="3">
        <v>109.99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186</v>
      </c>
      <c r="T99" s="2" t="s">
        <v>187</v>
      </c>
      <c r="U99" s="2" t="s">
        <v>101</v>
      </c>
      <c r="V99" s="2" t="s">
        <v>188</v>
      </c>
      <c r="W99" s="2" t="s">
        <v>189</v>
      </c>
      <c r="X99" s="2" t="s">
        <v>190</v>
      </c>
      <c r="Y99" s="2" t="s">
        <v>191</v>
      </c>
      <c r="Z99" s="4">
        <v>642</v>
      </c>
      <c r="AA99" s="4">
        <f>=ROUNDDOWN(91.7142857142857,0)</f>
      </c>
      <c r="AB99" s="5">
        <v>7</v>
      </c>
      <c r="AC99" s="2" t="s">
        <v>98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>
        <v>7</v>
      </c>
      <c r="BK99" s="8">
        <v>427.48</v>
      </c>
      <c r="BL99" s="2" t="s">
        <v>283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95</v>
      </c>
      <c r="BW99" s="2" t="s">
        <v>168</v>
      </c>
      <c r="BX99" s="2" t="s">
        <v>193</v>
      </c>
      <c r="BY99" s="2" t="s">
        <v>109</v>
      </c>
      <c r="BZ99" s="2" t="s">
        <v>98</v>
      </c>
    </row>
    <row r="100">
      <c r="A100" s="2" t="s">
        <v>523</v>
      </c>
      <c r="B100" s="2" t="s">
        <v>87</v>
      </c>
      <c r="C100" s="2" t="s">
        <v>88</v>
      </c>
      <c r="D100" s="2" t="s">
        <v>405</v>
      </c>
      <c r="E100" s="2" t="s">
        <v>406</v>
      </c>
      <c r="F100" s="2" t="s">
        <v>182</v>
      </c>
      <c r="G100" s="2" t="s">
        <v>182</v>
      </c>
      <c r="H100" s="2" t="s">
        <v>182</v>
      </c>
      <c r="I100" s="2" t="s">
        <v>522</v>
      </c>
      <c r="J100" s="2" t="s">
        <v>111</v>
      </c>
      <c r="K100" s="2" t="s">
        <v>160</v>
      </c>
      <c r="L100" s="3">
        <v>70</v>
      </c>
      <c r="M100" s="3">
        <v>73.5</v>
      </c>
      <c r="N100" s="3">
        <v>139.99</v>
      </c>
      <c r="O100" s="2" t="s">
        <v>95</v>
      </c>
      <c r="P100" s="2" t="s">
        <v>128</v>
      </c>
      <c r="Q100" s="2" t="s">
        <v>97</v>
      </c>
      <c r="R100" s="2" t="s">
        <v>98</v>
      </c>
      <c r="S100" s="2" t="s">
        <v>207</v>
      </c>
      <c r="T100" s="2" t="s">
        <v>130</v>
      </c>
      <c r="U100" s="2" t="s">
        <v>101</v>
      </c>
      <c r="V100" s="2" t="s">
        <v>208</v>
      </c>
      <c r="W100" s="2" t="s">
        <v>209</v>
      </c>
      <c r="X100" s="2" t="s">
        <v>190</v>
      </c>
      <c r="Y100" s="2" t="s">
        <v>524</v>
      </c>
      <c r="Z100" s="4">
        <v>14</v>
      </c>
      <c r="AA100" s="4">
        <f>=ROUNDDOWN(3.5,0)</f>
      </c>
      <c r="AB100" s="5">
        <v>4</v>
      </c>
      <c r="AC100" s="2" t="s">
        <v>98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2</v>
      </c>
      <c r="BK100" s="8">
        <v>146.98</v>
      </c>
      <c r="BL100" s="2" t="s">
        <v>525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95</v>
      </c>
      <c r="BW100" s="2" t="s">
        <v>212</v>
      </c>
      <c r="BX100" s="2" t="s">
        <v>526</v>
      </c>
      <c r="BY100" s="2" t="s">
        <v>109</v>
      </c>
      <c r="BZ100" s="2" t="s">
        <v>98</v>
      </c>
    </row>
    <row r="101">
      <c r="A101" s="2" t="s">
        <v>527</v>
      </c>
      <c r="B101" s="2" t="s">
        <v>87</v>
      </c>
      <c r="C101" s="2" t="s">
        <v>88</v>
      </c>
      <c r="D101" s="2" t="s">
        <v>405</v>
      </c>
      <c r="E101" s="2" t="s">
        <v>406</v>
      </c>
      <c r="F101" s="2" t="s">
        <v>182</v>
      </c>
      <c r="G101" s="2" t="s">
        <v>182</v>
      </c>
      <c r="H101" s="2" t="s">
        <v>182</v>
      </c>
      <c r="I101" s="2" t="s">
        <v>522</v>
      </c>
      <c r="J101" s="2" t="s">
        <v>93</v>
      </c>
      <c r="K101" s="2" t="s">
        <v>139</v>
      </c>
      <c r="L101" s="3">
        <v>55</v>
      </c>
      <c r="M101" s="3">
        <v>57.74</v>
      </c>
      <c r="N101" s="3">
        <v>109.99</v>
      </c>
      <c r="O101" s="2" t="s">
        <v>95</v>
      </c>
      <c r="P101" s="2" t="s">
        <v>140</v>
      </c>
      <c r="Q101" s="2" t="s">
        <v>97</v>
      </c>
      <c r="R101" s="2" t="s">
        <v>98</v>
      </c>
      <c r="S101" s="2" t="s">
        <v>197</v>
      </c>
      <c r="T101" s="2" t="s">
        <v>187</v>
      </c>
      <c r="U101" s="2" t="s">
        <v>101</v>
      </c>
      <c r="V101" s="2" t="s">
        <v>188</v>
      </c>
      <c r="W101" s="2" t="s">
        <v>189</v>
      </c>
      <c r="X101" s="2" t="s">
        <v>190</v>
      </c>
      <c r="Y101" s="2" t="s">
        <v>198</v>
      </c>
      <c r="Z101" s="4">
        <v>180</v>
      </c>
      <c r="AA101" s="4">
        <f>=ROUNDDOWN(45,0)</f>
      </c>
      <c r="AB101" s="5">
        <v>4</v>
      </c>
      <c r="AC101" s="2" t="s">
        <v>98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98</v>
      </c>
      <c r="AW101" s="8" t="s">
        <v>98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2</v>
      </c>
      <c r="BK101" s="8">
        <v>125.33</v>
      </c>
      <c r="BL101" s="2" t="s">
        <v>528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200</v>
      </c>
      <c r="BX101" s="2" t="s">
        <v>529</v>
      </c>
      <c r="BY101" s="2" t="s">
        <v>109</v>
      </c>
      <c r="BZ101" s="2" t="s">
        <v>98</v>
      </c>
    </row>
    <row r="102">
      <c r="A102" s="2" t="s">
        <v>530</v>
      </c>
      <c r="B102" s="2" t="s">
        <v>87</v>
      </c>
      <c r="C102" s="2" t="s">
        <v>88</v>
      </c>
      <c r="D102" s="2" t="s">
        <v>405</v>
      </c>
      <c r="E102" s="2" t="s">
        <v>406</v>
      </c>
      <c r="F102" s="2" t="s">
        <v>182</v>
      </c>
      <c r="G102" s="2" t="s">
        <v>182</v>
      </c>
      <c r="H102" s="2" t="s">
        <v>182</v>
      </c>
      <c r="I102" s="2" t="s">
        <v>522</v>
      </c>
      <c r="J102" s="2" t="s">
        <v>111</v>
      </c>
      <c r="K102" s="2" t="s">
        <v>139</v>
      </c>
      <c r="L102" s="3">
        <v>70</v>
      </c>
      <c r="M102" s="3">
        <v>73.49</v>
      </c>
      <c r="N102" s="3">
        <v>139.99</v>
      </c>
      <c r="O102" s="2" t="s">
        <v>95</v>
      </c>
      <c r="P102" s="2" t="s">
        <v>140</v>
      </c>
      <c r="Q102" s="2" t="s">
        <v>97</v>
      </c>
      <c r="R102" s="2" t="s">
        <v>98</v>
      </c>
      <c r="S102" s="2" t="s">
        <v>197</v>
      </c>
      <c r="T102" s="2" t="s">
        <v>187</v>
      </c>
      <c r="U102" s="2" t="s">
        <v>101</v>
      </c>
      <c r="V102" s="2" t="s">
        <v>188</v>
      </c>
      <c r="W102" s="2" t="s">
        <v>189</v>
      </c>
      <c r="X102" s="2" t="s">
        <v>190</v>
      </c>
      <c r="Y102" s="2" t="s">
        <v>198</v>
      </c>
      <c r="Z102" s="4">
        <v>123</v>
      </c>
      <c r="AA102" s="4">
        <f>=ROUNDDOWN(30.75,0)</f>
      </c>
      <c r="AB102" s="5">
        <v>4</v>
      </c>
      <c r="AC102" s="2" t="s">
        <v>98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2</v>
      </c>
      <c r="BK102" s="8">
        <v>154.8</v>
      </c>
      <c r="BL102" s="2" t="s">
        <v>334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200</v>
      </c>
      <c r="BX102" s="2" t="s">
        <v>531</v>
      </c>
      <c r="BY102" s="2" t="s">
        <v>109</v>
      </c>
      <c r="BZ102" s="2" t="s">
        <v>98</v>
      </c>
    </row>
    <row r="103">
      <c r="A103" s="2" t="s">
        <v>532</v>
      </c>
      <c r="B103" s="2" t="s">
        <v>87</v>
      </c>
      <c r="C103" s="2" t="s">
        <v>88</v>
      </c>
      <c r="D103" s="2" t="s">
        <v>405</v>
      </c>
      <c r="E103" s="2" t="s">
        <v>406</v>
      </c>
      <c r="F103" s="2" t="s">
        <v>182</v>
      </c>
      <c r="G103" s="2" t="s">
        <v>182</v>
      </c>
      <c r="H103" s="2" t="s">
        <v>182</v>
      </c>
      <c r="I103" s="2" t="s">
        <v>522</v>
      </c>
      <c r="J103" s="2" t="s">
        <v>93</v>
      </c>
      <c r="K103" s="2" t="s">
        <v>152</v>
      </c>
      <c r="L103" s="3">
        <v>55</v>
      </c>
      <c r="M103" s="3">
        <v>57.74</v>
      </c>
      <c r="N103" s="3">
        <v>109.99</v>
      </c>
      <c r="O103" s="2" t="s">
        <v>95</v>
      </c>
      <c r="P103" s="2" t="s">
        <v>128</v>
      </c>
      <c r="Q103" s="2" t="s">
        <v>97</v>
      </c>
      <c r="R103" s="2" t="s">
        <v>98</v>
      </c>
      <c r="S103" s="2" t="s">
        <v>218</v>
      </c>
      <c r="T103" s="2" t="s">
        <v>130</v>
      </c>
      <c r="U103" s="2" t="s">
        <v>101</v>
      </c>
      <c r="V103" s="2" t="s">
        <v>208</v>
      </c>
      <c r="W103" s="2" t="s">
        <v>209</v>
      </c>
      <c r="X103" s="2" t="s">
        <v>190</v>
      </c>
      <c r="Y103" s="2" t="s">
        <v>198</v>
      </c>
      <c r="Z103" s="4">
        <v>231</v>
      </c>
      <c r="AA103" s="4">
        <f>=ROUNDDOWN(33,0)</f>
      </c>
      <c r="AB103" s="5">
        <v>7</v>
      </c>
      <c r="AC103" s="2" t="s">
        <v>98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/>
      <c r="BK103" s="8"/>
      <c r="BL103" s="2" t="s">
        <v>98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200</v>
      </c>
      <c r="BX103" s="2" t="s">
        <v>533</v>
      </c>
      <c r="BY103" s="2" t="s">
        <v>109</v>
      </c>
      <c r="BZ103" s="2" t="s">
        <v>98</v>
      </c>
    </row>
    <row r="104">
      <c r="A104" s="2" t="s">
        <v>534</v>
      </c>
      <c r="B104" s="2" t="s">
        <v>87</v>
      </c>
      <c r="C104" s="2" t="s">
        <v>88</v>
      </c>
      <c r="D104" s="2" t="s">
        <v>405</v>
      </c>
      <c r="E104" s="2" t="s">
        <v>406</v>
      </c>
      <c r="F104" s="2" t="s">
        <v>182</v>
      </c>
      <c r="G104" s="2" t="s">
        <v>182</v>
      </c>
      <c r="H104" s="2" t="s">
        <v>182</v>
      </c>
      <c r="I104" s="2" t="s">
        <v>522</v>
      </c>
      <c r="J104" s="2" t="s">
        <v>111</v>
      </c>
      <c r="K104" s="2" t="s">
        <v>152</v>
      </c>
      <c r="L104" s="3">
        <v>70</v>
      </c>
      <c r="M104" s="3">
        <v>73.49</v>
      </c>
      <c r="N104" s="3">
        <v>139.99</v>
      </c>
      <c r="O104" s="2" t="s">
        <v>95</v>
      </c>
      <c r="P104" s="2" t="s">
        <v>128</v>
      </c>
      <c r="Q104" s="2" t="s">
        <v>97</v>
      </c>
      <c r="R104" s="2" t="s">
        <v>98</v>
      </c>
      <c r="S104" s="2" t="s">
        <v>218</v>
      </c>
      <c r="T104" s="2" t="s">
        <v>130</v>
      </c>
      <c r="U104" s="2" t="s">
        <v>101</v>
      </c>
      <c r="V104" s="2" t="s">
        <v>208</v>
      </c>
      <c r="W104" s="2" t="s">
        <v>209</v>
      </c>
      <c r="X104" s="2" t="s">
        <v>190</v>
      </c>
      <c r="Y104" s="2" t="s">
        <v>198</v>
      </c>
      <c r="Z104" s="4">
        <v>220</v>
      </c>
      <c r="AA104" s="4">
        <f>=ROUNDDOWN(44,0)</f>
      </c>
      <c r="AB104" s="5">
        <v>5</v>
      </c>
      <c r="AC104" s="2" t="s">
        <v>98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/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/>
      <c r="BJ104" s="4">
        <v>3</v>
      </c>
      <c r="BK104" s="8">
        <v>224.16</v>
      </c>
      <c r="BL104" s="2" t="s">
        <v>459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200</v>
      </c>
      <c r="BX104" s="2" t="s">
        <v>535</v>
      </c>
      <c r="BY104" s="2" t="s">
        <v>109</v>
      </c>
      <c r="BZ104" s="2" t="s">
        <v>98</v>
      </c>
    </row>
    <row r="105">
      <c r="A105" s="2" t="s">
        <v>536</v>
      </c>
      <c r="B105" s="2" t="s">
        <v>87</v>
      </c>
      <c r="C105" s="2" t="s">
        <v>88</v>
      </c>
      <c r="D105" s="2" t="s">
        <v>405</v>
      </c>
      <c r="E105" s="2" t="s">
        <v>537</v>
      </c>
      <c r="F105" s="2" t="s">
        <v>349</v>
      </c>
      <c r="G105" s="2" t="s">
        <v>349</v>
      </c>
      <c r="H105" s="2" t="s">
        <v>349</v>
      </c>
      <c r="I105" s="2" t="s">
        <v>538</v>
      </c>
      <c r="J105" s="2" t="s">
        <v>93</v>
      </c>
      <c r="K105" s="2" t="s">
        <v>160</v>
      </c>
      <c r="L105" s="3">
        <v>44.1</v>
      </c>
      <c r="M105" s="3">
        <v>46.3</v>
      </c>
      <c r="N105" s="3">
        <v>89.99</v>
      </c>
      <c r="O105" s="2" t="s">
        <v>206</v>
      </c>
      <c r="P105" s="2" t="s">
        <v>539</v>
      </c>
      <c r="Q105" s="2" t="s">
        <v>97</v>
      </c>
      <c r="R105" s="2" t="s">
        <v>98</v>
      </c>
      <c r="S105" s="2" t="s">
        <v>540</v>
      </c>
      <c r="T105" s="2" t="s">
        <v>98</v>
      </c>
      <c r="U105" s="2" t="s">
        <v>98</v>
      </c>
      <c r="V105" s="2" t="s">
        <v>541</v>
      </c>
      <c r="W105" s="2" t="s">
        <v>384</v>
      </c>
      <c r="X105" s="2" t="s">
        <v>353</v>
      </c>
      <c r="Y105" s="2" t="s">
        <v>542</v>
      </c>
      <c r="Z105" s="4">
        <v>22</v>
      </c>
      <c r="AA105" s="4">
        <f>=ROUNDDOWN(5.5,0)</f>
      </c>
      <c r="AB105" s="5">
        <v>4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</v>
      </c>
      <c r="BK105" s="8">
        <v>93.58</v>
      </c>
      <c r="BL105" s="2" t="s">
        <v>355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271</v>
      </c>
      <c r="BX105" s="2" t="s">
        <v>543</v>
      </c>
      <c r="BY105" s="2" t="s">
        <v>109</v>
      </c>
      <c r="BZ105" s="2" t="s">
        <v>98</v>
      </c>
    </row>
    <row r="106">
      <c r="A106" s="2" t="s">
        <v>544</v>
      </c>
      <c r="B106" s="2" t="s">
        <v>87</v>
      </c>
      <c r="C106" s="2" t="s">
        <v>88</v>
      </c>
      <c r="D106" s="2" t="s">
        <v>545</v>
      </c>
      <c r="E106" s="2" t="s">
        <v>546</v>
      </c>
      <c r="F106" s="2" t="s">
        <v>349</v>
      </c>
      <c r="G106" s="2" t="s">
        <v>349</v>
      </c>
      <c r="H106" s="2" t="s">
        <v>349</v>
      </c>
      <c r="I106" s="2" t="s">
        <v>547</v>
      </c>
      <c r="J106" s="2" t="s">
        <v>111</v>
      </c>
      <c r="K106" s="2" t="s">
        <v>94</v>
      </c>
      <c r="L106" s="3">
        <v>72.79</v>
      </c>
      <c r="M106" s="3">
        <v>76.43</v>
      </c>
      <c r="N106" s="3">
        <v>139.99</v>
      </c>
      <c r="O106" s="2" t="s">
        <v>95</v>
      </c>
      <c r="P106" s="2" t="s">
        <v>140</v>
      </c>
      <c r="Q106" s="2" t="s">
        <v>97</v>
      </c>
      <c r="R106" s="2" t="s">
        <v>98</v>
      </c>
      <c r="S106" s="2" t="s">
        <v>497</v>
      </c>
      <c r="T106" s="2" t="s">
        <v>100</v>
      </c>
      <c r="U106" s="2" t="s">
        <v>101</v>
      </c>
      <c r="V106" s="2" t="s">
        <v>102</v>
      </c>
      <c r="W106" s="2" t="s">
        <v>352</v>
      </c>
      <c r="X106" s="2" t="s">
        <v>548</v>
      </c>
      <c r="Y106" s="2" t="s">
        <v>549</v>
      </c>
      <c r="Z106" s="4">
        <v>324</v>
      </c>
      <c r="AA106" s="4">
        <f>=ROUNDDOWN(40.5,0)</f>
      </c>
      <c r="AB106" s="5">
        <v>8</v>
      </c>
      <c r="AC106" s="2" t="s">
        <v>98</v>
      </c>
      <c r="AD106" s="4"/>
      <c r="AE106" s="4"/>
      <c r="AF106" s="6">
        <v>65</v>
      </c>
      <c r="AG106" s="6">
        <v>73</v>
      </c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>
        <v>2</v>
      </c>
      <c r="AQ106" s="8">
        <v>167.38</v>
      </c>
      <c r="AR106" s="4"/>
      <c r="AS106" s="8"/>
      <c r="AT106" s="7"/>
      <c r="AU106" s="7"/>
      <c r="AV106" s="4">
        <v>2</v>
      </c>
      <c r="AW106" s="8">
        <v>167.38</v>
      </c>
      <c r="AX106" s="4"/>
      <c r="AY106" s="8"/>
      <c r="AZ106" s="7"/>
      <c r="BA106" s="7"/>
      <c r="BB106" s="7">
        <v>1</v>
      </c>
      <c r="BC106" s="4">
        <v>2</v>
      </c>
      <c r="BD106" s="8">
        <v>167.38</v>
      </c>
      <c r="BE106" s="4"/>
      <c r="BF106" s="8"/>
      <c r="BG106" s="7"/>
      <c r="BH106" s="7"/>
      <c r="BI106" s="7">
        <v>1</v>
      </c>
      <c r="BJ106" s="4">
        <v>6</v>
      </c>
      <c r="BK106" s="8">
        <v>482.81</v>
      </c>
      <c r="BL106" s="2" t="s">
        <v>550</v>
      </c>
      <c r="BM106" s="7">
        <v>0.3333</v>
      </c>
      <c r="BN106" s="7">
        <v>0.3467</v>
      </c>
      <c r="BO106" s="4">
        <v>2</v>
      </c>
      <c r="BP106" s="8">
        <v>167.38</v>
      </c>
      <c r="BQ106" s="4"/>
      <c r="BR106" s="8"/>
      <c r="BS106" s="7"/>
      <c r="BT106" s="7"/>
      <c r="BU106" s="2" t="s">
        <v>106</v>
      </c>
      <c r="BV106" s="2" t="s">
        <v>95</v>
      </c>
      <c r="BW106" s="2" t="s">
        <v>247</v>
      </c>
      <c r="BX106" s="2" t="s">
        <v>551</v>
      </c>
      <c r="BY106" s="2" t="s">
        <v>109</v>
      </c>
      <c r="BZ106" s="2" t="s">
        <v>98</v>
      </c>
    </row>
    <row r="107">
      <c r="A107" s="2" t="s">
        <v>552</v>
      </c>
      <c r="B107" s="2" t="s">
        <v>87</v>
      </c>
      <c r="C107" s="2" t="s">
        <v>88</v>
      </c>
      <c r="D107" s="2" t="s">
        <v>545</v>
      </c>
      <c r="E107" s="2" t="s">
        <v>546</v>
      </c>
      <c r="F107" s="2" t="s">
        <v>553</v>
      </c>
      <c r="G107" s="2" t="s">
        <v>553</v>
      </c>
      <c r="H107" s="2" t="s">
        <v>98</v>
      </c>
      <c r="I107" s="2" t="s">
        <v>554</v>
      </c>
      <c r="J107" s="2" t="s">
        <v>111</v>
      </c>
      <c r="K107" s="2" t="s">
        <v>287</v>
      </c>
      <c r="L107" s="3">
        <v>73.5</v>
      </c>
      <c r="M107" s="3">
        <v>77.17</v>
      </c>
      <c r="N107" s="3">
        <v>149.99</v>
      </c>
      <c r="O107" s="2" t="s">
        <v>95</v>
      </c>
      <c r="P107" s="2" t="s">
        <v>128</v>
      </c>
      <c r="Q107" s="2" t="s">
        <v>97</v>
      </c>
      <c r="R107" s="2" t="s">
        <v>98</v>
      </c>
      <c r="S107" s="2" t="s">
        <v>555</v>
      </c>
      <c r="T107" s="2" t="s">
        <v>98</v>
      </c>
      <c r="U107" s="2" t="s">
        <v>98</v>
      </c>
      <c r="V107" s="2" t="s">
        <v>131</v>
      </c>
      <c r="W107" s="2" t="s">
        <v>103</v>
      </c>
      <c r="X107" s="2" t="s">
        <v>98</v>
      </c>
      <c r="Y107" s="2" t="s">
        <v>354</v>
      </c>
      <c r="Z107" s="4">
        <v>22</v>
      </c>
      <c r="AA107" s="4">
        <f>=ROUNDDOWN(1.83333333333333,0)</f>
      </c>
      <c r="AB107" s="5">
        <v>12</v>
      </c>
      <c r="AC107" s="2" t="s">
        <v>98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>
        <v>1</v>
      </c>
      <c r="AQ107" s="8">
        <v>81.13</v>
      </c>
      <c r="AR107" s="4"/>
      <c r="AS107" s="8"/>
      <c r="AT107" s="7"/>
      <c r="AU107" s="7"/>
      <c r="AV107" s="4">
        <v>1</v>
      </c>
      <c r="AW107" s="8">
        <v>81.13</v>
      </c>
      <c r="AX107" s="4"/>
      <c r="AY107" s="8"/>
      <c r="AZ107" s="7"/>
      <c r="BA107" s="7"/>
      <c r="BB107" s="7">
        <v>1</v>
      </c>
      <c r="BC107" s="4">
        <v>1</v>
      </c>
      <c r="BD107" s="8">
        <v>81.13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1</v>
      </c>
      <c r="BJ107" s="4">
        <v>7</v>
      </c>
      <c r="BK107" s="8">
        <v>396.09</v>
      </c>
      <c r="BL107" s="2" t="s">
        <v>556</v>
      </c>
      <c r="BM107" s="7">
        <v>0.1429</v>
      </c>
      <c r="BN107" s="7">
        <v>0.2048</v>
      </c>
      <c r="BO107" s="4">
        <v>1</v>
      </c>
      <c r="BP107" s="8">
        <v>81.13</v>
      </c>
      <c r="BQ107" s="4"/>
      <c r="BR107" s="8"/>
      <c r="BS107" s="7"/>
      <c r="BT107" s="7"/>
      <c r="BU107" s="2" t="s">
        <v>106</v>
      </c>
      <c r="BV107" s="2" t="s">
        <v>95</v>
      </c>
      <c r="BW107" s="2" t="s">
        <v>271</v>
      </c>
      <c r="BX107" s="2" t="s">
        <v>275</v>
      </c>
      <c r="BY107" s="2" t="s">
        <v>109</v>
      </c>
      <c r="BZ107" s="2" t="s">
        <v>98</v>
      </c>
    </row>
    <row r="108">
      <c r="A108" s="2" t="s">
        <v>557</v>
      </c>
      <c r="B108" s="2" t="s">
        <v>87</v>
      </c>
      <c r="C108" s="2" t="s">
        <v>88</v>
      </c>
      <c r="D108" s="2" t="s">
        <v>545</v>
      </c>
      <c r="E108" s="2" t="s">
        <v>546</v>
      </c>
      <c r="F108" s="2" t="s">
        <v>553</v>
      </c>
      <c r="G108" s="2" t="s">
        <v>553</v>
      </c>
      <c r="H108" s="2" t="s">
        <v>98</v>
      </c>
      <c r="I108" s="2" t="s">
        <v>554</v>
      </c>
      <c r="J108" s="2" t="s">
        <v>111</v>
      </c>
      <c r="K108" s="2" t="s">
        <v>558</v>
      </c>
      <c r="L108" s="3">
        <v>73.5</v>
      </c>
      <c r="M108" s="3">
        <v>77.17</v>
      </c>
      <c r="N108" s="3">
        <v>149.99</v>
      </c>
      <c r="O108" s="2" t="s">
        <v>95</v>
      </c>
      <c r="P108" s="2" t="s">
        <v>128</v>
      </c>
      <c r="Q108" s="2" t="s">
        <v>97</v>
      </c>
      <c r="R108" s="2" t="s">
        <v>98</v>
      </c>
      <c r="S108" s="2" t="s">
        <v>559</v>
      </c>
      <c r="T108" s="2" t="s">
        <v>98</v>
      </c>
      <c r="U108" s="2" t="s">
        <v>98</v>
      </c>
      <c r="V108" s="2" t="s">
        <v>131</v>
      </c>
      <c r="W108" s="2" t="s">
        <v>103</v>
      </c>
      <c r="X108" s="2" t="s">
        <v>98</v>
      </c>
      <c r="Y108" s="2" t="s">
        <v>354</v>
      </c>
      <c r="Z108" s="4">
        <v>178</v>
      </c>
      <c r="AA108" s="4">
        <f>=ROUNDDOWN(36.3265306122449,0)</f>
      </c>
      <c r="AB108" s="5">
        <v>4.9</v>
      </c>
      <c r="AC108" s="2" t="s">
        <v>98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/>
      <c r="BJ108" s="4">
        <v>9</v>
      </c>
      <c r="BK108" s="8">
        <v>304.53</v>
      </c>
      <c r="BL108" s="2" t="s">
        <v>560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271</v>
      </c>
      <c r="BX108" s="2" t="s">
        <v>499</v>
      </c>
      <c r="BY108" s="2" t="s">
        <v>109</v>
      </c>
      <c r="BZ108" s="2" t="s">
        <v>98</v>
      </c>
    </row>
    <row r="109">
      <c r="A109" s="2" t="s">
        <v>561</v>
      </c>
      <c r="B109" s="2" t="s">
        <v>87</v>
      </c>
      <c r="C109" s="2" t="s">
        <v>88</v>
      </c>
      <c r="D109" s="2" t="s">
        <v>545</v>
      </c>
      <c r="E109" s="2" t="s">
        <v>546</v>
      </c>
      <c r="F109" s="2" t="s">
        <v>562</v>
      </c>
      <c r="G109" s="2" t="s">
        <v>562</v>
      </c>
      <c r="H109" s="2" t="s">
        <v>562</v>
      </c>
      <c r="I109" s="2" t="s">
        <v>563</v>
      </c>
      <c r="J109" s="2" t="s">
        <v>93</v>
      </c>
      <c r="K109" s="2" t="s">
        <v>564</v>
      </c>
      <c r="L109" s="3">
        <v>63.7</v>
      </c>
      <c r="M109" s="3">
        <v>66.89</v>
      </c>
      <c r="N109" s="3">
        <v>129.99</v>
      </c>
      <c r="O109" s="2" t="s">
        <v>95</v>
      </c>
      <c r="P109" s="2" t="s">
        <v>140</v>
      </c>
      <c r="Q109" s="2" t="s">
        <v>97</v>
      </c>
      <c r="R109" s="2" t="s">
        <v>98</v>
      </c>
      <c r="S109" s="2" t="s">
        <v>565</v>
      </c>
      <c r="T109" s="2" t="s">
        <v>241</v>
      </c>
      <c r="U109" s="2" t="s">
        <v>101</v>
      </c>
      <c r="V109" s="2" t="s">
        <v>102</v>
      </c>
      <c r="W109" s="2" t="s">
        <v>242</v>
      </c>
      <c r="X109" s="2" t="s">
        <v>98</v>
      </c>
      <c r="Y109" s="2" t="s">
        <v>566</v>
      </c>
      <c r="Z109" s="4">
        <v>140</v>
      </c>
      <c r="AA109" s="4">
        <f>=ROUNDDOWN(35,0)</f>
      </c>
      <c r="AB109" s="5">
        <v>4</v>
      </c>
      <c r="AC109" s="2" t="s">
        <v>98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/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/>
      <c r="BJ109" s="4">
        <v>3</v>
      </c>
      <c r="BK109" s="8">
        <v>205.12</v>
      </c>
      <c r="BL109" s="2" t="s">
        <v>378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567</v>
      </c>
      <c r="BX109" s="2" t="s">
        <v>568</v>
      </c>
      <c r="BY109" s="2" t="s">
        <v>109</v>
      </c>
      <c r="BZ109" s="2" t="s">
        <v>98</v>
      </c>
    </row>
    <row r="110">
      <c r="A110" s="2" t="s">
        <v>569</v>
      </c>
      <c r="B110" s="2" t="s">
        <v>87</v>
      </c>
      <c r="C110" s="2" t="s">
        <v>88</v>
      </c>
      <c r="D110" s="2" t="s">
        <v>545</v>
      </c>
      <c r="E110" s="2" t="s">
        <v>546</v>
      </c>
      <c r="F110" s="2" t="s">
        <v>562</v>
      </c>
      <c r="G110" s="2" t="s">
        <v>562</v>
      </c>
      <c r="H110" s="2" t="s">
        <v>562</v>
      </c>
      <c r="I110" s="2" t="s">
        <v>563</v>
      </c>
      <c r="J110" s="2" t="s">
        <v>111</v>
      </c>
      <c r="K110" s="2" t="s">
        <v>564</v>
      </c>
      <c r="L110" s="3">
        <v>73.5</v>
      </c>
      <c r="M110" s="3">
        <v>77.18</v>
      </c>
      <c r="N110" s="3">
        <v>149.99</v>
      </c>
      <c r="O110" s="2" t="s">
        <v>95</v>
      </c>
      <c r="P110" s="2" t="s">
        <v>140</v>
      </c>
      <c r="Q110" s="2" t="s">
        <v>97</v>
      </c>
      <c r="R110" s="2" t="s">
        <v>98</v>
      </c>
      <c r="S110" s="2" t="s">
        <v>565</v>
      </c>
      <c r="T110" s="2" t="s">
        <v>241</v>
      </c>
      <c r="U110" s="2" t="s">
        <v>101</v>
      </c>
      <c r="V110" s="2" t="s">
        <v>102</v>
      </c>
      <c r="W110" s="2" t="s">
        <v>242</v>
      </c>
      <c r="X110" s="2" t="s">
        <v>98</v>
      </c>
      <c r="Y110" s="2" t="s">
        <v>566</v>
      </c>
      <c r="Z110" s="4">
        <v>231</v>
      </c>
      <c r="AA110" s="4">
        <f>=ROUNDDOWN(38.5,0)</f>
      </c>
      <c r="AB110" s="5">
        <v>6</v>
      </c>
      <c r="AC110" s="2" t="s">
        <v>98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/>
      <c r="BK110" s="8"/>
      <c r="BL110" s="2" t="s">
        <v>98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567</v>
      </c>
      <c r="BX110" s="2" t="s">
        <v>570</v>
      </c>
      <c r="BY110" s="2" t="s">
        <v>109</v>
      </c>
      <c r="BZ110" s="2" t="s">
        <v>98</v>
      </c>
    </row>
    <row r="111">
      <c r="A111" s="2" t="s">
        <v>571</v>
      </c>
      <c r="B111" s="2" t="s">
        <v>87</v>
      </c>
      <c r="C111" s="2" t="s">
        <v>88</v>
      </c>
      <c r="D111" s="2" t="s">
        <v>545</v>
      </c>
      <c r="E111" s="2" t="s">
        <v>546</v>
      </c>
      <c r="F111" s="2" t="s">
        <v>562</v>
      </c>
      <c r="G111" s="2" t="s">
        <v>562</v>
      </c>
      <c r="H111" s="2" t="s">
        <v>562</v>
      </c>
      <c r="I111" s="2" t="s">
        <v>563</v>
      </c>
      <c r="J111" s="2" t="s">
        <v>93</v>
      </c>
      <c r="K111" s="2" t="s">
        <v>94</v>
      </c>
      <c r="L111" s="3">
        <v>63.7</v>
      </c>
      <c r="M111" s="3">
        <v>66.88</v>
      </c>
      <c r="N111" s="3">
        <v>129.99</v>
      </c>
      <c r="O111" s="2" t="s">
        <v>95</v>
      </c>
      <c r="P111" s="2" t="s">
        <v>140</v>
      </c>
      <c r="Q111" s="2" t="s">
        <v>97</v>
      </c>
      <c r="R111" s="2" t="s">
        <v>98</v>
      </c>
      <c r="S111" s="2" t="s">
        <v>572</v>
      </c>
      <c r="T111" s="2" t="s">
        <v>241</v>
      </c>
      <c r="U111" s="2" t="s">
        <v>101</v>
      </c>
      <c r="V111" s="2" t="s">
        <v>102</v>
      </c>
      <c r="W111" s="2" t="s">
        <v>242</v>
      </c>
      <c r="X111" s="2" t="s">
        <v>98</v>
      </c>
      <c r="Y111" s="2" t="s">
        <v>354</v>
      </c>
      <c r="Z111" s="4">
        <v>91</v>
      </c>
      <c r="AA111" s="4">
        <f>=ROUNDDOWN(20.2222222222222,0)</f>
      </c>
      <c r="AB111" s="5">
        <v>4.5</v>
      </c>
      <c r="AC111" s="2" t="s">
        <v>98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3</v>
      </c>
      <c r="BK111" s="8">
        <v>200.64</v>
      </c>
      <c r="BL111" s="2" t="s">
        <v>525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271</v>
      </c>
      <c r="BX111" s="2" t="s">
        <v>573</v>
      </c>
      <c r="BY111" s="2" t="s">
        <v>109</v>
      </c>
      <c r="BZ111" s="2" t="s">
        <v>98</v>
      </c>
    </row>
    <row r="112">
      <c r="A112" s="2" t="s">
        <v>574</v>
      </c>
      <c r="B112" s="2" t="s">
        <v>87</v>
      </c>
      <c r="C112" s="2" t="s">
        <v>88</v>
      </c>
      <c r="D112" s="2" t="s">
        <v>545</v>
      </c>
      <c r="E112" s="2" t="s">
        <v>546</v>
      </c>
      <c r="F112" s="2" t="s">
        <v>575</v>
      </c>
      <c r="G112" s="2" t="s">
        <v>575</v>
      </c>
      <c r="H112" s="2" t="s">
        <v>575</v>
      </c>
      <c r="I112" s="2" t="s">
        <v>576</v>
      </c>
      <c r="J112" s="2" t="s">
        <v>93</v>
      </c>
      <c r="K112" s="2" t="s">
        <v>367</v>
      </c>
      <c r="L112" s="3">
        <v>58.8</v>
      </c>
      <c r="M112" s="3">
        <v>61.74</v>
      </c>
      <c r="N112" s="3">
        <v>119.99</v>
      </c>
      <c r="O112" s="2" t="s">
        <v>95</v>
      </c>
      <c r="P112" s="2" t="s">
        <v>128</v>
      </c>
      <c r="Q112" s="2" t="s">
        <v>97</v>
      </c>
      <c r="R112" s="2" t="s">
        <v>98</v>
      </c>
      <c r="S112" s="2" t="s">
        <v>577</v>
      </c>
      <c r="T112" s="2" t="s">
        <v>130</v>
      </c>
      <c r="U112" s="2" t="s">
        <v>101</v>
      </c>
      <c r="V112" s="2" t="s">
        <v>131</v>
      </c>
      <c r="W112" s="2" t="s">
        <v>242</v>
      </c>
      <c r="X112" s="2" t="s">
        <v>98</v>
      </c>
      <c r="Y112" s="2" t="s">
        <v>578</v>
      </c>
      <c r="Z112" s="4">
        <v>11</v>
      </c>
      <c r="AA112" s="4">
        <f>=ROUNDDOWN(2.55813953488372,0)</f>
      </c>
      <c r="AB112" s="5">
        <v>4.3</v>
      </c>
      <c r="AC112" s="2" t="s">
        <v>98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3</v>
      </c>
      <c r="BK112" s="8">
        <v>203.73</v>
      </c>
      <c r="BL112" s="2" t="s">
        <v>355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200</v>
      </c>
      <c r="BX112" s="2" t="s">
        <v>579</v>
      </c>
      <c r="BY112" s="2" t="s">
        <v>109</v>
      </c>
      <c r="BZ112" s="2" t="s">
        <v>98</v>
      </c>
    </row>
    <row r="113">
      <c r="A113" s="2" t="s">
        <v>580</v>
      </c>
      <c r="B113" s="2" t="s">
        <v>87</v>
      </c>
      <c r="C113" s="2" t="s">
        <v>88</v>
      </c>
      <c r="D113" s="2" t="s">
        <v>545</v>
      </c>
      <c r="E113" s="2" t="s">
        <v>546</v>
      </c>
      <c r="F113" s="2" t="s">
        <v>575</v>
      </c>
      <c r="G113" s="2" t="s">
        <v>575</v>
      </c>
      <c r="H113" s="2" t="s">
        <v>575</v>
      </c>
      <c r="I113" s="2" t="s">
        <v>576</v>
      </c>
      <c r="J113" s="2" t="s">
        <v>111</v>
      </c>
      <c r="K113" s="2" t="s">
        <v>367</v>
      </c>
      <c r="L113" s="3">
        <v>75</v>
      </c>
      <c r="M113" s="3">
        <v>78.75</v>
      </c>
      <c r="N113" s="3">
        <v>149.99</v>
      </c>
      <c r="O113" s="2" t="s">
        <v>206</v>
      </c>
      <c r="P113" s="2" t="s">
        <v>128</v>
      </c>
      <c r="Q113" s="2" t="s">
        <v>97</v>
      </c>
      <c r="R113" s="2" t="s">
        <v>98</v>
      </c>
      <c r="S113" s="2" t="s">
        <v>577</v>
      </c>
      <c r="T113" s="2" t="s">
        <v>130</v>
      </c>
      <c r="U113" s="2" t="s">
        <v>101</v>
      </c>
      <c r="V113" s="2" t="s">
        <v>131</v>
      </c>
      <c r="W113" s="2" t="s">
        <v>163</v>
      </c>
      <c r="X113" s="2" t="s">
        <v>190</v>
      </c>
      <c r="Y113" s="2" t="s">
        <v>578</v>
      </c>
      <c r="Z113" s="4">
        <v>182</v>
      </c>
      <c r="AA113" s="4">
        <f>=ROUNDDOWN(36.4,0)</f>
      </c>
      <c r="AB113" s="5">
        <v>5</v>
      </c>
      <c r="AC113" s="2" t="s">
        <v>98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>
        <v>4</v>
      </c>
      <c r="BK113" s="8">
        <v>247.69</v>
      </c>
      <c r="BL113" s="2" t="s">
        <v>581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200</v>
      </c>
      <c r="BX113" s="2" t="s">
        <v>582</v>
      </c>
      <c r="BY113" s="2" t="s">
        <v>109</v>
      </c>
      <c r="BZ113" s="2" t="s">
        <v>98</v>
      </c>
    </row>
    <row r="114">
      <c r="A114" s="2" t="s">
        <v>583</v>
      </c>
      <c r="B114" s="2" t="s">
        <v>87</v>
      </c>
      <c r="C114" s="2" t="s">
        <v>88</v>
      </c>
      <c r="D114" s="2" t="s">
        <v>584</v>
      </c>
      <c r="E114" s="2" t="s">
        <v>585</v>
      </c>
      <c r="F114" s="2" t="s">
        <v>586</v>
      </c>
      <c r="G114" s="2" t="s">
        <v>586</v>
      </c>
      <c r="H114" s="2" t="s">
        <v>586</v>
      </c>
      <c r="I114" s="2" t="s">
        <v>587</v>
      </c>
      <c r="J114" s="2" t="s">
        <v>588</v>
      </c>
      <c r="K114" s="2" t="s">
        <v>94</v>
      </c>
      <c r="L114" s="3">
        <v>15.2</v>
      </c>
      <c r="M114" s="3">
        <v>15.96</v>
      </c>
      <c r="N114" s="3">
        <v>39.99</v>
      </c>
      <c r="O114" s="2" t="s">
        <v>95</v>
      </c>
      <c r="P114" s="2" t="s">
        <v>128</v>
      </c>
      <c r="Q114" s="2" t="s">
        <v>97</v>
      </c>
      <c r="R114" s="2" t="s">
        <v>98</v>
      </c>
      <c r="S114" s="2" t="s">
        <v>589</v>
      </c>
      <c r="T114" s="2" t="s">
        <v>130</v>
      </c>
      <c r="U114" s="2" t="s">
        <v>590</v>
      </c>
      <c r="V114" s="2" t="s">
        <v>102</v>
      </c>
      <c r="W114" s="2" t="s">
        <v>440</v>
      </c>
      <c r="X114" s="2" t="s">
        <v>163</v>
      </c>
      <c r="Y114" s="2" t="s">
        <v>591</v>
      </c>
      <c r="Z114" s="4">
        <v>10</v>
      </c>
      <c r="AA114" s="4">
        <f>=ROUNDDOWN(1.42857142857143,0)</f>
      </c>
      <c r="AB114" s="5">
        <v>7</v>
      </c>
      <c r="AC114" s="2" t="s">
        <v>98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>
        <v>1</v>
      </c>
      <c r="AQ114" s="8">
        <v>16.5</v>
      </c>
      <c r="AR114" s="4"/>
      <c r="AS114" s="8"/>
      <c r="AT114" s="7"/>
      <c r="AU114" s="7"/>
      <c r="AV114" s="4">
        <v>1</v>
      </c>
      <c r="AW114" s="8">
        <v>16.5</v>
      </c>
      <c r="AX114" s="4"/>
      <c r="AY114" s="8"/>
      <c r="AZ114" s="7"/>
      <c r="BA114" s="7"/>
      <c r="BB114" s="7">
        <v>1</v>
      </c>
      <c r="BC114" s="4">
        <v>1</v>
      </c>
      <c r="BD114" s="8">
        <v>16.5</v>
      </c>
      <c r="BE114" s="4"/>
      <c r="BF114" s="8"/>
      <c r="BG114" s="7"/>
      <c r="BH114" s="7"/>
      <c r="BI114" s="7">
        <v>1</v>
      </c>
      <c r="BJ114" s="4">
        <v>8</v>
      </c>
      <c r="BK114" s="8">
        <v>113.1</v>
      </c>
      <c r="BL114" s="2" t="s">
        <v>166</v>
      </c>
      <c r="BM114" s="7">
        <v>0.125</v>
      </c>
      <c r="BN114" s="7">
        <v>0.1459</v>
      </c>
      <c r="BO114" s="4">
        <v>1</v>
      </c>
      <c r="BP114" s="8">
        <v>16.5</v>
      </c>
      <c r="BQ114" s="4"/>
      <c r="BR114" s="8"/>
      <c r="BS114" s="7"/>
      <c r="BT114" s="7"/>
      <c r="BU114" s="2" t="s">
        <v>106</v>
      </c>
      <c r="BV114" s="2" t="s">
        <v>95</v>
      </c>
      <c r="BW114" s="2" t="s">
        <v>592</v>
      </c>
      <c r="BX114" s="2" t="s">
        <v>593</v>
      </c>
      <c r="BY114" s="2" t="s">
        <v>109</v>
      </c>
      <c r="BZ114" s="2" t="s">
        <v>98</v>
      </c>
    </row>
    <row r="115">
      <c r="A115" s="2" t="s">
        <v>594</v>
      </c>
      <c r="B115" s="2" t="s">
        <v>87</v>
      </c>
      <c r="C115" s="2" t="s">
        <v>88</v>
      </c>
      <c r="D115" s="2" t="s">
        <v>584</v>
      </c>
      <c r="E115" s="2" t="s">
        <v>585</v>
      </c>
      <c r="F115" s="2" t="s">
        <v>595</v>
      </c>
      <c r="G115" s="2" t="s">
        <v>595</v>
      </c>
      <c r="H115" s="2" t="s">
        <v>595</v>
      </c>
      <c r="I115" s="2" t="s">
        <v>596</v>
      </c>
      <c r="J115" s="2" t="s">
        <v>597</v>
      </c>
      <c r="K115" s="2" t="s">
        <v>152</v>
      </c>
      <c r="L115" s="3">
        <v>14.4</v>
      </c>
      <c r="M115" s="3">
        <v>15.12</v>
      </c>
      <c r="N115" s="3">
        <v>31.99</v>
      </c>
      <c r="O115" s="2" t="s">
        <v>206</v>
      </c>
      <c r="P115" s="2" t="s">
        <v>128</v>
      </c>
      <c r="Q115" s="2" t="s">
        <v>97</v>
      </c>
      <c r="R115" s="2" t="s">
        <v>98</v>
      </c>
      <c r="S115" s="2" t="s">
        <v>98</v>
      </c>
      <c r="T115" s="2" t="s">
        <v>130</v>
      </c>
      <c r="U115" s="2" t="s">
        <v>590</v>
      </c>
      <c r="V115" s="2" t="s">
        <v>102</v>
      </c>
      <c r="W115" s="2" t="s">
        <v>163</v>
      </c>
      <c r="X115" s="2" t="s">
        <v>164</v>
      </c>
      <c r="Y115" s="2" t="s">
        <v>598</v>
      </c>
      <c r="Z115" s="4">
        <v>1082</v>
      </c>
      <c r="AA115" s="4">
        <f>=ROUNDDOWN(110.408163265306,0)</f>
      </c>
      <c r="AB115" s="5">
        <v>9.8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>
        <v>1</v>
      </c>
      <c r="AQ115" s="8">
        <v>12.92</v>
      </c>
      <c r="AR115" s="4"/>
      <c r="AS115" s="8"/>
      <c r="AT115" s="7"/>
      <c r="AU115" s="7"/>
      <c r="AV115" s="4">
        <v>1</v>
      </c>
      <c r="AW115" s="8">
        <v>12.92</v>
      </c>
      <c r="AX115" s="4"/>
      <c r="AY115" s="8"/>
      <c r="AZ115" s="7"/>
      <c r="BA115" s="7"/>
      <c r="BB115" s="7">
        <v>1</v>
      </c>
      <c r="BC115" s="4">
        <v>1</v>
      </c>
      <c r="BD115" s="8">
        <v>12.92</v>
      </c>
      <c r="BE115" s="4"/>
      <c r="BF115" s="8"/>
      <c r="BG115" s="7"/>
      <c r="BH115" s="7"/>
      <c r="BI115" s="7">
        <v>1</v>
      </c>
      <c r="BJ115" s="4">
        <v>12</v>
      </c>
      <c r="BK115" s="8">
        <v>158.68</v>
      </c>
      <c r="BL115" s="2" t="s">
        <v>599</v>
      </c>
      <c r="BM115" s="7">
        <v>0.0833</v>
      </c>
      <c r="BN115" s="7">
        <v>0.0814</v>
      </c>
      <c r="BO115" s="4">
        <v>1</v>
      </c>
      <c r="BP115" s="8">
        <v>12.92</v>
      </c>
      <c r="BQ115" s="4"/>
      <c r="BR115" s="8"/>
      <c r="BS115" s="7"/>
      <c r="BT115" s="7"/>
      <c r="BU115" s="2" t="s">
        <v>106</v>
      </c>
      <c r="BV115" s="2" t="s">
        <v>95</v>
      </c>
      <c r="BW115" s="2" t="s">
        <v>600</v>
      </c>
      <c r="BX115" s="2" t="s">
        <v>601</v>
      </c>
      <c r="BY115" s="2" t="s">
        <v>109</v>
      </c>
      <c r="BZ115" s="2" t="s">
        <v>98</v>
      </c>
    </row>
    <row r="116">
      <c r="A116" s="2" t="s">
        <v>602</v>
      </c>
      <c r="B116" s="2" t="s">
        <v>87</v>
      </c>
      <c r="C116" s="2" t="s">
        <v>88</v>
      </c>
      <c r="D116" s="2" t="s">
        <v>584</v>
      </c>
      <c r="E116" s="2" t="s">
        <v>585</v>
      </c>
      <c r="F116" s="2" t="s">
        <v>603</v>
      </c>
      <c r="G116" s="2" t="s">
        <v>603</v>
      </c>
      <c r="H116" s="2" t="s">
        <v>603</v>
      </c>
      <c r="I116" s="2" t="s">
        <v>604</v>
      </c>
      <c r="J116" s="2" t="s">
        <v>597</v>
      </c>
      <c r="K116" s="2" t="s">
        <v>152</v>
      </c>
      <c r="L116" s="3">
        <v>11.88</v>
      </c>
      <c r="M116" s="3">
        <v>12.47</v>
      </c>
      <c r="N116" s="3">
        <v>26.99</v>
      </c>
      <c r="O116" s="2" t="s">
        <v>206</v>
      </c>
      <c r="P116" s="2" t="s">
        <v>128</v>
      </c>
      <c r="Q116" s="2" t="s">
        <v>97</v>
      </c>
      <c r="R116" s="2" t="s">
        <v>98</v>
      </c>
      <c r="S116" s="2" t="s">
        <v>605</v>
      </c>
      <c r="T116" s="2" t="s">
        <v>130</v>
      </c>
      <c r="U116" s="2" t="s">
        <v>590</v>
      </c>
      <c r="V116" s="2" t="s">
        <v>208</v>
      </c>
      <c r="W116" s="2" t="s">
        <v>440</v>
      </c>
      <c r="X116" s="2" t="s">
        <v>190</v>
      </c>
      <c r="Y116" s="2" t="s">
        <v>606</v>
      </c>
      <c r="Z116" s="4">
        <v>321</v>
      </c>
      <c r="AA116" s="4">
        <f>=ROUNDDOWN(29.7222222222222,0)</f>
      </c>
      <c r="AB116" s="5">
        <v>10.8</v>
      </c>
      <c r="AC116" s="2" t="s">
        <v>98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>
        <v>1</v>
      </c>
      <c r="AQ116" s="8">
        <v>11.49</v>
      </c>
      <c r="AR116" s="4"/>
      <c r="AS116" s="8"/>
      <c r="AT116" s="7"/>
      <c r="AU116" s="7"/>
      <c r="AV116" s="4">
        <v>1</v>
      </c>
      <c r="AW116" s="8">
        <v>11.49</v>
      </c>
      <c r="AX116" s="4"/>
      <c r="AY116" s="8"/>
      <c r="AZ116" s="7"/>
      <c r="BA116" s="7"/>
      <c r="BB116" s="7">
        <v>1</v>
      </c>
      <c r="BC116" s="4">
        <v>1</v>
      </c>
      <c r="BD116" s="8">
        <v>11.49</v>
      </c>
      <c r="BE116" s="4"/>
      <c r="BF116" s="8"/>
      <c r="BG116" s="7"/>
      <c r="BH116" s="7"/>
      <c r="BI116" s="7">
        <v>1</v>
      </c>
      <c r="BJ116" s="4">
        <v>15</v>
      </c>
      <c r="BK116" s="8">
        <v>159.97</v>
      </c>
      <c r="BL116" s="2" t="s">
        <v>231</v>
      </c>
      <c r="BM116" s="7">
        <v>0.0667</v>
      </c>
      <c r="BN116" s="7">
        <v>0.0718</v>
      </c>
      <c r="BO116" s="4">
        <v>1</v>
      </c>
      <c r="BP116" s="8">
        <v>11.49</v>
      </c>
      <c r="BQ116" s="4"/>
      <c r="BR116" s="8"/>
      <c r="BS116" s="7"/>
      <c r="BT116" s="7"/>
      <c r="BU116" s="2" t="s">
        <v>106</v>
      </c>
      <c r="BV116" s="2" t="s">
        <v>95</v>
      </c>
      <c r="BW116" s="2" t="s">
        <v>607</v>
      </c>
      <c r="BX116" s="2" t="s">
        <v>608</v>
      </c>
      <c r="BY116" s="2" t="s">
        <v>109</v>
      </c>
      <c r="BZ116" s="2" t="s">
        <v>98</v>
      </c>
    </row>
    <row r="117">
      <c r="A117" s="2" t="s">
        <v>609</v>
      </c>
      <c r="B117" s="2" t="s">
        <v>87</v>
      </c>
      <c r="C117" s="2" t="s">
        <v>88</v>
      </c>
      <c r="D117" s="2" t="s">
        <v>584</v>
      </c>
      <c r="E117" s="2" t="s">
        <v>585</v>
      </c>
      <c r="F117" s="2" t="s">
        <v>610</v>
      </c>
      <c r="G117" s="2" t="s">
        <v>98</v>
      </c>
      <c r="H117" s="2" t="s">
        <v>98</v>
      </c>
      <c r="I117" s="2" t="s">
        <v>611</v>
      </c>
      <c r="J117" s="2" t="s">
        <v>612</v>
      </c>
      <c r="K117" s="2" t="s">
        <v>115</v>
      </c>
      <c r="L117" s="3">
        <v>14.4</v>
      </c>
      <c r="M117" s="3">
        <v>15.12</v>
      </c>
      <c r="N117" s="3">
        <v>34.99</v>
      </c>
      <c r="O117" s="2" t="s">
        <v>206</v>
      </c>
      <c r="P117" s="2" t="s">
        <v>128</v>
      </c>
      <c r="Q117" s="2" t="s">
        <v>97</v>
      </c>
      <c r="R117" s="2" t="s">
        <v>98</v>
      </c>
      <c r="S117" s="2" t="s">
        <v>613</v>
      </c>
      <c r="T117" s="2" t="s">
        <v>98</v>
      </c>
      <c r="U117" s="2" t="s">
        <v>98</v>
      </c>
      <c r="V117" s="2" t="s">
        <v>102</v>
      </c>
      <c r="W117" s="2" t="s">
        <v>190</v>
      </c>
      <c r="X117" s="2" t="s">
        <v>384</v>
      </c>
      <c r="Y117" s="2" t="s">
        <v>354</v>
      </c>
      <c r="Z117" s="4">
        <v>72</v>
      </c>
      <c r="AA117" s="4">
        <f>=ROUNDDOWN(17.1428571428571,0)</f>
      </c>
      <c r="AB117" s="5">
        <v>4.2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4</v>
      </c>
      <c r="BK117" s="8">
        <v>42.02</v>
      </c>
      <c r="BL117" s="2" t="s">
        <v>614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95</v>
      </c>
      <c r="BW117" s="2" t="s">
        <v>600</v>
      </c>
      <c r="BX117" s="2" t="s">
        <v>615</v>
      </c>
      <c r="BY117" s="2" t="s">
        <v>109</v>
      </c>
      <c r="BZ117" s="2" t="s">
        <v>98</v>
      </c>
    </row>
    <row r="118">
      <c r="A118" s="2" t="s">
        <v>616</v>
      </c>
      <c r="B118" s="2" t="s">
        <v>87</v>
      </c>
      <c r="C118" s="2" t="s">
        <v>88</v>
      </c>
      <c r="D118" s="2" t="s">
        <v>584</v>
      </c>
      <c r="E118" s="2" t="s">
        <v>585</v>
      </c>
      <c r="F118" s="2" t="s">
        <v>617</v>
      </c>
      <c r="G118" s="2" t="s">
        <v>98</v>
      </c>
      <c r="H118" s="2" t="s">
        <v>98</v>
      </c>
      <c r="I118" s="2" t="s">
        <v>611</v>
      </c>
      <c r="J118" s="2" t="s">
        <v>612</v>
      </c>
      <c r="K118" s="2" t="s">
        <v>94</v>
      </c>
      <c r="L118" s="3">
        <v>14.4</v>
      </c>
      <c r="M118" s="3">
        <v>15.12</v>
      </c>
      <c r="N118" s="3">
        <v>31.99</v>
      </c>
      <c r="O118" s="2" t="s">
        <v>206</v>
      </c>
      <c r="P118" s="2" t="s">
        <v>128</v>
      </c>
      <c r="Q118" s="2" t="s">
        <v>97</v>
      </c>
      <c r="R118" s="2" t="s">
        <v>98</v>
      </c>
      <c r="S118" s="2" t="s">
        <v>618</v>
      </c>
      <c r="T118" s="2" t="s">
        <v>98</v>
      </c>
      <c r="U118" s="2" t="s">
        <v>98</v>
      </c>
      <c r="V118" s="2" t="s">
        <v>619</v>
      </c>
      <c r="W118" s="2" t="s">
        <v>190</v>
      </c>
      <c r="X118" s="2" t="s">
        <v>620</v>
      </c>
      <c r="Y118" s="2" t="s">
        <v>354</v>
      </c>
      <c r="Z118" s="4">
        <v>224</v>
      </c>
      <c r="AA118" s="4">
        <f>=ROUNDDOWN(44.8,0)</f>
      </c>
      <c r="AB118" s="5">
        <v>5</v>
      </c>
      <c r="AC118" s="2" t="s">
        <v>98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3</v>
      </c>
      <c r="BK118" s="8">
        <v>31.13</v>
      </c>
      <c r="BL118" s="2" t="s">
        <v>621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95</v>
      </c>
      <c r="BW118" s="2" t="s">
        <v>600</v>
      </c>
      <c r="BX118" s="2" t="s">
        <v>356</v>
      </c>
      <c r="BY118" s="2" t="s">
        <v>109</v>
      </c>
      <c r="BZ118" s="2" t="s">
        <v>98</v>
      </c>
    </row>
    <row r="119">
      <c r="A119" s="2" t="s">
        <v>622</v>
      </c>
      <c r="B119" s="2" t="s">
        <v>87</v>
      </c>
      <c r="C119" s="2" t="s">
        <v>88</v>
      </c>
      <c r="D119" s="2" t="s">
        <v>584</v>
      </c>
      <c r="E119" s="2" t="s">
        <v>585</v>
      </c>
      <c r="F119" s="2" t="s">
        <v>623</v>
      </c>
      <c r="G119" s="2" t="s">
        <v>623</v>
      </c>
      <c r="H119" s="2" t="s">
        <v>623</v>
      </c>
      <c r="I119" s="2" t="s">
        <v>624</v>
      </c>
      <c r="J119" s="2" t="s">
        <v>588</v>
      </c>
      <c r="K119" s="2" t="s">
        <v>115</v>
      </c>
      <c r="L119" s="3">
        <v>17.28</v>
      </c>
      <c r="M119" s="3">
        <v>18.14</v>
      </c>
      <c r="N119" s="3">
        <v>35.99</v>
      </c>
      <c r="O119" s="2" t="s">
        <v>206</v>
      </c>
      <c r="P119" s="2" t="s">
        <v>128</v>
      </c>
      <c r="Q119" s="2" t="s">
        <v>97</v>
      </c>
      <c r="R119" s="2" t="s">
        <v>98</v>
      </c>
      <c r="S119" s="2" t="s">
        <v>625</v>
      </c>
      <c r="T119" s="2" t="s">
        <v>130</v>
      </c>
      <c r="U119" s="2" t="s">
        <v>590</v>
      </c>
      <c r="V119" s="2" t="s">
        <v>208</v>
      </c>
      <c r="W119" s="2" t="s">
        <v>190</v>
      </c>
      <c r="X119" s="2" t="s">
        <v>440</v>
      </c>
      <c r="Y119" s="2" t="s">
        <v>606</v>
      </c>
      <c r="Z119" s="4">
        <v>158</v>
      </c>
      <c r="AA119" s="4">
        <f>=ROUNDDOWN(39.5,0)</f>
      </c>
      <c r="AB119" s="5">
        <v>4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6</v>
      </c>
      <c r="BK119" s="8">
        <v>83.92</v>
      </c>
      <c r="BL119" s="2" t="s">
        <v>626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95</v>
      </c>
      <c r="BW119" s="2" t="s">
        <v>607</v>
      </c>
      <c r="BX119" s="2" t="s">
        <v>627</v>
      </c>
      <c r="BY119" s="2" t="s">
        <v>109</v>
      </c>
      <c r="BZ119" s="2" t="s">
        <v>98</v>
      </c>
    </row>
    <row r="120">
      <c r="A120" s="2" t="s">
        <v>628</v>
      </c>
      <c r="B120" s="2" t="s">
        <v>87</v>
      </c>
      <c r="C120" s="2" t="s">
        <v>88</v>
      </c>
      <c r="D120" s="2" t="s">
        <v>584</v>
      </c>
      <c r="E120" s="2" t="s">
        <v>585</v>
      </c>
      <c r="F120" s="2" t="s">
        <v>629</v>
      </c>
      <c r="G120" s="2" t="s">
        <v>629</v>
      </c>
      <c r="H120" s="2" t="s">
        <v>98</v>
      </c>
      <c r="I120" s="2" t="s">
        <v>630</v>
      </c>
      <c r="J120" s="2" t="s">
        <v>588</v>
      </c>
      <c r="K120" s="2" t="s">
        <v>631</v>
      </c>
      <c r="L120" s="3">
        <v>15.2</v>
      </c>
      <c r="M120" s="3">
        <v>15.96</v>
      </c>
      <c r="N120" s="3">
        <v>36.99</v>
      </c>
      <c r="O120" s="2" t="s">
        <v>95</v>
      </c>
      <c r="P120" s="2" t="s">
        <v>96</v>
      </c>
      <c r="Q120" s="2" t="s">
        <v>97</v>
      </c>
      <c r="R120" s="2" t="s">
        <v>98</v>
      </c>
      <c r="S120" s="2" t="s">
        <v>632</v>
      </c>
      <c r="T120" s="2" t="s">
        <v>130</v>
      </c>
      <c r="U120" s="2" t="s">
        <v>590</v>
      </c>
      <c r="V120" s="2" t="s">
        <v>619</v>
      </c>
      <c r="W120" s="2" t="s">
        <v>384</v>
      </c>
      <c r="X120" s="2" t="s">
        <v>190</v>
      </c>
      <c r="Y120" s="2" t="s">
        <v>354</v>
      </c>
      <c r="Z120" s="4">
        <v>1219</v>
      </c>
      <c r="AA120" s="4">
        <f>=ROUNDDOWN(34.8285714285714,0)</f>
      </c>
      <c r="AB120" s="5">
        <v>35</v>
      </c>
      <c r="AC120" s="2" t="s">
        <v>98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13</v>
      </c>
      <c r="BK120" s="8">
        <v>214.98</v>
      </c>
      <c r="BL120" s="2" t="s">
        <v>633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95</v>
      </c>
      <c r="BW120" s="2" t="s">
        <v>600</v>
      </c>
      <c r="BX120" s="2" t="s">
        <v>543</v>
      </c>
      <c r="BY120" s="2" t="s">
        <v>109</v>
      </c>
      <c r="BZ120" s="2" t="s">
        <v>98</v>
      </c>
    </row>
    <row r="121">
      <c r="A121" s="2" t="s">
        <v>634</v>
      </c>
      <c r="B121" s="2" t="s">
        <v>87</v>
      </c>
      <c r="C121" s="2" t="s">
        <v>88</v>
      </c>
      <c r="D121" s="2" t="s">
        <v>635</v>
      </c>
      <c r="E121" s="2" t="s">
        <v>636</v>
      </c>
      <c r="F121" s="2" t="s">
        <v>637</v>
      </c>
      <c r="G121" s="2" t="s">
        <v>637</v>
      </c>
      <c r="H121" s="2" t="s">
        <v>98</v>
      </c>
      <c r="I121" s="2" t="s">
        <v>638</v>
      </c>
      <c r="J121" s="2" t="s">
        <v>639</v>
      </c>
      <c r="K121" s="2" t="s">
        <v>484</v>
      </c>
      <c r="L121" s="3">
        <v>14.85</v>
      </c>
      <c r="M121" s="3">
        <v>15.59</v>
      </c>
      <c r="N121" s="3">
        <v>32.99</v>
      </c>
      <c r="O121" s="2" t="s">
        <v>95</v>
      </c>
      <c r="P121" s="2" t="s">
        <v>128</v>
      </c>
      <c r="Q121" s="2" t="s">
        <v>97</v>
      </c>
      <c r="R121" s="2" t="s">
        <v>98</v>
      </c>
      <c r="S121" s="2" t="s">
        <v>485</v>
      </c>
      <c r="T121" s="2" t="s">
        <v>130</v>
      </c>
      <c r="U121" s="2" t="s">
        <v>590</v>
      </c>
      <c r="V121" s="2" t="s">
        <v>208</v>
      </c>
      <c r="W121" s="2" t="s">
        <v>242</v>
      </c>
      <c r="X121" s="2" t="s">
        <v>98</v>
      </c>
      <c r="Y121" s="2" t="s">
        <v>354</v>
      </c>
      <c r="Z121" s="4">
        <v>184</v>
      </c>
      <c r="AA121" s="4">
        <f>=ROUNDDOWN(13.1428571428571,0)</f>
      </c>
      <c r="AB121" s="5">
        <v>14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>
        <v>2</v>
      </c>
      <c r="AQ121" s="8">
        <v>32</v>
      </c>
      <c r="AR121" s="4"/>
      <c r="AS121" s="8"/>
      <c r="AT121" s="7"/>
      <c r="AU121" s="7"/>
      <c r="AV121" s="4">
        <v>2</v>
      </c>
      <c r="AW121" s="8">
        <v>32</v>
      </c>
      <c r="AX121" s="4"/>
      <c r="AY121" s="8"/>
      <c r="AZ121" s="7"/>
      <c r="BA121" s="7"/>
      <c r="BB121" s="7">
        <v>1</v>
      </c>
      <c r="BC121" s="4">
        <v>2</v>
      </c>
      <c r="BD121" s="8">
        <v>32</v>
      </c>
      <c r="BE121" s="4"/>
      <c r="BF121" s="8"/>
      <c r="BG121" s="7"/>
      <c r="BH121" s="7"/>
      <c r="BI121" s="7">
        <v>1</v>
      </c>
      <c r="BJ121" s="4">
        <v>4</v>
      </c>
      <c r="BK121" s="8">
        <v>62.48</v>
      </c>
      <c r="BL121" s="2" t="s">
        <v>290</v>
      </c>
      <c r="BM121" s="7">
        <v>0.5</v>
      </c>
      <c r="BN121" s="7">
        <v>0.5122</v>
      </c>
      <c r="BO121" s="4">
        <v>2</v>
      </c>
      <c r="BP121" s="8">
        <v>32</v>
      </c>
      <c r="BQ121" s="4"/>
      <c r="BR121" s="8"/>
      <c r="BS121" s="7"/>
      <c r="BT121" s="7"/>
      <c r="BU121" s="2" t="s">
        <v>106</v>
      </c>
      <c r="BV121" s="2" t="s">
        <v>95</v>
      </c>
      <c r="BW121" s="2" t="s">
        <v>271</v>
      </c>
      <c r="BX121" s="2" t="s">
        <v>573</v>
      </c>
      <c r="BY121" s="2" t="s">
        <v>109</v>
      </c>
      <c r="BZ121" s="2" t="s">
        <v>98</v>
      </c>
    </row>
    <row r="122">
      <c r="A122" s="2" t="s">
        <v>640</v>
      </c>
      <c r="B122" s="2" t="s">
        <v>87</v>
      </c>
      <c r="C122" s="2" t="s">
        <v>88</v>
      </c>
      <c r="D122" s="2" t="s">
        <v>635</v>
      </c>
      <c r="E122" s="2" t="s">
        <v>636</v>
      </c>
      <c r="F122" s="2" t="s">
        <v>641</v>
      </c>
      <c r="G122" s="2" t="s">
        <v>641</v>
      </c>
      <c r="H122" s="2" t="s">
        <v>641</v>
      </c>
      <c r="I122" s="2" t="s">
        <v>642</v>
      </c>
      <c r="J122" s="2" t="s">
        <v>639</v>
      </c>
      <c r="K122" s="2" t="s">
        <v>631</v>
      </c>
      <c r="L122" s="3">
        <v>14.85</v>
      </c>
      <c r="M122" s="3">
        <v>15.59</v>
      </c>
      <c r="N122" s="3">
        <v>32.99</v>
      </c>
      <c r="O122" s="2" t="s">
        <v>95</v>
      </c>
      <c r="P122" s="2" t="s">
        <v>140</v>
      </c>
      <c r="Q122" s="2" t="s">
        <v>97</v>
      </c>
      <c r="R122" s="2" t="s">
        <v>98</v>
      </c>
      <c r="S122" s="2" t="s">
        <v>643</v>
      </c>
      <c r="T122" s="2" t="s">
        <v>98</v>
      </c>
      <c r="U122" s="2" t="s">
        <v>98</v>
      </c>
      <c r="V122" s="2" t="s">
        <v>208</v>
      </c>
      <c r="W122" s="2" t="s">
        <v>644</v>
      </c>
      <c r="X122" s="2" t="s">
        <v>98</v>
      </c>
      <c r="Y122" s="2" t="s">
        <v>645</v>
      </c>
      <c r="Z122" s="4">
        <v>516</v>
      </c>
      <c r="AA122" s="4">
        <f>=ROUNDDOWN(46.9090909090909,0)</f>
      </c>
      <c r="AB122" s="5">
        <v>11</v>
      </c>
      <c r="AC122" s="2" t="s">
        <v>98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5</v>
      </c>
      <c r="BK122" s="8">
        <v>74.25</v>
      </c>
      <c r="BL122" s="2" t="s">
        <v>646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95</v>
      </c>
      <c r="BW122" s="2" t="s">
        <v>271</v>
      </c>
      <c r="BX122" s="2" t="s">
        <v>647</v>
      </c>
      <c r="BY122" s="2" t="s">
        <v>109</v>
      </c>
      <c r="BZ122" s="2" t="s">
        <v>98</v>
      </c>
    </row>
    <row r="123">
      <c r="A123" s="2" t="s">
        <v>648</v>
      </c>
      <c r="B123" s="2" t="s">
        <v>87</v>
      </c>
      <c r="C123" s="2" t="s">
        <v>88</v>
      </c>
      <c r="D123" s="2" t="s">
        <v>635</v>
      </c>
      <c r="E123" s="2" t="s">
        <v>636</v>
      </c>
      <c r="F123" s="2" t="s">
        <v>649</v>
      </c>
      <c r="G123" s="2" t="s">
        <v>649</v>
      </c>
      <c r="H123" s="2" t="s">
        <v>649</v>
      </c>
      <c r="I123" s="2" t="s">
        <v>650</v>
      </c>
      <c r="J123" s="2" t="s">
        <v>639</v>
      </c>
      <c r="K123" s="2" t="s">
        <v>484</v>
      </c>
      <c r="L123" s="3">
        <v>14.85</v>
      </c>
      <c r="M123" s="3">
        <v>15.59</v>
      </c>
      <c r="N123" s="3">
        <v>32.99</v>
      </c>
      <c r="O123" s="2" t="s">
        <v>95</v>
      </c>
      <c r="P123" s="2" t="s">
        <v>96</v>
      </c>
      <c r="Q123" s="2" t="s">
        <v>97</v>
      </c>
      <c r="R123" s="2" t="s">
        <v>98</v>
      </c>
      <c r="S123" s="2" t="s">
        <v>651</v>
      </c>
      <c r="T123" s="2" t="s">
        <v>98</v>
      </c>
      <c r="U123" s="2" t="s">
        <v>98</v>
      </c>
      <c r="V123" s="2" t="s">
        <v>652</v>
      </c>
      <c r="W123" s="2" t="s">
        <v>653</v>
      </c>
      <c r="X123" s="2" t="s">
        <v>98</v>
      </c>
      <c r="Y123" s="2" t="s">
        <v>354</v>
      </c>
      <c r="Z123" s="4">
        <v>1972</v>
      </c>
      <c r="AA123" s="4">
        <f>=ROUNDDOWN(54.7777777777778,0)</f>
      </c>
      <c r="AB123" s="5">
        <v>36</v>
      </c>
      <c r="AC123" s="2" t="s">
        <v>98</v>
      </c>
      <c r="AD123" s="4"/>
      <c r="AE123" s="4"/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10</v>
      </c>
      <c r="BK123" s="8">
        <v>157.61</v>
      </c>
      <c r="BL123" s="2" t="s">
        <v>654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95</v>
      </c>
      <c r="BW123" s="2" t="s">
        <v>271</v>
      </c>
      <c r="BX123" s="2" t="s">
        <v>573</v>
      </c>
      <c r="BY123" s="2" t="s">
        <v>109</v>
      </c>
      <c r="BZ123" s="2" t="s">
        <v>98</v>
      </c>
    </row>
    <row r="124">
      <c r="A124" s="2" t="s">
        <v>655</v>
      </c>
      <c r="B124" s="2" t="s">
        <v>656</v>
      </c>
      <c r="C124" s="2" t="s">
        <v>88</v>
      </c>
      <c r="D124" s="2" t="s">
        <v>657</v>
      </c>
      <c r="E124" s="2" t="s">
        <v>658</v>
      </c>
      <c r="F124" s="2" t="s">
        <v>659</v>
      </c>
      <c r="G124" s="2" t="s">
        <v>659</v>
      </c>
      <c r="H124" s="2" t="s">
        <v>659</v>
      </c>
      <c r="I124" s="2" t="s">
        <v>660</v>
      </c>
      <c r="J124" s="2" t="s">
        <v>661</v>
      </c>
      <c r="K124" s="2" t="s">
        <v>564</v>
      </c>
      <c r="L124" s="3">
        <v>47.61</v>
      </c>
      <c r="M124" s="3">
        <v>49.99</v>
      </c>
      <c r="N124" s="3">
        <v>99.99</v>
      </c>
      <c r="O124" s="2" t="s">
        <v>95</v>
      </c>
      <c r="P124" s="2" t="s">
        <v>128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662</v>
      </c>
      <c r="V124" s="2" t="s">
        <v>663</v>
      </c>
      <c r="W124" s="2" t="s">
        <v>242</v>
      </c>
      <c r="X124" s="2" t="s">
        <v>384</v>
      </c>
      <c r="Y124" s="2" t="s">
        <v>664</v>
      </c>
      <c r="Z124" s="4">
        <v>28</v>
      </c>
      <c r="AA124" s="4">
        <f>=ROUNDDOWN(9.6551724137931,0)</f>
      </c>
      <c r="AB124" s="5">
        <v>2.9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>
        <v>2</v>
      </c>
      <c r="AQ124" s="8">
        <v>111.98</v>
      </c>
      <c r="AR124" s="4"/>
      <c r="AS124" s="8"/>
      <c r="AT124" s="7"/>
      <c r="AU124" s="7"/>
      <c r="AV124" s="4">
        <v>2</v>
      </c>
      <c r="AW124" s="8">
        <v>111.98</v>
      </c>
      <c r="AX124" s="4"/>
      <c r="AY124" s="8"/>
      <c r="AZ124" s="7"/>
      <c r="BA124" s="7"/>
      <c r="BB124" s="7">
        <v>1</v>
      </c>
      <c r="BC124" s="4">
        <v>2</v>
      </c>
      <c r="BD124" s="8">
        <v>111.98</v>
      </c>
      <c r="BE124" s="4"/>
      <c r="BF124" s="8"/>
      <c r="BG124" s="7"/>
      <c r="BH124" s="7"/>
      <c r="BI124" s="7">
        <v>1</v>
      </c>
      <c r="BJ124" s="4">
        <v>3</v>
      </c>
      <c r="BK124" s="8">
        <v>164.47</v>
      </c>
      <c r="BL124" s="2" t="s">
        <v>454</v>
      </c>
      <c r="BM124" s="7">
        <v>0.6667</v>
      </c>
      <c r="BN124" s="7">
        <v>0.6809</v>
      </c>
      <c r="BO124" s="4">
        <v>2</v>
      </c>
      <c r="BP124" s="8">
        <v>111.98</v>
      </c>
      <c r="BQ124" s="4"/>
      <c r="BR124" s="8"/>
      <c r="BS124" s="7"/>
      <c r="BT124" s="7"/>
      <c r="BU124" s="2" t="s">
        <v>106</v>
      </c>
      <c r="BV124" s="2" t="s">
        <v>95</v>
      </c>
      <c r="BW124" s="2" t="s">
        <v>665</v>
      </c>
      <c r="BX124" s="2" t="s">
        <v>666</v>
      </c>
      <c r="BY124" s="2" t="s">
        <v>109</v>
      </c>
      <c r="BZ124" s="2" t="s">
        <v>98</v>
      </c>
    </row>
    <row r="125">
      <c r="A125" s="2" t="s">
        <v>667</v>
      </c>
      <c r="B125" s="2" t="s">
        <v>656</v>
      </c>
      <c r="C125" s="2" t="s">
        <v>88</v>
      </c>
      <c r="D125" s="2" t="s">
        <v>657</v>
      </c>
      <c r="E125" s="2" t="s">
        <v>658</v>
      </c>
      <c r="F125" s="2" t="s">
        <v>668</v>
      </c>
      <c r="G125" s="2" t="s">
        <v>668</v>
      </c>
      <c r="H125" s="2" t="s">
        <v>668</v>
      </c>
      <c r="I125" s="2" t="s">
        <v>669</v>
      </c>
      <c r="J125" s="2" t="s">
        <v>661</v>
      </c>
      <c r="K125" s="2" t="s">
        <v>670</v>
      </c>
      <c r="L125" s="3">
        <v>79.42</v>
      </c>
      <c r="M125" s="3">
        <v>83.39</v>
      </c>
      <c r="N125" s="3">
        <v>157.24</v>
      </c>
      <c r="O125" s="2" t="s">
        <v>95</v>
      </c>
      <c r="P125" s="2" t="s">
        <v>96</v>
      </c>
      <c r="Q125" s="2" t="s">
        <v>97</v>
      </c>
      <c r="R125" s="2" t="s">
        <v>98</v>
      </c>
      <c r="S125" s="2" t="s">
        <v>671</v>
      </c>
      <c r="T125" s="2" t="s">
        <v>98</v>
      </c>
      <c r="U125" s="2" t="s">
        <v>672</v>
      </c>
      <c r="V125" s="2" t="s">
        <v>673</v>
      </c>
      <c r="W125" s="2" t="s">
        <v>242</v>
      </c>
      <c r="X125" s="2" t="s">
        <v>674</v>
      </c>
      <c r="Y125" s="2" t="s">
        <v>413</v>
      </c>
      <c r="Z125" s="4">
        <v>56</v>
      </c>
      <c r="AA125" s="4">
        <f>=ROUNDDOWN(8,0)</f>
      </c>
      <c r="AB125" s="5">
        <v>7</v>
      </c>
      <c r="AC125" s="2" t="s">
        <v>675</v>
      </c>
      <c r="AD125" s="4">
        <v>100</v>
      </c>
      <c r="AE125" s="4">
        <v>100</v>
      </c>
      <c r="AF125" s="6">
        <v>61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6</v>
      </c>
      <c r="BK125" s="8">
        <v>565.86</v>
      </c>
      <c r="BL125" s="2" t="s">
        <v>676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95</v>
      </c>
      <c r="BW125" s="2" t="s">
        <v>449</v>
      </c>
      <c r="BX125" s="2" t="s">
        <v>677</v>
      </c>
      <c r="BY125" s="2" t="s">
        <v>109</v>
      </c>
      <c r="BZ125" s="2" t="s">
        <v>98</v>
      </c>
    </row>
    <row r="126">
      <c r="A126" s="2" t="s">
        <v>678</v>
      </c>
      <c r="B126" s="2" t="s">
        <v>656</v>
      </c>
      <c r="C126" s="2" t="s">
        <v>88</v>
      </c>
      <c r="D126" s="2" t="s">
        <v>657</v>
      </c>
      <c r="E126" s="2" t="s">
        <v>658</v>
      </c>
      <c r="F126" s="2" t="s">
        <v>679</v>
      </c>
      <c r="G126" s="2" t="s">
        <v>679</v>
      </c>
      <c r="H126" s="2" t="s">
        <v>679</v>
      </c>
      <c r="I126" s="2" t="s">
        <v>680</v>
      </c>
      <c r="J126" s="2" t="s">
        <v>661</v>
      </c>
      <c r="K126" s="2" t="s">
        <v>395</v>
      </c>
      <c r="L126" s="3">
        <v>45.71</v>
      </c>
      <c r="M126" s="3">
        <v>48</v>
      </c>
      <c r="N126" s="3">
        <v>99.99</v>
      </c>
      <c r="O126" s="2" t="s">
        <v>95</v>
      </c>
      <c r="P126" s="2" t="s">
        <v>128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590</v>
      </c>
      <c r="V126" s="2" t="s">
        <v>369</v>
      </c>
      <c r="W126" s="2" t="s">
        <v>681</v>
      </c>
      <c r="X126" s="2" t="s">
        <v>440</v>
      </c>
      <c r="Y126" s="2" t="s">
        <v>682</v>
      </c>
      <c r="Z126" s="4">
        <v>39</v>
      </c>
      <c r="AA126" s="4">
        <f>=ROUNDDOWN(15,0)</f>
      </c>
      <c r="AB126" s="5">
        <v>2.6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2</v>
      </c>
      <c r="BK126" s="8">
        <v>85.75</v>
      </c>
      <c r="BL126" s="2" t="s">
        <v>683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95</v>
      </c>
      <c r="BW126" s="2" t="s">
        <v>665</v>
      </c>
      <c r="BX126" s="2" t="s">
        <v>335</v>
      </c>
      <c r="BY126" s="2" t="s">
        <v>109</v>
      </c>
      <c r="BZ126" s="2" t="s">
        <v>98</v>
      </c>
    </row>
    <row r="127">
      <c r="A127" s="2" t="s">
        <v>684</v>
      </c>
      <c r="B127" s="2" t="s">
        <v>656</v>
      </c>
      <c r="C127" s="2" t="s">
        <v>88</v>
      </c>
      <c r="D127" s="2" t="s">
        <v>657</v>
      </c>
      <c r="E127" s="2" t="s">
        <v>658</v>
      </c>
      <c r="F127" s="2" t="s">
        <v>685</v>
      </c>
      <c r="G127" s="2" t="s">
        <v>685</v>
      </c>
      <c r="H127" s="2" t="s">
        <v>685</v>
      </c>
      <c r="I127" s="2" t="s">
        <v>686</v>
      </c>
      <c r="J127" s="2" t="s">
        <v>661</v>
      </c>
      <c r="K127" s="2" t="s">
        <v>670</v>
      </c>
      <c r="L127" s="3">
        <v>71.42</v>
      </c>
      <c r="M127" s="3">
        <v>74.99</v>
      </c>
      <c r="N127" s="3">
        <v>149.99</v>
      </c>
      <c r="O127" s="2" t="s">
        <v>95</v>
      </c>
      <c r="P127" s="2" t="s">
        <v>128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662</v>
      </c>
      <c r="V127" s="2" t="s">
        <v>102</v>
      </c>
      <c r="W127" s="2" t="s">
        <v>384</v>
      </c>
      <c r="X127" s="2" t="s">
        <v>377</v>
      </c>
      <c r="Y127" s="2" t="s">
        <v>687</v>
      </c>
      <c r="Z127" s="4">
        <v>58</v>
      </c>
      <c r="AA127" s="4">
        <f>=ROUNDDOWN(34.1176470588235,0)</f>
      </c>
      <c r="AB127" s="5">
        <v>1.7</v>
      </c>
      <c r="AC127" s="2" t="s">
        <v>98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2</v>
      </c>
      <c r="BK127" s="8">
        <v>153.73</v>
      </c>
      <c r="BL127" s="2" t="s">
        <v>688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95</v>
      </c>
      <c r="BW127" s="2" t="s">
        <v>665</v>
      </c>
      <c r="BX127" s="2" t="s">
        <v>689</v>
      </c>
      <c r="BY127" s="2" t="s">
        <v>109</v>
      </c>
      <c r="BZ127" s="2" t="s">
        <v>98</v>
      </c>
    </row>
    <row r="128">
      <c r="A128" s="2" t="s">
        <v>690</v>
      </c>
      <c r="B128" s="2" t="s">
        <v>656</v>
      </c>
      <c r="C128" s="2" t="s">
        <v>88</v>
      </c>
      <c r="D128" s="2" t="s">
        <v>657</v>
      </c>
      <c r="E128" s="2" t="s">
        <v>691</v>
      </c>
      <c r="F128" s="2" t="s">
        <v>692</v>
      </c>
      <c r="G128" s="2" t="s">
        <v>692</v>
      </c>
      <c r="H128" s="2" t="s">
        <v>692</v>
      </c>
      <c r="I128" s="2" t="s">
        <v>693</v>
      </c>
      <c r="J128" s="2" t="s">
        <v>661</v>
      </c>
      <c r="K128" s="2" t="s">
        <v>694</v>
      </c>
      <c r="L128" s="3">
        <v>32.38</v>
      </c>
      <c r="M128" s="3">
        <v>34</v>
      </c>
      <c r="N128" s="3">
        <v>67.99</v>
      </c>
      <c r="O128" s="2" t="s">
        <v>95</v>
      </c>
      <c r="P128" s="2" t="s">
        <v>140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662</v>
      </c>
      <c r="V128" s="2" t="s">
        <v>369</v>
      </c>
      <c r="W128" s="2" t="s">
        <v>190</v>
      </c>
      <c r="X128" s="2" t="s">
        <v>377</v>
      </c>
      <c r="Y128" s="2" t="s">
        <v>695</v>
      </c>
      <c r="Z128" s="4">
        <v>216</v>
      </c>
      <c r="AA128" s="4">
        <f>=ROUNDDOWN(16.4885496183206,0)</f>
      </c>
      <c r="AB128" s="5">
        <v>13.1</v>
      </c>
      <c r="AC128" s="2" t="s">
        <v>98</v>
      </c>
      <c r="AD128" s="4"/>
      <c r="AE128" s="4"/>
      <c r="AF128" s="6">
        <v>61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13</v>
      </c>
      <c r="BK128" s="8">
        <v>530.22</v>
      </c>
      <c r="BL128" s="2" t="s">
        <v>696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95</v>
      </c>
      <c r="BW128" s="2" t="s">
        <v>697</v>
      </c>
      <c r="BX128" s="2" t="s">
        <v>698</v>
      </c>
      <c r="BY128" s="2" t="s">
        <v>109</v>
      </c>
      <c r="BZ128" s="2" t="s">
        <v>98</v>
      </c>
    </row>
    <row r="129">
      <c r="A129" s="2" t="s">
        <v>699</v>
      </c>
      <c r="B129" s="2" t="s">
        <v>656</v>
      </c>
      <c r="C129" s="2" t="s">
        <v>88</v>
      </c>
      <c r="D129" s="2" t="s">
        <v>657</v>
      </c>
      <c r="E129" s="2" t="s">
        <v>691</v>
      </c>
      <c r="F129" s="2" t="s">
        <v>700</v>
      </c>
      <c r="G129" s="2" t="s">
        <v>700</v>
      </c>
      <c r="H129" s="2" t="s">
        <v>700</v>
      </c>
      <c r="I129" s="2" t="s">
        <v>701</v>
      </c>
      <c r="J129" s="2" t="s">
        <v>661</v>
      </c>
      <c r="K129" s="2" t="s">
        <v>94</v>
      </c>
      <c r="L129" s="3">
        <v>40.03</v>
      </c>
      <c r="M129" s="3">
        <v>42.03</v>
      </c>
      <c r="N129" s="3">
        <v>87.54</v>
      </c>
      <c r="O129" s="2" t="s">
        <v>95</v>
      </c>
      <c r="P129" s="2" t="s">
        <v>140</v>
      </c>
      <c r="Q129" s="2" t="s">
        <v>97</v>
      </c>
      <c r="R129" s="2" t="s">
        <v>98</v>
      </c>
      <c r="S129" s="2" t="s">
        <v>702</v>
      </c>
      <c r="T129" s="2" t="s">
        <v>98</v>
      </c>
      <c r="U129" s="2" t="s">
        <v>590</v>
      </c>
      <c r="V129" s="2" t="s">
        <v>673</v>
      </c>
      <c r="W129" s="2" t="s">
        <v>242</v>
      </c>
      <c r="X129" s="2" t="s">
        <v>98</v>
      </c>
      <c r="Y129" s="2" t="s">
        <v>542</v>
      </c>
      <c r="Z129" s="4">
        <v>77</v>
      </c>
      <c r="AA129" s="4">
        <f>=ROUNDDOWN(24.8387096774194,0)</f>
      </c>
      <c r="AB129" s="5">
        <v>3.1</v>
      </c>
      <c r="AC129" s="2" t="s">
        <v>98</v>
      </c>
      <c r="AD129" s="4"/>
      <c r="AE129" s="4"/>
      <c r="AF129" s="6">
        <v>61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2</v>
      </c>
      <c r="BK129" s="8">
        <v>87.42</v>
      </c>
      <c r="BL129" s="2" t="s">
        <v>703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95</v>
      </c>
      <c r="BW129" s="2" t="s">
        <v>704</v>
      </c>
      <c r="BX129" s="2" t="s">
        <v>705</v>
      </c>
      <c r="BY129" s="2" t="s">
        <v>109</v>
      </c>
      <c r="BZ129" s="2" t="s">
        <v>98</v>
      </c>
    </row>
    <row r="130">
      <c r="A130" s="2" t="s">
        <v>706</v>
      </c>
      <c r="B130" s="2" t="s">
        <v>656</v>
      </c>
      <c r="C130" s="2" t="s">
        <v>88</v>
      </c>
      <c r="D130" s="2" t="s">
        <v>657</v>
      </c>
      <c r="E130" s="2" t="s">
        <v>691</v>
      </c>
      <c r="F130" s="2" t="s">
        <v>707</v>
      </c>
      <c r="G130" s="2" t="s">
        <v>707</v>
      </c>
      <c r="H130" s="2" t="s">
        <v>707</v>
      </c>
      <c r="I130" s="2" t="s">
        <v>708</v>
      </c>
      <c r="J130" s="2" t="s">
        <v>661</v>
      </c>
      <c r="K130" s="2" t="s">
        <v>152</v>
      </c>
      <c r="L130" s="3">
        <v>72.85</v>
      </c>
      <c r="M130" s="3">
        <v>76.49</v>
      </c>
      <c r="N130" s="3">
        <v>152.99</v>
      </c>
      <c r="O130" s="2" t="s">
        <v>95</v>
      </c>
      <c r="P130" s="2" t="s">
        <v>140</v>
      </c>
      <c r="Q130" s="2" t="s">
        <v>97</v>
      </c>
      <c r="R130" s="2" t="s">
        <v>98</v>
      </c>
      <c r="S130" s="2" t="s">
        <v>709</v>
      </c>
      <c r="T130" s="2" t="s">
        <v>98</v>
      </c>
      <c r="U130" s="2" t="s">
        <v>662</v>
      </c>
      <c r="V130" s="2" t="s">
        <v>673</v>
      </c>
      <c r="W130" s="2" t="s">
        <v>242</v>
      </c>
      <c r="X130" s="2" t="s">
        <v>243</v>
      </c>
      <c r="Y130" s="2" t="s">
        <v>710</v>
      </c>
      <c r="Z130" s="4">
        <v>51</v>
      </c>
      <c r="AA130" s="4">
        <f>=ROUNDDOWN(23.1818181818182,0)</f>
      </c>
      <c r="AB130" s="5">
        <v>2.2</v>
      </c>
      <c r="AC130" s="2" t="s">
        <v>98</v>
      </c>
      <c r="AD130" s="4"/>
      <c r="AE130" s="4"/>
      <c r="AF130" s="6">
        <v>61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1</v>
      </c>
      <c r="BK130" s="8">
        <v>76.5</v>
      </c>
      <c r="BL130" s="2" t="s">
        <v>502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95</v>
      </c>
      <c r="BW130" s="2" t="s">
        <v>697</v>
      </c>
      <c r="BX130" s="2" t="s">
        <v>698</v>
      </c>
      <c r="BY130" s="2" t="s">
        <v>109</v>
      </c>
      <c r="BZ130" s="2" t="s">
        <v>98</v>
      </c>
    </row>
    <row r="131">
      <c r="A131" s="2" t="s">
        <v>711</v>
      </c>
      <c r="B131" s="2" t="s">
        <v>656</v>
      </c>
      <c r="C131" s="2" t="s">
        <v>88</v>
      </c>
      <c r="D131" s="2" t="s">
        <v>657</v>
      </c>
      <c r="E131" s="2" t="s">
        <v>691</v>
      </c>
      <c r="F131" s="2" t="s">
        <v>712</v>
      </c>
      <c r="G131" s="2" t="s">
        <v>712</v>
      </c>
      <c r="H131" s="2" t="s">
        <v>712</v>
      </c>
      <c r="I131" s="2" t="s">
        <v>713</v>
      </c>
      <c r="J131" s="2" t="s">
        <v>661</v>
      </c>
      <c r="K131" s="2" t="s">
        <v>395</v>
      </c>
      <c r="L131" s="3">
        <v>41.27</v>
      </c>
      <c r="M131" s="3">
        <v>43.33</v>
      </c>
      <c r="N131" s="3">
        <v>84.99</v>
      </c>
      <c r="O131" s="2" t="s">
        <v>95</v>
      </c>
      <c r="P131" s="2" t="s">
        <v>714</v>
      </c>
      <c r="Q131" s="2" t="s">
        <v>97</v>
      </c>
      <c r="R131" s="2" t="s">
        <v>98</v>
      </c>
      <c r="S131" s="2" t="s">
        <v>715</v>
      </c>
      <c r="T131" s="2" t="s">
        <v>98</v>
      </c>
      <c r="U131" s="2" t="s">
        <v>101</v>
      </c>
      <c r="V131" s="2" t="s">
        <v>673</v>
      </c>
      <c r="W131" s="2" t="s">
        <v>242</v>
      </c>
      <c r="X131" s="2" t="s">
        <v>98</v>
      </c>
      <c r="Y131" s="2" t="s">
        <v>354</v>
      </c>
      <c r="Z131" s="4">
        <v>24</v>
      </c>
      <c r="AA131" s="4">
        <f>=ROUNDDOWN(8,0)</f>
      </c>
      <c r="AB131" s="5">
        <v>3</v>
      </c>
      <c r="AC131" s="2" t="s">
        <v>675</v>
      </c>
      <c r="AD131" s="4">
        <v>50</v>
      </c>
      <c r="AE131" s="4">
        <v>50</v>
      </c>
      <c r="AF131" s="6">
        <v>61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4</v>
      </c>
      <c r="BK131" s="8">
        <v>189.15</v>
      </c>
      <c r="BL131" s="2" t="s">
        <v>716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95</v>
      </c>
      <c r="BW131" s="2" t="s">
        <v>717</v>
      </c>
      <c r="BX131" s="2" t="s">
        <v>718</v>
      </c>
      <c r="BY131" s="2" t="s">
        <v>109</v>
      </c>
      <c r="BZ131" s="2" t="s">
        <v>98</v>
      </c>
    </row>
    <row r="132">
      <c r="A132" s="2" t="s">
        <v>719</v>
      </c>
      <c r="B132" s="2" t="s">
        <v>656</v>
      </c>
      <c r="C132" s="2" t="s">
        <v>88</v>
      </c>
      <c r="D132" s="2" t="s">
        <v>657</v>
      </c>
      <c r="E132" s="2" t="s">
        <v>691</v>
      </c>
      <c r="F132" s="2" t="s">
        <v>720</v>
      </c>
      <c r="G132" s="2" t="s">
        <v>720</v>
      </c>
      <c r="H132" s="2" t="s">
        <v>720</v>
      </c>
      <c r="I132" s="2" t="s">
        <v>721</v>
      </c>
      <c r="J132" s="2" t="s">
        <v>661</v>
      </c>
      <c r="K132" s="2" t="s">
        <v>722</v>
      </c>
      <c r="L132" s="3">
        <v>68.81</v>
      </c>
      <c r="M132" s="3">
        <v>72.25</v>
      </c>
      <c r="N132" s="3">
        <v>144.49</v>
      </c>
      <c r="O132" s="2" t="s">
        <v>95</v>
      </c>
      <c r="P132" s="2" t="s">
        <v>128</v>
      </c>
      <c r="Q132" s="2" t="s">
        <v>97</v>
      </c>
      <c r="R132" s="2" t="s">
        <v>98</v>
      </c>
      <c r="S132" s="2" t="s">
        <v>723</v>
      </c>
      <c r="T132" s="2" t="s">
        <v>98</v>
      </c>
      <c r="U132" s="2" t="s">
        <v>101</v>
      </c>
      <c r="V132" s="2" t="s">
        <v>673</v>
      </c>
      <c r="W132" s="2" t="s">
        <v>242</v>
      </c>
      <c r="X132" s="2" t="s">
        <v>644</v>
      </c>
      <c r="Y132" s="2" t="s">
        <v>710</v>
      </c>
      <c r="Z132" s="4">
        <v>65</v>
      </c>
      <c r="AA132" s="4">
        <f>=ROUNDDOWN(130,0)</f>
      </c>
      <c r="AB132" s="5">
        <v>0.5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98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95</v>
      </c>
      <c r="BW132" s="2" t="s">
        <v>697</v>
      </c>
      <c r="BX132" s="2" t="s">
        <v>98</v>
      </c>
      <c r="BY132" s="2" t="s">
        <v>109</v>
      </c>
      <c r="BZ132" s="2" t="s">
        <v>98</v>
      </c>
    </row>
    <row r="133">
      <c r="A133" s="2" t="s">
        <v>724</v>
      </c>
      <c r="B133" s="2" t="s">
        <v>656</v>
      </c>
      <c r="C133" s="2" t="s">
        <v>88</v>
      </c>
      <c r="D133" s="2" t="s">
        <v>657</v>
      </c>
      <c r="E133" s="2" t="s">
        <v>691</v>
      </c>
      <c r="F133" s="2" t="s">
        <v>725</v>
      </c>
      <c r="G133" s="2" t="s">
        <v>725</v>
      </c>
      <c r="H133" s="2" t="s">
        <v>725</v>
      </c>
      <c r="I133" s="2" t="s">
        <v>726</v>
      </c>
      <c r="J133" s="2" t="s">
        <v>661</v>
      </c>
      <c r="K133" s="2" t="s">
        <v>564</v>
      </c>
      <c r="L133" s="3">
        <v>34.6</v>
      </c>
      <c r="M133" s="3">
        <v>36.33</v>
      </c>
      <c r="N133" s="3">
        <v>80.74</v>
      </c>
      <c r="O133" s="2" t="s">
        <v>95</v>
      </c>
      <c r="P133" s="2" t="s">
        <v>140</v>
      </c>
      <c r="Q133" s="2" t="s">
        <v>97</v>
      </c>
      <c r="R133" s="2" t="s">
        <v>98</v>
      </c>
      <c r="S133" s="2" t="s">
        <v>727</v>
      </c>
      <c r="T133" s="2" t="s">
        <v>98</v>
      </c>
      <c r="U133" s="2" t="s">
        <v>662</v>
      </c>
      <c r="V133" s="2" t="s">
        <v>728</v>
      </c>
      <c r="W133" s="2" t="s">
        <v>729</v>
      </c>
      <c r="X133" s="2" t="s">
        <v>98</v>
      </c>
      <c r="Y133" s="2" t="s">
        <v>354</v>
      </c>
      <c r="Z133" s="4">
        <v>128</v>
      </c>
      <c r="AA133" s="4">
        <f>=ROUNDDOWN(12.8,0)</f>
      </c>
      <c r="AB133" s="5">
        <v>10</v>
      </c>
      <c r="AC133" s="2" t="s">
        <v>730</v>
      </c>
      <c r="AD133" s="4">
        <v>100</v>
      </c>
      <c r="AE133" s="4">
        <v>100</v>
      </c>
      <c r="AF133" s="6">
        <v>61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10</v>
      </c>
      <c r="BK133" s="8">
        <v>409.63</v>
      </c>
      <c r="BL133" s="2" t="s">
        <v>731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95</v>
      </c>
      <c r="BW133" s="2" t="s">
        <v>732</v>
      </c>
      <c r="BX133" s="2" t="s">
        <v>733</v>
      </c>
      <c r="BY133" s="2" t="s">
        <v>109</v>
      </c>
      <c r="BZ133" s="2" t="s">
        <v>98</v>
      </c>
    </row>
    <row r="134">
      <c r="A134" s="2" t="s">
        <v>734</v>
      </c>
      <c r="B134" s="2" t="s">
        <v>656</v>
      </c>
      <c r="C134" s="2" t="s">
        <v>88</v>
      </c>
      <c r="D134" s="2" t="s">
        <v>657</v>
      </c>
      <c r="E134" s="2" t="s">
        <v>691</v>
      </c>
      <c r="F134" s="2" t="s">
        <v>735</v>
      </c>
      <c r="G134" s="2" t="s">
        <v>735</v>
      </c>
      <c r="H134" s="2" t="s">
        <v>735</v>
      </c>
      <c r="I134" s="2" t="s">
        <v>736</v>
      </c>
      <c r="J134" s="2" t="s">
        <v>661</v>
      </c>
      <c r="K134" s="2" t="s">
        <v>737</v>
      </c>
      <c r="L134" s="3">
        <v>27.85</v>
      </c>
      <c r="M134" s="3">
        <v>29.24</v>
      </c>
      <c r="N134" s="3">
        <v>64.99</v>
      </c>
      <c r="O134" s="2" t="s">
        <v>95</v>
      </c>
      <c r="P134" s="2" t="s">
        <v>714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590</v>
      </c>
      <c r="V134" s="2" t="s">
        <v>369</v>
      </c>
      <c r="W134" s="2" t="s">
        <v>738</v>
      </c>
      <c r="X134" s="2" t="s">
        <v>681</v>
      </c>
      <c r="Y134" s="2" t="s">
        <v>664</v>
      </c>
      <c r="Z134" s="4">
        <v>39</v>
      </c>
      <c r="AA134" s="4">
        <f>=ROUNDDOWN(39,0)</f>
      </c>
      <c r="AB134" s="5">
        <v>1</v>
      </c>
      <c r="AC134" s="2" t="s">
        <v>98</v>
      </c>
      <c r="AD134" s="4"/>
      <c r="AE134" s="4"/>
      <c r="AF134" s="6">
        <v>61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</v>
      </c>
      <c r="BK134" s="8">
        <v>30.7</v>
      </c>
      <c r="BL134" s="2" t="s">
        <v>355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95</v>
      </c>
      <c r="BW134" s="2" t="s">
        <v>665</v>
      </c>
      <c r="BX134" s="2" t="s">
        <v>739</v>
      </c>
      <c r="BY134" s="2" t="s">
        <v>109</v>
      </c>
      <c r="BZ134" s="2" t="s">
        <v>98</v>
      </c>
    </row>
    <row r="135">
      <c r="A135" s="2" t="s">
        <v>740</v>
      </c>
      <c r="B135" s="2" t="s">
        <v>656</v>
      </c>
      <c r="C135" s="2" t="s">
        <v>88</v>
      </c>
      <c r="D135" s="2" t="s">
        <v>741</v>
      </c>
      <c r="E135" s="2" t="s">
        <v>742</v>
      </c>
      <c r="F135" s="2" t="s">
        <v>743</v>
      </c>
      <c r="G135" s="2" t="s">
        <v>743</v>
      </c>
      <c r="H135" s="2" t="s">
        <v>743</v>
      </c>
      <c r="I135" s="2" t="s">
        <v>744</v>
      </c>
      <c r="J135" s="2" t="s">
        <v>661</v>
      </c>
      <c r="K135" s="2" t="s">
        <v>367</v>
      </c>
      <c r="L135" s="3">
        <v>59.52</v>
      </c>
      <c r="M135" s="3">
        <v>62.5</v>
      </c>
      <c r="N135" s="3">
        <v>124.99</v>
      </c>
      <c r="O135" s="2" t="s">
        <v>95</v>
      </c>
      <c r="P135" s="2" t="s">
        <v>153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590</v>
      </c>
      <c r="V135" s="2" t="s">
        <v>369</v>
      </c>
      <c r="W135" s="2" t="s">
        <v>190</v>
      </c>
      <c r="X135" s="2" t="s">
        <v>745</v>
      </c>
      <c r="Y135" s="2" t="s">
        <v>746</v>
      </c>
      <c r="Z135" s="4">
        <v>651</v>
      </c>
      <c r="AA135" s="4">
        <f>=ROUNDDOWN(46.5,0)</f>
      </c>
      <c r="AB135" s="5">
        <v>14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1</v>
      </c>
      <c r="AQ135" s="8">
        <v>72.79</v>
      </c>
      <c r="AR135" s="4"/>
      <c r="AS135" s="8"/>
      <c r="AT135" s="7"/>
      <c r="AU135" s="7"/>
      <c r="AV135" s="4">
        <v>1</v>
      </c>
      <c r="AW135" s="8">
        <v>72.79</v>
      </c>
      <c r="AX135" s="4"/>
      <c r="AY135" s="8"/>
      <c r="AZ135" s="7"/>
      <c r="BA135" s="7"/>
      <c r="BB135" s="7">
        <v>1</v>
      </c>
      <c r="BC135" s="4">
        <v>1</v>
      </c>
      <c r="BD135" s="8">
        <v>72.79</v>
      </c>
      <c r="BE135" s="4"/>
      <c r="BF135" s="8"/>
      <c r="BG135" s="7"/>
      <c r="BH135" s="7"/>
      <c r="BI135" s="7">
        <v>1</v>
      </c>
      <c r="BJ135" s="4">
        <v>11</v>
      </c>
      <c r="BK135" s="8">
        <v>727.3</v>
      </c>
      <c r="BL135" s="2" t="s">
        <v>747</v>
      </c>
      <c r="BM135" s="7">
        <v>0.0909</v>
      </c>
      <c r="BN135" s="7">
        <v>0.1001</v>
      </c>
      <c r="BO135" s="4">
        <v>1</v>
      </c>
      <c r="BP135" s="8">
        <v>72.79</v>
      </c>
      <c r="BQ135" s="4"/>
      <c r="BR135" s="8"/>
      <c r="BS135" s="7"/>
      <c r="BT135" s="7"/>
      <c r="BU135" s="2" t="s">
        <v>106</v>
      </c>
      <c r="BV135" s="2" t="s">
        <v>95</v>
      </c>
      <c r="BW135" s="2" t="s">
        <v>748</v>
      </c>
      <c r="BX135" s="2" t="s">
        <v>749</v>
      </c>
      <c r="BY135" s="2" t="s">
        <v>109</v>
      </c>
      <c r="BZ135" s="2" t="s">
        <v>98</v>
      </c>
    </row>
    <row r="136">
      <c r="A136" s="2" t="s">
        <v>750</v>
      </c>
      <c r="B136" s="2" t="s">
        <v>656</v>
      </c>
      <c r="C136" s="2" t="s">
        <v>88</v>
      </c>
      <c r="D136" s="2" t="s">
        <v>751</v>
      </c>
      <c r="E136" s="2" t="s">
        <v>752</v>
      </c>
      <c r="F136" s="2" t="s">
        <v>753</v>
      </c>
      <c r="G136" s="2" t="s">
        <v>753</v>
      </c>
      <c r="H136" s="2" t="s">
        <v>753</v>
      </c>
      <c r="I136" s="2" t="s">
        <v>754</v>
      </c>
      <c r="J136" s="2" t="s">
        <v>661</v>
      </c>
      <c r="K136" s="2" t="s">
        <v>755</v>
      </c>
      <c r="L136" s="3">
        <v>52.62</v>
      </c>
      <c r="M136" s="3">
        <v>55.25</v>
      </c>
      <c r="N136" s="3">
        <v>110.49</v>
      </c>
      <c r="O136" s="2" t="s">
        <v>95</v>
      </c>
      <c r="P136" s="2" t="s">
        <v>140</v>
      </c>
      <c r="Q136" s="2" t="s">
        <v>97</v>
      </c>
      <c r="R136" s="2" t="s">
        <v>98</v>
      </c>
      <c r="S136" s="2" t="s">
        <v>756</v>
      </c>
      <c r="T136" s="2" t="s">
        <v>98</v>
      </c>
      <c r="U136" s="2" t="s">
        <v>590</v>
      </c>
      <c r="V136" s="2" t="s">
        <v>619</v>
      </c>
      <c r="W136" s="2" t="s">
        <v>243</v>
      </c>
      <c r="X136" s="2" t="s">
        <v>98</v>
      </c>
      <c r="Y136" s="2" t="s">
        <v>757</v>
      </c>
      <c r="Z136" s="4">
        <v>104</v>
      </c>
      <c r="AA136" s="4">
        <f>=ROUNDDOWN(16.7741935483871,0)</f>
      </c>
      <c r="AB136" s="5">
        <v>6.2</v>
      </c>
      <c r="AC136" s="2" t="s">
        <v>250</v>
      </c>
      <c r="AD136" s="4">
        <v>100</v>
      </c>
      <c r="AE136" s="4">
        <v>100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3</v>
      </c>
      <c r="BK136" s="8">
        <v>196.99</v>
      </c>
      <c r="BL136" s="2" t="s">
        <v>758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95</v>
      </c>
      <c r="BW136" s="2" t="s">
        <v>697</v>
      </c>
      <c r="BX136" s="2" t="s">
        <v>759</v>
      </c>
      <c r="BY136" s="2" t="s">
        <v>109</v>
      </c>
      <c r="BZ136" s="2" t="s">
        <v>98</v>
      </c>
    </row>
    <row r="137">
      <c r="A137" s="2" t="s">
        <v>760</v>
      </c>
      <c r="B137" s="2" t="s">
        <v>656</v>
      </c>
      <c r="C137" s="2" t="s">
        <v>88</v>
      </c>
      <c r="D137" s="2" t="s">
        <v>751</v>
      </c>
      <c r="E137" s="2" t="s">
        <v>658</v>
      </c>
      <c r="F137" s="2" t="s">
        <v>761</v>
      </c>
      <c r="G137" s="2" t="s">
        <v>761</v>
      </c>
      <c r="H137" s="2" t="s">
        <v>761</v>
      </c>
      <c r="I137" s="2" t="s">
        <v>762</v>
      </c>
      <c r="J137" s="2" t="s">
        <v>661</v>
      </c>
      <c r="K137" s="2" t="s">
        <v>395</v>
      </c>
      <c r="L137" s="3">
        <v>40.8</v>
      </c>
      <c r="M137" s="3">
        <v>42.84</v>
      </c>
      <c r="N137" s="3">
        <v>84.99</v>
      </c>
      <c r="O137" s="2" t="s">
        <v>95</v>
      </c>
      <c r="P137" s="2" t="s">
        <v>140</v>
      </c>
      <c r="Q137" s="2" t="s">
        <v>97</v>
      </c>
      <c r="R137" s="2" t="s">
        <v>98</v>
      </c>
      <c r="S137" s="2" t="s">
        <v>763</v>
      </c>
      <c r="T137" s="2" t="s">
        <v>98</v>
      </c>
      <c r="U137" s="2" t="s">
        <v>590</v>
      </c>
      <c r="V137" s="2" t="s">
        <v>745</v>
      </c>
      <c r="W137" s="2" t="s">
        <v>242</v>
      </c>
      <c r="X137" s="2" t="s">
        <v>674</v>
      </c>
      <c r="Y137" s="2" t="s">
        <v>764</v>
      </c>
      <c r="Z137" s="4">
        <v>42</v>
      </c>
      <c r="AA137" s="4">
        <f>=ROUNDDOWN(12.7272727272727,0)</f>
      </c>
      <c r="AB137" s="5">
        <v>3.3</v>
      </c>
      <c r="AC137" s="2" t="s">
        <v>765</v>
      </c>
      <c r="AD137" s="4">
        <v>100</v>
      </c>
      <c r="AE137" s="4">
        <v>100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98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95</v>
      </c>
      <c r="BW137" s="2" t="s">
        <v>144</v>
      </c>
      <c r="BX137" s="2" t="s">
        <v>766</v>
      </c>
      <c r="BY137" s="2" t="s">
        <v>109</v>
      </c>
      <c r="BZ137" s="2" t="s">
        <v>98</v>
      </c>
    </row>
    <row r="138">
      <c r="A138" s="2" t="s">
        <v>767</v>
      </c>
      <c r="B138" s="2" t="s">
        <v>656</v>
      </c>
      <c r="C138" s="2" t="s">
        <v>88</v>
      </c>
      <c r="D138" s="2" t="s">
        <v>751</v>
      </c>
      <c r="E138" s="2" t="s">
        <v>768</v>
      </c>
      <c r="F138" s="2" t="s">
        <v>769</v>
      </c>
      <c r="G138" s="2" t="s">
        <v>769</v>
      </c>
      <c r="H138" s="2" t="s">
        <v>769</v>
      </c>
      <c r="I138" s="2" t="s">
        <v>770</v>
      </c>
      <c r="J138" s="2" t="s">
        <v>661</v>
      </c>
      <c r="K138" s="2" t="s">
        <v>755</v>
      </c>
      <c r="L138" s="3">
        <v>52.38</v>
      </c>
      <c r="M138" s="3">
        <v>55</v>
      </c>
      <c r="N138" s="3">
        <v>109.99</v>
      </c>
      <c r="O138" s="2" t="s">
        <v>95</v>
      </c>
      <c r="P138" s="2" t="s">
        <v>714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590</v>
      </c>
      <c r="V138" s="2" t="s">
        <v>673</v>
      </c>
      <c r="W138" s="2" t="s">
        <v>242</v>
      </c>
      <c r="X138" s="2" t="s">
        <v>384</v>
      </c>
      <c r="Y138" s="2" t="s">
        <v>664</v>
      </c>
      <c r="Z138" s="4">
        <v>18</v>
      </c>
      <c r="AA138" s="4">
        <f>=ROUNDDOWN(18,0)</f>
      </c>
      <c r="AB138" s="5">
        <v>1</v>
      </c>
      <c r="AC138" s="2" t="s">
        <v>98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3</v>
      </c>
      <c r="BK138" s="8">
        <v>167.75</v>
      </c>
      <c r="BL138" s="2" t="s">
        <v>614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95</v>
      </c>
      <c r="BW138" s="2" t="s">
        <v>665</v>
      </c>
      <c r="BX138" s="2" t="s">
        <v>771</v>
      </c>
      <c r="BY138" s="2" t="s">
        <v>109</v>
      </c>
      <c r="BZ138" s="2" t="s">
        <v>98</v>
      </c>
    </row>
    <row r="139">
      <c r="A139" s="2" t="s">
        <v>772</v>
      </c>
      <c r="B139" s="2" t="s">
        <v>656</v>
      </c>
      <c r="C139" s="2" t="s">
        <v>88</v>
      </c>
      <c r="D139" s="2" t="s">
        <v>751</v>
      </c>
      <c r="E139" s="2" t="s">
        <v>768</v>
      </c>
      <c r="F139" s="2" t="s">
        <v>773</v>
      </c>
      <c r="G139" s="2" t="s">
        <v>773</v>
      </c>
      <c r="H139" s="2" t="s">
        <v>773</v>
      </c>
      <c r="I139" s="2" t="s">
        <v>774</v>
      </c>
      <c r="J139" s="2" t="s">
        <v>661</v>
      </c>
      <c r="K139" s="2" t="s">
        <v>367</v>
      </c>
      <c r="L139" s="3">
        <v>37.19</v>
      </c>
      <c r="M139" s="3">
        <v>39.05</v>
      </c>
      <c r="N139" s="3">
        <v>78.19</v>
      </c>
      <c r="O139" s="2" t="s">
        <v>95</v>
      </c>
      <c r="P139" s="2" t="s">
        <v>128</v>
      </c>
      <c r="Q139" s="2" t="s">
        <v>97</v>
      </c>
      <c r="R139" s="2" t="s">
        <v>98</v>
      </c>
      <c r="S139" s="2" t="s">
        <v>775</v>
      </c>
      <c r="T139" s="2" t="s">
        <v>98</v>
      </c>
      <c r="U139" s="2" t="s">
        <v>590</v>
      </c>
      <c r="V139" s="2" t="s">
        <v>208</v>
      </c>
      <c r="W139" s="2" t="s">
        <v>729</v>
      </c>
      <c r="X139" s="2" t="s">
        <v>98</v>
      </c>
      <c r="Y139" s="2" t="s">
        <v>776</v>
      </c>
      <c r="Z139" s="4">
        <v>59</v>
      </c>
      <c r="AA139" s="4">
        <f>=ROUNDDOWN(53.6363636363636,0)</f>
      </c>
      <c r="AB139" s="5">
        <v>1.1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</v>
      </c>
      <c r="BK139" s="8">
        <v>42.17</v>
      </c>
      <c r="BL139" s="2" t="s">
        <v>777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95</v>
      </c>
      <c r="BW139" s="2" t="s">
        <v>778</v>
      </c>
      <c r="BX139" s="2" t="s">
        <v>779</v>
      </c>
      <c r="BY139" s="2" t="s">
        <v>109</v>
      </c>
      <c r="BZ139" s="2" t="s">
        <v>98</v>
      </c>
    </row>
    <row r="140">
      <c r="A140" s="2" t="s">
        <v>780</v>
      </c>
      <c r="B140" s="2" t="s">
        <v>656</v>
      </c>
      <c r="C140" s="2" t="s">
        <v>88</v>
      </c>
      <c r="D140" s="2" t="s">
        <v>751</v>
      </c>
      <c r="E140" s="2" t="s">
        <v>768</v>
      </c>
      <c r="F140" s="2" t="s">
        <v>781</v>
      </c>
      <c r="G140" s="2" t="s">
        <v>781</v>
      </c>
      <c r="H140" s="2" t="s">
        <v>781</v>
      </c>
      <c r="I140" s="2" t="s">
        <v>782</v>
      </c>
      <c r="J140" s="2" t="s">
        <v>661</v>
      </c>
      <c r="K140" s="2" t="s">
        <v>564</v>
      </c>
      <c r="L140" s="3">
        <v>22.24</v>
      </c>
      <c r="M140" s="3">
        <v>23.35</v>
      </c>
      <c r="N140" s="3">
        <v>50.99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783</v>
      </c>
      <c r="T140" s="2" t="s">
        <v>98</v>
      </c>
      <c r="U140" s="2" t="s">
        <v>590</v>
      </c>
      <c r="V140" s="2" t="s">
        <v>208</v>
      </c>
      <c r="W140" s="2" t="s">
        <v>729</v>
      </c>
      <c r="X140" s="2" t="s">
        <v>98</v>
      </c>
      <c r="Y140" s="2" t="s">
        <v>542</v>
      </c>
      <c r="Z140" s="4">
        <v>357</v>
      </c>
      <c r="AA140" s="4">
        <f>=ROUNDDOWN(20.7558139534884,0)</f>
      </c>
      <c r="AB140" s="5">
        <v>17.2</v>
      </c>
      <c r="AC140" s="2" t="s">
        <v>250</v>
      </c>
      <c r="AD140" s="4">
        <v>100</v>
      </c>
      <c r="AE140" s="4">
        <v>100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10</v>
      </c>
      <c r="BK140" s="8">
        <v>281.1</v>
      </c>
      <c r="BL140" s="2" t="s">
        <v>784</v>
      </c>
      <c r="BM140" s="7"/>
      <c r="BN140" s="7"/>
      <c r="BO140" s="4"/>
      <c r="BP140" s="8"/>
      <c r="BQ140" s="4"/>
      <c r="BR140" s="8"/>
      <c r="BS140" s="7"/>
      <c r="BT140" s="7"/>
      <c r="BU140" s="2" t="s">
        <v>106</v>
      </c>
      <c r="BV140" s="2" t="s">
        <v>95</v>
      </c>
      <c r="BW140" s="2" t="s">
        <v>778</v>
      </c>
      <c r="BX140" s="2" t="s">
        <v>256</v>
      </c>
      <c r="BY140" s="2" t="s">
        <v>109</v>
      </c>
      <c r="BZ140" s="2" t="s">
        <v>98</v>
      </c>
    </row>
    <row r="141">
      <c r="A141" s="2" t="s">
        <v>785</v>
      </c>
      <c r="B141" s="2" t="s">
        <v>656</v>
      </c>
      <c r="C141" s="2" t="s">
        <v>88</v>
      </c>
      <c r="D141" s="2" t="s">
        <v>751</v>
      </c>
      <c r="E141" s="2" t="s">
        <v>768</v>
      </c>
      <c r="F141" s="2" t="s">
        <v>786</v>
      </c>
      <c r="G141" s="2" t="s">
        <v>786</v>
      </c>
      <c r="H141" s="2" t="s">
        <v>786</v>
      </c>
      <c r="I141" s="2" t="s">
        <v>787</v>
      </c>
      <c r="J141" s="2" t="s">
        <v>661</v>
      </c>
      <c r="K141" s="2" t="s">
        <v>367</v>
      </c>
      <c r="L141" s="3">
        <v>66.56</v>
      </c>
      <c r="M141" s="3">
        <v>69.89</v>
      </c>
      <c r="N141" s="3">
        <v>144.49</v>
      </c>
      <c r="O141" s="2" t="s">
        <v>95</v>
      </c>
      <c r="P141" s="2" t="s">
        <v>140</v>
      </c>
      <c r="Q141" s="2" t="s">
        <v>97</v>
      </c>
      <c r="R141" s="2" t="s">
        <v>98</v>
      </c>
      <c r="S141" s="2" t="s">
        <v>788</v>
      </c>
      <c r="T141" s="2" t="s">
        <v>98</v>
      </c>
      <c r="U141" s="2" t="s">
        <v>590</v>
      </c>
      <c r="V141" s="2" t="s">
        <v>208</v>
      </c>
      <c r="W141" s="2" t="s">
        <v>242</v>
      </c>
      <c r="X141" s="2" t="s">
        <v>98</v>
      </c>
      <c r="Y141" s="2" t="s">
        <v>789</v>
      </c>
      <c r="Z141" s="4">
        <v>63</v>
      </c>
      <c r="AA141" s="4">
        <f>=ROUNDDOWN(14.6511627906977,0)</f>
      </c>
      <c r="AB141" s="5">
        <v>4.3</v>
      </c>
      <c r="AC141" s="2" t="s">
        <v>250</v>
      </c>
      <c r="AD141" s="4">
        <v>60</v>
      </c>
      <c r="AE141" s="4">
        <v>60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3</v>
      </c>
      <c r="BK141" s="8">
        <v>202.71</v>
      </c>
      <c r="BL141" s="2" t="s">
        <v>790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95</v>
      </c>
      <c r="BW141" s="2" t="s">
        <v>704</v>
      </c>
      <c r="BX141" s="2" t="s">
        <v>791</v>
      </c>
      <c r="BY141" s="2" t="s">
        <v>109</v>
      </c>
      <c r="BZ141" s="2" t="s">
        <v>98</v>
      </c>
    </row>
    <row r="142">
      <c r="A142" s="2" t="s">
        <v>792</v>
      </c>
      <c r="B142" s="2" t="s">
        <v>656</v>
      </c>
      <c r="C142" s="2" t="s">
        <v>88</v>
      </c>
      <c r="D142" s="2" t="s">
        <v>793</v>
      </c>
      <c r="E142" s="2" t="s">
        <v>658</v>
      </c>
      <c r="F142" s="2" t="s">
        <v>794</v>
      </c>
      <c r="G142" s="2" t="s">
        <v>794</v>
      </c>
      <c r="H142" s="2" t="s">
        <v>794</v>
      </c>
      <c r="I142" s="2" t="s">
        <v>795</v>
      </c>
      <c r="J142" s="2" t="s">
        <v>661</v>
      </c>
      <c r="K142" s="2" t="s">
        <v>796</v>
      </c>
      <c r="L142" s="3">
        <v>50</v>
      </c>
      <c r="M142" s="3">
        <v>52.5</v>
      </c>
      <c r="N142" s="3">
        <v>104.99</v>
      </c>
      <c r="O142" s="2" t="s">
        <v>95</v>
      </c>
      <c r="P142" s="2" t="s">
        <v>140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662</v>
      </c>
      <c r="V142" s="2" t="s">
        <v>369</v>
      </c>
      <c r="W142" s="2" t="s">
        <v>242</v>
      </c>
      <c r="X142" s="2" t="s">
        <v>98</v>
      </c>
      <c r="Y142" s="2" t="s">
        <v>682</v>
      </c>
      <c r="Z142" s="4">
        <v>87</v>
      </c>
      <c r="AA142" s="4">
        <f>=ROUNDDOWN(21.75,0)</f>
      </c>
      <c r="AB142" s="5">
        <v>4</v>
      </c>
      <c r="AC142" s="2" t="s">
        <v>98</v>
      </c>
      <c r="AD142" s="4"/>
      <c r="AE142" s="4"/>
      <c r="AF142" s="6">
        <v>61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7</v>
      </c>
      <c r="BK142" s="8">
        <v>383.23</v>
      </c>
      <c r="BL142" s="2" t="s">
        <v>797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95</v>
      </c>
      <c r="BW142" s="2" t="s">
        <v>665</v>
      </c>
      <c r="BX142" s="2" t="s">
        <v>798</v>
      </c>
      <c r="BY142" s="2" t="s">
        <v>109</v>
      </c>
      <c r="BZ142" s="2" t="s">
        <v>98</v>
      </c>
    </row>
    <row r="143">
      <c r="A143" s="2" t="s">
        <v>799</v>
      </c>
      <c r="B143" s="2" t="s">
        <v>800</v>
      </c>
      <c r="C143" s="2" t="s">
        <v>88</v>
      </c>
      <c r="D143" s="2" t="s">
        <v>801</v>
      </c>
      <c r="E143" s="2" t="s">
        <v>802</v>
      </c>
      <c r="F143" s="2" t="s">
        <v>803</v>
      </c>
      <c r="G143" s="2" t="s">
        <v>803</v>
      </c>
      <c r="H143" s="2" t="s">
        <v>803</v>
      </c>
      <c r="I143" s="2" t="s">
        <v>804</v>
      </c>
      <c r="J143" s="2" t="s">
        <v>805</v>
      </c>
      <c r="K143" s="2" t="s">
        <v>367</v>
      </c>
      <c r="L143" s="3">
        <v>22.5</v>
      </c>
      <c r="M143" s="3">
        <v>23.63</v>
      </c>
      <c r="N143" s="3">
        <v>49.99</v>
      </c>
      <c r="O143" s="2" t="s">
        <v>95</v>
      </c>
      <c r="P143" s="2" t="s">
        <v>185</v>
      </c>
      <c r="Q143" s="2" t="s">
        <v>97</v>
      </c>
      <c r="R143" s="2" t="s">
        <v>98</v>
      </c>
      <c r="S143" s="2" t="s">
        <v>806</v>
      </c>
      <c r="T143" s="2" t="s">
        <v>130</v>
      </c>
      <c r="U143" s="2" t="s">
        <v>590</v>
      </c>
      <c r="V143" s="2" t="s">
        <v>102</v>
      </c>
      <c r="W143" s="2" t="s">
        <v>163</v>
      </c>
      <c r="X143" s="2" t="s">
        <v>243</v>
      </c>
      <c r="Y143" s="2" t="s">
        <v>807</v>
      </c>
      <c r="Z143" s="4">
        <v>1695</v>
      </c>
      <c r="AA143" s="4">
        <f>=ROUNDDOWN(23.2191780821918,0)</f>
      </c>
      <c r="AB143" s="5">
        <v>73</v>
      </c>
      <c r="AC143" s="2" t="s">
        <v>230</v>
      </c>
      <c r="AD143" s="4">
        <v>200</v>
      </c>
      <c r="AE143" s="4">
        <v>520</v>
      </c>
      <c r="AF143" s="6">
        <v>70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/>
      <c r="AP143" s="4">
        <v>6</v>
      </c>
      <c r="AQ143" s="8">
        <v>153.12</v>
      </c>
      <c r="AR143" s="4"/>
      <c r="AS143" s="8"/>
      <c r="AT143" s="7"/>
      <c r="AU143" s="7"/>
      <c r="AV143" s="4">
        <v>17</v>
      </c>
      <c r="AW143" s="8">
        <v>324.06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>
        <v>0.4725</v>
      </c>
      <c r="BC143" s="4">
        <v>34</v>
      </c>
      <c r="BD143" s="8">
        <v>638.14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0.5078</v>
      </c>
      <c r="BJ143" s="4">
        <v>46</v>
      </c>
      <c r="BK143" s="8">
        <v>1083.62</v>
      </c>
      <c r="BL143" s="2" t="s">
        <v>808</v>
      </c>
      <c r="BM143" s="7">
        <v>0.1304</v>
      </c>
      <c r="BN143" s="7">
        <v>0.1413</v>
      </c>
      <c r="BO143" s="4">
        <v>6</v>
      </c>
      <c r="BP143" s="8">
        <v>153.12</v>
      </c>
      <c r="BQ143" s="4"/>
      <c r="BR143" s="8"/>
      <c r="BS143" s="7"/>
      <c r="BT143" s="7"/>
      <c r="BU143" s="2" t="s">
        <v>106</v>
      </c>
      <c r="BV143" s="2" t="s">
        <v>95</v>
      </c>
      <c r="BW143" s="2" t="s">
        <v>809</v>
      </c>
      <c r="BX143" s="2" t="s">
        <v>810</v>
      </c>
      <c r="BY143" s="2" t="s">
        <v>109</v>
      </c>
      <c r="BZ143" s="2" t="s">
        <v>98</v>
      </c>
    </row>
    <row r="144">
      <c r="A144" s="2" t="s">
        <v>811</v>
      </c>
      <c r="B144" s="2" t="s">
        <v>800</v>
      </c>
      <c r="C144" s="2" t="s">
        <v>88</v>
      </c>
      <c r="D144" s="2" t="s">
        <v>801</v>
      </c>
      <c r="E144" s="2" t="s">
        <v>802</v>
      </c>
      <c r="F144" s="2" t="s">
        <v>803</v>
      </c>
      <c r="G144" s="2" t="s">
        <v>803</v>
      </c>
      <c r="H144" s="2" t="s">
        <v>803</v>
      </c>
      <c r="I144" s="2" t="s">
        <v>804</v>
      </c>
      <c r="J144" s="2" t="s">
        <v>812</v>
      </c>
      <c r="K144" s="2" t="s">
        <v>367</v>
      </c>
      <c r="L144" s="3">
        <v>13.7</v>
      </c>
      <c r="M144" s="3">
        <v>14.39</v>
      </c>
      <c r="N144" s="3">
        <v>31.99</v>
      </c>
      <c r="O144" s="2" t="s">
        <v>95</v>
      </c>
      <c r="P144" s="2" t="s">
        <v>96</v>
      </c>
      <c r="Q144" s="2" t="s">
        <v>97</v>
      </c>
      <c r="R144" s="2" t="s">
        <v>98</v>
      </c>
      <c r="S144" s="2" t="s">
        <v>806</v>
      </c>
      <c r="T144" s="2" t="s">
        <v>130</v>
      </c>
      <c r="U144" s="2" t="s">
        <v>590</v>
      </c>
      <c r="V144" s="2" t="s">
        <v>102</v>
      </c>
      <c r="W144" s="2" t="s">
        <v>163</v>
      </c>
      <c r="X144" s="2" t="s">
        <v>243</v>
      </c>
      <c r="Y144" s="2" t="s">
        <v>813</v>
      </c>
      <c r="Z144" s="4">
        <v>2832</v>
      </c>
      <c r="AA144" s="4">
        <f>=ROUNDDOWN(23.2131147540984,0)</f>
      </c>
      <c r="AB144" s="5">
        <v>122</v>
      </c>
      <c r="AC144" s="2" t="s">
        <v>230</v>
      </c>
      <c r="AD144" s="4">
        <v>760</v>
      </c>
      <c r="AE144" s="4">
        <v>1240</v>
      </c>
      <c r="AF144" s="6">
        <v>70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/>
      <c r="AP144" s="4">
        <v>11</v>
      </c>
      <c r="AQ144" s="8">
        <v>170.94</v>
      </c>
      <c r="AR144" s="4"/>
      <c r="AS144" s="8"/>
      <c r="AT144" s="7"/>
      <c r="AU144" s="7"/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>
        <v>0.5275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 t="s">
        <v>98</v>
      </c>
      <c r="BJ144" s="4">
        <v>86</v>
      </c>
      <c r="BK144" s="8">
        <v>1200.65</v>
      </c>
      <c r="BL144" s="2" t="s">
        <v>814</v>
      </c>
      <c r="BM144" s="7">
        <v>0.1279</v>
      </c>
      <c r="BN144" s="7">
        <v>0.1424</v>
      </c>
      <c r="BO144" s="4">
        <v>11</v>
      </c>
      <c r="BP144" s="8">
        <v>170.94</v>
      </c>
      <c r="BQ144" s="4"/>
      <c r="BR144" s="8"/>
      <c r="BS144" s="7"/>
      <c r="BT144" s="7"/>
      <c r="BU144" s="2" t="s">
        <v>106</v>
      </c>
      <c r="BV144" s="2" t="s">
        <v>95</v>
      </c>
      <c r="BW144" s="2" t="s">
        <v>815</v>
      </c>
      <c r="BX144" s="2" t="s">
        <v>142</v>
      </c>
      <c r="BY144" s="2" t="s">
        <v>109</v>
      </c>
      <c r="BZ144" s="2" t="s">
        <v>98</v>
      </c>
    </row>
    <row r="145">
      <c r="A145" s="2" t="s">
        <v>816</v>
      </c>
      <c r="B145" s="2" t="s">
        <v>800</v>
      </c>
      <c r="C145" s="2" t="s">
        <v>88</v>
      </c>
      <c r="D145" s="2" t="s">
        <v>801</v>
      </c>
      <c r="E145" s="2" t="s">
        <v>802</v>
      </c>
      <c r="F145" s="2" t="s">
        <v>803</v>
      </c>
      <c r="G145" s="2" t="s">
        <v>803</v>
      </c>
      <c r="H145" s="2" t="s">
        <v>803</v>
      </c>
      <c r="I145" s="2" t="s">
        <v>804</v>
      </c>
      <c r="J145" s="2" t="s">
        <v>805</v>
      </c>
      <c r="K145" s="2" t="s">
        <v>564</v>
      </c>
      <c r="L145" s="3">
        <v>22.5</v>
      </c>
      <c r="M145" s="3">
        <v>23.63</v>
      </c>
      <c r="N145" s="3">
        <v>49.99</v>
      </c>
      <c r="O145" s="2" t="s">
        <v>95</v>
      </c>
      <c r="P145" s="2" t="s">
        <v>177</v>
      </c>
      <c r="Q145" s="2" t="s">
        <v>97</v>
      </c>
      <c r="R145" s="2" t="s">
        <v>98</v>
      </c>
      <c r="S145" s="2" t="s">
        <v>817</v>
      </c>
      <c r="T145" s="2" t="s">
        <v>130</v>
      </c>
      <c r="U145" s="2" t="s">
        <v>590</v>
      </c>
      <c r="V145" s="2" t="s">
        <v>102</v>
      </c>
      <c r="W145" s="2" t="s">
        <v>243</v>
      </c>
      <c r="X145" s="2" t="s">
        <v>440</v>
      </c>
      <c r="Y145" s="2" t="s">
        <v>818</v>
      </c>
      <c r="Z145" s="4">
        <v>610</v>
      </c>
      <c r="AA145" s="4">
        <f>=ROUNDDOWN(16.4864864864865,0)</f>
      </c>
      <c r="AB145" s="5">
        <v>37</v>
      </c>
      <c r="AC145" s="2" t="s">
        <v>819</v>
      </c>
      <c r="AD145" s="4">
        <v>200</v>
      </c>
      <c r="AE145" s="4">
        <v>552</v>
      </c>
      <c r="AF145" s="6">
        <v>70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/>
      <c r="AP145" s="4">
        <v>2</v>
      </c>
      <c r="AQ145" s="8">
        <v>51.04</v>
      </c>
      <c r="AR145" s="4"/>
      <c r="AS145" s="8"/>
      <c r="AT145" s="7"/>
      <c r="AU145" s="7"/>
      <c r="AV145" s="4">
        <v>14</v>
      </c>
      <c r="AW145" s="8">
        <v>237.52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0.2149</v>
      </c>
      <c r="BC145" s="4" t="s">
        <v>98</v>
      </c>
      <c r="BD145" s="8" t="s">
        <v>98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0.3722</v>
      </c>
      <c r="BJ145" s="4">
        <v>18</v>
      </c>
      <c r="BK145" s="8">
        <v>409.71</v>
      </c>
      <c r="BL145" s="2" t="s">
        <v>556</v>
      </c>
      <c r="BM145" s="7">
        <v>0.1111</v>
      </c>
      <c r="BN145" s="7">
        <v>0.1246</v>
      </c>
      <c r="BO145" s="4">
        <v>2</v>
      </c>
      <c r="BP145" s="8">
        <v>51.04</v>
      </c>
      <c r="BQ145" s="4"/>
      <c r="BR145" s="8"/>
      <c r="BS145" s="7"/>
      <c r="BT145" s="7"/>
      <c r="BU145" s="2" t="s">
        <v>106</v>
      </c>
      <c r="BV145" s="2" t="s">
        <v>95</v>
      </c>
      <c r="BW145" s="2" t="s">
        <v>820</v>
      </c>
      <c r="BX145" s="2" t="s">
        <v>821</v>
      </c>
      <c r="BY145" s="2" t="s">
        <v>109</v>
      </c>
      <c r="BZ145" s="2" t="s">
        <v>98</v>
      </c>
    </row>
    <row r="146">
      <c r="A146" s="2" t="s">
        <v>822</v>
      </c>
      <c r="B146" s="2" t="s">
        <v>800</v>
      </c>
      <c r="C146" s="2" t="s">
        <v>88</v>
      </c>
      <c r="D146" s="2" t="s">
        <v>801</v>
      </c>
      <c r="E146" s="2" t="s">
        <v>802</v>
      </c>
      <c r="F146" s="2" t="s">
        <v>803</v>
      </c>
      <c r="G146" s="2" t="s">
        <v>803</v>
      </c>
      <c r="H146" s="2" t="s">
        <v>803</v>
      </c>
      <c r="I146" s="2" t="s">
        <v>804</v>
      </c>
      <c r="J146" s="2" t="s">
        <v>812</v>
      </c>
      <c r="K146" s="2" t="s">
        <v>564</v>
      </c>
      <c r="L146" s="3">
        <v>13.7</v>
      </c>
      <c r="M146" s="3">
        <v>14.39</v>
      </c>
      <c r="N146" s="3">
        <v>31.99</v>
      </c>
      <c r="O146" s="2" t="s">
        <v>95</v>
      </c>
      <c r="P146" s="2" t="s">
        <v>177</v>
      </c>
      <c r="Q146" s="2" t="s">
        <v>97</v>
      </c>
      <c r="R146" s="2" t="s">
        <v>98</v>
      </c>
      <c r="S146" s="2" t="s">
        <v>817</v>
      </c>
      <c r="T146" s="2" t="s">
        <v>130</v>
      </c>
      <c r="U146" s="2" t="s">
        <v>590</v>
      </c>
      <c r="V146" s="2" t="s">
        <v>102</v>
      </c>
      <c r="W146" s="2" t="s">
        <v>243</v>
      </c>
      <c r="X146" s="2" t="s">
        <v>440</v>
      </c>
      <c r="Y146" s="2" t="s">
        <v>818</v>
      </c>
      <c r="Z146" s="4">
        <v>749</v>
      </c>
      <c r="AA146" s="4">
        <f>=ROUNDDOWN(12.0806451612903,0)</f>
      </c>
      <c r="AB146" s="5">
        <v>62</v>
      </c>
      <c r="AC146" s="2" t="s">
        <v>819</v>
      </c>
      <c r="AD146" s="4">
        <v>600</v>
      </c>
      <c r="AE146" s="4">
        <v>1052</v>
      </c>
      <c r="AF146" s="6">
        <v>70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/>
      <c r="AP146" s="4">
        <v>12</v>
      </c>
      <c r="AQ146" s="8">
        <v>186.48</v>
      </c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0.7851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45</v>
      </c>
      <c r="BK146" s="8">
        <v>657.7</v>
      </c>
      <c r="BL146" s="2" t="s">
        <v>823</v>
      </c>
      <c r="BM146" s="7">
        <v>0.2667</v>
      </c>
      <c r="BN146" s="7">
        <v>0.2835</v>
      </c>
      <c r="BO146" s="4">
        <v>12</v>
      </c>
      <c r="BP146" s="8">
        <v>186.48</v>
      </c>
      <c r="BQ146" s="4"/>
      <c r="BR146" s="8"/>
      <c r="BS146" s="7"/>
      <c r="BT146" s="7"/>
      <c r="BU146" s="2" t="s">
        <v>106</v>
      </c>
      <c r="BV146" s="2" t="s">
        <v>95</v>
      </c>
      <c r="BW146" s="2" t="s">
        <v>820</v>
      </c>
      <c r="BX146" s="2" t="s">
        <v>821</v>
      </c>
      <c r="BY146" s="2" t="s">
        <v>109</v>
      </c>
      <c r="BZ146" s="2" t="s">
        <v>98</v>
      </c>
    </row>
    <row r="147">
      <c r="A147" s="2" t="s">
        <v>824</v>
      </c>
      <c r="B147" s="2" t="s">
        <v>800</v>
      </c>
      <c r="C147" s="2" t="s">
        <v>88</v>
      </c>
      <c r="D147" s="2" t="s">
        <v>801</v>
      </c>
      <c r="E147" s="2" t="s">
        <v>802</v>
      </c>
      <c r="F147" s="2" t="s">
        <v>803</v>
      </c>
      <c r="G147" s="2" t="s">
        <v>803</v>
      </c>
      <c r="H147" s="2" t="s">
        <v>803</v>
      </c>
      <c r="I147" s="2" t="s">
        <v>804</v>
      </c>
      <c r="J147" s="2" t="s">
        <v>805</v>
      </c>
      <c r="K147" s="2" t="s">
        <v>631</v>
      </c>
      <c r="L147" s="3">
        <v>22.5</v>
      </c>
      <c r="M147" s="3">
        <v>23.63</v>
      </c>
      <c r="N147" s="3">
        <v>49.99</v>
      </c>
      <c r="O147" s="2" t="s">
        <v>95</v>
      </c>
      <c r="P147" s="2" t="s">
        <v>185</v>
      </c>
      <c r="Q147" s="2" t="s">
        <v>97</v>
      </c>
      <c r="R147" s="2" t="s">
        <v>98</v>
      </c>
      <c r="S147" s="2" t="s">
        <v>825</v>
      </c>
      <c r="T147" s="2" t="s">
        <v>130</v>
      </c>
      <c r="U147" s="2" t="s">
        <v>590</v>
      </c>
      <c r="V147" s="2" t="s">
        <v>102</v>
      </c>
      <c r="W147" s="2" t="s">
        <v>163</v>
      </c>
      <c r="X147" s="2" t="s">
        <v>243</v>
      </c>
      <c r="Y147" s="2" t="s">
        <v>826</v>
      </c>
      <c r="Z147" s="4">
        <v>1273</v>
      </c>
      <c r="AA147" s="4">
        <f>=ROUNDDOWN(17.6805555555556,0)</f>
      </c>
      <c r="AB147" s="5">
        <v>72</v>
      </c>
      <c r="AC147" s="2" t="s">
        <v>230</v>
      </c>
      <c r="AD147" s="4">
        <v>500</v>
      </c>
      <c r="AE147" s="4">
        <v>1420</v>
      </c>
      <c r="AF147" s="6">
        <v>70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3</v>
      </c>
      <c r="AQ147" s="8">
        <v>76.56</v>
      </c>
      <c r="AR147" s="4"/>
      <c r="AS147" s="8"/>
      <c r="AT147" s="7"/>
      <c r="AU147" s="7"/>
      <c r="AV147" s="4">
        <v>3</v>
      </c>
      <c r="AW147" s="8">
        <v>76.56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1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0.12</v>
      </c>
      <c r="BJ147" s="4">
        <v>45</v>
      </c>
      <c r="BK147" s="8">
        <v>1089.79</v>
      </c>
      <c r="BL147" s="2" t="s">
        <v>827</v>
      </c>
      <c r="BM147" s="7">
        <v>0.0667</v>
      </c>
      <c r="BN147" s="7">
        <v>0.0703</v>
      </c>
      <c r="BO147" s="4">
        <v>3</v>
      </c>
      <c r="BP147" s="8">
        <v>76.56</v>
      </c>
      <c r="BQ147" s="4"/>
      <c r="BR147" s="8"/>
      <c r="BS147" s="7"/>
      <c r="BT147" s="7"/>
      <c r="BU147" s="2" t="s">
        <v>106</v>
      </c>
      <c r="BV147" s="2" t="s">
        <v>95</v>
      </c>
      <c r="BW147" s="2" t="s">
        <v>809</v>
      </c>
      <c r="BX147" s="2" t="s">
        <v>828</v>
      </c>
      <c r="BY147" s="2" t="s">
        <v>109</v>
      </c>
      <c r="BZ147" s="2" t="s">
        <v>98</v>
      </c>
    </row>
    <row r="148">
      <c r="A148" s="2" t="s">
        <v>829</v>
      </c>
      <c r="B148" s="2" t="s">
        <v>800</v>
      </c>
      <c r="C148" s="2" t="s">
        <v>88</v>
      </c>
      <c r="D148" s="2" t="s">
        <v>801</v>
      </c>
      <c r="E148" s="2" t="s">
        <v>802</v>
      </c>
      <c r="F148" s="2" t="s">
        <v>803</v>
      </c>
      <c r="G148" s="2" t="s">
        <v>803</v>
      </c>
      <c r="H148" s="2" t="s">
        <v>803</v>
      </c>
      <c r="I148" s="2" t="s">
        <v>804</v>
      </c>
      <c r="J148" s="2" t="s">
        <v>812</v>
      </c>
      <c r="K148" s="2" t="s">
        <v>631</v>
      </c>
      <c r="L148" s="3">
        <v>13.7</v>
      </c>
      <c r="M148" s="3">
        <v>14.39</v>
      </c>
      <c r="N148" s="3">
        <v>31.99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825</v>
      </c>
      <c r="T148" s="2" t="s">
        <v>130</v>
      </c>
      <c r="U148" s="2" t="s">
        <v>590</v>
      </c>
      <c r="V148" s="2" t="s">
        <v>102</v>
      </c>
      <c r="W148" s="2" t="s">
        <v>163</v>
      </c>
      <c r="X148" s="2" t="s">
        <v>243</v>
      </c>
      <c r="Y148" s="2" t="s">
        <v>830</v>
      </c>
      <c r="Z148" s="4">
        <v>2587</v>
      </c>
      <c r="AA148" s="4">
        <f>=ROUNDDOWN(21.3801652892562,0)</f>
      </c>
      <c r="AB148" s="5">
        <v>121</v>
      </c>
      <c r="AC148" s="2" t="s">
        <v>230</v>
      </c>
      <c r="AD148" s="4">
        <v>900</v>
      </c>
      <c r="AE148" s="4">
        <v>1580</v>
      </c>
      <c r="AF148" s="6">
        <v>70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72</v>
      </c>
      <c r="BK148" s="8">
        <v>1052.45</v>
      </c>
      <c r="BL148" s="2" t="s">
        <v>831</v>
      </c>
      <c r="BM148" s="7"/>
      <c r="BN148" s="7"/>
      <c r="BO148" s="4"/>
      <c r="BP148" s="8"/>
      <c r="BQ148" s="4"/>
      <c r="BR148" s="8"/>
      <c r="BS148" s="7"/>
      <c r="BT148" s="7"/>
      <c r="BU148" s="2" t="s">
        <v>832</v>
      </c>
      <c r="BV148" s="2" t="s">
        <v>95</v>
      </c>
      <c r="BW148" s="2" t="s">
        <v>815</v>
      </c>
      <c r="BX148" s="2" t="s">
        <v>833</v>
      </c>
      <c r="BY148" s="2" t="s">
        <v>109</v>
      </c>
      <c r="BZ148" s="2" t="s">
        <v>98</v>
      </c>
    </row>
    <row r="149">
      <c r="A149" s="2" t="s">
        <v>834</v>
      </c>
      <c r="B149" s="2" t="s">
        <v>800</v>
      </c>
      <c r="C149" s="2" t="s">
        <v>88</v>
      </c>
      <c r="D149" s="2" t="s">
        <v>835</v>
      </c>
      <c r="E149" s="2" t="s">
        <v>836</v>
      </c>
      <c r="F149" s="2" t="s">
        <v>150</v>
      </c>
      <c r="G149" s="2" t="s">
        <v>150</v>
      </c>
      <c r="H149" s="2" t="s">
        <v>150</v>
      </c>
      <c r="I149" s="2" t="s">
        <v>837</v>
      </c>
      <c r="J149" s="2" t="s">
        <v>838</v>
      </c>
      <c r="K149" s="2" t="s">
        <v>839</v>
      </c>
      <c r="L149" s="3">
        <v>22.33</v>
      </c>
      <c r="M149" s="3">
        <v>23.45</v>
      </c>
      <c r="N149" s="3">
        <v>46.99</v>
      </c>
      <c r="O149" s="2" t="s">
        <v>95</v>
      </c>
      <c r="P149" s="2" t="s">
        <v>177</v>
      </c>
      <c r="Q149" s="2" t="s">
        <v>97</v>
      </c>
      <c r="R149" s="2" t="s">
        <v>98</v>
      </c>
      <c r="S149" s="2" t="s">
        <v>840</v>
      </c>
      <c r="T149" s="2" t="s">
        <v>130</v>
      </c>
      <c r="U149" s="2" t="s">
        <v>590</v>
      </c>
      <c r="V149" s="2" t="s">
        <v>102</v>
      </c>
      <c r="W149" s="2" t="s">
        <v>384</v>
      </c>
      <c r="X149" s="2" t="s">
        <v>164</v>
      </c>
      <c r="Y149" s="2" t="s">
        <v>841</v>
      </c>
      <c r="Z149" s="4">
        <v>1033</v>
      </c>
      <c r="AA149" s="4">
        <f>=ROUNDDOWN(17.5084745762712,0)</f>
      </c>
      <c r="AB149" s="5">
        <v>59</v>
      </c>
      <c r="AC149" s="2" t="s">
        <v>230</v>
      </c>
      <c r="AD149" s="4">
        <v>160</v>
      </c>
      <c r="AE149" s="4">
        <v>1672</v>
      </c>
      <c r="AF149" s="6">
        <v>69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/>
      <c r="AP149" s="4">
        <v>8</v>
      </c>
      <c r="AQ149" s="8">
        <v>202.56</v>
      </c>
      <c r="AR149" s="4"/>
      <c r="AS149" s="8"/>
      <c r="AT149" s="7"/>
      <c r="AU149" s="7"/>
      <c r="AV149" s="4">
        <v>8</v>
      </c>
      <c r="AW149" s="8">
        <v>202.56</v>
      </c>
      <c r="AX149" s="4"/>
      <c r="AY149" s="8"/>
      <c r="AZ149" s="7"/>
      <c r="BA149" s="7"/>
      <c r="BB149" s="7">
        <v>1</v>
      </c>
      <c r="BC149" s="4">
        <v>17</v>
      </c>
      <c r="BD149" s="8">
        <v>447.18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0.453</v>
      </c>
      <c r="BJ149" s="4">
        <v>30</v>
      </c>
      <c r="BK149" s="8">
        <v>756.68</v>
      </c>
      <c r="BL149" s="2" t="s">
        <v>842</v>
      </c>
      <c r="BM149" s="7">
        <v>0.2667</v>
      </c>
      <c r="BN149" s="7">
        <v>0.2677</v>
      </c>
      <c r="BO149" s="4">
        <v>8</v>
      </c>
      <c r="BP149" s="8">
        <v>202.56</v>
      </c>
      <c r="BQ149" s="4"/>
      <c r="BR149" s="8"/>
      <c r="BS149" s="7"/>
      <c r="BT149" s="7"/>
      <c r="BU149" s="2" t="s">
        <v>106</v>
      </c>
      <c r="BV149" s="2" t="s">
        <v>95</v>
      </c>
      <c r="BW149" s="2" t="s">
        <v>843</v>
      </c>
      <c r="BX149" s="2" t="s">
        <v>335</v>
      </c>
      <c r="BY149" s="2" t="s">
        <v>109</v>
      </c>
      <c r="BZ149" s="2" t="s">
        <v>98</v>
      </c>
    </row>
    <row r="150">
      <c r="A150" s="2" t="s">
        <v>844</v>
      </c>
      <c r="B150" s="2" t="s">
        <v>800</v>
      </c>
      <c r="C150" s="2" t="s">
        <v>88</v>
      </c>
      <c r="D150" s="2" t="s">
        <v>835</v>
      </c>
      <c r="E150" s="2" t="s">
        <v>836</v>
      </c>
      <c r="F150" s="2" t="s">
        <v>150</v>
      </c>
      <c r="G150" s="2" t="s">
        <v>150</v>
      </c>
      <c r="H150" s="2" t="s">
        <v>150</v>
      </c>
      <c r="I150" s="2" t="s">
        <v>837</v>
      </c>
      <c r="J150" s="2" t="s">
        <v>838</v>
      </c>
      <c r="K150" s="2" t="s">
        <v>152</v>
      </c>
      <c r="L150" s="3">
        <v>22.33</v>
      </c>
      <c r="M150" s="3">
        <v>23.45</v>
      </c>
      <c r="N150" s="3">
        <v>46.99</v>
      </c>
      <c r="O150" s="2" t="s">
        <v>95</v>
      </c>
      <c r="P150" s="2" t="s">
        <v>845</v>
      </c>
      <c r="Q150" s="2" t="s">
        <v>97</v>
      </c>
      <c r="R150" s="2" t="s">
        <v>98</v>
      </c>
      <c r="S150" s="2" t="s">
        <v>846</v>
      </c>
      <c r="T150" s="2" t="s">
        <v>130</v>
      </c>
      <c r="U150" s="2" t="s">
        <v>590</v>
      </c>
      <c r="V150" s="2" t="s">
        <v>102</v>
      </c>
      <c r="W150" s="2" t="s">
        <v>384</v>
      </c>
      <c r="X150" s="2" t="s">
        <v>164</v>
      </c>
      <c r="Y150" s="2" t="s">
        <v>289</v>
      </c>
      <c r="Z150" s="4">
        <v>3656</v>
      </c>
      <c r="AA150" s="4">
        <f>=ROUNDDOWN(21.3801169590643,0)</f>
      </c>
      <c r="AB150" s="5">
        <v>171</v>
      </c>
      <c r="AC150" s="2" t="s">
        <v>230</v>
      </c>
      <c r="AD150" s="4">
        <v>100</v>
      </c>
      <c r="AE150" s="4">
        <v>3224</v>
      </c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/>
      <c r="AP150" s="4">
        <v>6</v>
      </c>
      <c r="AQ150" s="8">
        <v>163.08</v>
      </c>
      <c r="AR150" s="4"/>
      <c r="AS150" s="8"/>
      <c r="AT150" s="7"/>
      <c r="AU150" s="7"/>
      <c r="AV150" s="4">
        <v>6</v>
      </c>
      <c r="AW150" s="8">
        <v>163.08</v>
      </c>
      <c r="AX150" s="4"/>
      <c r="AY150" s="8"/>
      <c r="AZ150" s="7"/>
      <c r="BA150" s="7"/>
      <c r="BB150" s="7">
        <v>1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0.3647</v>
      </c>
      <c r="BJ150" s="4">
        <v>55</v>
      </c>
      <c r="BK150" s="8">
        <v>1392.81</v>
      </c>
      <c r="BL150" s="2" t="s">
        <v>847</v>
      </c>
      <c r="BM150" s="7">
        <v>0.1091</v>
      </c>
      <c r="BN150" s="7">
        <v>0.1171</v>
      </c>
      <c r="BO150" s="4">
        <v>6</v>
      </c>
      <c r="BP150" s="8">
        <v>163.08</v>
      </c>
      <c r="BQ150" s="4"/>
      <c r="BR150" s="8"/>
      <c r="BS150" s="7"/>
      <c r="BT150" s="7"/>
      <c r="BU150" s="2" t="s">
        <v>106</v>
      </c>
      <c r="BV150" s="2" t="s">
        <v>95</v>
      </c>
      <c r="BW150" s="2" t="s">
        <v>848</v>
      </c>
      <c r="BX150" s="2" t="s">
        <v>849</v>
      </c>
      <c r="BY150" s="2" t="s">
        <v>109</v>
      </c>
      <c r="BZ150" s="2" t="s">
        <v>98</v>
      </c>
    </row>
    <row r="151">
      <c r="A151" s="2" t="s">
        <v>850</v>
      </c>
      <c r="B151" s="2" t="s">
        <v>800</v>
      </c>
      <c r="C151" s="2" t="s">
        <v>88</v>
      </c>
      <c r="D151" s="2" t="s">
        <v>835</v>
      </c>
      <c r="E151" s="2" t="s">
        <v>836</v>
      </c>
      <c r="F151" s="2" t="s">
        <v>150</v>
      </c>
      <c r="G151" s="2" t="s">
        <v>150</v>
      </c>
      <c r="H151" s="2" t="s">
        <v>150</v>
      </c>
      <c r="I151" s="2" t="s">
        <v>837</v>
      </c>
      <c r="J151" s="2" t="s">
        <v>838</v>
      </c>
      <c r="K151" s="2" t="s">
        <v>139</v>
      </c>
      <c r="L151" s="3">
        <v>22.33</v>
      </c>
      <c r="M151" s="3">
        <v>23.45</v>
      </c>
      <c r="N151" s="3">
        <v>46.99</v>
      </c>
      <c r="O151" s="2" t="s">
        <v>95</v>
      </c>
      <c r="P151" s="2" t="s">
        <v>140</v>
      </c>
      <c r="Q151" s="2" t="s">
        <v>97</v>
      </c>
      <c r="R151" s="2" t="s">
        <v>98</v>
      </c>
      <c r="S151" s="2" t="s">
        <v>851</v>
      </c>
      <c r="T151" s="2" t="s">
        <v>130</v>
      </c>
      <c r="U151" s="2" t="s">
        <v>590</v>
      </c>
      <c r="V151" s="2" t="s">
        <v>102</v>
      </c>
      <c r="W151" s="2" t="s">
        <v>384</v>
      </c>
      <c r="X151" s="2" t="s">
        <v>164</v>
      </c>
      <c r="Y151" s="2" t="s">
        <v>852</v>
      </c>
      <c r="Z151" s="4">
        <v>1275</v>
      </c>
      <c r="AA151" s="4">
        <f>=ROUNDDOWN(34.4594594594595,0)</f>
      </c>
      <c r="AB151" s="5">
        <v>37</v>
      </c>
      <c r="AC151" s="2" t="s">
        <v>98</v>
      </c>
      <c r="AD151" s="4"/>
      <c r="AE151" s="4"/>
      <c r="AF151" s="6">
        <v>69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/>
      <c r="AP151" s="4">
        <v>3</v>
      </c>
      <c r="AQ151" s="8">
        <v>81.54</v>
      </c>
      <c r="AR151" s="4"/>
      <c r="AS151" s="8"/>
      <c r="AT151" s="7"/>
      <c r="AU151" s="7"/>
      <c r="AV151" s="4">
        <v>3</v>
      </c>
      <c r="AW151" s="8">
        <v>81.54</v>
      </c>
      <c r="AX151" s="4"/>
      <c r="AY151" s="8"/>
      <c r="AZ151" s="7"/>
      <c r="BA151" s="7"/>
      <c r="BB151" s="7">
        <v>1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0.1823</v>
      </c>
      <c r="BJ151" s="4">
        <v>14</v>
      </c>
      <c r="BK151" s="8">
        <v>362.31</v>
      </c>
      <c r="BL151" s="2" t="s">
        <v>853</v>
      </c>
      <c r="BM151" s="7">
        <v>0.2143</v>
      </c>
      <c r="BN151" s="7">
        <v>0.2251</v>
      </c>
      <c r="BO151" s="4">
        <v>3</v>
      </c>
      <c r="BP151" s="8">
        <v>81.54</v>
      </c>
      <c r="BQ151" s="4"/>
      <c r="BR151" s="8"/>
      <c r="BS151" s="7"/>
      <c r="BT151" s="7"/>
      <c r="BU151" s="2" t="s">
        <v>106</v>
      </c>
      <c r="BV151" s="2" t="s">
        <v>95</v>
      </c>
      <c r="BW151" s="2" t="s">
        <v>854</v>
      </c>
      <c r="BX151" s="2" t="s">
        <v>855</v>
      </c>
      <c r="BY151" s="2" t="s">
        <v>109</v>
      </c>
      <c r="BZ151" s="2" t="s">
        <v>98</v>
      </c>
    </row>
    <row r="152">
      <c r="A152" s="2" t="s">
        <v>856</v>
      </c>
      <c r="B152" s="2" t="s">
        <v>800</v>
      </c>
      <c r="C152" s="2" t="s">
        <v>88</v>
      </c>
      <c r="D152" s="2" t="s">
        <v>835</v>
      </c>
      <c r="E152" s="2" t="s">
        <v>836</v>
      </c>
      <c r="F152" s="2" t="s">
        <v>349</v>
      </c>
      <c r="G152" s="2" t="s">
        <v>349</v>
      </c>
      <c r="H152" s="2" t="s">
        <v>349</v>
      </c>
      <c r="I152" s="2" t="s">
        <v>857</v>
      </c>
      <c r="J152" s="2" t="s">
        <v>838</v>
      </c>
      <c r="K152" s="2" t="s">
        <v>184</v>
      </c>
      <c r="L152" s="3">
        <v>17.6</v>
      </c>
      <c r="M152" s="3">
        <v>18.48</v>
      </c>
      <c r="N152" s="3">
        <v>39.99</v>
      </c>
      <c r="O152" s="2" t="s">
        <v>95</v>
      </c>
      <c r="P152" s="2" t="s">
        <v>140</v>
      </c>
      <c r="Q152" s="2" t="s">
        <v>97</v>
      </c>
      <c r="R152" s="2" t="s">
        <v>98</v>
      </c>
      <c r="S152" s="2" t="s">
        <v>351</v>
      </c>
      <c r="T152" s="2" t="s">
        <v>98</v>
      </c>
      <c r="U152" s="2" t="s">
        <v>98</v>
      </c>
      <c r="V152" s="2" t="s">
        <v>102</v>
      </c>
      <c r="W152" s="2" t="s">
        <v>242</v>
      </c>
      <c r="X152" s="2" t="s">
        <v>98</v>
      </c>
      <c r="Y152" s="2" t="s">
        <v>354</v>
      </c>
      <c r="Z152" s="4">
        <v>655</v>
      </c>
      <c r="AA152" s="4">
        <f>=ROUNDDOWN(25.1923076923077,0)</f>
      </c>
      <c r="AB152" s="5">
        <v>26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/>
      <c r="AP152" s="4">
        <v>5</v>
      </c>
      <c r="AQ152" s="8">
        <v>96.85</v>
      </c>
      <c r="AR152" s="4"/>
      <c r="AS152" s="8"/>
      <c r="AT152" s="7"/>
      <c r="AU152" s="7"/>
      <c r="AV152" s="4">
        <v>5</v>
      </c>
      <c r="AW152" s="8">
        <v>96.85</v>
      </c>
      <c r="AX152" s="4"/>
      <c r="AY152" s="8"/>
      <c r="AZ152" s="7"/>
      <c r="BA152" s="7"/>
      <c r="BB152" s="7">
        <v>1</v>
      </c>
      <c r="BC152" s="4">
        <v>8</v>
      </c>
      <c r="BD152" s="8">
        <v>154.96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>
        <v>0.625</v>
      </c>
      <c r="BJ152" s="4">
        <v>19</v>
      </c>
      <c r="BK152" s="8">
        <v>361.61</v>
      </c>
      <c r="BL152" s="2" t="s">
        <v>858</v>
      </c>
      <c r="BM152" s="7">
        <v>0.2632</v>
      </c>
      <c r="BN152" s="7">
        <v>0.2678</v>
      </c>
      <c r="BO152" s="4">
        <v>5</v>
      </c>
      <c r="BP152" s="8">
        <v>96.85</v>
      </c>
      <c r="BQ152" s="4"/>
      <c r="BR152" s="8"/>
      <c r="BS152" s="7"/>
      <c r="BT152" s="7"/>
      <c r="BU152" s="2" t="s">
        <v>106</v>
      </c>
      <c r="BV152" s="2" t="s">
        <v>95</v>
      </c>
      <c r="BW152" s="2" t="s">
        <v>859</v>
      </c>
      <c r="BX152" s="2" t="s">
        <v>860</v>
      </c>
      <c r="BY152" s="2" t="s">
        <v>109</v>
      </c>
      <c r="BZ152" s="2" t="s">
        <v>98</v>
      </c>
    </row>
    <row r="153">
      <c r="A153" s="2" t="s">
        <v>861</v>
      </c>
      <c r="B153" s="2" t="s">
        <v>800</v>
      </c>
      <c r="C153" s="2" t="s">
        <v>88</v>
      </c>
      <c r="D153" s="2" t="s">
        <v>835</v>
      </c>
      <c r="E153" s="2" t="s">
        <v>836</v>
      </c>
      <c r="F153" s="2" t="s">
        <v>349</v>
      </c>
      <c r="G153" s="2" t="s">
        <v>349</v>
      </c>
      <c r="H153" s="2" t="s">
        <v>349</v>
      </c>
      <c r="I153" s="2" t="s">
        <v>857</v>
      </c>
      <c r="J153" s="2" t="s">
        <v>838</v>
      </c>
      <c r="K153" s="2" t="s">
        <v>94</v>
      </c>
      <c r="L153" s="3">
        <v>17.6</v>
      </c>
      <c r="M153" s="3">
        <v>18.48</v>
      </c>
      <c r="N153" s="3">
        <v>39.99</v>
      </c>
      <c r="O153" s="2" t="s">
        <v>95</v>
      </c>
      <c r="P153" s="2" t="s">
        <v>140</v>
      </c>
      <c r="Q153" s="2" t="s">
        <v>97</v>
      </c>
      <c r="R153" s="2" t="s">
        <v>98</v>
      </c>
      <c r="S153" s="2" t="s">
        <v>497</v>
      </c>
      <c r="T153" s="2" t="s">
        <v>98</v>
      </c>
      <c r="U153" s="2" t="s">
        <v>98</v>
      </c>
      <c r="V153" s="2" t="s">
        <v>102</v>
      </c>
      <c r="W153" s="2" t="s">
        <v>242</v>
      </c>
      <c r="X153" s="2" t="s">
        <v>98</v>
      </c>
      <c r="Y153" s="2" t="s">
        <v>354</v>
      </c>
      <c r="Z153" s="4">
        <v>730</v>
      </c>
      <c r="AA153" s="4">
        <f>=ROUNDDOWN(14.3137254901961,0)</f>
      </c>
      <c r="AB153" s="5">
        <v>51</v>
      </c>
      <c r="AC153" s="2" t="s">
        <v>862</v>
      </c>
      <c r="AD153" s="4">
        <v>120</v>
      </c>
      <c r="AE153" s="4">
        <v>1500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/>
      <c r="AP153" s="4">
        <v>3</v>
      </c>
      <c r="AQ153" s="8">
        <v>58.11</v>
      </c>
      <c r="AR153" s="4"/>
      <c r="AS153" s="8"/>
      <c r="AT153" s="7"/>
      <c r="AU153" s="7"/>
      <c r="AV153" s="4">
        <v>3</v>
      </c>
      <c r="AW153" s="8">
        <v>58.11</v>
      </c>
      <c r="AX153" s="4"/>
      <c r="AY153" s="8"/>
      <c r="AZ153" s="7"/>
      <c r="BA153" s="7"/>
      <c r="BB153" s="7">
        <v>1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0.375</v>
      </c>
      <c r="BJ153" s="4">
        <v>117</v>
      </c>
      <c r="BK153" s="8">
        <v>2236.22</v>
      </c>
      <c r="BL153" s="2" t="s">
        <v>863</v>
      </c>
      <c r="BM153" s="7">
        <v>0.0256</v>
      </c>
      <c r="BN153" s="7">
        <v>0.026</v>
      </c>
      <c r="BO153" s="4">
        <v>3</v>
      </c>
      <c r="BP153" s="8">
        <v>58.11</v>
      </c>
      <c r="BQ153" s="4"/>
      <c r="BR153" s="8"/>
      <c r="BS153" s="7"/>
      <c r="BT153" s="7"/>
      <c r="BU153" s="2" t="s">
        <v>106</v>
      </c>
      <c r="BV153" s="2" t="s">
        <v>95</v>
      </c>
      <c r="BW153" s="2" t="s">
        <v>859</v>
      </c>
      <c r="BX153" s="2" t="s">
        <v>864</v>
      </c>
      <c r="BY153" s="2" t="s">
        <v>109</v>
      </c>
      <c r="BZ153" s="2" t="s">
        <v>98</v>
      </c>
    </row>
    <row r="154">
      <c r="A154" s="2" t="s">
        <v>865</v>
      </c>
      <c r="B154" s="2" t="s">
        <v>800</v>
      </c>
      <c r="C154" s="2" t="s">
        <v>88</v>
      </c>
      <c r="D154" s="2" t="s">
        <v>835</v>
      </c>
      <c r="E154" s="2" t="s">
        <v>836</v>
      </c>
      <c r="F154" s="2" t="s">
        <v>237</v>
      </c>
      <c r="G154" s="2" t="s">
        <v>237</v>
      </c>
      <c r="H154" s="2" t="s">
        <v>237</v>
      </c>
      <c r="I154" s="2" t="s">
        <v>866</v>
      </c>
      <c r="J154" s="2" t="s">
        <v>838</v>
      </c>
      <c r="K154" s="2" t="s">
        <v>239</v>
      </c>
      <c r="L154" s="3">
        <v>18.92</v>
      </c>
      <c r="M154" s="3">
        <v>19.87</v>
      </c>
      <c r="N154" s="3">
        <v>42.99</v>
      </c>
      <c r="O154" s="2" t="s">
        <v>95</v>
      </c>
      <c r="P154" s="2" t="s">
        <v>140</v>
      </c>
      <c r="Q154" s="2" t="s">
        <v>97</v>
      </c>
      <c r="R154" s="2" t="s">
        <v>98</v>
      </c>
      <c r="S154" s="2" t="s">
        <v>240</v>
      </c>
      <c r="T154" s="2" t="s">
        <v>130</v>
      </c>
      <c r="U154" s="2" t="s">
        <v>590</v>
      </c>
      <c r="V154" s="2" t="s">
        <v>103</v>
      </c>
      <c r="W154" s="2" t="s">
        <v>242</v>
      </c>
      <c r="X154" s="2" t="s">
        <v>867</v>
      </c>
      <c r="Y154" s="2" t="s">
        <v>868</v>
      </c>
      <c r="Z154" s="4">
        <v>352</v>
      </c>
      <c r="AA154" s="4">
        <f>=ROUNDDOWN(21.3333333333333,0)</f>
      </c>
      <c r="AB154" s="5">
        <v>16.5</v>
      </c>
      <c r="AC154" s="2" t="s">
        <v>869</v>
      </c>
      <c r="AD154" s="4">
        <v>80</v>
      </c>
      <c r="AE154" s="4">
        <v>340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/>
      <c r="AP154" s="4">
        <v>1</v>
      </c>
      <c r="AQ154" s="8">
        <v>21.74</v>
      </c>
      <c r="AR154" s="4"/>
      <c r="AS154" s="8"/>
      <c r="AT154" s="7"/>
      <c r="AU154" s="7"/>
      <c r="AV154" s="4">
        <v>1</v>
      </c>
      <c r="AW154" s="8">
        <v>21.74</v>
      </c>
      <c r="AX154" s="4"/>
      <c r="AY154" s="8"/>
      <c r="AZ154" s="7"/>
      <c r="BA154" s="7"/>
      <c r="BB154" s="7">
        <v>1</v>
      </c>
      <c r="BC154" s="4">
        <v>1</v>
      </c>
      <c r="BD154" s="8">
        <v>21.74</v>
      </c>
      <c r="BE154" s="4"/>
      <c r="BF154" s="8"/>
      <c r="BG154" s="7"/>
      <c r="BH154" s="7"/>
      <c r="BI154" s="7">
        <v>1</v>
      </c>
      <c r="BJ154" s="4">
        <v>11</v>
      </c>
      <c r="BK154" s="8">
        <v>239.3</v>
      </c>
      <c r="BL154" s="2" t="s">
        <v>415</v>
      </c>
      <c r="BM154" s="7">
        <v>0.0909</v>
      </c>
      <c r="BN154" s="7">
        <v>0.0908</v>
      </c>
      <c r="BO154" s="4">
        <v>1</v>
      </c>
      <c r="BP154" s="8">
        <v>21.74</v>
      </c>
      <c r="BQ154" s="4"/>
      <c r="BR154" s="8"/>
      <c r="BS154" s="7"/>
      <c r="BT154" s="7"/>
      <c r="BU154" s="2" t="s">
        <v>106</v>
      </c>
      <c r="BV154" s="2" t="s">
        <v>95</v>
      </c>
      <c r="BW154" s="2" t="s">
        <v>848</v>
      </c>
      <c r="BX154" s="2" t="s">
        <v>315</v>
      </c>
      <c r="BY154" s="2" t="s">
        <v>109</v>
      </c>
      <c r="BZ154" s="2" t="s">
        <v>98</v>
      </c>
    </row>
    <row r="155">
      <c r="A155" s="2" t="s">
        <v>870</v>
      </c>
      <c r="B155" s="2" t="s">
        <v>800</v>
      </c>
      <c r="C155" s="2" t="s">
        <v>88</v>
      </c>
      <c r="D155" s="2" t="s">
        <v>835</v>
      </c>
      <c r="E155" s="2" t="s">
        <v>836</v>
      </c>
      <c r="F155" s="2" t="s">
        <v>312</v>
      </c>
      <c r="G155" s="2" t="s">
        <v>312</v>
      </c>
      <c r="H155" s="2" t="s">
        <v>312</v>
      </c>
      <c r="I155" s="2" t="s">
        <v>871</v>
      </c>
      <c r="J155" s="2" t="s">
        <v>838</v>
      </c>
      <c r="K155" s="2" t="s">
        <v>313</v>
      </c>
      <c r="L155" s="3">
        <v>24</v>
      </c>
      <c r="M155" s="3">
        <v>25.2</v>
      </c>
      <c r="N155" s="3">
        <v>49.99</v>
      </c>
      <c r="O155" s="2" t="s">
        <v>95</v>
      </c>
      <c r="P155" s="2" t="s">
        <v>140</v>
      </c>
      <c r="Q155" s="2" t="s">
        <v>97</v>
      </c>
      <c r="R155" s="2" t="s">
        <v>98</v>
      </c>
      <c r="S155" s="2" t="s">
        <v>314</v>
      </c>
      <c r="T155" s="2" t="s">
        <v>98</v>
      </c>
      <c r="U155" s="2" t="s">
        <v>590</v>
      </c>
      <c r="V155" s="2" t="s">
        <v>188</v>
      </c>
      <c r="W155" s="2" t="s">
        <v>243</v>
      </c>
      <c r="X155" s="2" t="s">
        <v>163</v>
      </c>
      <c r="Y155" s="2" t="s">
        <v>872</v>
      </c>
      <c r="Z155" s="4">
        <v>459</v>
      </c>
      <c r="AA155" s="4">
        <f>=ROUNDDOWN(25.5,0)</f>
      </c>
      <c r="AB155" s="5">
        <v>18</v>
      </c>
      <c r="AC155" s="2" t="s">
        <v>98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6</v>
      </c>
      <c r="BK155" s="8">
        <v>159.54</v>
      </c>
      <c r="BL155" s="2" t="s">
        <v>873</v>
      </c>
      <c r="BM155" s="7"/>
      <c r="BN155" s="7"/>
      <c r="BO155" s="4"/>
      <c r="BP155" s="8"/>
      <c r="BQ155" s="4"/>
      <c r="BR155" s="8"/>
      <c r="BS155" s="7"/>
      <c r="BT155" s="7"/>
      <c r="BU155" s="2" t="s">
        <v>106</v>
      </c>
      <c r="BV155" s="2" t="s">
        <v>95</v>
      </c>
      <c r="BW155" s="2" t="s">
        <v>874</v>
      </c>
      <c r="BX155" s="2" t="s">
        <v>875</v>
      </c>
      <c r="BY155" s="2" t="s">
        <v>109</v>
      </c>
      <c r="BZ155" s="2" t="s">
        <v>98</v>
      </c>
    </row>
    <row r="156">
      <c r="A156" s="2" t="s">
        <v>876</v>
      </c>
      <c r="B156" s="2" t="s">
        <v>877</v>
      </c>
      <c r="C156" s="2" t="s">
        <v>88</v>
      </c>
      <c r="D156" s="2" t="s">
        <v>878</v>
      </c>
      <c r="E156" s="2" t="s">
        <v>879</v>
      </c>
      <c r="F156" s="2" t="s">
        <v>880</v>
      </c>
      <c r="G156" s="2" t="s">
        <v>880</v>
      </c>
      <c r="H156" s="2" t="s">
        <v>880</v>
      </c>
      <c r="I156" s="2" t="s">
        <v>879</v>
      </c>
      <c r="J156" s="2" t="s">
        <v>881</v>
      </c>
      <c r="K156" s="2" t="s">
        <v>882</v>
      </c>
      <c r="L156" s="3">
        <v>30.35</v>
      </c>
      <c r="M156" s="3">
        <v>31.87</v>
      </c>
      <c r="N156" s="3">
        <v>65.99</v>
      </c>
      <c r="O156" s="2" t="s">
        <v>95</v>
      </c>
      <c r="P156" s="2" t="s">
        <v>140</v>
      </c>
      <c r="Q156" s="2" t="s">
        <v>97</v>
      </c>
      <c r="R156" s="2" t="s">
        <v>98</v>
      </c>
      <c r="S156" s="2" t="s">
        <v>883</v>
      </c>
      <c r="T156" s="2" t="s">
        <v>884</v>
      </c>
      <c r="U156" s="2" t="s">
        <v>590</v>
      </c>
      <c r="V156" s="2" t="s">
        <v>208</v>
      </c>
      <c r="W156" s="2" t="s">
        <v>190</v>
      </c>
      <c r="X156" s="2" t="s">
        <v>738</v>
      </c>
      <c r="Y156" s="2" t="s">
        <v>885</v>
      </c>
      <c r="Z156" s="4">
        <v>102</v>
      </c>
      <c r="AA156" s="4">
        <f>=ROUNDDOWN(30,0)</f>
      </c>
      <c r="AB156" s="5">
        <v>3.4</v>
      </c>
      <c r="AC156" s="2" t="s">
        <v>98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/>
      <c r="AP156" s="4">
        <v>2</v>
      </c>
      <c r="AQ156" s="8">
        <v>70.74</v>
      </c>
      <c r="AR156" s="4"/>
      <c r="AS156" s="8"/>
      <c r="AT156" s="7"/>
      <c r="AU156" s="7"/>
      <c r="AV156" s="4">
        <v>9</v>
      </c>
      <c r="AW156" s="8">
        <v>410.31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0.1724</v>
      </c>
      <c r="BC156" s="4">
        <v>20</v>
      </c>
      <c r="BD156" s="8">
        <v>868.24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0.4726</v>
      </c>
      <c r="BJ156" s="4">
        <v>3</v>
      </c>
      <c r="BK156" s="8">
        <v>104.13</v>
      </c>
      <c r="BL156" s="2" t="s">
        <v>886</v>
      </c>
      <c r="BM156" s="7">
        <v>0.6667</v>
      </c>
      <c r="BN156" s="7">
        <v>0.6793</v>
      </c>
      <c r="BO156" s="4">
        <v>2</v>
      </c>
      <c r="BP156" s="8">
        <v>70.74</v>
      </c>
      <c r="BQ156" s="4"/>
      <c r="BR156" s="8"/>
      <c r="BS156" s="7"/>
      <c r="BT156" s="7"/>
      <c r="BU156" s="2" t="s">
        <v>106</v>
      </c>
      <c r="BV156" s="2" t="s">
        <v>95</v>
      </c>
      <c r="BW156" s="2" t="s">
        <v>212</v>
      </c>
      <c r="BX156" s="2" t="s">
        <v>887</v>
      </c>
      <c r="BY156" s="2" t="s">
        <v>109</v>
      </c>
      <c r="BZ156" s="2" t="s">
        <v>98</v>
      </c>
    </row>
    <row r="157">
      <c r="A157" s="2" t="s">
        <v>888</v>
      </c>
      <c r="B157" s="2" t="s">
        <v>877</v>
      </c>
      <c r="C157" s="2" t="s">
        <v>88</v>
      </c>
      <c r="D157" s="2" t="s">
        <v>878</v>
      </c>
      <c r="E157" s="2" t="s">
        <v>879</v>
      </c>
      <c r="F157" s="2" t="s">
        <v>880</v>
      </c>
      <c r="G157" s="2" t="s">
        <v>880</v>
      </c>
      <c r="H157" s="2" t="s">
        <v>880</v>
      </c>
      <c r="I157" s="2" t="s">
        <v>879</v>
      </c>
      <c r="J157" s="2" t="s">
        <v>93</v>
      </c>
      <c r="K157" s="2" t="s">
        <v>882</v>
      </c>
      <c r="L157" s="3">
        <v>36.18</v>
      </c>
      <c r="M157" s="3">
        <v>37.99</v>
      </c>
      <c r="N157" s="3">
        <v>76.99</v>
      </c>
      <c r="O157" s="2" t="s">
        <v>95</v>
      </c>
      <c r="P157" s="2" t="s">
        <v>140</v>
      </c>
      <c r="Q157" s="2" t="s">
        <v>97</v>
      </c>
      <c r="R157" s="2" t="s">
        <v>98</v>
      </c>
      <c r="S157" s="2" t="s">
        <v>883</v>
      </c>
      <c r="T157" s="2" t="s">
        <v>884</v>
      </c>
      <c r="U157" s="2" t="s">
        <v>590</v>
      </c>
      <c r="V157" s="2" t="s">
        <v>208</v>
      </c>
      <c r="W157" s="2" t="s">
        <v>190</v>
      </c>
      <c r="X157" s="2" t="s">
        <v>738</v>
      </c>
      <c r="Y157" s="2" t="s">
        <v>885</v>
      </c>
      <c r="Z157" s="4">
        <v>293</v>
      </c>
      <c r="AA157" s="4">
        <f>=ROUNDDOWN(73.25,0)</f>
      </c>
      <c r="AB157" s="5">
        <v>4</v>
      </c>
      <c r="AC157" s="2" t="s">
        <v>98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/>
      <c r="AP157" s="4">
        <v>1</v>
      </c>
      <c r="AQ157" s="8">
        <v>42.45</v>
      </c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0.1035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3</v>
      </c>
      <c r="BK157" s="8">
        <v>122.14</v>
      </c>
      <c r="BL157" s="2" t="s">
        <v>889</v>
      </c>
      <c r="BM157" s="7">
        <v>0.3333</v>
      </c>
      <c r="BN157" s="7">
        <v>0.3476</v>
      </c>
      <c r="BO157" s="4">
        <v>1</v>
      </c>
      <c r="BP157" s="8">
        <v>42.45</v>
      </c>
      <c r="BQ157" s="4"/>
      <c r="BR157" s="8"/>
      <c r="BS157" s="7"/>
      <c r="BT157" s="7"/>
      <c r="BU157" s="2" t="s">
        <v>106</v>
      </c>
      <c r="BV157" s="2" t="s">
        <v>95</v>
      </c>
      <c r="BW157" s="2" t="s">
        <v>212</v>
      </c>
      <c r="BX157" s="2" t="s">
        <v>213</v>
      </c>
      <c r="BY157" s="2" t="s">
        <v>109</v>
      </c>
      <c r="BZ157" s="2" t="s">
        <v>98</v>
      </c>
    </row>
    <row r="158">
      <c r="A158" s="2" t="s">
        <v>890</v>
      </c>
      <c r="B158" s="2" t="s">
        <v>877</v>
      </c>
      <c r="C158" s="2" t="s">
        <v>88</v>
      </c>
      <c r="D158" s="2" t="s">
        <v>878</v>
      </c>
      <c r="E158" s="2" t="s">
        <v>879</v>
      </c>
      <c r="F158" s="2" t="s">
        <v>880</v>
      </c>
      <c r="G158" s="2" t="s">
        <v>880</v>
      </c>
      <c r="H158" s="2" t="s">
        <v>880</v>
      </c>
      <c r="I158" s="2" t="s">
        <v>879</v>
      </c>
      <c r="J158" s="2" t="s">
        <v>401</v>
      </c>
      <c r="K158" s="2" t="s">
        <v>882</v>
      </c>
      <c r="L158" s="3">
        <v>42.4</v>
      </c>
      <c r="M158" s="3">
        <v>44.52</v>
      </c>
      <c r="N158" s="3">
        <v>89.99</v>
      </c>
      <c r="O158" s="2" t="s">
        <v>95</v>
      </c>
      <c r="P158" s="2" t="s">
        <v>140</v>
      </c>
      <c r="Q158" s="2" t="s">
        <v>97</v>
      </c>
      <c r="R158" s="2" t="s">
        <v>98</v>
      </c>
      <c r="S158" s="2" t="s">
        <v>883</v>
      </c>
      <c r="T158" s="2" t="s">
        <v>884</v>
      </c>
      <c r="U158" s="2" t="s">
        <v>590</v>
      </c>
      <c r="V158" s="2" t="s">
        <v>208</v>
      </c>
      <c r="W158" s="2" t="s">
        <v>190</v>
      </c>
      <c r="X158" s="2" t="s">
        <v>738</v>
      </c>
      <c r="Y158" s="2" t="s">
        <v>891</v>
      </c>
      <c r="Z158" s="4">
        <v>212</v>
      </c>
      <c r="AA158" s="4">
        <f>=ROUNDDOWN(24.9411764705882,0)</f>
      </c>
      <c r="AB158" s="5">
        <v>8.5</v>
      </c>
      <c r="AC158" s="2" t="s">
        <v>98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/>
      <c r="AP158" s="4">
        <v>6</v>
      </c>
      <c r="AQ158" s="8">
        <v>297.12</v>
      </c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0.7241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 t="s">
        <v>98</v>
      </c>
      <c r="BJ158" s="4">
        <v>16</v>
      </c>
      <c r="BK158" s="8">
        <v>762.1</v>
      </c>
      <c r="BL158" s="2" t="s">
        <v>892</v>
      </c>
      <c r="BM158" s="7">
        <v>0.375</v>
      </c>
      <c r="BN158" s="7">
        <v>0.3899</v>
      </c>
      <c r="BO158" s="4">
        <v>6</v>
      </c>
      <c r="BP158" s="8">
        <v>297.12</v>
      </c>
      <c r="BQ158" s="4"/>
      <c r="BR158" s="8"/>
      <c r="BS158" s="7"/>
      <c r="BT158" s="7"/>
      <c r="BU158" s="2" t="s">
        <v>106</v>
      </c>
      <c r="BV158" s="2" t="s">
        <v>95</v>
      </c>
      <c r="BW158" s="2" t="s">
        <v>212</v>
      </c>
      <c r="BX158" s="2" t="s">
        <v>887</v>
      </c>
      <c r="BY158" s="2" t="s">
        <v>109</v>
      </c>
      <c r="BZ158" s="2" t="s">
        <v>98</v>
      </c>
    </row>
    <row r="159">
      <c r="A159" s="2" t="s">
        <v>893</v>
      </c>
      <c r="B159" s="2" t="s">
        <v>877</v>
      </c>
      <c r="C159" s="2" t="s">
        <v>88</v>
      </c>
      <c r="D159" s="2" t="s">
        <v>878</v>
      </c>
      <c r="E159" s="2" t="s">
        <v>879</v>
      </c>
      <c r="F159" s="2" t="s">
        <v>880</v>
      </c>
      <c r="G159" s="2" t="s">
        <v>880</v>
      </c>
      <c r="H159" s="2" t="s">
        <v>880</v>
      </c>
      <c r="I159" s="2" t="s">
        <v>879</v>
      </c>
      <c r="J159" s="2" t="s">
        <v>881</v>
      </c>
      <c r="K159" s="2" t="s">
        <v>152</v>
      </c>
      <c r="L159" s="3">
        <v>30.35</v>
      </c>
      <c r="M159" s="3">
        <v>31.87</v>
      </c>
      <c r="N159" s="3">
        <v>65.99</v>
      </c>
      <c r="O159" s="2" t="s">
        <v>95</v>
      </c>
      <c r="P159" s="2" t="s">
        <v>140</v>
      </c>
      <c r="Q159" s="2" t="s">
        <v>97</v>
      </c>
      <c r="R159" s="2" t="s">
        <v>98</v>
      </c>
      <c r="S159" s="2" t="s">
        <v>894</v>
      </c>
      <c r="T159" s="2" t="s">
        <v>884</v>
      </c>
      <c r="U159" s="2" t="s">
        <v>98</v>
      </c>
      <c r="V159" s="2" t="s">
        <v>208</v>
      </c>
      <c r="W159" s="2" t="s">
        <v>190</v>
      </c>
      <c r="X159" s="2" t="s">
        <v>738</v>
      </c>
      <c r="Y159" s="2" t="s">
        <v>354</v>
      </c>
      <c r="Z159" s="4">
        <v>144</v>
      </c>
      <c r="AA159" s="4">
        <f>=ROUNDDOWN(90,0)</f>
      </c>
      <c r="AB159" s="5">
        <v>1.6</v>
      </c>
      <c r="AC159" s="2" t="s">
        <v>98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/>
      <c r="AP159" s="4">
        <v>1</v>
      </c>
      <c r="AQ159" s="8">
        <v>35.37</v>
      </c>
      <c r="AR159" s="4"/>
      <c r="AS159" s="8"/>
      <c r="AT159" s="7"/>
      <c r="AU159" s="7"/>
      <c r="AV159" s="4">
        <v>7</v>
      </c>
      <c r="AW159" s="8">
        <v>311.28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0.1136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0.3585</v>
      </c>
      <c r="BJ159" s="4">
        <v>3</v>
      </c>
      <c r="BK159" s="8">
        <v>100.71</v>
      </c>
      <c r="BL159" s="2" t="s">
        <v>886</v>
      </c>
      <c r="BM159" s="7">
        <v>0.3333</v>
      </c>
      <c r="BN159" s="7">
        <v>0.3512</v>
      </c>
      <c r="BO159" s="4">
        <v>1</v>
      </c>
      <c r="BP159" s="8">
        <v>35.37</v>
      </c>
      <c r="BQ159" s="4"/>
      <c r="BR159" s="8"/>
      <c r="BS159" s="7"/>
      <c r="BT159" s="7"/>
      <c r="BU159" s="2" t="s">
        <v>106</v>
      </c>
      <c r="BV159" s="2" t="s">
        <v>95</v>
      </c>
      <c r="BW159" s="2" t="s">
        <v>895</v>
      </c>
      <c r="BX159" s="2" t="s">
        <v>896</v>
      </c>
      <c r="BY159" s="2" t="s">
        <v>109</v>
      </c>
      <c r="BZ159" s="2" t="s">
        <v>98</v>
      </c>
    </row>
    <row r="160">
      <c r="A160" s="2" t="s">
        <v>897</v>
      </c>
      <c r="B160" s="2" t="s">
        <v>877</v>
      </c>
      <c r="C160" s="2" t="s">
        <v>88</v>
      </c>
      <c r="D160" s="2" t="s">
        <v>878</v>
      </c>
      <c r="E160" s="2" t="s">
        <v>879</v>
      </c>
      <c r="F160" s="2" t="s">
        <v>880</v>
      </c>
      <c r="G160" s="2" t="s">
        <v>880</v>
      </c>
      <c r="H160" s="2" t="s">
        <v>880</v>
      </c>
      <c r="I160" s="2" t="s">
        <v>879</v>
      </c>
      <c r="J160" s="2" t="s">
        <v>93</v>
      </c>
      <c r="K160" s="2" t="s">
        <v>152</v>
      </c>
      <c r="L160" s="3">
        <v>36.18</v>
      </c>
      <c r="M160" s="3">
        <v>37.99</v>
      </c>
      <c r="N160" s="3">
        <v>76.99</v>
      </c>
      <c r="O160" s="2" t="s">
        <v>95</v>
      </c>
      <c r="P160" s="2" t="s">
        <v>140</v>
      </c>
      <c r="Q160" s="2" t="s">
        <v>97</v>
      </c>
      <c r="R160" s="2" t="s">
        <v>98</v>
      </c>
      <c r="S160" s="2" t="s">
        <v>894</v>
      </c>
      <c r="T160" s="2" t="s">
        <v>884</v>
      </c>
      <c r="U160" s="2" t="s">
        <v>98</v>
      </c>
      <c r="V160" s="2" t="s">
        <v>208</v>
      </c>
      <c r="W160" s="2" t="s">
        <v>190</v>
      </c>
      <c r="X160" s="2" t="s">
        <v>738</v>
      </c>
      <c r="Y160" s="2" t="s">
        <v>354</v>
      </c>
      <c r="Z160" s="4">
        <v>289</v>
      </c>
      <c r="AA160" s="4">
        <f>=ROUNDDOWN(32.1111111111111,0)</f>
      </c>
      <c r="AB160" s="5">
        <v>9</v>
      </c>
      <c r="AC160" s="2" t="s">
        <v>98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/>
      <c r="AP160" s="4">
        <v>3</v>
      </c>
      <c r="AQ160" s="8">
        <v>127.35</v>
      </c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>
        <v>0.4091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 t="s">
        <v>98</v>
      </c>
      <c r="BJ160" s="4">
        <v>11</v>
      </c>
      <c r="BK160" s="8">
        <v>437.63</v>
      </c>
      <c r="BL160" s="2" t="s">
        <v>898</v>
      </c>
      <c r="BM160" s="7">
        <v>0.2727</v>
      </c>
      <c r="BN160" s="7">
        <v>0.291</v>
      </c>
      <c r="BO160" s="4">
        <v>3</v>
      </c>
      <c r="BP160" s="8">
        <v>127.35</v>
      </c>
      <c r="BQ160" s="4"/>
      <c r="BR160" s="8"/>
      <c r="BS160" s="7"/>
      <c r="BT160" s="7"/>
      <c r="BU160" s="2" t="s">
        <v>106</v>
      </c>
      <c r="BV160" s="2" t="s">
        <v>95</v>
      </c>
      <c r="BW160" s="2" t="s">
        <v>895</v>
      </c>
      <c r="BX160" s="2" t="s">
        <v>899</v>
      </c>
      <c r="BY160" s="2" t="s">
        <v>109</v>
      </c>
      <c r="BZ160" s="2" t="s">
        <v>98</v>
      </c>
    </row>
    <row r="161">
      <c r="A161" s="2" t="s">
        <v>900</v>
      </c>
      <c r="B161" s="2" t="s">
        <v>877</v>
      </c>
      <c r="C161" s="2" t="s">
        <v>88</v>
      </c>
      <c r="D161" s="2" t="s">
        <v>878</v>
      </c>
      <c r="E161" s="2" t="s">
        <v>879</v>
      </c>
      <c r="F161" s="2" t="s">
        <v>880</v>
      </c>
      <c r="G161" s="2" t="s">
        <v>880</v>
      </c>
      <c r="H161" s="2" t="s">
        <v>880</v>
      </c>
      <c r="I161" s="2" t="s">
        <v>879</v>
      </c>
      <c r="J161" s="2" t="s">
        <v>401</v>
      </c>
      <c r="K161" s="2" t="s">
        <v>152</v>
      </c>
      <c r="L161" s="3">
        <v>42.4</v>
      </c>
      <c r="M161" s="3">
        <v>44.52</v>
      </c>
      <c r="N161" s="3">
        <v>89.99</v>
      </c>
      <c r="O161" s="2" t="s">
        <v>95</v>
      </c>
      <c r="P161" s="2" t="s">
        <v>140</v>
      </c>
      <c r="Q161" s="2" t="s">
        <v>97</v>
      </c>
      <c r="R161" s="2" t="s">
        <v>98</v>
      </c>
      <c r="S161" s="2" t="s">
        <v>894</v>
      </c>
      <c r="T161" s="2" t="s">
        <v>884</v>
      </c>
      <c r="U161" s="2" t="s">
        <v>98</v>
      </c>
      <c r="V161" s="2" t="s">
        <v>208</v>
      </c>
      <c r="W161" s="2" t="s">
        <v>190</v>
      </c>
      <c r="X161" s="2" t="s">
        <v>738</v>
      </c>
      <c r="Y161" s="2" t="s">
        <v>354</v>
      </c>
      <c r="Z161" s="4">
        <v>332</v>
      </c>
      <c r="AA161" s="4">
        <f>=ROUNDDOWN(23.7142857142857,0)</f>
      </c>
      <c r="AB161" s="5">
        <v>14</v>
      </c>
      <c r="AC161" s="2" t="s">
        <v>98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/>
      <c r="AP161" s="4">
        <v>3</v>
      </c>
      <c r="AQ161" s="8">
        <v>148.56</v>
      </c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0.4773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16</v>
      </c>
      <c r="BK161" s="8">
        <v>739.13</v>
      </c>
      <c r="BL161" s="2" t="s">
        <v>901</v>
      </c>
      <c r="BM161" s="7">
        <v>0.1875</v>
      </c>
      <c r="BN161" s="7">
        <v>0.201</v>
      </c>
      <c r="BO161" s="4">
        <v>3</v>
      </c>
      <c r="BP161" s="8">
        <v>148.56</v>
      </c>
      <c r="BQ161" s="4"/>
      <c r="BR161" s="8"/>
      <c r="BS161" s="7"/>
      <c r="BT161" s="7"/>
      <c r="BU161" s="2" t="s">
        <v>106</v>
      </c>
      <c r="BV161" s="2" t="s">
        <v>95</v>
      </c>
      <c r="BW161" s="2" t="s">
        <v>895</v>
      </c>
      <c r="BX161" s="2" t="s">
        <v>902</v>
      </c>
      <c r="BY161" s="2" t="s">
        <v>109</v>
      </c>
      <c r="BZ161" s="2" t="s">
        <v>98</v>
      </c>
    </row>
    <row r="162">
      <c r="A162" s="2" t="s">
        <v>903</v>
      </c>
      <c r="B162" s="2" t="s">
        <v>877</v>
      </c>
      <c r="C162" s="2" t="s">
        <v>88</v>
      </c>
      <c r="D162" s="2" t="s">
        <v>878</v>
      </c>
      <c r="E162" s="2" t="s">
        <v>879</v>
      </c>
      <c r="F162" s="2" t="s">
        <v>880</v>
      </c>
      <c r="G162" s="2" t="s">
        <v>880</v>
      </c>
      <c r="H162" s="2" t="s">
        <v>880</v>
      </c>
      <c r="I162" s="2" t="s">
        <v>879</v>
      </c>
      <c r="J162" s="2" t="s">
        <v>881</v>
      </c>
      <c r="K162" s="2" t="s">
        <v>631</v>
      </c>
      <c r="L162" s="3">
        <v>30.35</v>
      </c>
      <c r="M162" s="3">
        <v>31.87</v>
      </c>
      <c r="N162" s="3">
        <v>65.99</v>
      </c>
      <c r="O162" s="2" t="s">
        <v>95</v>
      </c>
      <c r="P162" s="2" t="s">
        <v>140</v>
      </c>
      <c r="Q162" s="2" t="s">
        <v>97</v>
      </c>
      <c r="R162" s="2" t="s">
        <v>98</v>
      </c>
      <c r="S162" s="2" t="s">
        <v>904</v>
      </c>
      <c r="T162" s="2" t="s">
        <v>884</v>
      </c>
      <c r="U162" s="2" t="s">
        <v>590</v>
      </c>
      <c r="V162" s="2" t="s">
        <v>208</v>
      </c>
      <c r="W162" s="2" t="s">
        <v>190</v>
      </c>
      <c r="X162" s="2" t="s">
        <v>738</v>
      </c>
      <c r="Y162" s="2" t="s">
        <v>885</v>
      </c>
      <c r="Z162" s="4">
        <v>108</v>
      </c>
      <c r="AA162" s="4">
        <f>=ROUNDDOWN(54,0)</f>
      </c>
      <c r="AB162" s="5">
        <v>2</v>
      </c>
      <c r="AC162" s="2" t="s">
        <v>98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/>
      <c r="AP162" s="4">
        <v>2</v>
      </c>
      <c r="AQ162" s="8">
        <v>70.74</v>
      </c>
      <c r="AR162" s="4"/>
      <c r="AS162" s="8"/>
      <c r="AT162" s="7"/>
      <c r="AU162" s="7"/>
      <c r="AV162" s="4">
        <v>3</v>
      </c>
      <c r="AW162" s="8">
        <v>113.19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0.625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>
        <v>0.1304</v>
      </c>
      <c r="BJ162" s="4">
        <v>2</v>
      </c>
      <c r="BK162" s="8">
        <v>70.74</v>
      </c>
      <c r="BL162" s="2" t="s">
        <v>16</v>
      </c>
      <c r="BM162" s="7">
        <v>1</v>
      </c>
      <c r="BN162" s="7">
        <v>1</v>
      </c>
      <c r="BO162" s="4">
        <v>2</v>
      </c>
      <c r="BP162" s="8">
        <v>70.74</v>
      </c>
      <c r="BQ162" s="4"/>
      <c r="BR162" s="8"/>
      <c r="BS162" s="7"/>
      <c r="BT162" s="7"/>
      <c r="BU162" s="2" t="s">
        <v>106</v>
      </c>
      <c r="BV162" s="2" t="s">
        <v>95</v>
      </c>
      <c r="BW162" s="2" t="s">
        <v>212</v>
      </c>
      <c r="BX162" s="2" t="s">
        <v>213</v>
      </c>
      <c r="BY162" s="2" t="s">
        <v>109</v>
      </c>
      <c r="BZ162" s="2" t="s">
        <v>98</v>
      </c>
    </row>
    <row r="163">
      <c r="A163" s="2" t="s">
        <v>905</v>
      </c>
      <c r="B163" s="2" t="s">
        <v>877</v>
      </c>
      <c r="C163" s="2" t="s">
        <v>88</v>
      </c>
      <c r="D163" s="2" t="s">
        <v>878</v>
      </c>
      <c r="E163" s="2" t="s">
        <v>879</v>
      </c>
      <c r="F163" s="2" t="s">
        <v>880</v>
      </c>
      <c r="G163" s="2" t="s">
        <v>880</v>
      </c>
      <c r="H163" s="2" t="s">
        <v>880</v>
      </c>
      <c r="I163" s="2" t="s">
        <v>879</v>
      </c>
      <c r="J163" s="2" t="s">
        <v>93</v>
      </c>
      <c r="K163" s="2" t="s">
        <v>631</v>
      </c>
      <c r="L163" s="3">
        <v>36.18</v>
      </c>
      <c r="M163" s="3">
        <v>37.99</v>
      </c>
      <c r="N163" s="3">
        <v>76.99</v>
      </c>
      <c r="O163" s="2" t="s">
        <v>95</v>
      </c>
      <c r="P163" s="2" t="s">
        <v>140</v>
      </c>
      <c r="Q163" s="2" t="s">
        <v>97</v>
      </c>
      <c r="R163" s="2" t="s">
        <v>98</v>
      </c>
      <c r="S163" s="2" t="s">
        <v>904</v>
      </c>
      <c r="T163" s="2" t="s">
        <v>884</v>
      </c>
      <c r="U163" s="2" t="s">
        <v>590</v>
      </c>
      <c r="V163" s="2" t="s">
        <v>208</v>
      </c>
      <c r="W163" s="2" t="s">
        <v>190</v>
      </c>
      <c r="X163" s="2" t="s">
        <v>738</v>
      </c>
      <c r="Y163" s="2" t="s">
        <v>885</v>
      </c>
      <c r="Z163" s="4">
        <v>316</v>
      </c>
      <c r="AA163" s="4">
        <f>=ROUNDDOWN(79,0)</f>
      </c>
      <c r="AB163" s="5">
        <v>4</v>
      </c>
      <c r="AC163" s="2" t="s">
        <v>98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/>
      <c r="AP163" s="4">
        <v>1</v>
      </c>
      <c r="AQ163" s="8">
        <v>42.45</v>
      </c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0.375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3</v>
      </c>
      <c r="BK163" s="8">
        <v>116.77</v>
      </c>
      <c r="BL163" s="2" t="s">
        <v>166</v>
      </c>
      <c r="BM163" s="7">
        <v>0.3333</v>
      </c>
      <c r="BN163" s="7">
        <v>0.3635</v>
      </c>
      <c r="BO163" s="4">
        <v>1</v>
      </c>
      <c r="BP163" s="8">
        <v>42.45</v>
      </c>
      <c r="BQ163" s="4"/>
      <c r="BR163" s="8"/>
      <c r="BS163" s="7"/>
      <c r="BT163" s="7"/>
      <c r="BU163" s="2" t="s">
        <v>106</v>
      </c>
      <c r="BV163" s="2" t="s">
        <v>95</v>
      </c>
      <c r="BW163" s="2" t="s">
        <v>212</v>
      </c>
      <c r="BX163" s="2" t="s">
        <v>213</v>
      </c>
      <c r="BY163" s="2" t="s">
        <v>109</v>
      </c>
      <c r="BZ163" s="2" t="s">
        <v>98</v>
      </c>
    </row>
    <row r="164">
      <c r="A164" s="2" t="s">
        <v>906</v>
      </c>
      <c r="B164" s="2" t="s">
        <v>877</v>
      </c>
      <c r="C164" s="2" t="s">
        <v>88</v>
      </c>
      <c r="D164" s="2" t="s">
        <v>878</v>
      </c>
      <c r="E164" s="2" t="s">
        <v>879</v>
      </c>
      <c r="F164" s="2" t="s">
        <v>880</v>
      </c>
      <c r="G164" s="2" t="s">
        <v>880</v>
      </c>
      <c r="H164" s="2" t="s">
        <v>880</v>
      </c>
      <c r="I164" s="2" t="s">
        <v>879</v>
      </c>
      <c r="J164" s="2" t="s">
        <v>401</v>
      </c>
      <c r="K164" s="2" t="s">
        <v>631</v>
      </c>
      <c r="L164" s="3">
        <v>42.4</v>
      </c>
      <c r="M164" s="3">
        <v>44.52</v>
      </c>
      <c r="N164" s="3">
        <v>89.99</v>
      </c>
      <c r="O164" s="2" t="s">
        <v>95</v>
      </c>
      <c r="P164" s="2" t="s">
        <v>140</v>
      </c>
      <c r="Q164" s="2" t="s">
        <v>97</v>
      </c>
      <c r="R164" s="2" t="s">
        <v>98</v>
      </c>
      <c r="S164" s="2" t="s">
        <v>904</v>
      </c>
      <c r="T164" s="2" t="s">
        <v>884</v>
      </c>
      <c r="U164" s="2" t="s">
        <v>590</v>
      </c>
      <c r="V164" s="2" t="s">
        <v>208</v>
      </c>
      <c r="W164" s="2" t="s">
        <v>190</v>
      </c>
      <c r="X164" s="2" t="s">
        <v>738</v>
      </c>
      <c r="Y164" s="2" t="s">
        <v>885</v>
      </c>
      <c r="Z164" s="4">
        <v>314</v>
      </c>
      <c r="AA164" s="4">
        <f>=ROUNDDOWN(71.3636363636364,0)</f>
      </c>
      <c r="AB164" s="5">
        <v>4.4</v>
      </c>
      <c r="AC164" s="2" t="s">
        <v>98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2</v>
      </c>
      <c r="BK164" s="8">
        <v>91.75</v>
      </c>
      <c r="BL164" s="2" t="s">
        <v>334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95</v>
      </c>
      <c r="BW164" s="2" t="s">
        <v>212</v>
      </c>
      <c r="BX164" s="2" t="s">
        <v>887</v>
      </c>
      <c r="BY164" s="2" t="s">
        <v>109</v>
      </c>
      <c r="BZ164" s="2" t="s">
        <v>98</v>
      </c>
    </row>
    <row r="165">
      <c r="A165" s="2" t="s">
        <v>907</v>
      </c>
      <c r="B165" s="2" t="s">
        <v>877</v>
      </c>
      <c r="C165" s="2" t="s">
        <v>88</v>
      </c>
      <c r="D165" s="2" t="s">
        <v>878</v>
      </c>
      <c r="E165" s="2" t="s">
        <v>879</v>
      </c>
      <c r="F165" s="2" t="s">
        <v>880</v>
      </c>
      <c r="G165" s="2" t="s">
        <v>880</v>
      </c>
      <c r="H165" s="2" t="s">
        <v>880</v>
      </c>
      <c r="I165" s="2" t="s">
        <v>879</v>
      </c>
      <c r="J165" s="2" t="s">
        <v>881</v>
      </c>
      <c r="K165" s="2" t="s">
        <v>908</v>
      </c>
      <c r="L165" s="3">
        <v>30.35</v>
      </c>
      <c r="M165" s="3">
        <v>31.87</v>
      </c>
      <c r="N165" s="3">
        <v>65.99</v>
      </c>
      <c r="O165" s="2" t="s">
        <v>95</v>
      </c>
      <c r="P165" s="2" t="s">
        <v>140</v>
      </c>
      <c r="Q165" s="2" t="s">
        <v>97</v>
      </c>
      <c r="R165" s="2" t="s">
        <v>98</v>
      </c>
      <c r="S165" s="2" t="s">
        <v>909</v>
      </c>
      <c r="T165" s="2" t="s">
        <v>884</v>
      </c>
      <c r="U165" s="2" t="s">
        <v>590</v>
      </c>
      <c r="V165" s="2" t="s">
        <v>208</v>
      </c>
      <c r="W165" s="2" t="s">
        <v>190</v>
      </c>
      <c r="X165" s="2" t="s">
        <v>738</v>
      </c>
      <c r="Y165" s="2" t="s">
        <v>910</v>
      </c>
      <c r="Z165" s="4">
        <v>159</v>
      </c>
      <c r="AA165" s="4">
        <f>=ROUNDDOWN(53,0)</f>
      </c>
      <c r="AB165" s="5">
        <v>3</v>
      </c>
      <c r="AC165" s="2" t="s">
        <v>98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/>
      <c r="AP165" s="4">
        <v>1</v>
      </c>
      <c r="AQ165" s="8">
        <v>33.46</v>
      </c>
      <c r="AR165" s="4"/>
      <c r="AS165" s="8"/>
      <c r="AT165" s="7"/>
      <c r="AU165" s="7"/>
      <c r="AV165" s="4">
        <v>1</v>
      </c>
      <c r="AW165" s="8">
        <v>33.46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1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>
        <v>0.0385</v>
      </c>
      <c r="BJ165" s="4">
        <v>2</v>
      </c>
      <c r="BK165" s="8">
        <v>64.49</v>
      </c>
      <c r="BL165" s="2" t="s">
        <v>911</v>
      </c>
      <c r="BM165" s="7">
        <v>0.5</v>
      </c>
      <c r="BN165" s="7">
        <v>0.5188</v>
      </c>
      <c r="BO165" s="4">
        <v>1</v>
      </c>
      <c r="BP165" s="8">
        <v>33.46</v>
      </c>
      <c r="BQ165" s="4"/>
      <c r="BR165" s="8"/>
      <c r="BS165" s="7"/>
      <c r="BT165" s="7"/>
      <c r="BU165" s="2" t="s">
        <v>106</v>
      </c>
      <c r="BV165" s="2" t="s">
        <v>95</v>
      </c>
      <c r="BW165" s="2" t="s">
        <v>912</v>
      </c>
      <c r="BX165" s="2" t="s">
        <v>913</v>
      </c>
      <c r="BY165" s="2" t="s">
        <v>109</v>
      </c>
      <c r="BZ165" s="2" t="s">
        <v>98</v>
      </c>
    </row>
    <row r="166">
      <c r="A166" s="2" t="s">
        <v>914</v>
      </c>
      <c r="B166" s="2" t="s">
        <v>877</v>
      </c>
      <c r="C166" s="2" t="s">
        <v>88</v>
      </c>
      <c r="D166" s="2" t="s">
        <v>878</v>
      </c>
      <c r="E166" s="2" t="s">
        <v>879</v>
      </c>
      <c r="F166" s="2" t="s">
        <v>880</v>
      </c>
      <c r="G166" s="2" t="s">
        <v>880</v>
      </c>
      <c r="H166" s="2" t="s">
        <v>880</v>
      </c>
      <c r="I166" s="2" t="s">
        <v>879</v>
      </c>
      <c r="J166" s="2" t="s">
        <v>93</v>
      </c>
      <c r="K166" s="2" t="s">
        <v>908</v>
      </c>
      <c r="L166" s="3">
        <v>36.18</v>
      </c>
      <c r="M166" s="3">
        <v>37.99</v>
      </c>
      <c r="N166" s="3">
        <v>76.99</v>
      </c>
      <c r="O166" s="2" t="s">
        <v>95</v>
      </c>
      <c r="P166" s="2" t="s">
        <v>140</v>
      </c>
      <c r="Q166" s="2" t="s">
        <v>97</v>
      </c>
      <c r="R166" s="2" t="s">
        <v>98</v>
      </c>
      <c r="S166" s="2" t="s">
        <v>909</v>
      </c>
      <c r="T166" s="2" t="s">
        <v>884</v>
      </c>
      <c r="U166" s="2" t="s">
        <v>590</v>
      </c>
      <c r="V166" s="2" t="s">
        <v>208</v>
      </c>
      <c r="W166" s="2" t="s">
        <v>190</v>
      </c>
      <c r="X166" s="2" t="s">
        <v>738</v>
      </c>
      <c r="Y166" s="2" t="s">
        <v>910</v>
      </c>
      <c r="Z166" s="4">
        <v>178</v>
      </c>
      <c r="AA166" s="4">
        <f>=ROUNDDOWN(55.625,0)</f>
      </c>
      <c r="AB166" s="5">
        <v>3.2</v>
      </c>
      <c r="AC166" s="2" t="s">
        <v>98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98</v>
      </c>
      <c r="AW166" s="8" t="s">
        <v>98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 t="s">
        <v>98</v>
      </c>
      <c r="BJ166" s="4">
        <v>9</v>
      </c>
      <c r="BK166" s="8">
        <v>353.81</v>
      </c>
      <c r="BL166" s="2" t="s">
        <v>283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95</v>
      </c>
      <c r="BW166" s="2" t="s">
        <v>912</v>
      </c>
      <c r="BX166" s="2" t="s">
        <v>915</v>
      </c>
      <c r="BY166" s="2" t="s">
        <v>109</v>
      </c>
      <c r="BZ166" s="2" t="s">
        <v>98</v>
      </c>
    </row>
    <row r="167">
      <c r="A167" s="2" t="s">
        <v>916</v>
      </c>
      <c r="B167" s="2" t="s">
        <v>877</v>
      </c>
      <c r="C167" s="2" t="s">
        <v>88</v>
      </c>
      <c r="D167" s="2" t="s">
        <v>878</v>
      </c>
      <c r="E167" s="2" t="s">
        <v>879</v>
      </c>
      <c r="F167" s="2" t="s">
        <v>880</v>
      </c>
      <c r="G167" s="2" t="s">
        <v>880</v>
      </c>
      <c r="H167" s="2" t="s">
        <v>880</v>
      </c>
      <c r="I167" s="2" t="s">
        <v>879</v>
      </c>
      <c r="J167" s="2" t="s">
        <v>401</v>
      </c>
      <c r="K167" s="2" t="s">
        <v>908</v>
      </c>
      <c r="L167" s="3">
        <v>42.4</v>
      </c>
      <c r="M167" s="3">
        <v>44.52</v>
      </c>
      <c r="N167" s="3">
        <v>89.99</v>
      </c>
      <c r="O167" s="2" t="s">
        <v>95</v>
      </c>
      <c r="P167" s="2" t="s">
        <v>140</v>
      </c>
      <c r="Q167" s="2" t="s">
        <v>97</v>
      </c>
      <c r="R167" s="2" t="s">
        <v>98</v>
      </c>
      <c r="S167" s="2" t="s">
        <v>909</v>
      </c>
      <c r="T167" s="2" t="s">
        <v>884</v>
      </c>
      <c r="U167" s="2" t="s">
        <v>590</v>
      </c>
      <c r="V167" s="2" t="s">
        <v>208</v>
      </c>
      <c r="W167" s="2" t="s">
        <v>190</v>
      </c>
      <c r="X167" s="2" t="s">
        <v>738</v>
      </c>
      <c r="Y167" s="2" t="s">
        <v>910</v>
      </c>
      <c r="Z167" s="4">
        <v>145</v>
      </c>
      <c r="AA167" s="4">
        <f>=ROUNDDOWN(31.5217391304348,0)</f>
      </c>
      <c r="AB167" s="5">
        <v>4.6</v>
      </c>
      <c r="AC167" s="2" t="s">
        <v>98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1</v>
      </c>
      <c r="BK167" s="8">
        <v>46.75</v>
      </c>
      <c r="BL167" s="2" t="s">
        <v>386</v>
      </c>
      <c r="BM167" s="7"/>
      <c r="BN167" s="7"/>
      <c r="BO167" s="4"/>
      <c r="BP167" s="8"/>
      <c r="BQ167" s="4"/>
      <c r="BR167" s="8"/>
      <c r="BS167" s="7"/>
      <c r="BT167" s="7"/>
      <c r="BU167" s="2" t="s">
        <v>106</v>
      </c>
      <c r="BV167" s="2" t="s">
        <v>95</v>
      </c>
      <c r="BW167" s="2" t="s">
        <v>912</v>
      </c>
      <c r="BX167" s="2" t="s">
        <v>917</v>
      </c>
      <c r="BY167" s="2" t="s">
        <v>109</v>
      </c>
      <c r="BZ167" s="2" t="s">
        <v>98</v>
      </c>
    </row>
    <row r="168">
      <c r="A168" s="2" t="s">
        <v>918</v>
      </c>
      <c r="B168" s="2" t="s">
        <v>877</v>
      </c>
      <c r="C168" s="2" t="s">
        <v>88</v>
      </c>
      <c r="D168" s="2" t="s">
        <v>919</v>
      </c>
      <c r="E168" s="2" t="s">
        <v>920</v>
      </c>
      <c r="F168" s="2" t="s">
        <v>880</v>
      </c>
      <c r="G168" s="2" t="s">
        <v>880</v>
      </c>
      <c r="H168" s="2" t="s">
        <v>880</v>
      </c>
      <c r="I168" s="2" t="s">
        <v>920</v>
      </c>
      <c r="J168" s="2" t="s">
        <v>921</v>
      </c>
      <c r="K168" s="2" t="s">
        <v>694</v>
      </c>
      <c r="L168" s="3">
        <v>18.09</v>
      </c>
      <c r="M168" s="3">
        <v>18.99</v>
      </c>
      <c r="N168" s="3">
        <v>38.99</v>
      </c>
      <c r="O168" s="2" t="s">
        <v>95</v>
      </c>
      <c r="P168" s="2" t="s">
        <v>140</v>
      </c>
      <c r="Q168" s="2" t="s">
        <v>97</v>
      </c>
      <c r="R168" s="2" t="s">
        <v>98</v>
      </c>
      <c r="S168" s="2" t="s">
        <v>922</v>
      </c>
      <c r="T168" s="2" t="s">
        <v>884</v>
      </c>
      <c r="U168" s="2" t="s">
        <v>590</v>
      </c>
      <c r="V168" s="2" t="s">
        <v>208</v>
      </c>
      <c r="W168" s="2" t="s">
        <v>190</v>
      </c>
      <c r="X168" s="2" t="s">
        <v>738</v>
      </c>
      <c r="Y168" s="2" t="s">
        <v>910</v>
      </c>
      <c r="Z168" s="4">
        <v>343</v>
      </c>
      <c r="AA168" s="4">
        <f>=ROUNDDOWN(18.2446808510638,0)</f>
      </c>
      <c r="AB168" s="5">
        <v>18.8</v>
      </c>
      <c r="AC168" s="2" t="s">
        <v>923</v>
      </c>
      <c r="AD168" s="4">
        <v>300</v>
      </c>
      <c r="AE168" s="4">
        <v>300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/>
      <c r="AP168" s="4">
        <v>20</v>
      </c>
      <c r="AQ168" s="8">
        <v>412.8</v>
      </c>
      <c r="AR168" s="4"/>
      <c r="AS168" s="8"/>
      <c r="AT168" s="7"/>
      <c r="AU168" s="7"/>
      <c r="AV168" s="4">
        <v>20</v>
      </c>
      <c r="AW168" s="8">
        <v>412.8</v>
      </c>
      <c r="AX168" s="4"/>
      <c r="AY168" s="8"/>
      <c r="AZ168" s="7"/>
      <c r="BA168" s="7"/>
      <c r="BB168" s="7">
        <v>1</v>
      </c>
      <c r="BC168" s="4">
        <v>38</v>
      </c>
      <c r="BD168" s="8">
        <v>784.32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>
        <v>0.5263</v>
      </c>
      <c r="BJ168" s="4">
        <v>26</v>
      </c>
      <c r="BK168" s="8">
        <v>532.08</v>
      </c>
      <c r="BL168" s="2" t="s">
        <v>924</v>
      </c>
      <c r="BM168" s="7">
        <v>0.7692</v>
      </c>
      <c r="BN168" s="7">
        <v>0.7758</v>
      </c>
      <c r="BO168" s="4">
        <v>20</v>
      </c>
      <c r="BP168" s="8">
        <v>412.8</v>
      </c>
      <c r="BQ168" s="4"/>
      <c r="BR168" s="8"/>
      <c r="BS168" s="7"/>
      <c r="BT168" s="7"/>
      <c r="BU168" s="2" t="s">
        <v>106</v>
      </c>
      <c r="BV168" s="2" t="s">
        <v>95</v>
      </c>
      <c r="BW168" s="2" t="s">
        <v>464</v>
      </c>
      <c r="BX168" s="2" t="s">
        <v>925</v>
      </c>
      <c r="BY168" s="2" t="s">
        <v>109</v>
      </c>
      <c r="BZ168" s="2" t="s">
        <v>98</v>
      </c>
    </row>
    <row r="169">
      <c r="A169" s="2" t="s">
        <v>926</v>
      </c>
      <c r="B169" s="2" t="s">
        <v>877</v>
      </c>
      <c r="C169" s="2" t="s">
        <v>88</v>
      </c>
      <c r="D169" s="2" t="s">
        <v>919</v>
      </c>
      <c r="E169" s="2" t="s">
        <v>920</v>
      </c>
      <c r="F169" s="2" t="s">
        <v>880</v>
      </c>
      <c r="G169" s="2" t="s">
        <v>880</v>
      </c>
      <c r="H169" s="2" t="s">
        <v>880</v>
      </c>
      <c r="I169" s="2" t="s">
        <v>920</v>
      </c>
      <c r="J169" s="2" t="s">
        <v>921</v>
      </c>
      <c r="K169" s="2" t="s">
        <v>908</v>
      </c>
      <c r="L169" s="3">
        <v>18.09</v>
      </c>
      <c r="M169" s="3">
        <v>18.99</v>
      </c>
      <c r="N169" s="3">
        <v>38.99</v>
      </c>
      <c r="O169" s="2" t="s">
        <v>95</v>
      </c>
      <c r="P169" s="2" t="s">
        <v>140</v>
      </c>
      <c r="Q169" s="2" t="s">
        <v>97</v>
      </c>
      <c r="R169" s="2" t="s">
        <v>98</v>
      </c>
      <c r="S169" s="2" t="s">
        <v>909</v>
      </c>
      <c r="T169" s="2" t="s">
        <v>884</v>
      </c>
      <c r="U169" s="2" t="s">
        <v>590</v>
      </c>
      <c r="V169" s="2" t="s">
        <v>208</v>
      </c>
      <c r="W169" s="2" t="s">
        <v>190</v>
      </c>
      <c r="X169" s="2" t="s">
        <v>738</v>
      </c>
      <c r="Y169" s="2" t="s">
        <v>910</v>
      </c>
      <c r="Z169" s="4">
        <v>534</v>
      </c>
      <c r="AA169" s="4">
        <f>=ROUNDDOWN(29.5027624309392,0)</f>
      </c>
      <c r="AB169" s="5">
        <v>18.1</v>
      </c>
      <c r="AC169" s="2" t="s">
        <v>923</v>
      </c>
      <c r="AD169" s="4">
        <v>300</v>
      </c>
      <c r="AE169" s="4">
        <v>300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/>
      <c r="AP169" s="4">
        <v>8</v>
      </c>
      <c r="AQ169" s="8">
        <v>165.12</v>
      </c>
      <c r="AR169" s="4"/>
      <c r="AS169" s="8"/>
      <c r="AT169" s="7"/>
      <c r="AU169" s="7"/>
      <c r="AV169" s="4">
        <v>8</v>
      </c>
      <c r="AW169" s="8">
        <v>165.12</v>
      </c>
      <c r="AX169" s="4"/>
      <c r="AY169" s="8"/>
      <c r="AZ169" s="7"/>
      <c r="BA169" s="7"/>
      <c r="BB169" s="7">
        <v>1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0.2105</v>
      </c>
      <c r="BJ169" s="4">
        <v>19</v>
      </c>
      <c r="BK169" s="8">
        <v>386.96</v>
      </c>
      <c r="BL169" s="2" t="s">
        <v>927</v>
      </c>
      <c r="BM169" s="7">
        <v>0.4211</v>
      </c>
      <c r="BN169" s="7">
        <v>0.4267</v>
      </c>
      <c r="BO169" s="4">
        <v>8</v>
      </c>
      <c r="BP169" s="8">
        <v>165.12</v>
      </c>
      <c r="BQ169" s="4"/>
      <c r="BR169" s="8"/>
      <c r="BS169" s="7"/>
      <c r="BT169" s="7"/>
      <c r="BU169" s="2" t="s">
        <v>106</v>
      </c>
      <c r="BV169" s="2" t="s">
        <v>95</v>
      </c>
      <c r="BW169" s="2" t="s">
        <v>464</v>
      </c>
      <c r="BX169" s="2" t="s">
        <v>928</v>
      </c>
      <c r="BY169" s="2" t="s">
        <v>109</v>
      </c>
      <c r="BZ169" s="2" t="s">
        <v>98</v>
      </c>
    </row>
    <row r="170">
      <c r="A170" s="2" t="s">
        <v>929</v>
      </c>
      <c r="B170" s="2" t="s">
        <v>877</v>
      </c>
      <c r="C170" s="2" t="s">
        <v>88</v>
      </c>
      <c r="D170" s="2" t="s">
        <v>919</v>
      </c>
      <c r="E170" s="2" t="s">
        <v>920</v>
      </c>
      <c r="F170" s="2" t="s">
        <v>880</v>
      </c>
      <c r="G170" s="2" t="s">
        <v>880</v>
      </c>
      <c r="H170" s="2" t="s">
        <v>880</v>
      </c>
      <c r="I170" s="2" t="s">
        <v>920</v>
      </c>
      <c r="J170" s="2" t="s">
        <v>921</v>
      </c>
      <c r="K170" s="2" t="s">
        <v>882</v>
      </c>
      <c r="L170" s="3">
        <v>18.09</v>
      </c>
      <c r="M170" s="3">
        <v>18.99</v>
      </c>
      <c r="N170" s="3">
        <v>38.99</v>
      </c>
      <c r="O170" s="2" t="s">
        <v>95</v>
      </c>
      <c r="P170" s="2" t="s">
        <v>185</v>
      </c>
      <c r="Q170" s="2" t="s">
        <v>97</v>
      </c>
      <c r="R170" s="2" t="s">
        <v>98</v>
      </c>
      <c r="S170" s="2" t="s">
        <v>883</v>
      </c>
      <c r="T170" s="2" t="s">
        <v>884</v>
      </c>
      <c r="U170" s="2" t="s">
        <v>590</v>
      </c>
      <c r="V170" s="2" t="s">
        <v>208</v>
      </c>
      <c r="W170" s="2" t="s">
        <v>190</v>
      </c>
      <c r="X170" s="2" t="s">
        <v>738</v>
      </c>
      <c r="Y170" s="2" t="s">
        <v>891</v>
      </c>
      <c r="Z170" s="4">
        <v>620</v>
      </c>
      <c r="AA170" s="4">
        <f>=ROUNDDOWN(26.0504201680672,0)</f>
      </c>
      <c r="AB170" s="5">
        <v>23.8</v>
      </c>
      <c r="AC170" s="2" t="s">
        <v>819</v>
      </c>
      <c r="AD170" s="4">
        <v>500</v>
      </c>
      <c r="AE170" s="4">
        <v>500</v>
      </c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/>
      <c r="AP170" s="4">
        <v>4</v>
      </c>
      <c r="AQ170" s="8">
        <v>82.56</v>
      </c>
      <c r="AR170" s="4"/>
      <c r="AS170" s="8"/>
      <c r="AT170" s="7"/>
      <c r="AU170" s="7"/>
      <c r="AV170" s="4">
        <v>4</v>
      </c>
      <c r="AW170" s="8">
        <v>82.56</v>
      </c>
      <c r="AX170" s="4"/>
      <c r="AY170" s="8"/>
      <c r="AZ170" s="7"/>
      <c r="BA170" s="7"/>
      <c r="BB170" s="7">
        <v>1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0.1053</v>
      </c>
      <c r="BJ170" s="4">
        <v>23</v>
      </c>
      <c r="BK170" s="8">
        <v>456.93</v>
      </c>
      <c r="BL170" s="2" t="s">
        <v>930</v>
      </c>
      <c r="BM170" s="7">
        <v>0.1739</v>
      </c>
      <c r="BN170" s="7">
        <v>0.1807</v>
      </c>
      <c r="BO170" s="4">
        <v>4</v>
      </c>
      <c r="BP170" s="8">
        <v>82.56</v>
      </c>
      <c r="BQ170" s="4"/>
      <c r="BR170" s="8"/>
      <c r="BS170" s="7"/>
      <c r="BT170" s="7"/>
      <c r="BU170" s="2" t="s">
        <v>106</v>
      </c>
      <c r="BV170" s="2" t="s">
        <v>95</v>
      </c>
      <c r="BW170" s="2" t="s">
        <v>931</v>
      </c>
      <c r="BX170" s="2" t="s">
        <v>932</v>
      </c>
      <c r="BY170" s="2" t="s">
        <v>109</v>
      </c>
      <c r="BZ170" s="2" t="s">
        <v>98</v>
      </c>
    </row>
    <row r="171">
      <c r="A171" s="2" t="s">
        <v>933</v>
      </c>
      <c r="B171" s="2" t="s">
        <v>877</v>
      </c>
      <c r="C171" s="2" t="s">
        <v>88</v>
      </c>
      <c r="D171" s="2" t="s">
        <v>919</v>
      </c>
      <c r="E171" s="2" t="s">
        <v>920</v>
      </c>
      <c r="F171" s="2" t="s">
        <v>880</v>
      </c>
      <c r="G171" s="2" t="s">
        <v>880</v>
      </c>
      <c r="H171" s="2" t="s">
        <v>880</v>
      </c>
      <c r="I171" s="2" t="s">
        <v>920</v>
      </c>
      <c r="J171" s="2" t="s">
        <v>921</v>
      </c>
      <c r="K171" s="2" t="s">
        <v>152</v>
      </c>
      <c r="L171" s="3">
        <v>18.09</v>
      </c>
      <c r="M171" s="3">
        <v>18.99</v>
      </c>
      <c r="N171" s="3">
        <v>38.99</v>
      </c>
      <c r="O171" s="2" t="s">
        <v>95</v>
      </c>
      <c r="P171" s="2" t="s">
        <v>140</v>
      </c>
      <c r="Q171" s="2" t="s">
        <v>97</v>
      </c>
      <c r="R171" s="2" t="s">
        <v>98</v>
      </c>
      <c r="S171" s="2" t="s">
        <v>894</v>
      </c>
      <c r="T171" s="2" t="s">
        <v>884</v>
      </c>
      <c r="U171" s="2" t="s">
        <v>98</v>
      </c>
      <c r="V171" s="2" t="s">
        <v>208</v>
      </c>
      <c r="W171" s="2" t="s">
        <v>190</v>
      </c>
      <c r="X171" s="2" t="s">
        <v>738</v>
      </c>
      <c r="Y171" s="2" t="s">
        <v>354</v>
      </c>
      <c r="Z171" s="4">
        <v>564</v>
      </c>
      <c r="AA171" s="4">
        <f>=ROUNDDOWN(25.7534246575343,0)</f>
      </c>
      <c r="AB171" s="5">
        <v>21.9</v>
      </c>
      <c r="AC171" s="2" t="s">
        <v>934</v>
      </c>
      <c r="AD171" s="4">
        <v>500</v>
      </c>
      <c r="AE171" s="4">
        <v>500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/>
      <c r="AP171" s="4">
        <v>3</v>
      </c>
      <c r="AQ171" s="8">
        <v>61.92</v>
      </c>
      <c r="AR171" s="4"/>
      <c r="AS171" s="8"/>
      <c r="AT171" s="7"/>
      <c r="AU171" s="7"/>
      <c r="AV171" s="4">
        <v>3</v>
      </c>
      <c r="AW171" s="8">
        <v>61.92</v>
      </c>
      <c r="AX171" s="4"/>
      <c r="AY171" s="8"/>
      <c r="AZ171" s="7"/>
      <c r="BA171" s="7"/>
      <c r="BB171" s="7">
        <v>1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0.0789</v>
      </c>
      <c r="BJ171" s="4">
        <v>18</v>
      </c>
      <c r="BK171" s="8">
        <v>348.67</v>
      </c>
      <c r="BL171" s="2" t="s">
        <v>935</v>
      </c>
      <c r="BM171" s="7">
        <v>0.1667</v>
      </c>
      <c r="BN171" s="7">
        <v>0.1776</v>
      </c>
      <c r="BO171" s="4">
        <v>3</v>
      </c>
      <c r="BP171" s="8">
        <v>61.92</v>
      </c>
      <c r="BQ171" s="4"/>
      <c r="BR171" s="8"/>
      <c r="BS171" s="7"/>
      <c r="BT171" s="7"/>
      <c r="BU171" s="2" t="s">
        <v>106</v>
      </c>
      <c r="BV171" s="2" t="s">
        <v>95</v>
      </c>
      <c r="BW171" s="2" t="s">
        <v>600</v>
      </c>
      <c r="BX171" s="2" t="s">
        <v>499</v>
      </c>
      <c r="BY171" s="2" t="s">
        <v>109</v>
      </c>
      <c r="BZ171" s="2" t="s">
        <v>98</v>
      </c>
    </row>
    <row r="172">
      <c r="A172" s="2" t="s">
        <v>936</v>
      </c>
      <c r="B172" s="2" t="s">
        <v>877</v>
      </c>
      <c r="C172" s="2" t="s">
        <v>88</v>
      </c>
      <c r="D172" s="2" t="s">
        <v>919</v>
      </c>
      <c r="E172" s="2" t="s">
        <v>920</v>
      </c>
      <c r="F172" s="2" t="s">
        <v>880</v>
      </c>
      <c r="G172" s="2" t="s">
        <v>880</v>
      </c>
      <c r="H172" s="2" t="s">
        <v>880</v>
      </c>
      <c r="I172" s="2" t="s">
        <v>920</v>
      </c>
      <c r="J172" s="2" t="s">
        <v>921</v>
      </c>
      <c r="K172" s="2" t="s">
        <v>631</v>
      </c>
      <c r="L172" s="3">
        <v>18.09</v>
      </c>
      <c r="M172" s="3">
        <v>18.99</v>
      </c>
      <c r="N172" s="3">
        <v>38.99</v>
      </c>
      <c r="O172" s="2" t="s">
        <v>95</v>
      </c>
      <c r="P172" s="2" t="s">
        <v>140</v>
      </c>
      <c r="Q172" s="2" t="s">
        <v>97</v>
      </c>
      <c r="R172" s="2" t="s">
        <v>98</v>
      </c>
      <c r="S172" s="2" t="s">
        <v>904</v>
      </c>
      <c r="T172" s="2" t="s">
        <v>884</v>
      </c>
      <c r="U172" s="2" t="s">
        <v>590</v>
      </c>
      <c r="V172" s="2" t="s">
        <v>208</v>
      </c>
      <c r="W172" s="2" t="s">
        <v>190</v>
      </c>
      <c r="X172" s="2" t="s">
        <v>738</v>
      </c>
      <c r="Y172" s="2" t="s">
        <v>891</v>
      </c>
      <c r="Z172" s="4">
        <v>479</v>
      </c>
      <c r="AA172" s="4">
        <f>=ROUNDDOWN(33.2638888888889,0)</f>
      </c>
      <c r="AB172" s="5">
        <v>14.4</v>
      </c>
      <c r="AC172" s="2" t="s">
        <v>98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/>
      <c r="AP172" s="4">
        <v>2</v>
      </c>
      <c r="AQ172" s="8">
        <v>41.28</v>
      </c>
      <c r="AR172" s="4"/>
      <c r="AS172" s="8"/>
      <c r="AT172" s="7"/>
      <c r="AU172" s="7"/>
      <c r="AV172" s="4">
        <v>2</v>
      </c>
      <c r="AW172" s="8">
        <v>41.28</v>
      </c>
      <c r="AX172" s="4"/>
      <c r="AY172" s="8"/>
      <c r="AZ172" s="7"/>
      <c r="BA172" s="7"/>
      <c r="BB172" s="7">
        <v>1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0.0526</v>
      </c>
      <c r="BJ172" s="4">
        <v>12</v>
      </c>
      <c r="BK172" s="8">
        <v>245.73</v>
      </c>
      <c r="BL172" s="2" t="s">
        <v>432</v>
      </c>
      <c r="BM172" s="7">
        <v>0.1667</v>
      </c>
      <c r="BN172" s="7">
        <v>0.168</v>
      </c>
      <c r="BO172" s="4">
        <v>2</v>
      </c>
      <c r="BP172" s="8">
        <v>41.28</v>
      </c>
      <c r="BQ172" s="4"/>
      <c r="BR172" s="8"/>
      <c r="BS172" s="7"/>
      <c r="BT172" s="7"/>
      <c r="BU172" s="2" t="s">
        <v>106</v>
      </c>
      <c r="BV172" s="2" t="s">
        <v>95</v>
      </c>
      <c r="BW172" s="2" t="s">
        <v>931</v>
      </c>
      <c r="BX172" s="2" t="s">
        <v>937</v>
      </c>
      <c r="BY172" s="2" t="s">
        <v>109</v>
      </c>
      <c r="BZ172" s="2" t="s">
        <v>98</v>
      </c>
    </row>
    <row r="173">
      <c r="A173" s="2" t="s">
        <v>938</v>
      </c>
      <c r="B173" s="2" t="s">
        <v>877</v>
      </c>
      <c r="C173" s="2" t="s">
        <v>88</v>
      </c>
      <c r="D173" s="2" t="s">
        <v>919</v>
      </c>
      <c r="E173" s="2" t="s">
        <v>920</v>
      </c>
      <c r="F173" s="2" t="s">
        <v>880</v>
      </c>
      <c r="G173" s="2" t="s">
        <v>880</v>
      </c>
      <c r="H173" s="2" t="s">
        <v>880</v>
      </c>
      <c r="I173" s="2" t="s">
        <v>920</v>
      </c>
      <c r="J173" s="2" t="s">
        <v>921</v>
      </c>
      <c r="K173" s="2" t="s">
        <v>737</v>
      </c>
      <c r="L173" s="3">
        <v>18.09</v>
      </c>
      <c r="M173" s="3">
        <v>18.99</v>
      </c>
      <c r="N173" s="3">
        <v>38.99</v>
      </c>
      <c r="O173" s="2" t="s">
        <v>95</v>
      </c>
      <c r="P173" s="2" t="s">
        <v>140</v>
      </c>
      <c r="Q173" s="2" t="s">
        <v>97</v>
      </c>
      <c r="R173" s="2" t="s">
        <v>98</v>
      </c>
      <c r="S173" s="2" t="s">
        <v>939</v>
      </c>
      <c r="T173" s="2" t="s">
        <v>884</v>
      </c>
      <c r="U173" s="2" t="s">
        <v>590</v>
      </c>
      <c r="V173" s="2" t="s">
        <v>208</v>
      </c>
      <c r="W173" s="2" t="s">
        <v>190</v>
      </c>
      <c r="X173" s="2" t="s">
        <v>738</v>
      </c>
      <c r="Y173" s="2" t="s">
        <v>910</v>
      </c>
      <c r="Z173" s="4">
        <v>483</v>
      </c>
      <c r="AA173" s="4">
        <f>=ROUNDDOWN(22.7830188679245,0)</f>
      </c>
      <c r="AB173" s="5">
        <v>21.2</v>
      </c>
      <c r="AC173" s="2" t="s">
        <v>923</v>
      </c>
      <c r="AD173" s="4">
        <v>400</v>
      </c>
      <c r="AE173" s="4">
        <v>400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/>
      <c r="AP173" s="4">
        <v>1</v>
      </c>
      <c r="AQ173" s="8">
        <v>20.64</v>
      </c>
      <c r="AR173" s="4"/>
      <c r="AS173" s="8"/>
      <c r="AT173" s="7"/>
      <c r="AU173" s="7"/>
      <c r="AV173" s="4">
        <v>1</v>
      </c>
      <c r="AW173" s="8">
        <v>20.64</v>
      </c>
      <c r="AX173" s="4"/>
      <c r="AY173" s="8"/>
      <c r="AZ173" s="7"/>
      <c r="BA173" s="7"/>
      <c r="BB173" s="7">
        <v>1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>
        <v>0.0263</v>
      </c>
      <c r="BJ173" s="4">
        <v>10</v>
      </c>
      <c r="BK173" s="8">
        <v>202.98</v>
      </c>
      <c r="BL173" s="2" t="s">
        <v>940</v>
      </c>
      <c r="BM173" s="7">
        <v>0.1</v>
      </c>
      <c r="BN173" s="7">
        <v>0.1017</v>
      </c>
      <c r="BO173" s="4">
        <v>1</v>
      </c>
      <c r="BP173" s="8">
        <v>20.64</v>
      </c>
      <c r="BQ173" s="4"/>
      <c r="BR173" s="8"/>
      <c r="BS173" s="7"/>
      <c r="BT173" s="7"/>
      <c r="BU173" s="2" t="s">
        <v>106</v>
      </c>
      <c r="BV173" s="2" t="s">
        <v>95</v>
      </c>
      <c r="BW173" s="2" t="s">
        <v>464</v>
      </c>
      <c r="BX173" s="2" t="s">
        <v>941</v>
      </c>
      <c r="BY173" s="2" t="s">
        <v>109</v>
      </c>
      <c r="BZ173" s="2" t="s">
        <v>98</v>
      </c>
    </row>
    <row r="174">
      <c r="A174" s="2" t="s">
        <v>942</v>
      </c>
      <c r="B174" s="2" t="s">
        <v>877</v>
      </c>
      <c r="C174" s="2" t="s">
        <v>88</v>
      </c>
      <c r="D174" s="2" t="s">
        <v>919</v>
      </c>
      <c r="E174" s="2" t="s">
        <v>920</v>
      </c>
      <c r="F174" s="2" t="s">
        <v>943</v>
      </c>
      <c r="G174" s="2" t="s">
        <v>944</v>
      </c>
      <c r="H174" s="2" t="s">
        <v>98</v>
      </c>
      <c r="I174" s="2" t="s">
        <v>945</v>
      </c>
      <c r="J174" s="2" t="s">
        <v>921</v>
      </c>
      <c r="K174" s="2" t="s">
        <v>184</v>
      </c>
      <c r="L174" s="3">
        <v>19.22</v>
      </c>
      <c r="M174" s="3">
        <v>20.18</v>
      </c>
      <c r="N174" s="3">
        <v>41.99</v>
      </c>
      <c r="O174" s="2" t="s">
        <v>95</v>
      </c>
      <c r="P174" s="2" t="s">
        <v>140</v>
      </c>
      <c r="Q174" s="2" t="s">
        <v>97</v>
      </c>
      <c r="R174" s="2" t="s">
        <v>98</v>
      </c>
      <c r="S174" s="2" t="s">
        <v>946</v>
      </c>
      <c r="T174" s="2" t="s">
        <v>884</v>
      </c>
      <c r="U174" s="2" t="s">
        <v>98</v>
      </c>
      <c r="V174" s="2" t="s">
        <v>947</v>
      </c>
      <c r="W174" s="2" t="s">
        <v>384</v>
      </c>
      <c r="X174" s="2" t="s">
        <v>242</v>
      </c>
      <c r="Y174" s="2" t="s">
        <v>354</v>
      </c>
      <c r="Z174" s="4">
        <v>680</v>
      </c>
      <c r="AA174" s="4">
        <f>=ROUNDDOWN(48.5714285714286,0)</f>
      </c>
      <c r="AB174" s="5">
        <v>14</v>
      </c>
      <c r="AC174" s="2" t="s">
        <v>98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/>
      <c r="AP174" s="4">
        <v>1</v>
      </c>
      <c r="AQ174" s="8">
        <v>21.67</v>
      </c>
      <c r="AR174" s="4"/>
      <c r="AS174" s="8"/>
      <c r="AT174" s="7"/>
      <c r="AU174" s="7"/>
      <c r="AV174" s="4">
        <v>1</v>
      </c>
      <c r="AW174" s="8">
        <v>21.67</v>
      </c>
      <c r="AX174" s="4"/>
      <c r="AY174" s="8"/>
      <c r="AZ174" s="7"/>
      <c r="BA174" s="7"/>
      <c r="BB174" s="7">
        <v>1</v>
      </c>
      <c r="BC174" s="4">
        <v>2</v>
      </c>
      <c r="BD174" s="8">
        <v>43.34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>
        <v>0.5</v>
      </c>
      <c r="BJ174" s="4">
        <v>11</v>
      </c>
      <c r="BK174" s="8">
        <v>226.61</v>
      </c>
      <c r="BL174" s="2" t="s">
        <v>432</v>
      </c>
      <c r="BM174" s="7">
        <v>0.0909</v>
      </c>
      <c r="BN174" s="7">
        <v>0.0956</v>
      </c>
      <c r="BO174" s="4">
        <v>1</v>
      </c>
      <c r="BP174" s="8">
        <v>21.67</v>
      </c>
      <c r="BQ174" s="4"/>
      <c r="BR174" s="8"/>
      <c r="BS174" s="7"/>
      <c r="BT174" s="7"/>
      <c r="BU174" s="2" t="s">
        <v>106</v>
      </c>
      <c r="BV174" s="2" t="s">
        <v>95</v>
      </c>
      <c r="BW174" s="2" t="s">
        <v>600</v>
      </c>
      <c r="BX174" s="2" t="s">
        <v>948</v>
      </c>
      <c r="BY174" s="2" t="s">
        <v>109</v>
      </c>
      <c r="BZ174" s="2" t="s">
        <v>98</v>
      </c>
    </row>
    <row r="175">
      <c r="A175" s="2" t="s">
        <v>949</v>
      </c>
      <c r="B175" s="2" t="s">
        <v>877</v>
      </c>
      <c r="C175" s="2" t="s">
        <v>88</v>
      </c>
      <c r="D175" s="2" t="s">
        <v>919</v>
      </c>
      <c r="E175" s="2" t="s">
        <v>920</v>
      </c>
      <c r="F175" s="2" t="s">
        <v>943</v>
      </c>
      <c r="G175" s="2" t="s">
        <v>944</v>
      </c>
      <c r="H175" s="2" t="s">
        <v>98</v>
      </c>
      <c r="I175" s="2" t="s">
        <v>945</v>
      </c>
      <c r="J175" s="2" t="s">
        <v>921</v>
      </c>
      <c r="K175" s="2" t="s">
        <v>287</v>
      </c>
      <c r="L175" s="3">
        <v>19.22</v>
      </c>
      <c r="M175" s="3">
        <v>20.18</v>
      </c>
      <c r="N175" s="3">
        <v>41.99</v>
      </c>
      <c r="O175" s="2" t="s">
        <v>95</v>
      </c>
      <c r="P175" s="2" t="s">
        <v>140</v>
      </c>
      <c r="Q175" s="2" t="s">
        <v>97</v>
      </c>
      <c r="R175" s="2" t="s">
        <v>98</v>
      </c>
      <c r="S175" s="2" t="s">
        <v>950</v>
      </c>
      <c r="T175" s="2" t="s">
        <v>884</v>
      </c>
      <c r="U175" s="2" t="s">
        <v>98</v>
      </c>
      <c r="V175" s="2" t="s">
        <v>947</v>
      </c>
      <c r="W175" s="2" t="s">
        <v>384</v>
      </c>
      <c r="X175" s="2" t="s">
        <v>242</v>
      </c>
      <c r="Y175" s="2" t="s">
        <v>354</v>
      </c>
      <c r="Z175" s="4">
        <v>829</v>
      </c>
      <c r="AA175" s="4">
        <f>=ROUNDDOWN(45.8011049723757,0)</f>
      </c>
      <c r="AB175" s="5">
        <v>18.1</v>
      </c>
      <c r="AC175" s="2" t="s">
        <v>98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/>
      <c r="AP175" s="4">
        <v>1</v>
      </c>
      <c r="AQ175" s="8">
        <v>21.67</v>
      </c>
      <c r="AR175" s="4"/>
      <c r="AS175" s="8"/>
      <c r="AT175" s="7"/>
      <c r="AU175" s="7"/>
      <c r="AV175" s="4">
        <v>1</v>
      </c>
      <c r="AW175" s="8">
        <v>21.67</v>
      </c>
      <c r="AX175" s="4"/>
      <c r="AY175" s="8"/>
      <c r="AZ175" s="7"/>
      <c r="BA175" s="7"/>
      <c r="BB175" s="7">
        <v>1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0.5</v>
      </c>
      <c r="BJ175" s="4">
        <v>21</v>
      </c>
      <c r="BK175" s="8">
        <v>412.84</v>
      </c>
      <c r="BL175" s="2" t="s">
        <v>463</v>
      </c>
      <c r="BM175" s="7">
        <v>0.0476</v>
      </c>
      <c r="BN175" s="7">
        <v>0.0525</v>
      </c>
      <c r="BO175" s="4">
        <v>1</v>
      </c>
      <c r="BP175" s="8">
        <v>21.67</v>
      </c>
      <c r="BQ175" s="4"/>
      <c r="BR175" s="8"/>
      <c r="BS175" s="7"/>
      <c r="BT175" s="7"/>
      <c r="BU175" s="2" t="s">
        <v>106</v>
      </c>
      <c r="BV175" s="2" t="s">
        <v>95</v>
      </c>
      <c r="BW175" s="2" t="s">
        <v>600</v>
      </c>
      <c r="BX175" s="2" t="s">
        <v>356</v>
      </c>
      <c r="BY175" s="2" t="s">
        <v>109</v>
      </c>
      <c r="BZ175" s="2" t="s">
        <v>98</v>
      </c>
    </row>
    <row r="176">
      <c r="A176" s="2" t="s">
        <v>951</v>
      </c>
      <c r="B176" s="2" t="s">
        <v>877</v>
      </c>
      <c r="C176" s="2" t="s">
        <v>88</v>
      </c>
      <c r="D176" s="2" t="s">
        <v>919</v>
      </c>
      <c r="E176" s="2" t="s">
        <v>920</v>
      </c>
      <c r="F176" s="2" t="s">
        <v>943</v>
      </c>
      <c r="G176" s="2" t="s">
        <v>944</v>
      </c>
      <c r="H176" s="2" t="s">
        <v>98</v>
      </c>
      <c r="I176" s="2" t="s">
        <v>945</v>
      </c>
      <c r="J176" s="2" t="s">
        <v>921</v>
      </c>
      <c r="K176" s="2" t="s">
        <v>631</v>
      </c>
      <c r="L176" s="3">
        <v>19.22</v>
      </c>
      <c r="M176" s="3">
        <v>20.18</v>
      </c>
      <c r="N176" s="3">
        <v>41.99</v>
      </c>
      <c r="O176" s="2" t="s">
        <v>95</v>
      </c>
      <c r="P176" s="2" t="s">
        <v>140</v>
      </c>
      <c r="Q176" s="2" t="s">
        <v>97</v>
      </c>
      <c r="R176" s="2" t="s">
        <v>98</v>
      </c>
      <c r="S176" s="2" t="s">
        <v>952</v>
      </c>
      <c r="T176" s="2" t="s">
        <v>884</v>
      </c>
      <c r="U176" s="2" t="s">
        <v>590</v>
      </c>
      <c r="V176" s="2" t="s">
        <v>947</v>
      </c>
      <c r="W176" s="2" t="s">
        <v>384</v>
      </c>
      <c r="X176" s="2" t="s">
        <v>242</v>
      </c>
      <c r="Y176" s="2" t="s">
        <v>953</v>
      </c>
      <c r="Z176" s="4">
        <v>998</v>
      </c>
      <c r="AA176" s="4">
        <f>=ROUNDDOWN(112.134831460674,0)</f>
      </c>
      <c r="AB176" s="5">
        <v>8.9</v>
      </c>
      <c r="AC176" s="2" t="s">
        <v>98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>
        <v>6</v>
      </c>
      <c r="BK176" s="8">
        <v>120.24</v>
      </c>
      <c r="BL176" s="2" t="s">
        <v>441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95</v>
      </c>
      <c r="BW176" s="2" t="s">
        <v>600</v>
      </c>
      <c r="BX176" s="2" t="s">
        <v>499</v>
      </c>
      <c r="BY176" s="2" t="s">
        <v>109</v>
      </c>
      <c r="BZ176" s="2" t="s">
        <v>98</v>
      </c>
    </row>
    <row r="177">
      <c r="A177" s="2" t="s">
        <v>954</v>
      </c>
      <c r="B177" s="2" t="s">
        <v>877</v>
      </c>
      <c r="C177" s="2" t="s">
        <v>88</v>
      </c>
      <c r="D177" s="2" t="s">
        <v>919</v>
      </c>
      <c r="E177" s="2" t="s">
        <v>920</v>
      </c>
      <c r="F177" s="2" t="s">
        <v>943</v>
      </c>
      <c r="G177" s="2" t="s">
        <v>944</v>
      </c>
      <c r="H177" s="2" t="s">
        <v>98</v>
      </c>
      <c r="I177" s="2" t="s">
        <v>945</v>
      </c>
      <c r="J177" s="2" t="s">
        <v>921</v>
      </c>
      <c r="K177" s="2" t="s">
        <v>94</v>
      </c>
      <c r="L177" s="3">
        <v>19.22</v>
      </c>
      <c r="M177" s="3">
        <v>20.18</v>
      </c>
      <c r="N177" s="3">
        <v>41.99</v>
      </c>
      <c r="O177" s="2" t="s">
        <v>95</v>
      </c>
      <c r="P177" s="2" t="s">
        <v>128</v>
      </c>
      <c r="Q177" s="2" t="s">
        <v>97</v>
      </c>
      <c r="R177" s="2" t="s">
        <v>98</v>
      </c>
      <c r="S177" s="2" t="s">
        <v>952</v>
      </c>
      <c r="T177" s="2" t="s">
        <v>98</v>
      </c>
      <c r="U177" s="2" t="s">
        <v>590</v>
      </c>
      <c r="V177" s="2" t="s">
        <v>947</v>
      </c>
      <c r="W177" s="2" t="s">
        <v>384</v>
      </c>
      <c r="X177" s="2" t="s">
        <v>242</v>
      </c>
      <c r="Y177" s="2" t="s">
        <v>953</v>
      </c>
      <c r="Z177" s="4">
        <v>30</v>
      </c>
      <c r="AA177" s="4">
        <f>=ROUNDDOWN(3.75,0)</f>
      </c>
      <c r="AB177" s="5">
        <v>8</v>
      </c>
      <c r="AC177" s="2" t="s">
        <v>98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>
        <v>5</v>
      </c>
      <c r="BK177" s="8">
        <v>102.9</v>
      </c>
      <c r="BL177" s="2" t="s">
        <v>355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95</v>
      </c>
      <c r="BW177" s="2" t="s">
        <v>600</v>
      </c>
      <c r="BX177" s="2" t="s">
        <v>272</v>
      </c>
      <c r="BY177" s="2" t="s">
        <v>109</v>
      </c>
      <c r="BZ177" s="2" t="s">
        <v>98</v>
      </c>
    </row>
    <row r="178">
      <c r="A178" s="2" t="s">
        <v>955</v>
      </c>
      <c r="B178" s="2" t="s">
        <v>877</v>
      </c>
      <c r="C178" s="2" t="s">
        <v>88</v>
      </c>
      <c r="D178" s="2" t="s">
        <v>919</v>
      </c>
      <c r="E178" s="2" t="s">
        <v>920</v>
      </c>
      <c r="F178" s="2" t="s">
        <v>943</v>
      </c>
      <c r="G178" s="2" t="s">
        <v>944</v>
      </c>
      <c r="H178" s="2" t="s">
        <v>98</v>
      </c>
      <c r="I178" s="2" t="s">
        <v>945</v>
      </c>
      <c r="J178" s="2" t="s">
        <v>921</v>
      </c>
      <c r="K178" s="2" t="s">
        <v>115</v>
      </c>
      <c r="L178" s="3">
        <v>19.22</v>
      </c>
      <c r="M178" s="3">
        <v>20.18</v>
      </c>
      <c r="N178" s="3">
        <v>41.99</v>
      </c>
      <c r="O178" s="2" t="s">
        <v>95</v>
      </c>
      <c r="P178" s="2" t="s">
        <v>140</v>
      </c>
      <c r="Q178" s="2" t="s">
        <v>97</v>
      </c>
      <c r="R178" s="2" t="s">
        <v>98</v>
      </c>
      <c r="S178" s="2" t="s">
        <v>956</v>
      </c>
      <c r="T178" s="2" t="s">
        <v>884</v>
      </c>
      <c r="U178" s="2" t="s">
        <v>98</v>
      </c>
      <c r="V178" s="2" t="s">
        <v>947</v>
      </c>
      <c r="W178" s="2" t="s">
        <v>384</v>
      </c>
      <c r="X178" s="2" t="s">
        <v>242</v>
      </c>
      <c r="Y178" s="2" t="s">
        <v>354</v>
      </c>
      <c r="Z178" s="4">
        <v>662</v>
      </c>
      <c r="AA178" s="4">
        <f>=ROUNDDOWN(45.0340136054422,0)</f>
      </c>
      <c r="AB178" s="5">
        <v>14.7</v>
      </c>
      <c r="AC178" s="2" t="s">
        <v>98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/>
      <c r="BJ178" s="4">
        <v>22</v>
      </c>
      <c r="BK178" s="8">
        <v>448.51</v>
      </c>
      <c r="BL178" s="2" t="s">
        <v>957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95</v>
      </c>
      <c r="BW178" s="2" t="s">
        <v>600</v>
      </c>
      <c r="BX178" s="2" t="s">
        <v>573</v>
      </c>
      <c r="BY178" s="2" t="s">
        <v>109</v>
      </c>
      <c r="BZ178" s="2" t="s">
        <v>98</v>
      </c>
    </row>
    <row r="179">
      <c r="A179" s="2" t="s">
        <v>958</v>
      </c>
      <c r="B179" s="2" t="s">
        <v>877</v>
      </c>
      <c r="C179" s="2" t="s">
        <v>88</v>
      </c>
      <c r="D179" s="2" t="s">
        <v>959</v>
      </c>
      <c r="E179" s="2" t="s">
        <v>960</v>
      </c>
      <c r="F179" s="2" t="s">
        <v>880</v>
      </c>
      <c r="G179" s="2" t="s">
        <v>880</v>
      </c>
      <c r="H179" s="2" t="s">
        <v>880</v>
      </c>
      <c r="I179" s="2" t="s">
        <v>961</v>
      </c>
      <c r="J179" s="2" t="s">
        <v>962</v>
      </c>
      <c r="K179" s="2" t="s">
        <v>908</v>
      </c>
      <c r="L179" s="3">
        <v>10.58</v>
      </c>
      <c r="M179" s="3">
        <v>11.11</v>
      </c>
      <c r="N179" s="3">
        <v>22.99</v>
      </c>
      <c r="O179" s="2" t="s">
        <v>95</v>
      </c>
      <c r="P179" s="2" t="s">
        <v>140</v>
      </c>
      <c r="Q179" s="2" t="s">
        <v>97</v>
      </c>
      <c r="R179" s="2" t="s">
        <v>98</v>
      </c>
      <c r="S179" s="2" t="s">
        <v>909</v>
      </c>
      <c r="T179" s="2" t="s">
        <v>884</v>
      </c>
      <c r="U179" s="2" t="s">
        <v>590</v>
      </c>
      <c r="V179" s="2" t="s">
        <v>208</v>
      </c>
      <c r="W179" s="2" t="s">
        <v>190</v>
      </c>
      <c r="X179" s="2" t="s">
        <v>738</v>
      </c>
      <c r="Y179" s="2" t="s">
        <v>910</v>
      </c>
      <c r="Z179" s="4">
        <v>281</v>
      </c>
      <c r="AA179" s="4">
        <f>=ROUNDDOWN(216.153846153846,0)</f>
      </c>
      <c r="AB179" s="5">
        <v>1.3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>
        <v>4</v>
      </c>
      <c r="AW179" s="8">
        <v>57.16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/>
      <c r="BC179" s="4">
        <v>5</v>
      </c>
      <c r="BD179" s="8">
        <v>67.82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0.8428</v>
      </c>
      <c r="BJ179" s="4"/>
      <c r="BK179" s="8"/>
      <c r="BL179" s="2" t="s">
        <v>98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95</v>
      </c>
      <c r="BW179" s="2" t="s">
        <v>464</v>
      </c>
      <c r="BX179" s="2" t="s">
        <v>928</v>
      </c>
      <c r="BY179" s="2" t="s">
        <v>109</v>
      </c>
      <c r="BZ179" s="2" t="s">
        <v>98</v>
      </c>
    </row>
    <row r="180">
      <c r="A180" s="2" t="s">
        <v>963</v>
      </c>
      <c r="B180" s="2" t="s">
        <v>877</v>
      </c>
      <c r="C180" s="2" t="s">
        <v>88</v>
      </c>
      <c r="D180" s="2" t="s">
        <v>959</v>
      </c>
      <c r="E180" s="2" t="s">
        <v>960</v>
      </c>
      <c r="F180" s="2" t="s">
        <v>880</v>
      </c>
      <c r="G180" s="2" t="s">
        <v>880</v>
      </c>
      <c r="H180" s="2" t="s">
        <v>880</v>
      </c>
      <c r="I180" s="2" t="s">
        <v>964</v>
      </c>
      <c r="J180" s="2" t="s">
        <v>588</v>
      </c>
      <c r="K180" s="2" t="s">
        <v>908</v>
      </c>
      <c r="L180" s="3">
        <v>12.96</v>
      </c>
      <c r="M180" s="3">
        <v>13.61</v>
      </c>
      <c r="N180" s="3">
        <v>26.99</v>
      </c>
      <c r="O180" s="2" t="s">
        <v>95</v>
      </c>
      <c r="P180" s="2" t="s">
        <v>140</v>
      </c>
      <c r="Q180" s="2" t="s">
        <v>97</v>
      </c>
      <c r="R180" s="2" t="s">
        <v>98</v>
      </c>
      <c r="S180" s="2" t="s">
        <v>909</v>
      </c>
      <c r="T180" s="2" t="s">
        <v>884</v>
      </c>
      <c r="U180" s="2" t="s">
        <v>590</v>
      </c>
      <c r="V180" s="2" t="s">
        <v>208</v>
      </c>
      <c r="W180" s="2" t="s">
        <v>190</v>
      </c>
      <c r="X180" s="2" t="s">
        <v>738</v>
      </c>
      <c r="Y180" s="2" t="s">
        <v>910</v>
      </c>
      <c r="Z180" s="4">
        <v>239</v>
      </c>
      <c r="AA180" s="4">
        <f>=ROUNDDOWN(132.777777777778,0)</f>
      </c>
      <c r="AB180" s="5">
        <v>1.8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/>
      <c r="AP180" s="4">
        <v>4</v>
      </c>
      <c r="AQ180" s="8">
        <v>57.16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1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5</v>
      </c>
      <c r="BK180" s="8">
        <v>70.9</v>
      </c>
      <c r="BL180" s="2" t="s">
        <v>965</v>
      </c>
      <c r="BM180" s="7">
        <v>0.8</v>
      </c>
      <c r="BN180" s="7">
        <v>0.8062</v>
      </c>
      <c r="BO180" s="4">
        <v>4</v>
      </c>
      <c r="BP180" s="8">
        <v>57.16</v>
      </c>
      <c r="BQ180" s="4"/>
      <c r="BR180" s="8"/>
      <c r="BS180" s="7"/>
      <c r="BT180" s="7"/>
      <c r="BU180" s="2" t="s">
        <v>106</v>
      </c>
      <c r="BV180" s="2" t="s">
        <v>95</v>
      </c>
      <c r="BW180" s="2" t="s">
        <v>464</v>
      </c>
      <c r="BX180" s="2" t="s">
        <v>966</v>
      </c>
      <c r="BY180" s="2" t="s">
        <v>109</v>
      </c>
      <c r="BZ180" s="2" t="s">
        <v>98</v>
      </c>
    </row>
    <row r="181">
      <c r="A181" s="2" t="s">
        <v>967</v>
      </c>
      <c r="B181" s="2" t="s">
        <v>877</v>
      </c>
      <c r="C181" s="2" t="s">
        <v>88</v>
      </c>
      <c r="D181" s="2" t="s">
        <v>959</v>
      </c>
      <c r="E181" s="2" t="s">
        <v>960</v>
      </c>
      <c r="F181" s="2" t="s">
        <v>880</v>
      </c>
      <c r="G181" s="2" t="s">
        <v>880</v>
      </c>
      <c r="H181" s="2" t="s">
        <v>880</v>
      </c>
      <c r="I181" s="2" t="s">
        <v>968</v>
      </c>
      <c r="J181" s="2" t="s">
        <v>969</v>
      </c>
      <c r="K181" s="2" t="s">
        <v>908</v>
      </c>
      <c r="L181" s="3">
        <v>18.4</v>
      </c>
      <c r="M181" s="3">
        <v>19.32</v>
      </c>
      <c r="N181" s="3">
        <v>39.99</v>
      </c>
      <c r="O181" s="2" t="s">
        <v>95</v>
      </c>
      <c r="P181" s="2" t="s">
        <v>140</v>
      </c>
      <c r="Q181" s="2" t="s">
        <v>97</v>
      </c>
      <c r="R181" s="2" t="s">
        <v>98</v>
      </c>
      <c r="S181" s="2" t="s">
        <v>909</v>
      </c>
      <c r="T181" s="2" t="s">
        <v>884</v>
      </c>
      <c r="U181" s="2" t="s">
        <v>590</v>
      </c>
      <c r="V181" s="2" t="s">
        <v>208</v>
      </c>
      <c r="W181" s="2" t="s">
        <v>190</v>
      </c>
      <c r="X181" s="2" t="s">
        <v>738</v>
      </c>
      <c r="Y181" s="2" t="s">
        <v>910</v>
      </c>
      <c r="Z181" s="4">
        <v>133</v>
      </c>
      <c r="AA181" s="4">
        <f>=ROUNDDOWN(30.2272727272727,0)</f>
      </c>
      <c r="AB181" s="5">
        <v>4.4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98</v>
      </c>
      <c r="AW181" s="8" t="s">
        <v>98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 t="s">
        <v>98</v>
      </c>
      <c r="BJ181" s="4">
        <v>2</v>
      </c>
      <c r="BK181" s="8">
        <v>40.58</v>
      </c>
      <c r="BL181" s="2" t="s">
        <v>143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95</v>
      </c>
      <c r="BW181" s="2" t="s">
        <v>464</v>
      </c>
      <c r="BX181" s="2" t="s">
        <v>970</v>
      </c>
      <c r="BY181" s="2" t="s">
        <v>109</v>
      </c>
      <c r="BZ181" s="2" t="s">
        <v>98</v>
      </c>
    </row>
    <row r="182">
      <c r="A182" s="2" t="s">
        <v>971</v>
      </c>
      <c r="B182" s="2" t="s">
        <v>877</v>
      </c>
      <c r="C182" s="2" t="s">
        <v>88</v>
      </c>
      <c r="D182" s="2" t="s">
        <v>959</v>
      </c>
      <c r="E182" s="2" t="s">
        <v>960</v>
      </c>
      <c r="F182" s="2" t="s">
        <v>880</v>
      </c>
      <c r="G182" s="2" t="s">
        <v>880</v>
      </c>
      <c r="H182" s="2" t="s">
        <v>880</v>
      </c>
      <c r="I182" s="2" t="s">
        <v>961</v>
      </c>
      <c r="J182" s="2" t="s">
        <v>962</v>
      </c>
      <c r="K182" s="2" t="s">
        <v>152</v>
      </c>
      <c r="L182" s="3">
        <v>10.58</v>
      </c>
      <c r="M182" s="3">
        <v>11.11</v>
      </c>
      <c r="N182" s="3">
        <v>22.99</v>
      </c>
      <c r="O182" s="2" t="s">
        <v>95</v>
      </c>
      <c r="P182" s="2" t="s">
        <v>140</v>
      </c>
      <c r="Q182" s="2" t="s">
        <v>97</v>
      </c>
      <c r="R182" s="2" t="s">
        <v>98</v>
      </c>
      <c r="S182" s="2" t="s">
        <v>894</v>
      </c>
      <c r="T182" s="2" t="s">
        <v>884</v>
      </c>
      <c r="U182" s="2" t="s">
        <v>98</v>
      </c>
      <c r="V182" s="2" t="s">
        <v>208</v>
      </c>
      <c r="W182" s="2" t="s">
        <v>190</v>
      </c>
      <c r="X182" s="2" t="s">
        <v>738</v>
      </c>
      <c r="Y182" s="2" t="s">
        <v>354</v>
      </c>
      <c r="Z182" s="4">
        <v>520</v>
      </c>
      <c r="AA182" s="4">
        <f>=ROUNDDOWN(63.4146341463415,0)</f>
      </c>
      <c r="AB182" s="5">
        <v>8.2</v>
      </c>
      <c r="AC182" s="2" t="s">
        <v>98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/>
      <c r="AP182" s="4">
        <v>1</v>
      </c>
      <c r="AQ182" s="8">
        <v>10.66</v>
      </c>
      <c r="AR182" s="4"/>
      <c r="AS182" s="8"/>
      <c r="AT182" s="7"/>
      <c r="AU182" s="7"/>
      <c r="AV182" s="4">
        <v>1</v>
      </c>
      <c r="AW182" s="8">
        <v>10.66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1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0.1572</v>
      </c>
      <c r="BJ182" s="4">
        <v>32</v>
      </c>
      <c r="BK182" s="8">
        <v>360.03</v>
      </c>
      <c r="BL182" s="2" t="s">
        <v>454</v>
      </c>
      <c r="BM182" s="7">
        <v>0.0312</v>
      </c>
      <c r="BN182" s="7">
        <v>0.0296</v>
      </c>
      <c r="BO182" s="4">
        <v>1</v>
      </c>
      <c r="BP182" s="8">
        <v>10.66</v>
      </c>
      <c r="BQ182" s="4"/>
      <c r="BR182" s="8"/>
      <c r="BS182" s="7"/>
      <c r="BT182" s="7"/>
      <c r="BU182" s="2" t="s">
        <v>106</v>
      </c>
      <c r="BV182" s="2" t="s">
        <v>95</v>
      </c>
      <c r="BW182" s="2" t="s">
        <v>600</v>
      </c>
      <c r="BX182" s="2" t="s">
        <v>601</v>
      </c>
      <c r="BY182" s="2" t="s">
        <v>109</v>
      </c>
      <c r="BZ182" s="2" t="s">
        <v>98</v>
      </c>
    </row>
    <row r="183">
      <c r="A183" s="2" t="s">
        <v>972</v>
      </c>
      <c r="B183" s="2" t="s">
        <v>877</v>
      </c>
      <c r="C183" s="2" t="s">
        <v>88</v>
      </c>
      <c r="D183" s="2" t="s">
        <v>959</v>
      </c>
      <c r="E183" s="2" t="s">
        <v>960</v>
      </c>
      <c r="F183" s="2" t="s">
        <v>880</v>
      </c>
      <c r="G183" s="2" t="s">
        <v>880</v>
      </c>
      <c r="H183" s="2" t="s">
        <v>880</v>
      </c>
      <c r="I183" s="2" t="s">
        <v>964</v>
      </c>
      <c r="J183" s="2" t="s">
        <v>588</v>
      </c>
      <c r="K183" s="2" t="s">
        <v>152</v>
      </c>
      <c r="L183" s="3">
        <v>12.96</v>
      </c>
      <c r="M183" s="3">
        <v>13.61</v>
      </c>
      <c r="N183" s="3">
        <v>26.99</v>
      </c>
      <c r="O183" s="2" t="s">
        <v>95</v>
      </c>
      <c r="P183" s="2" t="s">
        <v>140</v>
      </c>
      <c r="Q183" s="2" t="s">
        <v>97</v>
      </c>
      <c r="R183" s="2" t="s">
        <v>98</v>
      </c>
      <c r="S183" s="2" t="s">
        <v>894</v>
      </c>
      <c r="T183" s="2" t="s">
        <v>884</v>
      </c>
      <c r="U183" s="2" t="s">
        <v>98</v>
      </c>
      <c r="V183" s="2" t="s">
        <v>208</v>
      </c>
      <c r="W183" s="2" t="s">
        <v>190</v>
      </c>
      <c r="X183" s="2" t="s">
        <v>738</v>
      </c>
      <c r="Y183" s="2" t="s">
        <v>354</v>
      </c>
      <c r="Z183" s="4">
        <v>341</v>
      </c>
      <c r="AA183" s="4">
        <f>=ROUNDDOWN(46.7123287671233,0)</f>
      </c>
      <c r="AB183" s="5">
        <v>7.3</v>
      </c>
      <c r="AC183" s="2" t="s">
        <v>98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21</v>
      </c>
      <c r="BK183" s="8">
        <v>294.63</v>
      </c>
      <c r="BL183" s="2" t="s">
        <v>355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95</v>
      </c>
      <c r="BW183" s="2" t="s">
        <v>600</v>
      </c>
      <c r="BX183" s="2" t="s">
        <v>499</v>
      </c>
      <c r="BY183" s="2" t="s">
        <v>109</v>
      </c>
      <c r="BZ183" s="2" t="s">
        <v>98</v>
      </c>
    </row>
    <row r="184">
      <c r="A184" s="2" t="s">
        <v>973</v>
      </c>
      <c r="B184" s="2" t="s">
        <v>877</v>
      </c>
      <c r="C184" s="2" t="s">
        <v>88</v>
      </c>
      <c r="D184" s="2" t="s">
        <v>959</v>
      </c>
      <c r="E184" s="2" t="s">
        <v>960</v>
      </c>
      <c r="F184" s="2" t="s">
        <v>880</v>
      </c>
      <c r="G184" s="2" t="s">
        <v>880</v>
      </c>
      <c r="H184" s="2" t="s">
        <v>880</v>
      </c>
      <c r="I184" s="2" t="s">
        <v>968</v>
      </c>
      <c r="J184" s="2" t="s">
        <v>969</v>
      </c>
      <c r="K184" s="2" t="s">
        <v>152</v>
      </c>
      <c r="L184" s="3">
        <v>18.4</v>
      </c>
      <c r="M184" s="3">
        <v>19.32</v>
      </c>
      <c r="N184" s="3">
        <v>39.99</v>
      </c>
      <c r="O184" s="2" t="s">
        <v>95</v>
      </c>
      <c r="P184" s="2" t="s">
        <v>140</v>
      </c>
      <c r="Q184" s="2" t="s">
        <v>97</v>
      </c>
      <c r="R184" s="2" t="s">
        <v>98</v>
      </c>
      <c r="S184" s="2" t="s">
        <v>894</v>
      </c>
      <c r="T184" s="2" t="s">
        <v>884</v>
      </c>
      <c r="U184" s="2" t="s">
        <v>590</v>
      </c>
      <c r="V184" s="2" t="s">
        <v>208</v>
      </c>
      <c r="W184" s="2" t="s">
        <v>190</v>
      </c>
      <c r="X184" s="2" t="s">
        <v>738</v>
      </c>
      <c r="Y184" s="2" t="s">
        <v>354</v>
      </c>
      <c r="Z184" s="4">
        <v>365</v>
      </c>
      <c r="AA184" s="4">
        <f>=ROUNDDOWN(152.083333333333,0)</f>
      </c>
      <c r="AB184" s="5">
        <v>2.4</v>
      </c>
      <c r="AC184" s="2" t="s">
        <v>98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/>
      <c r="BK184" s="8"/>
      <c r="BL184" s="2" t="s">
        <v>98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95</v>
      </c>
      <c r="BW184" s="2" t="s">
        <v>600</v>
      </c>
      <c r="BX184" s="2" t="s">
        <v>495</v>
      </c>
      <c r="BY184" s="2" t="s">
        <v>109</v>
      </c>
      <c r="BZ184" s="2" t="s">
        <v>98</v>
      </c>
    </row>
    <row r="185">
      <c r="A185" s="2" t="s">
        <v>974</v>
      </c>
      <c r="B185" s="2" t="s">
        <v>877</v>
      </c>
      <c r="C185" s="2" t="s">
        <v>88</v>
      </c>
      <c r="D185" s="2" t="s">
        <v>959</v>
      </c>
      <c r="E185" s="2" t="s">
        <v>960</v>
      </c>
      <c r="F185" s="2" t="s">
        <v>880</v>
      </c>
      <c r="G185" s="2" t="s">
        <v>880</v>
      </c>
      <c r="H185" s="2" t="s">
        <v>880</v>
      </c>
      <c r="I185" s="2" t="s">
        <v>961</v>
      </c>
      <c r="J185" s="2" t="s">
        <v>962</v>
      </c>
      <c r="K185" s="2" t="s">
        <v>737</v>
      </c>
      <c r="L185" s="3">
        <v>10.58</v>
      </c>
      <c r="M185" s="3">
        <v>11.11</v>
      </c>
      <c r="N185" s="3">
        <v>22.99</v>
      </c>
      <c r="O185" s="2" t="s">
        <v>95</v>
      </c>
      <c r="P185" s="2" t="s">
        <v>714</v>
      </c>
      <c r="Q185" s="2" t="s">
        <v>97</v>
      </c>
      <c r="R185" s="2" t="s">
        <v>98</v>
      </c>
      <c r="S185" s="2" t="s">
        <v>939</v>
      </c>
      <c r="T185" s="2" t="s">
        <v>884</v>
      </c>
      <c r="U185" s="2" t="s">
        <v>590</v>
      </c>
      <c r="V185" s="2" t="s">
        <v>208</v>
      </c>
      <c r="W185" s="2" t="s">
        <v>190</v>
      </c>
      <c r="X185" s="2" t="s">
        <v>738</v>
      </c>
      <c r="Y185" s="2" t="s">
        <v>910</v>
      </c>
      <c r="Z185" s="4">
        <v>509</v>
      </c>
      <c r="AA185" s="4">
        <f>=ROUNDDOWN(509,0)</f>
      </c>
      <c r="AB185" s="5">
        <v>1</v>
      </c>
      <c r="AC185" s="2" t="s">
        <v>98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98</v>
      </c>
      <c r="AW185" s="8" t="s">
        <v>98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 t="s">
        <v>98</v>
      </c>
      <c r="BJ185" s="4"/>
      <c r="BK185" s="8"/>
      <c r="BL185" s="2" t="s">
        <v>98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95</v>
      </c>
      <c r="BW185" s="2" t="s">
        <v>464</v>
      </c>
      <c r="BX185" s="2" t="s">
        <v>975</v>
      </c>
      <c r="BY185" s="2" t="s">
        <v>109</v>
      </c>
      <c r="BZ185" s="2" t="s">
        <v>98</v>
      </c>
    </row>
    <row r="186">
      <c r="A186" s="2" t="s">
        <v>976</v>
      </c>
      <c r="B186" s="2" t="s">
        <v>877</v>
      </c>
      <c r="C186" s="2" t="s">
        <v>88</v>
      </c>
      <c r="D186" s="2" t="s">
        <v>959</v>
      </c>
      <c r="E186" s="2" t="s">
        <v>960</v>
      </c>
      <c r="F186" s="2" t="s">
        <v>880</v>
      </c>
      <c r="G186" s="2" t="s">
        <v>880</v>
      </c>
      <c r="H186" s="2" t="s">
        <v>880</v>
      </c>
      <c r="I186" s="2" t="s">
        <v>964</v>
      </c>
      <c r="J186" s="2" t="s">
        <v>588</v>
      </c>
      <c r="K186" s="2" t="s">
        <v>737</v>
      </c>
      <c r="L186" s="3">
        <v>12.96</v>
      </c>
      <c r="M186" s="3">
        <v>13.61</v>
      </c>
      <c r="N186" s="3">
        <v>26.99</v>
      </c>
      <c r="O186" s="2" t="s">
        <v>95</v>
      </c>
      <c r="P186" s="2" t="s">
        <v>714</v>
      </c>
      <c r="Q186" s="2" t="s">
        <v>97</v>
      </c>
      <c r="R186" s="2" t="s">
        <v>98</v>
      </c>
      <c r="S186" s="2" t="s">
        <v>939</v>
      </c>
      <c r="T186" s="2" t="s">
        <v>884</v>
      </c>
      <c r="U186" s="2" t="s">
        <v>590</v>
      </c>
      <c r="V186" s="2" t="s">
        <v>208</v>
      </c>
      <c r="W186" s="2" t="s">
        <v>190</v>
      </c>
      <c r="X186" s="2" t="s">
        <v>738</v>
      </c>
      <c r="Y186" s="2" t="s">
        <v>910</v>
      </c>
      <c r="Z186" s="4">
        <v>697</v>
      </c>
      <c r="AA186" s="4">
        <f>=ROUNDDOWN(248.928571428571,0)</f>
      </c>
      <c r="AB186" s="5">
        <v>2.8</v>
      </c>
      <c r="AC186" s="2" t="s">
        <v>98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/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/>
      <c r="BK186" s="8"/>
      <c r="BL186" s="2" t="s">
        <v>98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95</v>
      </c>
      <c r="BW186" s="2" t="s">
        <v>464</v>
      </c>
      <c r="BX186" s="2" t="s">
        <v>977</v>
      </c>
      <c r="BY186" s="2" t="s">
        <v>109</v>
      </c>
      <c r="BZ186" s="2" t="s">
        <v>98</v>
      </c>
    </row>
    <row r="187">
      <c r="A187" s="2" t="s">
        <v>978</v>
      </c>
      <c r="B187" s="2" t="s">
        <v>877</v>
      </c>
      <c r="C187" s="2" t="s">
        <v>88</v>
      </c>
      <c r="D187" s="2" t="s">
        <v>959</v>
      </c>
      <c r="E187" s="2" t="s">
        <v>960</v>
      </c>
      <c r="F187" s="2" t="s">
        <v>880</v>
      </c>
      <c r="G187" s="2" t="s">
        <v>880</v>
      </c>
      <c r="H187" s="2" t="s">
        <v>880</v>
      </c>
      <c r="I187" s="2" t="s">
        <v>968</v>
      </c>
      <c r="J187" s="2" t="s">
        <v>969</v>
      </c>
      <c r="K187" s="2" t="s">
        <v>737</v>
      </c>
      <c r="L187" s="3">
        <v>18.4</v>
      </c>
      <c r="M187" s="3">
        <v>19.32</v>
      </c>
      <c r="N187" s="3">
        <v>39.99</v>
      </c>
      <c r="O187" s="2" t="s">
        <v>95</v>
      </c>
      <c r="P187" s="2" t="s">
        <v>714</v>
      </c>
      <c r="Q187" s="2" t="s">
        <v>97</v>
      </c>
      <c r="R187" s="2" t="s">
        <v>98</v>
      </c>
      <c r="S187" s="2" t="s">
        <v>939</v>
      </c>
      <c r="T187" s="2" t="s">
        <v>884</v>
      </c>
      <c r="U187" s="2" t="s">
        <v>590</v>
      </c>
      <c r="V187" s="2" t="s">
        <v>208</v>
      </c>
      <c r="W187" s="2" t="s">
        <v>190</v>
      </c>
      <c r="X187" s="2" t="s">
        <v>738</v>
      </c>
      <c r="Y187" s="2" t="s">
        <v>910</v>
      </c>
      <c r="Z187" s="4">
        <v>355</v>
      </c>
      <c r="AA187" s="4">
        <f>=ROUNDDOWN(177.5,0)</f>
      </c>
      <c r="AB187" s="5">
        <v>2</v>
      </c>
      <c r="AC187" s="2" t="s">
        <v>98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/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1</v>
      </c>
      <c r="BK187" s="8">
        <v>19.23</v>
      </c>
      <c r="BL187" s="2" t="s">
        <v>502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95</v>
      </c>
      <c r="BW187" s="2" t="s">
        <v>464</v>
      </c>
      <c r="BX187" s="2" t="s">
        <v>979</v>
      </c>
      <c r="BY187" s="2" t="s">
        <v>109</v>
      </c>
      <c r="BZ187" s="2" t="s">
        <v>98</v>
      </c>
    </row>
    <row r="188">
      <c r="A188" s="2" t="s">
        <v>980</v>
      </c>
      <c r="B188" s="2" t="s">
        <v>877</v>
      </c>
      <c r="C188" s="2" t="s">
        <v>88</v>
      </c>
      <c r="D188" s="2" t="s">
        <v>959</v>
      </c>
      <c r="E188" s="2" t="s">
        <v>960</v>
      </c>
      <c r="F188" s="2" t="s">
        <v>880</v>
      </c>
      <c r="G188" s="2" t="s">
        <v>880</v>
      </c>
      <c r="H188" s="2" t="s">
        <v>880</v>
      </c>
      <c r="I188" s="2" t="s">
        <v>961</v>
      </c>
      <c r="J188" s="2" t="s">
        <v>962</v>
      </c>
      <c r="K188" s="2" t="s">
        <v>694</v>
      </c>
      <c r="L188" s="3">
        <v>10.58</v>
      </c>
      <c r="M188" s="3">
        <v>11.11</v>
      </c>
      <c r="N188" s="3">
        <v>22.99</v>
      </c>
      <c r="O188" s="2" t="s">
        <v>95</v>
      </c>
      <c r="P188" s="2" t="s">
        <v>714</v>
      </c>
      <c r="Q188" s="2" t="s">
        <v>97</v>
      </c>
      <c r="R188" s="2" t="s">
        <v>98</v>
      </c>
      <c r="S188" s="2" t="s">
        <v>922</v>
      </c>
      <c r="T188" s="2" t="s">
        <v>884</v>
      </c>
      <c r="U188" s="2" t="s">
        <v>590</v>
      </c>
      <c r="V188" s="2" t="s">
        <v>208</v>
      </c>
      <c r="W188" s="2" t="s">
        <v>190</v>
      </c>
      <c r="X188" s="2" t="s">
        <v>738</v>
      </c>
      <c r="Y188" s="2" t="s">
        <v>910</v>
      </c>
      <c r="Z188" s="4">
        <v>251</v>
      </c>
      <c r="AA188" s="4">
        <f>=ROUNDDOWN(251,0)</f>
      </c>
      <c r="AB188" s="5">
        <v>1</v>
      </c>
      <c r="AC188" s="2" t="s">
        <v>98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 t="s">
        <v>98</v>
      </c>
      <c r="BJ188" s="4"/>
      <c r="BK188" s="8"/>
      <c r="BL188" s="2" t="s">
        <v>98</v>
      </c>
      <c r="BM188" s="7"/>
      <c r="BN188" s="7"/>
      <c r="BO188" s="4"/>
      <c r="BP188" s="8"/>
      <c r="BQ188" s="4"/>
      <c r="BR188" s="8"/>
      <c r="BS188" s="7"/>
      <c r="BT188" s="7"/>
      <c r="BU188" s="2" t="s">
        <v>106</v>
      </c>
      <c r="BV188" s="2" t="s">
        <v>95</v>
      </c>
      <c r="BW188" s="2" t="s">
        <v>464</v>
      </c>
      <c r="BX188" s="2" t="s">
        <v>981</v>
      </c>
      <c r="BY188" s="2" t="s">
        <v>109</v>
      </c>
      <c r="BZ188" s="2" t="s">
        <v>98</v>
      </c>
    </row>
    <row r="189">
      <c r="A189" s="2" t="s">
        <v>982</v>
      </c>
      <c r="B189" s="2" t="s">
        <v>877</v>
      </c>
      <c r="C189" s="2" t="s">
        <v>88</v>
      </c>
      <c r="D189" s="2" t="s">
        <v>959</v>
      </c>
      <c r="E189" s="2" t="s">
        <v>960</v>
      </c>
      <c r="F189" s="2" t="s">
        <v>880</v>
      </c>
      <c r="G189" s="2" t="s">
        <v>880</v>
      </c>
      <c r="H189" s="2" t="s">
        <v>880</v>
      </c>
      <c r="I189" s="2" t="s">
        <v>964</v>
      </c>
      <c r="J189" s="2" t="s">
        <v>588</v>
      </c>
      <c r="K189" s="2" t="s">
        <v>694</v>
      </c>
      <c r="L189" s="3">
        <v>12.96</v>
      </c>
      <c r="M189" s="3">
        <v>13.61</v>
      </c>
      <c r="N189" s="3">
        <v>26.99</v>
      </c>
      <c r="O189" s="2" t="s">
        <v>95</v>
      </c>
      <c r="P189" s="2" t="s">
        <v>714</v>
      </c>
      <c r="Q189" s="2" t="s">
        <v>97</v>
      </c>
      <c r="R189" s="2" t="s">
        <v>98</v>
      </c>
      <c r="S189" s="2" t="s">
        <v>922</v>
      </c>
      <c r="T189" s="2" t="s">
        <v>884</v>
      </c>
      <c r="U189" s="2" t="s">
        <v>590</v>
      </c>
      <c r="V189" s="2" t="s">
        <v>208</v>
      </c>
      <c r="W189" s="2" t="s">
        <v>190</v>
      </c>
      <c r="X189" s="2" t="s">
        <v>738</v>
      </c>
      <c r="Y189" s="2" t="s">
        <v>910</v>
      </c>
      <c r="Z189" s="4">
        <v>167</v>
      </c>
      <c r="AA189" s="4">
        <f>=ROUNDDOWN(208.75,0)</f>
      </c>
      <c r="AB189" s="5">
        <v>0.8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/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/>
      <c r="BK189" s="8"/>
      <c r="BL189" s="2" t="s">
        <v>98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95</v>
      </c>
      <c r="BW189" s="2" t="s">
        <v>464</v>
      </c>
      <c r="BX189" s="2" t="s">
        <v>941</v>
      </c>
      <c r="BY189" s="2" t="s">
        <v>109</v>
      </c>
      <c r="BZ189" s="2" t="s">
        <v>98</v>
      </c>
    </row>
    <row r="190">
      <c r="A190" s="2" t="s">
        <v>983</v>
      </c>
      <c r="B190" s="2" t="s">
        <v>877</v>
      </c>
      <c r="C190" s="2" t="s">
        <v>88</v>
      </c>
      <c r="D190" s="2" t="s">
        <v>959</v>
      </c>
      <c r="E190" s="2" t="s">
        <v>960</v>
      </c>
      <c r="F190" s="2" t="s">
        <v>880</v>
      </c>
      <c r="G190" s="2" t="s">
        <v>880</v>
      </c>
      <c r="H190" s="2" t="s">
        <v>880</v>
      </c>
      <c r="I190" s="2" t="s">
        <v>968</v>
      </c>
      <c r="J190" s="2" t="s">
        <v>969</v>
      </c>
      <c r="K190" s="2" t="s">
        <v>694</v>
      </c>
      <c r="L190" s="3">
        <v>18.4</v>
      </c>
      <c r="M190" s="3">
        <v>19.32</v>
      </c>
      <c r="N190" s="3">
        <v>39.99</v>
      </c>
      <c r="O190" s="2" t="s">
        <v>95</v>
      </c>
      <c r="P190" s="2" t="s">
        <v>714</v>
      </c>
      <c r="Q190" s="2" t="s">
        <v>97</v>
      </c>
      <c r="R190" s="2" t="s">
        <v>98</v>
      </c>
      <c r="S190" s="2" t="s">
        <v>922</v>
      </c>
      <c r="T190" s="2" t="s">
        <v>884</v>
      </c>
      <c r="U190" s="2" t="s">
        <v>590</v>
      </c>
      <c r="V190" s="2" t="s">
        <v>208</v>
      </c>
      <c r="W190" s="2" t="s">
        <v>190</v>
      </c>
      <c r="X190" s="2" t="s">
        <v>738</v>
      </c>
      <c r="Y190" s="2" t="s">
        <v>910</v>
      </c>
      <c r="Z190" s="4">
        <v>140</v>
      </c>
      <c r="AA190" s="4">
        <f>=ROUNDDOWN(56,0)</f>
      </c>
      <c r="AB190" s="5">
        <v>2.5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/>
      <c r="BK190" s="8"/>
      <c r="BL190" s="2" t="s">
        <v>98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95</v>
      </c>
      <c r="BW190" s="2" t="s">
        <v>464</v>
      </c>
      <c r="BX190" s="2" t="s">
        <v>970</v>
      </c>
      <c r="BY190" s="2" t="s">
        <v>109</v>
      </c>
      <c r="BZ190" s="2" t="s">
        <v>98</v>
      </c>
    </row>
    <row r="191">
      <c r="A191" s="2" t="s">
        <v>984</v>
      </c>
      <c r="B191" s="2" t="s">
        <v>877</v>
      </c>
      <c r="C191" s="2" t="s">
        <v>88</v>
      </c>
      <c r="D191" s="2" t="s">
        <v>959</v>
      </c>
      <c r="E191" s="2" t="s">
        <v>960</v>
      </c>
      <c r="F191" s="2" t="s">
        <v>880</v>
      </c>
      <c r="G191" s="2" t="s">
        <v>880</v>
      </c>
      <c r="H191" s="2" t="s">
        <v>880</v>
      </c>
      <c r="I191" s="2" t="s">
        <v>961</v>
      </c>
      <c r="J191" s="2" t="s">
        <v>962</v>
      </c>
      <c r="K191" s="2" t="s">
        <v>631</v>
      </c>
      <c r="L191" s="3">
        <v>10.58</v>
      </c>
      <c r="M191" s="3">
        <v>11.11</v>
      </c>
      <c r="N191" s="3">
        <v>22.99</v>
      </c>
      <c r="O191" s="2" t="s">
        <v>95</v>
      </c>
      <c r="P191" s="2" t="s">
        <v>714</v>
      </c>
      <c r="Q191" s="2" t="s">
        <v>97</v>
      </c>
      <c r="R191" s="2" t="s">
        <v>98</v>
      </c>
      <c r="S191" s="2" t="s">
        <v>904</v>
      </c>
      <c r="T191" s="2" t="s">
        <v>884</v>
      </c>
      <c r="U191" s="2" t="s">
        <v>590</v>
      </c>
      <c r="V191" s="2" t="s">
        <v>208</v>
      </c>
      <c r="W191" s="2" t="s">
        <v>190</v>
      </c>
      <c r="X191" s="2" t="s">
        <v>738</v>
      </c>
      <c r="Y191" s="2" t="s">
        <v>885</v>
      </c>
      <c r="Z191" s="4">
        <v>295</v>
      </c>
      <c r="AA191" s="4">
        <f>=ROUNDDOWN(368.75,0)</f>
      </c>
      <c r="AB191" s="5">
        <v>0.8</v>
      </c>
      <c r="AC191" s="2" t="s">
        <v>98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/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/>
      <c r="BK191" s="8"/>
      <c r="BL191" s="2" t="s">
        <v>98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95</v>
      </c>
      <c r="BW191" s="2" t="s">
        <v>931</v>
      </c>
      <c r="BX191" s="2" t="s">
        <v>937</v>
      </c>
      <c r="BY191" s="2" t="s">
        <v>109</v>
      </c>
      <c r="BZ191" s="2" t="s">
        <v>98</v>
      </c>
    </row>
    <row r="192">
      <c r="A192" s="2" t="s">
        <v>985</v>
      </c>
      <c r="B192" s="2" t="s">
        <v>877</v>
      </c>
      <c r="C192" s="2" t="s">
        <v>88</v>
      </c>
      <c r="D192" s="2" t="s">
        <v>959</v>
      </c>
      <c r="E192" s="2" t="s">
        <v>960</v>
      </c>
      <c r="F192" s="2" t="s">
        <v>880</v>
      </c>
      <c r="G192" s="2" t="s">
        <v>880</v>
      </c>
      <c r="H192" s="2" t="s">
        <v>880</v>
      </c>
      <c r="I192" s="2" t="s">
        <v>964</v>
      </c>
      <c r="J192" s="2" t="s">
        <v>588</v>
      </c>
      <c r="K192" s="2" t="s">
        <v>631</v>
      </c>
      <c r="L192" s="3">
        <v>12.96</v>
      </c>
      <c r="M192" s="3">
        <v>13.61</v>
      </c>
      <c r="N192" s="3">
        <v>26.99</v>
      </c>
      <c r="O192" s="2" t="s">
        <v>206</v>
      </c>
      <c r="P192" s="2" t="s">
        <v>714</v>
      </c>
      <c r="Q192" s="2" t="s">
        <v>97</v>
      </c>
      <c r="R192" s="2" t="s">
        <v>98</v>
      </c>
      <c r="S192" s="2" t="s">
        <v>904</v>
      </c>
      <c r="T192" s="2" t="s">
        <v>884</v>
      </c>
      <c r="U192" s="2" t="s">
        <v>590</v>
      </c>
      <c r="V192" s="2" t="s">
        <v>208</v>
      </c>
      <c r="W192" s="2" t="s">
        <v>190</v>
      </c>
      <c r="X192" s="2" t="s">
        <v>738</v>
      </c>
      <c r="Y192" s="2" t="s">
        <v>891</v>
      </c>
      <c r="Z192" s="4">
        <v>268</v>
      </c>
      <c r="AA192" s="4">
        <f>=ROUNDDOWN(268,0)</f>
      </c>
      <c r="AB192" s="5">
        <v>1</v>
      </c>
      <c r="AC192" s="2" t="s">
        <v>98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/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/>
      <c r="BK192" s="8"/>
      <c r="BL192" s="2" t="s">
        <v>98</v>
      </c>
      <c r="BM192" s="7"/>
      <c r="BN192" s="7"/>
      <c r="BO192" s="4"/>
      <c r="BP192" s="8"/>
      <c r="BQ192" s="4"/>
      <c r="BR192" s="8"/>
      <c r="BS192" s="7"/>
      <c r="BT192" s="7"/>
      <c r="BU192" s="2" t="s">
        <v>106</v>
      </c>
      <c r="BV192" s="2" t="s">
        <v>95</v>
      </c>
      <c r="BW192" s="2" t="s">
        <v>931</v>
      </c>
      <c r="BX192" s="2" t="s">
        <v>887</v>
      </c>
      <c r="BY192" s="2" t="s">
        <v>109</v>
      </c>
      <c r="BZ192" s="2" t="s">
        <v>98</v>
      </c>
    </row>
    <row r="193">
      <c r="A193" s="2" t="s">
        <v>986</v>
      </c>
      <c r="B193" s="2" t="s">
        <v>877</v>
      </c>
      <c r="C193" s="2" t="s">
        <v>88</v>
      </c>
      <c r="D193" s="2" t="s">
        <v>959</v>
      </c>
      <c r="E193" s="2" t="s">
        <v>960</v>
      </c>
      <c r="F193" s="2" t="s">
        <v>880</v>
      </c>
      <c r="G193" s="2" t="s">
        <v>880</v>
      </c>
      <c r="H193" s="2" t="s">
        <v>880</v>
      </c>
      <c r="I193" s="2" t="s">
        <v>968</v>
      </c>
      <c r="J193" s="2" t="s">
        <v>969</v>
      </c>
      <c r="K193" s="2" t="s">
        <v>631</v>
      </c>
      <c r="L193" s="3">
        <v>18.4</v>
      </c>
      <c r="M193" s="3">
        <v>19.32</v>
      </c>
      <c r="N193" s="3">
        <v>39.99</v>
      </c>
      <c r="O193" s="2" t="s">
        <v>206</v>
      </c>
      <c r="P193" s="2" t="s">
        <v>714</v>
      </c>
      <c r="Q193" s="2" t="s">
        <v>97</v>
      </c>
      <c r="R193" s="2" t="s">
        <v>98</v>
      </c>
      <c r="S193" s="2" t="s">
        <v>904</v>
      </c>
      <c r="T193" s="2" t="s">
        <v>884</v>
      </c>
      <c r="U193" s="2" t="s">
        <v>590</v>
      </c>
      <c r="V193" s="2" t="s">
        <v>208</v>
      </c>
      <c r="W193" s="2" t="s">
        <v>190</v>
      </c>
      <c r="X193" s="2" t="s">
        <v>738</v>
      </c>
      <c r="Y193" s="2" t="s">
        <v>891</v>
      </c>
      <c r="Z193" s="4">
        <v>290</v>
      </c>
      <c r="AA193" s="4">
        <f>=ROUNDDOWN(362.5,0)</f>
      </c>
      <c r="AB193" s="5">
        <v>0.8</v>
      </c>
      <c r="AC193" s="2" t="s">
        <v>98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/>
      <c r="BK193" s="8"/>
      <c r="BL193" s="2" t="s">
        <v>98</v>
      </c>
      <c r="BM193" s="7"/>
      <c r="BN193" s="7"/>
      <c r="BO193" s="4"/>
      <c r="BP193" s="8"/>
      <c r="BQ193" s="4"/>
      <c r="BR193" s="8"/>
      <c r="BS193" s="7"/>
      <c r="BT193" s="7"/>
      <c r="BU193" s="2" t="s">
        <v>106</v>
      </c>
      <c r="BV193" s="2" t="s">
        <v>95</v>
      </c>
      <c r="BW193" s="2" t="s">
        <v>931</v>
      </c>
      <c r="BX193" s="2" t="s">
        <v>987</v>
      </c>
      <c r="BY193" s="2" t="s">
        <v>109</v>
      </c>
      <c r="BZ193" s="2" t="s">
        <v>98</v>
      </c>
    </row>
    <row r="194">
      <c r="A194" s="2" t="s">
        <v>988</v>
      </c>
      <c r="B194" s="2" t="s">
        <v>877</v>
      </c>
      <c r="C194" s="2" t="s">
        <v>88</v>
      </c>
      <c r="D194" s="2" t="s">
        <v>959</v>
      </c>
      <c r="E194" s="2" t="s">
        <v>960</v>
      </c>
      <c r="F194" s="2" t="s">
        <v>880</v>
      </c>
      <c r="G194" s="2" t="s">
        <v>880</v>
      </c>
      <c r="H194" s="2" t="s">
        <v>880</v>
      </c>
      <c r="I194" s="2" t="s">
        <v>961</v>
      </c>
      <c r="J194" s="2" t="s">
        <v>962</v>
      </c>
      <c r="K194" s="2" t="s">
        <v>882</v>
      </c>
      <c r="L194" s="3">
        <v>10.58</v>
      </c>
      <c r="M194" s="3">
        <v>11.11</v>
      </c>
      <c r="N194" s="3">
        <v>22.99</v>
      </c>
      <c r="O194" s="2" t="s">
        <v>95</v>
      </c>
      <c r="P194" s="2" t="s">
        <v>140</v>
      </c>
      <c r="Q194" s="2" t="s">
        <v>97</v>
      </c>
      <c r="R194" s="2" t="s">
        <v>98</v>
      </c>
      <c r="S194" s="2" t="s">
        <v>883</v>
      </c>
      <c r="T194" s="2" t="s">
        <v>884</v>
      </c>
      <c r="U194" s="2" t="s">
        <v>590</v>
      </c>
      <c r="V194" s="2" t="s">
        <v>208</v>
      </c>
      <c r="W194" s="2" t="s">
        <v>190</v>
      </c>
      <c r="X194" s="2" t="s">
        <v>738</v>
      </c>
      <c r="Y194" s="2" t="s">
        <v>885</v>
      </c>
      <c r="Z194" s="4">
        <v>280</v>
      </c>
      <c r="AA194" s="4">
        <f>=ROUNDDOWN(93.3333333333333,0)</f>
      </c>
      <c r="AB194" s="5">
        <v>3</v>
      </c>
      <c r="AC194" s="2" t="s">
        <v>98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3</v>
      </c>
      <c r="BK194" s="8">
        <v>34.47</v>
      </c>
      <c r="BL194" s="2" t="s">
        <v>989</v>
      </c>
      <c r="BM194" s="7"/>
      <c r="BN194" s="7"/>
      <c r="BO194" s="4"/>
      <c r="BP194" s="8"/>
      <c r="BQ194" s="4"/>
      <c r="BR194" s="8"/>
      <c r="BS194" s="7"/>
      <c r="BT194" s="7"/>
      <c r="BU194" s="2" t="s">
        <v>106</v>
      </c>
      <c r="BV194" s="2" t="s">
        <v>95</v>
      </c>
      <c r="BW194" s="2" t="s">
        <v>931</v>
      </c>
      <c r="BX194" s="2" t="s">
        <v>937</v>
      </c>
      <c r="BY194" s="2" t="s">
        <v>109</v>
      </c>
      <c r="BZ194" s="2" t="s">
        <v>98</v>
      </c>
    </row>
    <row r="195">
      <c r="A195" s="2" t="s">
        <v>990</v>
      </c>
      <c r="B195" s="2" t="s">
        <v>877</v>
      </c>
      <c r="C195" s="2" t="s">
        <v>88</v>
      </c>
      <c r="D195" s="2" t="s">
        <v>959</v>
      </c>
      <c r="E195" s="2" t="s">
        <v>960</v>
      </c>
      <c r="F195" s="2" t="s">
        <v>880</v>
      </c>
      <c r="G195" s="2" t="s">
        <v>880</v>
      </c>
      <c r="H195" s="2" t="s">
        <v>880</v>
      </c>
      <c r="I195" s="2" t="s">
        <v>964</v>
      </c>
      <c r="J195" s="2" t="s">
        <v>588</v>
      </c>
      <c r="K195" s="2" t="s">
        <v>882</v>
      </c>
      <c r="L195" s="3">
        <v>12.96</v>
      </c>
      <c r="M195" s="3">
        <v>13.61</v>
      </c>
      <c r="N195" s="3">
        <v>26.99</v>
      </c>
      <c r="O195" s="2" t="s">
        <v>95</v>
      </c>
      <c r="P195" s="2" t="s">
        <v>140</v>
      </c>
      <c r="Q195" s="2" t="s">
        <v>97</v>
      </c>
      <c r="R195" s="2" t="s">
        <v>98</v>
      </c>
      <c r="S195" s="2" t="s">
        <v>883</v>
      </c>
      <c r="T195" s="2" t="s">
        <v>884</v>
      </c>
      <c r="U195" s="2" t="s">
        <v>590</v>
      </c>
      <c r="V195" s="2" t="s">
        <v>208</v>
      </c>
      <c r="W195" s="2" t="s">
        <v>190</v>
      </c>
      <c r="X195" s="2" t="s">
        <v>738</v>
      </c>
      <c r="Y195" s="2" t="s">
        <v>891</v>
      </c>
      <c r="Z195" s="4">
        <v>216</v>
      </c>
      <c r="AA195" s="4">
        <f>=ROUNDDOWN(74.4827586206897,0)</f>
      </c>
      <c r="AB195" s="5">
        <v>2.9</v>
      </c>
      <c r="AC195" s="2" t="s">
        <v>934</v>
      </c>
      <c r="AD195" s="4">
        <v>296</v>
      </c>
      <c r="AE195" s="4">
        <v>296</v>
      </c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/>
      <c r="BK195" s="8"/>
      <c r="BL195" s="2" t="s">
        <v>98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95</v>
      </c>
      <c r="BW195" s="2" t="s">
        <v>931</v>
      </c>
      <c r="BX195" s="2" t="s">
        <v>991</v>
      </c>
      <c r="BY195" s="2" t="s">
        <v>109</v>
      </c>
      <c r="BZ195" s="2" t="s">
        <v>98</v>
      </c>
    </row>
    <row r="196">
      <c r="A196" s="2" t="s">
        <v>992</v>
      </c>
      <c r="B196" s="2" t="s">
        <v>877</v>
      </c>
      <c r="C196" s="2" t="s">
        <v>88</v>
      </c>
      <c r="D196" s="2" t="s">
        <v>959</v>
      </c>
      <c r="E196" s="2" t="s">
        <v>960</v>
      </c>
      <c r="F196" s="2" t="s">
        <v>880</v>
      </c>
      <c r="G196" s="2" t="s">
        <v>880</v>
      </c>
      <c r="H196" s="2" t="s">
        <v>880</v>
      </c>
      <c r="I196" s="2" t="s">
        <v>968</v>
      </c>
      <c r="J196" s="2" t="s">
        <v>969</v>
      </c>
      <c r="K196" s="2" t="s">
        <v>882</v>
      </c>
      <c r="L196" s="3">
        <v>18.4</v>
      </c>
      <c r="M196" s="3">
        <v>19.32</v>
      </c>
      <c r="N196" s="3">
        <v>39.99</v>
      </c>
      <c r="O196" s="2" t="s">
        <v>95</v>
      </c>
      <c r="P196" s="2" t="s">
        <v>140</v>
      </c>
      <c r="Q196" s="2" t="s">
        <v>97</v>
      </c>
      <c r="R196" s="2" t="s">
        <v>98</v>
      </c>
      <c r="S196" s="2" t="s">
        <v>883</v>
      </c>
      <c r="T196" s="2" t="s">
        <v>884</v>
      </c>
      <c r="U196" s="2" t="s">
        <v>590</v>
      </c>
      <c r="V196" s="2" t="s">
        <v>208</v>
      </c>
      <c r="W196" s="2" t="s">
        <v>190</v>
      </c>
      <c r="X196" s="2" t="s">
        <v>738</v>
      </c>
      <c r="Y196" s="2" t="s">
        <v>885</v>
      </c>
      <c r="Z196" s="4">
        <v>442</v>
      </c>
      <c r="AA196" s="4">
        <f>=ROUNDDOWN(102.790697674419,0)</f>
      </c>
      <c r="AB196" s="5">
        <v>4.3</v>
      </c>
      <c r="AC196" s="2" t="s">
        <v>98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/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7</v>
      </c>
      <c r="BK196" s="8">
        <v>136.51</v>
      </c>
      <c r="BL196" s="2" t="s">
        <v>993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95</v>
      </c>
      <c r="BW196" s="2" t="s">
        <v>931</v>
      </c>
      <c r="BX196" s="2" t="s">
        <v>994</v>
      </c>
      <c r="BY196" s="2" t="s">
        <v>109</v>
      </c>
      <c r="BZ196" s="2" t="s">
        <v>98</v>
      </c>
    </row>
    <row r="197">
      <c r="A197" s="2" t="s">
        <v>995</v>
      </c>
      <c r="B197" s="2" t="s">
        <v>996</v>
      </c>
      <c r="C197" s="2" t="s">
        <v>88</v>
      </c>
      <c r="D197" s="2" t="s">
        <v>997</v>
      </c>
      <c r="E197" s="2" t="s">
        <v>998</v>
      </c>
      <c r="F197" s="2" t="s">
        <v>999</v>
      </c>
      <c r="G197" s="2" t="s">
        <v>999</v>
      </c>
      <c r="H197" s="2" t="s">
        <v>999</v>
      </c>
      <c r="I197" s="2" t="s">
        <v>1000</v>
      </c>
      <c r="J197" s="2" t="s">
        <v>661</v>
      </c>
      <c r="K197" s="2" t="s">
        <v>115</v>
      </c>
      <c r="L197" s="3">
        <v>117</v>
      </c>
      <c r="M197" s="3">
        <v>122.85</v>
      </c>
      <c r="N197" s="3">
        <v>249</v>
      </c>
      <c r="O197" s="2" t="s">
        <v>95</v>
      </c>
      <c r="P197" s="2" t="s">
        <v>96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590</v>
      </c>
      <c r="V197" s="2" t="s">
        <v>369</v>
      </c>
      <c r="W197" s="2" t="s">
        <v>190</v>
      </c>
      <c r="X197" s="2" t="s">
        <v>98</v>
      </c>
      <c r="Y197" s="2" t="s">
        <v>1001</v>
      </c>
      <c r="Z197" s="4">
        <v>451</v>
      </c>
      <c r="AA197" s="4">
        <f>=ROUNDDOWN(19.6086956521739,0)</f>
      </c>
      <c r="AB197" s="5">
        <v>23</v>
      </c>
      <c r="AC197" s="2" t="s">
        <v>250</v>
      </c>
      <c r="AD197" s="4">
        <v>76</v>
      </c>
      <c r="AE197" s="4">
        <v>248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/>
      <c r="AP197" s="4">
        <v>2</v>
      </c>
      <c r="AQ197" s="8">
        <v>275.18</v>
      </c>
      <c r="AR197" s="4"/>
      <c r="AS197" s="8"/>
      <c r="AT197" s="7"/>
      <c r="AU197" s="7"/>
      <c r="AV197" s="4">
        <v>2</v>
      </c>
      <c r="AW197" s="8">
        <v>275.18</v>
      </c>
      <c r="AX197" s="4"/>
      <c r="AY197" s="8"/>
      <c r="AZ197" s="7"/>
      <c r="BA197" s="7"/>
      <c r="BB197" s="7">
        <v>1</v>
      </c>
      <c r="BC197" s="4">
        <v>2</v>
      </c>
      <c r="BD197" s="8">
        <v>275.18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>
        <v>1</v>
      </c>
      <c r="BJ197" s="4">
        <v>28</v>
      </c>
      <c r="BK197" s="8">
        <v>3509.66</v>
      </c>
      <c r="BL197" s="2" t="s">
        <v>1002</v>
      </c>
      <c r="BM197" s="7">
        <v>0.0714</v>
      </c>
      <c r="BN197" s="7">
        <v>0.0784</v>
      </c>
      <c r="BO197" s="4">
        <v>2</v>
      </c>
      <c r="BP197" s="8">
        <v>275.18</v>
      </c>
      <c r="BQ197" s="4"/>
      <c r="BR197" s="8"/>
      <c r="BS197" s="7"/>
      <c r="BT197" s="7"/>
      <c r="BU197" s="2" t="s">
        <v>106</v>
      </c>
      <c r="BV197" s="2" t="s">
        <v>95</v>
      </c>
      <c r="BW197" s="2" t="s">
        <v>1003</v>
      </c>
      <c r="BX197" s="2" t="s">
        <v>1004</v>
      </c>
      <c r="BY197" s="2" t="s">
        <v>109</v>
      </c>
      <c r="BZ197" s="2" t="s">
        <v>98</v>
      </c>
    </row>
    <row r="198">
      <c r="A198" s="2" t="s">
        <v>1005</v>
      </c>
      <c r="B198" s="2" t="s">
        <v>996</v>
      </c>
      <c r="C198" s="2" t="s">
        <v>88</v>
      </c>
      <c r="D198" s="2" t="s">
        <v>997</v>
      </c>
      <c r="E198" s="2" t="s">
        <v>998</v>
      </c>
      <c r="F198" s="2" t="s">
        <v>999</v>
      </c>
      <c r="G198" s="2" t="s">
        <v>999</v>
      </c>
      <c r="H198" s="2" t="s">
        <v>999</v>
      </c>
      <c r="I198" s="2" t="s">
        <v>1000</v>
      </c>
      <c r="J198" s="2" t="s">
        <v>661</v>
      </c>
      <c r="K198" s="2" t="s">
        <v>1006</v>
      </c>
      <c r="L198" s="3">
        <v>117</v>
      </c>
      <c r="M198" s="3">
        <v>122.85</v>
      </c>
      <c r="N198" s="3">
        <v>249</v>
      </c>
      <c r="O198" s="2" t="s">
        <v>95</v>
      </c>
      <c r="P198" s="2" t="s">
        <v>177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590</v>
      </c>
      <c r="V198" s="2" t="s">
        <v>369</v>
      </c>
      <c r="W198" s="2" t="s">
        <v>190</v>
      </c>
      <c r="X198" s="2" t="s">
        <v>98</v>
      </c>
      <c r="Y198" s="2" t="s">
        <v>1007</v>
      </c>
      <c r="Z198" s="4">
        <v>2</v>
      </c>
      <c r="AA198" s="4">
        <f>=ROUNDDOWN(0.5,0)</f>
      </c>
      <c r="AB198" s="5">
        <v>4</v>
      </c>
      <c r="AC198" s="2" t="s">
        <v>1008</v>
      </c>
      <c r="AD198" s="4">
        <v>100</v>
      </c>
      <c r="AE198" s="4">
        <v>150</v>
      </c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98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/>
      <c r="BJ198" s="4">
        <v>8</v>
      </c>
      <c r="BK198" s="8">
        <v>1050.92</v>
      </c>
      <c r="BL198" s="2" t="s">
        <v>1009</v>
      </c>
      <c r="BM198" s="7"/>
      <c r="BN198" s="7"/>
      <c r="BO198" s="4"/>
      <c r="BP198" s="8"/>
      <c r="BQ198" s="4"/>
      <c r="BR198" s="8"/>
      <c r="BS198" s="7"/>
      <c r="BT198" s="7"/>
      <c r="BU198" s="2" t="s">
        <v>832</v>
      </c>
      <c r="BV198" s="2" t="s">
        <v>95</v>
      </c>
      <c r="BW198" s="2" t="s">
        <v>98</v>
      </c>
      <c r="BX198" s="2" t="s">
        <v>98</v>
      </c>
      <c r="BY198" s="2" t="s">
        <v>109</v>
      </c>
      <c r="BZ198" s="2" t="s">
        <v>98</v>
      </c>
    </row>
    <row r="199">
      <c r="A199" s="2" t="s">
        <v>1010</v>
      </c>
      <c r="B199" s="2" t="s">
        <v>996</v>
      </c>
      <c r="C199" s="2" t="s">
        <v>88</v>
      </c>
      <c r="D199" s="2" t="s">
        <v>997</v>
      </c>
      <c r="E199" s="2" t="s">
        <v>998</v>
      </c>
      <c r="F199" s="2" t="s">
        <v>999</v>
      </c>
      <c r="G199" s="2" t="s">
        <v>999</v>
      </c>
      <c r="H199" s="2" t="s">
        <v>999</v>
      </c>
      <c r="I199" s="2" t="s">
        <v>1000</v>
      </c>
      <c r="J199" s="2" t="s">
        <v>661</v>
      </c>
      <c r="K199" s="2" t="s">
        <v>1011</v>
      </c>
      <c r="L199" s="3">
        <v>117</v>
      </c>
      <c r="M199" s="3">
        <v>122.85</v>
      </c>
      <c r="N199" s="3">
        <v>249</v>
      </c>
      <c r="O199" s="2" t="s">
        <v>95</v>
      </c>
      <c r="P199" s="2" t="s">
        <v>177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590</v>
      </c>
      <c r="V199" s="2" t="s">
        <v>369</v>
      </c>
      <c r="W199" s="2" t="s">
        <v>190</v>
      </c>
      <c r="X199" s="2" t="s">
        <v>98</v>
      </c>
      <c r="Y199" s="2" t="s">
        <v>1007</v>
      </c>
      <c r="Z199" s="4">
        <v>100</v>
      </c>
      <c r="AA199" s="4">
        <f>=ROUNDDOWN(12.5,0)</f>
      </c>
      <c r="AB199" s="5">
        <v>8</v>
      </c>
      <c r="AC199" s="2" t="s">
        <v>473</v>
      </c>
      <c r="AD199" s="4">
        <v>100</v>
      </c>
      <c r="AE199" s="4">
        <v>250</v>
      </c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98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/>
      <c r="BJ199" s="4"/>
      <c r="BK199" s="8"/>
      <c r="BL199" s="2" t="s">
        <v>98</v>
      </c>
      <c r="BM199" s="7"/>
      <c r="BN199" s="7"/>
      <c r="BO199" s="4"/>
      <c r="BP199" s="8"/>
      <c r="BQ199" s="4"/>
      <c r="BR199" s="8"/>
      <c r="BS199" s="7"/>
      <c r="BT199" s="7"/>
      <c r="BU199" s="2" t="s">
        <v>832</v>
      </c>
      <c r="BV199" s="2" t="s">
        <v>95</v>
      </c>
      <c r="BW199" s="2" t="s">
        <v>98</v>
      </c>
      <c r="BX199" s="2" t="s">
        <v>98</v>
      </c>
      <c r="BY199" s="2" t="s">
        <v>109</v>
      </c>
      <c r="BZ199" s="2" t="s">
        <v>98</v>
      </c>
    </row>
    <row r="200">
      <c r="A200" s="2" t="s">
        <v>1012</v>
      </c>
      <c r="B200" s="2" t="s">
        <v>996</v>
      </c>
      <c r="C200" s="2" t="s">
        <v>88</v>
      </c>
      <c r="D200" s="2" t="s">
        <v>997</v>
      </c>
      <c r="E200" s="2" t="s">
        <v>998</v>
      </c>
      <c r="F200" s="2" t="s">
        <v>999</v>
      </c>
      <c r="G200" s="2" t="s">
        <v>999</v>
      </c>
      <c r="H200" s="2" t="s">
        <v>999</v>
      </c>
      <c r="I200" s="2" t="s">
        <v>1000</v>
      </c>
      <c r="J200" s="2" t="s">
        <v>661</v>
      </c>
      <c r="K200" s="2" t="s">
        <v>694</v>
      </c>
      <c r="L200" s="3">
        <v>117</v>
      </c>
      <c r="M200" s="3">
        <v>122.85</v>
      </c>
      <c r="N200" s="3">
        <v>249</v>
      </c>
      <c r="O200" s="2" t="s">
        <v>95</v>
      </c>
      <c r="P200" s="2" t="s">
        <v>177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590</v>
      </c>
      <c r="V200" s="2" t="s">
        <v>369</v>
      </c>
      <c r="W200" s="2" t="s">
        <v>190</v>
      </c>
      <c r="X200" s="2" t="s">
        <v>98</v>
      </c>
      <c r="Y200" s="2" t="s">
        <v>1007</v>
      </c>
      <c r="Z200" s="4"/>
      <c r="AA200" s="4">
        <f>=ROUNDDOWN({0},0)</f>
      </c>
      <c r="AB200" s="5">
        <v>7</v>
      </c>
      <c r="AC200" s="2" t="s">
        <v>934</v>
      </c>
      <c r="AD200" s="4">
        <v>88</v>
      </c>
      <c r="AE200" s="4">
        <v>257</v>
      </c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98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/>
      <c r="BJ200" s="4"/>
      <c r="BK200" s="8"/>
      <c r="BL200" s="2" t="s">
        <v>98</v>
      </c>
      <c r="BM200" s="7"/>
      <c r="BN200" s="7"/>
      <c r="BO200" s="4"/>
      <c r="BP200" s="8"/>
      <c r="BQ200" s="4"/>
      <c r="BR200" s="8"/>
      <c r="BS200" s="7"/>
      <c r="BT200" s="7"/>
      <c r="BU200" s="2" t="s">
        <v>832</v>
      </c>
      <c r="BV200" s="2" t="s">
        <v>95</v>
      </c>
      <c r="BW200" s="2" t="s">
        <v>98</v>
      </c>
      <c r="BX200" s="2" t="s">
        <v>98</v>
      </c>
      <c r="BY200" s="2" t="s">
        <v>109</v>
      </c>
      <c r="BZ200" s="2" t="s">
        <v>98</v>
      </c>
    </row>
    <row r="201">
      <c r="A201" s="2" t="s">
        <v>1013</v>
      </c>
      <c r="B201" s="2" t="s">
        <v>996</v>
      </c>
      <c r="C201" s="2" t="s">
        <v>88</v>
      </c>
      <c r="D201" s="2" t="s">
        <v>997</v>
      </c>
      <c r="E201" s="2" t="s">
        <v>998</v>
      </c>
      <c r="F201" s="2" t="s">
        <v>1014</v>
      </c>
      <c r="G201" s="2" t="s">
        <v>1014</v>
      </c>
      <c r="H201" s="2" t="s">
        <v>1014</v>
      </c>
      <c r="I201" s="2" t="s">
        <v>1015</v>
      </c>
      <c r="J201" s="2" t="s">
        <v>661</v>
      </c>
      <c r="K201" s="2" t="s">
        <v>1016</v>
      </c>
      <c r="L201" s="3">
        <v>155</v>
      </c>
      <c r="M201" s="3">
        <v>162.75</v>
      </c>
      <c r="N201" s="3">
        <v>319</v>
      </c>
      <c r="O201" s="2" t="s">
        <v>95</v>
      </c>
      <c r="P201" s="2" t="s">
        <v>140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590</v>
      </c>
      <c r="V201" s="2" t="s">
        <v>369</v>
      </c>
      <c r="W201" s="2" t="s">
        <v>384</v>
      </c>
      <c r="X201" s="2" t="s">
        <v>242</v>
      </c>
      <c r="Y201" s="2" t="s">
        <v>1017</v>
      </c>
      <c r="Z201" s="4">
        <v>185</v>
      </c>
      <c r="AA201" s="4">
        <f>=ROUNDDOWN(11.5625,0)</f>
      </c>
      <c r="AB201" s="5">
        <v>16</v>
      </c>
      <c r="AC201" s="2" t="s">
        <v>1018</v>
      </c>
      <c r="AD201" s="4">
        <v>85</v>
      </c>
      <c r="AE201" s="4">
        <v>299</v>
      </c>
      <c r="AF201" s="6">
        <v>69</v>
      </c>
      <c r="AG201" s="6">
        <v>52</v>
      </c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23</v>
      </c>
      <c r="BK201" s="8">
        <v>3633.66</v>
      </c>
      <c r="BL201" s="2" t="s">
        <v>1019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95</v>
      </c>
      <c r="BW201" s="2" t="s">
        <v>1020</v>
      </c>
      <c r="BX201" s="2" t="s">
        <v>843</v>
      </c>
      <c r="BY201" s="2" t="s">
        <v>109</v>
      </c>
      <c r="BZ201" s="2" t="s">
        <v>98</v>
      </c>
    </row>
    <row r="202">
      <c r="A202" s="2" t="s">
        <v>1021</v>
      </c>
      <c r="B202" s="2" t="s">
        <v>996</v>
      </c>
      <c r="C202" s="2" t="s">
        <v>88</v>
      </c>
      <c r="D202" s="2" t="s">
        <v>997</v>
      </c>
      <c r="E202" s="2" t="s">
        <v>998</v>
      </c>
      <c r="F202" s="2" t="s">
        <v>1022</v>
      </c>
      <c r="G202" s="2" t="s">
        <v>1022</v>
      </c>
      <c r="H202" s="2" t="s">
        <v>1022</v>
      </c>
      <c r="I202" s="2" t="s">
        <v>1023</v>
      </c>
      <c r="J202" s="2" t="s">
        <v>661</v>
      </c>
      <c r="K202" s="2" t="s">
        <v>395</v>
      </c>
      <c r="L202" s="3">
        <v>108</v>
      </c>
      <c r="M202" s="3">
        <v>113.4</v>
      </c>
      <c r="N202" s="3">
        <v>229</v>
      </c>
      <c r="O202" s="2" t="s">
        <v>95</v>
      </c>
      <c r="P202" s="2" t="s">
        <v>714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98</v>
      </c>
      <c r="V202" s="2" t="s">
        <v>369</v>
      </c>
      <c r="W202" s="2" t="s">
        <v>190</v>
      </c>
      <c r="X202" s="2" t="s">
        <v>98</v>
      </c>
      <c r="Y202" s="2" t="s">
        <v>1024</v>
      </c>
      <c r="Z202" s="4">
        <v>79</v>
      </c>
      <c r="AA202" s="4">
        <f>=ROUNDDOWN(15.8,0)</f>
      </c>
      <c r="AB202" s="5">
        <v>5</v>
      </c>
      <c r="AC202" s="2" t="s">
        <v>862</v>
      </c>
      <c r="AD202" s="4">
        <v>100</v>
      </c>
      <c r="AE202" s="4">
        <v>100</v>
      </c>
      <c r="AF202" s="6">
        <v>76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9</v>
      </c>
      <c r="BK202" s="8">
        <v>925.74</v>
      </c>
      <c r="BL202" s="2" t="s">
        <v>1025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95</v>
      </c>
      <c r="BW202" s="2" t="s">
        <v>1026</v>
      </c>
      <c r="BX202" s="2" t="s">
        <v>1027</v>
      </c>
      <c r="BY202" s="2" t="s">
        <v>109</v>
      </c>
      <c r="BZ202" s="2" t="s">
        <v>98</v>
      </c>
    </row>
    <row r="203">
      <c r="A203" s="2" t="s">
        <v>1028</v>
      </c>
      <c r="B203" s="2" t="s">
        <v>996</v>
      </c>
      <c r="C203" s="2" t="s">
        <v>88</v>
      </c>
      <c r="D203" s="2" t="s">
        <v>997</v>
      </c>
      <c r="E203" s="2" t="s">
        <v>1029</v>
      </c>
      <c r="F203" s="2" t="s">
        <v>1030</v>
      </c>
      <c r="G203" s="2" t="s">
        <v>1030</v>
      </c>
      <c r="H203" s="2" t="s">
        <v>1030</v>
      </c>
      <c r="I203" s="2" t="s">
        <v>1031</v>
      </c>
      <c r="J203" s="2" t="s">
        <v>661</v>
      </c>
      <c r="K203" s="2" t="s">
        <v>1032</v>
      </c>
      <c r="L203" s="3">
        <v>118.8</v>
      </c>
      <c r="M203" s="3">
        <v>124.74</v>
      </c>
      <c r="N203" s="3">
        <v>249</v>
      </c>
      <c r="O203" s="2" t="s">
        <v>95</v>
      </c>
      <c r="P203" s="2" t="s">
        <v>140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590</v>
      </c>
      <c r="V203" s="2" t="s">
        <v>208</v>
      </c>
      <c r="W203" s="2" t="s">
        <v>377</v>
      </c>
      <c r="X203" s="2" t="s">
        <v>644</v>
      </c>
      <c r="Y203" s="2" t="s">
        <v>1033</v>
      </c>
      <c r="Z203" s="4">
        <v>194</v>
      </c>
      <c r="AA203" s="4">
        <f>=ROUNDDOWN(48.5,0)</f>
      </c>
      <c r="AB203" s="5">
        <v>4</v>
      </c>
      <c r="AC203" s="2" t="s">
        <v>730</v>
      </c>
      <c r="AD203" s="4">
        <v>100</v>
      </c>
      <c r="AE203" s="4">
        <v>100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/>
      <c r="AP203" s="4">
        <v>1</v>
      </c>
      <c r="AQ203" s="8">
        <v>143.81</v>
      </c>
      <c r="AR203" s="4"/>
      <c r="AS203" s="8"/>
      <c r="AT203" s="7"/>
      <c r="AU203" s="7"/>
      <c r="AV203" s="4">
        <v>1</v>
      </c>
      <c r="AW203" s="8">
        <v>143.81</v>
      </c>
      <c r="AX203" s="4"/>
      <c r="AY203" s="8"/>
      <c r="AZ203" s="7"/>
      <c r="BA203" s="7"/>
      <c r="BB203" s="7">
        <v>1</v>
      </c>
      <c r="BC203" s="4">
        <v>1</v>
      </c>
      <c r="BD203" s="8">
        <v>143.81</v>
      </c>
      <c r="BE203" s="4"/>
      <c r="BF203" s="8"/>
      <c r="BG203" s="7"/>
      <c r="BH203" s="7"/>
      <c r="BI203" s="7">
        <v>1</v>
      </c>
      <c r="BJ203" s="4">
        <v>6</v>
      </c>
      <c r="BK203" s="8">
        <v>768.94</v>
      </c>
      <c r="BL203" s="2" t="s">
        <v>1034</v>
      </c>
      <c r="BM203" s="7">
        <v>0.1667</v>
      </c>
      <c r="BN203" s="7">
        <v>0.187</v>
      </c>
      <c r="BO203" s="4">
        <v>1</v>
      </c>
      <c r="BP203" s="8">
        <v>143.81</v>
      </c>
      <c r="BQ203" s="4"/>
      <c r="BR203" s="8"/>
      <c r="BS203" s="7"/>
      <c r="BT203" s="7"/>
      <c r="BU203" s="2" t="s">
        <v>106</v>
      </c>
      <c r="BV203" s="2" t="s">
        <v>95</v>
      </c>
      <c r="BW203" s="2" t="s">
        <v>1035</v>
      </c>
      <c r="BX203" s="2" t="s">
        <v>1036</v>
      </c>
      <c r="BY203" s="2" t="s">
        <v>109</v>
      </c>
      <c r="BZ203" s="2" t="s">
        <v>98</v>
      </c>
    </row>
    <row r="204">
      <c r="A204" s="2" t="s">
        <v>1037</v>
      </c>
      <c r="B204" s="2" t="s">
        <v>996</v>
      </c>
      <c r="C204" s="2" t="s">
        <v>88</v>
      </c>
      <c r="D204" s="2" t="s">
        <v>997</v>
      </c>
      <c r="E204" s="2" t="s">
        <v>1029</v>
      </c>
      <c r="F204" s="2" t="s">
        <v>1038</v>
      </c>
      <c r="G204" s="2" t="s">
        <v>1038</v>
      </c>
      <c r="H204" s="2" t="s">
        <v>1038</v>
      </c>
      <c r="I204" s="2" t="s">
        <v>1031</v>
      </c>
      <c r="J204" s="2" t="s">
        <v>661</v>
      </c>
      <c r="K204" s="2" t="s">
        <v>1039</v>
      </c>
      <c r="L204" s="3">
        <v>100.3</v>
      </c>
      <c r="M204" s="3">
        <v>105.32</v>
      </c>
      <c r="N204" s="3">
        <v>219</v>
      </c>
      <c r="O204" s="2" t="s">
        <v>95</v>
      </c>
      <c r="P204" s="2" t="s">
        <v>714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98</v>
      </c>
      <c r="V204" s="2" t="s">
        <v>369</v>
      </c>
      <c r="W204" s="2" t="s">
        <v>384</v>
      </c>
      <c r="X204" s="2" t="s">
        <v>98</v>
      </c>
      <c r="Y204" s="2" t="s">
        <v>1040</v>
      </c>
      <c r="Z204" s="4">
        <v>139</v>
      </c>
      <c r="AA204" s="4">
        <f>=ROUNDDOWN(42.1212121212121,0)</f>
      </c>
      <c r="AB204" s="5">
        <v>3.3</v>
      </c>
      <c r="AC204" s="2" t="s">
        <v>98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2</v>
      </c>
      <c r="BK204" s="8">
        <v>226.43</v>
      </c>
      <c r="BL204" s="2" t="s">
        <v>1041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95</v>
      </c>
      <c r="BW204" s="2" t="s">
        <v>1026</v>
      </c>
      <c r="BX204" s="2" t="s">
        <v>1027</v>
      </c>
      <c r="BY204" s="2" t="s">
        <v>109</v>
      </c>
      <c r="BZ204" s="2" t="s">
        <v>98</v>
      </c>
    </row>
    <row r="205">
      <c r="A205" s="2" t="s">
        <v>1042</v>
      </c>
      <c r="B205" s="2" t="s">
        <v>996</v>
      </c>
      <c r="C205" s="2" t="s">
        <v>88</v>
      </c>
      <c r="D205" s="2" t="s">
        <v>997</v>
      </c>
      <c r="E205" s="2" t="s">
        <v>1029</v>
      </c>
      <c r="F205" s="2" t="s">
        <v>1043</v>
      </c>
      <c r="G205" s="2" t="s">
        <v>1043</v>
      </c>
      <c r="H205" s="2" t="s">
        <v>1043</v>
      </c>
      <c r="I205" s="2" t="s">
        <v>1044</v>
      </c>
      <c r="J205" s="2" t="s">
        <v>661</v>
      </c>
      <c r="K205" s="2" t="s">
        <v>737</v>
      </c>
      <c r="L205" s="3">
        <v>142.2</v>
      </c>
      <c r="M205" s="3">
        <v>149.31</v>
      </c>
      <c r="N205" s="3">
        <v>299</v>
      </c>
      <c r="O205" s="2" t="s">
        <v>95</v>
      </c>
      <c r="P205" s="2" t="s">
        <v>140</v>
      </c>
      <c r="Q205" s="2" t="s">
        <v>97</v>
      </c>
      <c r="R205" s="2" t="s">
        <v>98</v>
      </c>
      <c r="S205" s="2" t="s">
        <v>1045</v>
      </c>
      <c r="T205" s="2" t="s">
        <v>98</v>
      </c>
      <c r="U205" s="2" t="s">
        <v>98</v>
      </c>
      <c r="V205" s="2" t="s">
        <v>208</v>
      </c>
      <c r="W205" s="2" t="s">
        <v>729</v>
      </c>
      <c r="X205" s="2" t="s">
        <v>98</v>
      </c>
      <c r="Y205" s="2" t="s">
        <v>1046</v>
      </c>
      <c r="Z205" s="4">
        <v>867</v>
      </c>
      <c r="AA205" s="4">
        <f>=ROUNDDOWN(78.8181818181818,0)</f>
      </c>
      <c r="AB205" s="5">
        <v>11</v>
      </c>
      <c r="AC205" s="2" t="s">
        <v>98</v>
      </c>
      <c r="AD205" s="4"/>
      <c r="AE205" s="4"/>
      <c r="AF205" s="6">
        <v>76</v>
      </c>
      <c r="AG205" s="6">
        <v>62</v>
      </c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8</v>
      </c>
      <c r="BK205" s="8">
        <v>1225.75</v>
      </c>
      <c r="BL205" s="2" t="s">
        <v>1047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95</v>
      </c>
      <c r="BW205" s="2" t="s">
        <v>168</v>
      </c>
      <c r="BX205" s="2" t="s">
        <v>1048</v>
      </c>
      <c r="BY205" s="2" t="s">
        <v>109</v>
      </c>
      <c r="BZ205" s="2" t="s">
        <v>98</v>
      </c>
    </row>
    <row r="206">
      <c r="A206" s="2" t="s">
        <v>1049</v>
      </c>
      <c r="B206" s="2" t="s">
        <v>996</v>
      </c>
      <c r="C206" s="2" t="s">
        <v>88</v>
      </c>
      <c r="D206" s="2" t="s">
        <v>997</v>
      </c>
      <c r="E206" s="2" t="s">
        <v>1029</v>
      </c>
      <c r="F206" s="2" t="s">
        <v>1050</v>
      </c>
      <c r="G206" s="2" t="s">
        <v>1050</v>
      </c>
      <c r="H206" s="2" t="s">
        <v>1050</v>
      </c>
      <c r="I206" s="2" t="s">
        <v>1051</v>
      </c>
      <c r="J206" s="2" t="s">
        <v>1052</v>
      </c>
      <c r="K206" s="2" t="s">
        <v>1053</v>
      </c>
      <c r="L206" s="3">
        <v>110</v>
      </c>
      <c r="M206" s="3">
        <v>115.5</v>
      </c>
      <c r="N206" s="3">
        <v>229</v>
      </c>
      <c r="O206" s="2" t="s">
        <v>95</v>
      </c>
      <c r="P206" s="2" t="s">
        <v>177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590</v>
      </c>
      <c r="V206" s="2" t="s">
        <v>208</v>
      </c>
      <c r="W206" s="2" t="s">
        <v>190</v>
      </c>
      <c r="X206" s="2" t="s">
        <v>98</v>
      </c>
      <c r="Y206" s="2" t="s">
        <v>1054</v>
      </c>
      <c r="Z206" s="4">
        <v>141</v>
      </c>
      <c r="AA206" s="4">
        <f>=ROUNDDOWN(47,0)</f>
      </c>
      <c r="AB206" s="5">
        <v>3</v>
      </c>
      <c r="AC206" s="2" t="s">
        <v>98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/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/>
      <c r="BJ206" s="4">
        <v>9</v>
      </c>
      <c r="BK206" s="8">
        <v>1034.47</v>
      </c>
      <c r="BL206" s="2" t="s">
        <v>1055</v>
      </c>
      <c r="BM206" s="7"/>
      <c r="BN206" s="7"/>
      <c r="BO206" s="4"/>
      <c r="BP206" s="8"/>
      <c r="BQ206" s="4"/>
      <c r="BR206" s="8"/>
      <c r="BS206" s="7"/>
      <c r="BT206" s="7"/>
      <c r="BU206" s="2" t="s">
        <v>832</v>
      </c>
      <c r="BV206" s="2" t="s">
        <v>95</v>
      </c>
      <c r="BW206" s="2" t="s">
        <v>98</v>
      </c>
      <c r="BX206" s="2" t="s">
        <v>98</v>
      </c>
      <c r="BY206" s="2" t="s">
        <v>109</v>
      </c>
      <c r="BZ206" s="2" t="s">
        <v>98</v>
      </c>
    </row>
    <row r="207">
      <c r="A207" s="2" t="s">
        <v>1056</v>
      </c>
      <c r="B207" s="2" t="s">
        <v>996</v>
      </c>
      <c r="C207" s="2" t="s">
        <v>88</v>
      </c>
      <c r="D207" s="2" t="s">
        <v>997</v>
      </c>
      <c r="E207" s="2" t="s">
        <v>1029</v>
      </c>
      <c r="F207" s="2" t="s">
        <v>1050</v>
      </c>
      <c r="G207" s="2" t="s">
        <v>1050</v>
      </c>
      <c r="H207" s="2" t="s">
        <v>1050</v>
      </c>
      <c r="I207" s="2" t="s">
        <v>1051</v>
      </c>
      <c r="J207" s="2" t="s">
        <v>1057</v>
      </c>
      <c r="K207" s="2" t="s">
        <v>1053</v>
      </c>
      <c r="L207" s="3">
        <v>135</v>
      </c>
      <c r="M207" s="3">
        <v>141.75</v>
      </c>
      <c r="N207" s="3">
        <v>265</v>
      </c>
      <c r="O207" s="2" t="s">
        <v>95</v>
      </c>
      <c r="P207" s="2" t="s">
        <v>177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590</v>
      </c>
      <c r="V207" s="2" t="s">
        <v>369</v>
      </c>
      <c r="W207" s="2" t="s">
        <v>190</v>
      </c>
      <c r="X207" s="2" t="s">
        <v>98</v>
      </c>
      <c r="Y207" s="2" t="s">
        <v>1054</v>
      </c>
      <c r="Z207" s="4">
        <v>94</v>
      </c>
      <c r="AA207" s="4">
        <f>=ROUNDDOWN(47,0)</f>
      </c>
      <c r="AB207" s="5">
        <v>2</v>
      </c>
      <c r="AC207" s="2" t="s">
        <v>98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98</v>
      </c>
      <c r="AW207" s="8" t="s">
        <v>98</v>
      </c>
      <c r="AX207" s="4" t="s">
        <v>98</v>
      </c>
      <c r="AY207" s="8" t="s">
        <v>98</v>
      </c>
      <c r="AZ207" s="7" t="s">
        <v>98</v>
      </c>
      <c r="BA207" s="7" t="s">
        <v>98</v>
      </c>
      <c r="BB207" s="7"/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/>
      <c r="BJ207" s="4">
        <v>1</v>
      </c>
      <c r="BK207" s="8">
        <v>134.66</v>
      </c>
      <c r="BL207" s="2" t="s">
        <v>525</v>
      </c>
      <c r="BM207" s="7"/>
      <c r="BN207" s="7"/>
      <c r="BO207" s="4"/>
      <c r="BP207" s="8"/>
      <c r="BQ207" s="4"/>
      <c r="BR207" s="8"/>
      <c r="BS207" s="7"/>
      <c r="BT207" s="7"/>
      <c r="BU207" s="2" t="s">
        <v>832</v>
      </c>
      <c r="BV207" s="2" t="s">
        <v>95</v>
      </c>
      <c r="BW207" s="2" t="s">
        <v>98</v>
      </c>
      <c r="BX207" s="2" t="s">
        <v>98</v>
      </c>
      <c r="BY207" s="2" t="s">
        <v>109</v>
      </c>
      <c r="BZ207" s="2" t="s">
        <v>98</v>
      </c>
    </row>
    <row r="208">
      <c r="A208" s="2" t="s">
        <v>1058</v>
      </c>
      <c r="B208" s="2" t="s">
        <v>996</v>
      </c>
      <c r="C208" s="2" t="s">
        <v>88</v>
      </c>
      <c r="D208" s="2" t="s">
        <v>997</v>
      </c>
      <c r="E208" s="2" t="s">
        <v>1029</v>
      </c>
      <c r="F208" s="2" t="s">
        <v>1050</v>
      </c>
      <c r="G208" s="2" t="s">
        <v>1050</v>
      </c>
      <c r="H208" s="2" t="s">
        <v>1050</v>
      </c>
      <c r="I208" s="2" t="s">
        <v>1051</v>
      </c>
      <c r="J208" s="2" t="s">
        <v>1052</v>
      </c>
      <c r="K208" s="2" t="s">
        <v>1011</v>
      </c>
      <c r="L208" s="3">
        <v>110</v>
      </c>
      <c r="M208" s="3">
        <v>115.5</v>
      </c>
      <c r="N208" s="3">
        <v>229</v>
      </c>
      <c r="O208" s="2" t="s">
        <v>95</v>
      </c>
      <c r="P208" s="2" t="s">
        <v>140</v>
      </c>
      <c r="Q208" s="2" t="s">
        <v>97</v>
      </c>
      <c r="R208" s="2" t="s">
        <v>98</v>
      </c>
      <c r="S208" s="2" t="s">
        <v>1059</v>
      </c>
      <c r="T208" s="2" t="s">
        <v>98</v>
      </c>
      <c r="U208" s="2" t="s">
        <v>590</v>
      </c>
      <c r="V208" s="2" t="s">
        <v>208</v>
      </c>
      <c r="W208" s="2" t="s">
        <v>190</v>
      </c>
      <c r="X208" s="2" t="s">
        <v>98</v>
      </c>
      <c r="Y208" s="2" t="s">
        <v>1060</v>
      </c>
      <c r="Z208" s="4">
        <v>198</v>
      </c>
      <c r="AA208" s="4">
        <f>=ROUNDDOWN(13.2,0)</f>
      </c>
      <c r="AB208" s="5">
        <v>15</v>
      </c>
      <c r="AC208" s="2" t="s">
        <v>934</v>
      </c>
      <c r="AD208" s="4">
        <v>226</v>
      </c>
      <c r="AE208" s="4">
        <v>458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/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/>
      <c r="BJ208" s="4">
        <v>18</v>
      </c>
      <c r="BK208" s="8">
        <v>2123.76</v>
      </c>
      <c r="BL208" s="2" t="s">
        <v>1061</v>
      </c>
      <c r="BM208" s="7"/>
      <c r="BN208" s="7"/>
      <c r="BO208" s="4"/>
      <c r="BP208" s="8"/>
      <c r="BQ208" s="4"/>
      <c r="BR208" s="8"/>
      <c r="BS208" s="7"/>
      <c r="BT208" s="7"/>
      <c r="BU208" s="2" t="s">
        <v>832</v>
      </c>
      <c r="BV208" s="2" t="s">
        <v>95</v>
      </c>
      <c r="BW208" s="2" t="s">
        <v>98</v>
      </c>
      <c r="BX208" s="2" t="s">
        <v>98</v>
      </c>
      <c r="BY208" s="2" t="s">
        <v>109</v>
      </c>
      <c r="BZ208" s="2" t="s">
        <v>98</v>
      </c>
    </row>
    <row r="209">
      <c r="A209" s="2" t="s">
        <v>1062</v>
      </c>
      <c r="B209" s="2" t="s">
        <v>996</v>
      </c>
      <c r="C209" s="2" t="s">
        <v>88</v>
      </c>
      <c r="D209" s="2" t="s">
        <v>997</v>
      </c>
      <c r="E209" s="2" t="s">
        <v>1029</v>
      </c>
      <c r="F209" s="2" t="s">
        <v>1050</v>
      </c>
      <c r="G209" s="2" t="s">
        <v>1050</v>
      </c>
      <c r="H209" s="2" t="s">
        <v>1050</v>
      </c>
      <c r="I209" s="2" t="s">
        <v>1051</v>
      </c>
      <c r="J209" s="2" t="s">
        <v>1057</v>
      </c>
      <c r="K209" s="2" t="s">
        <v>1011</v>
      </c>
      <c r="L209" s="3">
        <v>135</v>
      </c>
      <c r="M209" s="3">
        <v>141.75</v>
      </c>
      <c r="N209" s="3">
        <v>265</v>
      </c>
      <c r="O209" s="2" t="s">
        <v>95</v>
      </c>
      <c r="P209" s="2" t="s">
        <v>177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590</v>
      </c>
      <c r="V209" s="2" t="s">
        <v>369</v>
      </c>
      <c r="W209" s="2" t="s">
        <v>190</v>
      </c>
      <c r="X209" s="2" t="s">
        <v>98</v>
      </c>
      <c r="Y209" s="2" t="s">
        <v>1063</v>
      </c>
      <c r="Z209" s="4">
        <v>121</v>
      </c>
      <c r="AA209" s="4">
        <f>=ROUNDDOWN(24.2,0)</f>
      </c>
      <c r="AB209" s="5">
        <v>5</v>
      </c>
      <c r="AC209" s="2" t="s">
        <v>1064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/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/>
      <c r="BJ209" s="4">
        <v>7</v>
      </c>
      <c r="BK209" s="8">
        <v>974.6</v>
      </c>
      <c r="BL209" s="2" t="s">
        <v>790</v>
      </c>
      <c r="BM209" s="7"/>
      <c r="BN209" s="7"/>
      <c r="BO209" s="4"/>
      <c r="BP209" s="8"/>
      <c r="BQ209" s="4"/>
      <c r="BR209" s="8"/>
      <c r="BS209" s="7"/>
      <c r="BT209" s="7"/>
      <c r="BU209" s="2" t="s">
        <v>832</v>
      </c>
      <c r="BV209" s="2" t="s">
        <v>95</v>
      </c>
      <c r="BW209" s="2" t="s">
        <v>98</v>
      </c>
      <c r="BX209" s="2" t="s">
        <v>98</v>
      </c>
      <c r="BY209" s="2" t="s">
        <v>109</v>
      </c>
      <c r="BZ209" s="2" t="s">
        <v>98</v>
      </c>
    </row>
    <row r="210">
      <c r="A210" s="2" t="s">
        <v>1065</v>
      </c>
      <c r="B210" s="2" t="s">
        <v>996</v>
      </c>
      <c r="C210" s="2" t="s">
        <v>88</v>
      </c>
      <c r="D210" s="2" t="s">
        <v>997</v>
      </c>
      <c r="E210" s="2" t="s">
        <v>1029</v>
      </c>
      <c r="F210" s="2" t="s">
        <v>1050</v>
      </c>
      <c r="G210" s="2" t="s">
        <v>1050</v>
      </c>
      <c r="H210" s="2" t="s">
        <v>1050</v>
      </c>
      <c r="I210" s="2" t="s">
        <v>1051</v>
      </c>
      <c r="J210" s="2" t="s">
        <v>1052</v>
      </c>
      <c r="K210" s="2" t="s">
        <v>694</v>
      </c>
      <c r="L210" s="3">
        <v>110</v>
      </c>
      <c r="M210" s="3">
        <v>115.5</v>
      </c>
      <c r="N210" s="3">
        <v>229</v>
      </c>
      <c r="O210" s="2" t="s">
        <v>95</v>
      </c>
      <c r="P210" s="2" t="s">
        <v>177</v>
      </c>
      <c r="Q210" s="2" t="s">
        <v>97</v>
      </c>
      <c r="R210" s="2" t="s">
        <v>98</v>
      </c>
      <c r="S210" s="2" t="s">
        <v>1059</v>
      </c>
      <c r="T210" s="2" t="s">
        <v>98</v>
      </c>
      <c r="U210" s="2" t="s">
        <v>590</v>
      </c>
      <c r="V210" s="2" t="s">
        <v>208</v>
      </c>
      <c r="W210" s="2" t="s">
        <v>190</v>
      </c>
      <c r="X210" s="2" t="s">
        <v>98</v>
      </c>
      <c r="Y210" s="2" t="s">
        <v>1066</v>
      </c>
      <c r="Z210" s="4">
        <v>2</v>
      </c>
      <c r="AA210" s="4">
        <f>=ROUNDDOWN(0.5,0)</f>
      </c>
      <c r="AB210" s="5">
        <v>4</v>
      </c>
      <c r="AC210" s="2" t="s">
        <v>342</v>
      </c>
      <c r="AD210" s="4">
        <v>100</v>
      </c>
      <c r="AE210" s="4">
        <v>100</v>
      </c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98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/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/>
      <c r="BJ210" s="4">
        <v>2</v>
      </c>
      <c r="BK210" s="8">
        <v>225.22</v>
      </c>
      <c r="BL210" s="2" t="s">
        <v>525</v>
      </c>
      <c r="BM210" s="7"/>
      <c r="BN210" s="7"/>
      <c r="BO210" s="4"/>
      <c r="BP210" s="8"/>
      <c r="BQ210" s="4"/>
      <c r="BR210" s="8"/>
      <c r="BS210" s="7"/>
      <c r="BT210" s="7"/>
      <c r="BU210" s="2" t="s">
        <v>832</v>
      </c>
      <c r="BV210" s="2" t="s">
        <v>95</v>
      </c>
      <c r="BW210" s="2" t="s">
        <v>98</v>
      </c>
      <c r="BX210" s="2" t="s">
        <v>98</v>
      </c>
      <c r="BY210" s="2" t="s">
        <v>109</v>
      </c>
      <c r="BZ210" s="2" t="s">
        <v>98</v>
      </c>
    </row>
    <row r="211">
      <c r="A211" s="2" t="s">
        <v>1067</v>
      </c>
      <c r="B211" s="2" t="s">
        <v>996</v>
      </c>
      <c r="C211" s="2" t="s">
        <v>88</v>
      </c>
      <c r="D211" s="2" t="s">
        <v>997</v>
      </c>
      <c r="E211" s="2" t="s">
        <v>1029</v>
      </c>
      <c r="F211" s="2" t="s">
        <v>1050</v>
      </c>
      <c r="G211" s="2" t="s">
        <v>1050</v>
      </c>
      <c r="H211" s="2" t="s">
        <v>1050</v>
      </c>
      <c r="I211" s="2" t="s">
        <v>1051</v>
      </c>
      <c r="J211" s="2" t="s">
        <v>1057</v>
      </c>
      <c r="K211" s="2" t="s">
        <v>694</v>
      </c>
      <c r="L211" s="3">
        <v>135</v>
      </c>
      <c r="M211" s="3">
        <v>141.75</v>
      </c>
      <c r="N211" s="3">
        <v>265</v>
      </c>
      <c r="O211" s="2" t="s">
        <v>95</v>
      </c>
      <c r="P211" s="2" t="s">
        <v>177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590</v>
      </c>
      <c r="V211" s="2" t="s">
        <v>369</v>
      </c>
      <c r="W211" s="2" t="s">
        <v>190</v>
      </c>
      <c r="X211" s="2" t="s">
        <v>98</v>
      </c>
      <c r="Y211" s="2" t="s">
        <v>1068</v>
      </c>
      <c r="Z211" s="4">
        <v>24</v>
      </c>
      <c r="AA211" s="4">
        <f>=ROUNDDOWN(8,0)</f>
      </c>
      <c r="AB211" s="5">
        <v>3</v>
      </c>
      <c r="AC211" s="2" t="s">
        <v>342</v>
      </c>
      <c r="AD211" s="4">
        <v>50</v>
      </c>
      <c r="AE211" s="4">
        <v>130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/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/>
      <c r="BJ211" s="4">
        <v>5</v>
      </c>
      <c r="BK211" s="8">
        <v>866.05</v>
      </c>
      <c r="BL211" s="2" t="s">
        <v>683</v>
      </c>
      <c r="BM211" s="7"/>
      <c r="BN211" s="7"/>
      <c r="BO211" s="4"/>
      <c r="BP211" s="8"/>
      <c r="BQ211" s="4"/>
      <c r="BR211" s="8"/>
      <c r="BS211" s="7"/>
      <c r="BT211" s="7"/>
      <c r="BU211" s="2" t="s">
        <v>832</v>
      </c>
      <c r="BV211" s="2" t="s">
        <v>95</v>
      </c>
      <c r="BW211" s="2" t="s">
        <v>98</v>
      </c>
      <c r="BX211" s="2" t="s">
        <v>98</v>
      </c>
      <c r="BY211" s="2" t="s">
        <v>109</v>
      </c>
      <c r="BZ211" s="2" t="s">
        <v>98</v>
      </c>
    </row>
    <row r="212">
      <c r="A212" s="2" t="s">
        <v>1069</v>
      </c>
      <c r="B212" s="2" t="s">
        <v>996</v>
      </c>
      <c r="C212" s="2" t="s">
        <v>88</v>
      </c>
      <c r="D212" s="2" t="s">
        <v>1070</v>
      </c>
      <c r="E212" s="2" t="s">
        <v>1071</v>
      </c>
      <c r="F212" s="2" t="s">
        <v>1072</v>
      </c>
      <c r="G212" s="2" t="s">
        <v>1072</v>
      </c>
      <c r="H212" s="2" t="s">
        <v>1072</v>
      </c>
      <c r="I212" s="2" t="s">
        <v>1073</v>
      </c>
      <c r="J212" s="2" t="s">
        <v>661</v>
      </c>
      <c r="K212" s="2" t="s">
        <v>115</v>
      </c>
      <c r="L212" s="3">
        <v>161.5</v>
      </c>
      <c r="M212" s="3">
        <v>169.58</v>
      </c>
      <c r="N212" s="3">
        <v>339</v>
      </c>
      <c r="O212" s="2" t="s">
        <v>95</v>
      </c>
      <c r="P212" s="2" t="s">
        <v>153</v>
      </c>
      <c r="Q212" s="2" t="s">
        <v>97</v>
      </c>
      <c r="R212" s="2" t="s">
        <v>98</v>
      </c>
      <c r="S212" s="2" t="s">
        <v>1074</v>
      </c>
      <c r="T212" s="2" t="s">
        <v>98</v>
      </c>
      <c r="U212" s="2" t="s">
        <v>590</v>
      </c>
      <c r="V212" s="2" t="s">
        <v>208</v>
      </c>
      <c r="W212" s="2" t="s">
        <v>384</v>
      </c>
      <c r="X212" s="2" t="s">
        <v>242</v>
      </c>
      <c r="Y212" s="2" t="s">
        <v>354</v>
      </c>
      <c r="Z212" s="4">
        <v>753</v>
      </c>
      <c r="AA212" s="4">
        <f>=ROUNDDOWN(53.7857142857143,0)</f>
      </c>
      <c r="AB212" s="5">
        <v>14</v>
      </c>
      <c r="AC212" s="2" t="s">
        <v>1075</v>
      </c>
      <c r="AD212" s="4">
        <v>8</v>
      </c>
      <c r="AE212" s="4">
        <v>76</v>
      </c>
      <c r="AF212" s="6">
        <v>74</v>
      </c>
      <c r="AG212" s="6">
        <v>60</v>
      </c>
      <c r="AH212" s="7">
        <v>1</v>
      </c>
      <c r="AI212" s="4"/>
      <c r="AJ212" s="4">
        <f>=ROUNDDOWN({0},0)</f>
      </c>
      <c r="AK212" s="5">
        <v>6</v>
      </c>
      <c r="AL212" s="2" t="s">
        <v>1076</v>
      </c>
      <c r="AM212" s="4">
        <v>80</v>
      </c>
      <c r="AN212" s="4">
        <v>80</v>
      </c>
      <c r="AO212" s="7">
        <v>1</v>
      </c>
      <c r="AP212" s="4">
        <v>1</v>
      </c>
      <c r="AQ212" s="8">
        <v>189.92</v>
      </c>
      <c r="AR212" s="4"/>
      <c r="AS212" s="8"/>
      <c r="AT212" s="7"/>
      <c r="AU212" s="7"/>
      <c r="AV212" s="4">
        <v>1</v>
      </c>
      <c r="AW212" s="8">
        <v>189.92</v>
      </c>
      <c r="AX212" s="4"/>
      <c r="AY212" s="8"/>
      <c r="AZ212" s="7"/>
      <c r="BA212" s="7"/>
      <c r="BB212" s="7">
        <v>1</v>
      </c>
      <c r="BC212" s="4">
        <v>2</v>
      </c>
      <c r="BD212" s="8">
        <v>379.84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0.5</v>
      </c>
      <c r="BJ212" s="4">
        <v>27</v>
      </c>
      <c r="BK212" s="8">
        <v>4157.66</v>
      </c>
      <c r="BL212" s="2" t="s">
        <v>1077</v>
      </c>
      <c r="BM212" s="7">
        <v>0.037</v>
      </c>
      <c r="BN212" s="7">
        <v>0.0457</v>
      </c>
      <c r="BO212" s="4">
        <v>1</v>
      </c>
      <c r="BP212" s="8">
        <v>189.92</v>
      </c>
      <c r="BQ212" s="4"/>
      <c r="BR212" s="8"/>
      <c r="BS212" s="7"/>
      <c r="BT212" s="7"/>
      <c r="BU212" s="2" t="s">
        <v>106</v>
      </c>
      <c r="BV212" s="2" t="s">
        <v>95</v>
      </c>
      <c r="BW212" s="2" t="s">
        <v>1078</v>
      </c>
      <c r="BX212" s="2" t="s">
        <v>1079</v>
      </c>
      <c r="BY212" s="2" t="s">
        <v>109</v>
      </c>
      <c r="BZ212" s="2" t="s">
        <v>98</v>
      </c>
    </row>
    <row r="213">
      <c r="A213" s="2" t="s">
        <v>1080</v>
      </c>
      <c r="B213" s="2" t="s">
        <v>996</v>
      </c>
      <c r="C213" s="2" t="s">
        <v>88</v>
      </c>
      <c r="D213" s="2" t="s">
        <v>1070</v>
      </c>
      <c r="E213" s="2" t="s">
        <v>1071</v>
      </c>
      <c r="F213" s="2" t="s">
        <v>1072</v>
      </c>
      <c r="G213" s="2" t="s">
        <v>1072</v>
      </c>
      <c r="H213" s="2" t="s">
        <v>1072</v>
      </c>
      <c r="I213" s="2" t="s">
        <v>1073</v>
      </c>
      <c r="J213" s="2" t="s">
        <v>661</v>
      </c>
      <c r="K213" s="2" t="s">
        <v>1081</v>
      </c>
      <c r="L213" s="3">
        <v>161.5</v>
      </c>
      <c r="M213" s="3">
        <v>169.58</v>
      </c>
      <c r="N213" s="3">
        <v>339</v>
      </c>
      <c r="O213" s="2" t="s">
        <v>95</v>
      </c>
      <c r="P213" s="2" t="s">
        <v>140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590</v>
      </c>
      <c r="V213" s="2" t="s">
        <v>208</v>
      </c>
      <c r="W213" s="2" t="s">
        <v>384</v>
      </c>
      <c r="X213" s="2" t="s">
        <v>242</v>
      </c>
      <c r="Y213" s="2" t="s">
        <v>1082</v>
      </c>
      <c r="Z213" s="4">
        <v>192</v>
      </c>
      <c r="AA213" s="4">
        <f>=ROUNDDOWN(32,0)</f>
      </c>
      <c r="AB213" s="5">
        <v>6</v>
      </c>
      <c r="AC213" s="2" t="s">
        <v>1083</v>
      </c>
      <c r="AD213" s="4">
        <v>48</v>
      </c>
      <c r="AE213" s="4">
        <v>200</v>
      </c>
      <c r="AF213" s="6">
        <v>74</v>
      </c>
      <c r="AG213" s="6">
        <v>60</v>
      </c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/>
      <c r="AP213" s="4">
        <v>1</v>
      </c>
      <c r="AQ213" s="8">
        <v>189.92</v>
      </c>
      <c r="AR213" s="4"/>
      <c r="AS213" s="8"/>
      <c r="AT213" s="7"/>
      <c r="AU213" s="7"/>
      <c r="AV213" s="4">
        <v>1</v>
      </c>
      <c r="AW213" s="8">
        <v>189.92</v>
      </c>
      <c r="AX213" s="4"/>
      <c r="AY213" s="8"/>
      <c r="AZ213" s="7"/>
      <c r="BA213" s="7"/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0.5</v>
      </c>
      <c r="BJ213" s="4">
        <v>8</v>
      </c>
      <c r="BK213" s="8">
        <v>1238.29</v>
      </c>
      <c r="BL213" s="2" t="s">
        <v>1084</v>
      </c>
      <c r="BM213" s="7">
        <v>0.125</v>
      </c>
      <c r="BN213" s="7">
        <v>0.1534</v>
      </c>
      <c r="BO213" s="4">
        <v>1</v>
      </c>
      <c r="BP213" s="8">
        <v>189.92</v>
      </c>
      <c r="BQ213" s="4"/>
      <c r="BR213" s="8"/>
      <c r="BS213" s="7"/>
      <c r="BT213" s="7"/>
      <c r="BU213" s="2" t="s">
        <v>106</v>
      </c>
      <c r="BV213" s="2" t="s">
        <v>95</v>
      </c>
      <c r="BW213" s="2" t="s">
        <v>1035</v>
      </c>
      <c r="BX213" s="2" t="s">
        <v>1085</v>
      </c>
      <c r="BY213" s="2" t="s">
        <v>109</v>
      </c>
      <c r="BZ213" s="2" t="s">
        <v>98</v>
      </c>
    </row>
    <row r="214">
      <c r="A214" s="2" t="s">
        <v>1086</v>
      </c>
      <c r="B214" s="2" t="s">
        <v>996</v>
      </c>
      <c r="C214" s="2" t="s">
        <v>88</v>
      </c>
      <c r="D214" s="2" t="s">
        <v>1070</v>
      </c>
      <c r="E214" s="2" t="s">
        <v>1071</v>
      </c>
      <c r="F214" s="2" t="s">
        <v>1072</v>
      </c>
      <c r="G214" s="2" t="s">
        <v>1072</v>
      </c>
      <c r="H214" s="2" t="s">
        <v>1072</v>
      </c>
      <c r="I214" s="2" t="s">
        <v>1073</v>
      </c>
      <c r="J214" s="2" t="s">
        <v>661</v>
      </c>
      <c r="K214" s="2" t="s">
        <v>1011</v>
      </c>
      <c r="L214" s="3">
        <v>161.5</v>
      </c>
      <c r="M214" s="3">
        <v>169.58</v>
      </c>
      <c r="N214" s="3">
        <v>339</v>
      </c>
      <c r="O214" s="2" t="s">
        <v>95</v>
      </c>
      <c r="P214" s="2" t="s">
        <v>96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590</v>
      </c>
      <c r="V214" s="2" t="s">
        <v>208</v>
      </c>
      <c r="W214" s="2" t="s">
        <v>384</v>
      </c>
      <c r="X214" s="2" t="s">
        <v>242</v>
      </c>
      <c r="Y214" s="2" t="s">
        <v>1087</v>
      </c>
      <c r="Z214" s="4">
        <v>529</v>
      </c>
      <c r="AA214" s="4">
        <f>=ROUNDDOWN(33.0625,0)</f>
      </c>
      <c r="AB214" s="5">
        <v>16</v>
      </c>
      <c r="AC214" s="2" t="s">
        <v>1083</v>
      </c>
      <c r="AD214" s="4">
        <v>100</v>
      </c>
      <c r="AE214" s="4">
        <v>150</v>
      </c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/>
      <c r="BJ214" s="4">
        <v>12</v>
      </c>
      <c r="BK214" s="8">
        <v>1726</v>
      </c>
      <c r="BL214" s="2" t="s">
        <v>1088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95</v>
      </c>
      <c r="BW214" s="2" t="s">
        <v>1020</v>
      </c>
      <c r="BX214" s="2" t="s">
        <v>1089</v>
      </c>
      <c r="BY214" s="2" t="s">
        <v>109</v>
      </c>
      <c r="BZ214" s="2" t="s">
        <v>98</v>
      </c>
    </row>
    <row r="215">
      <c r="A215" s="2" t="s">
        <v>1090</v>
      </c>
      <c r="B215" s="2" t="s">
        <v>996</v>
      </c>
      <c r="C215" s="2" t="s">
        <v>88</v>
      </c>
      <c r="D215" s="2" t="s">
        <v>1070</v>
      </c>
      <c r="E215" s="2" t="s">
        <v>1071</v>
      </c>
      <c r="F215" s="2" t="s">
        <v>1072</v>
      </c>
      <c r="G215" s="2" t="s">
        <v>1072</v>
      </c>
      <c r="H215" s="2" t="s">
        <v>1072</v>
      </c>
      <c r="I215" s="2" t="s">
        <v>1073</v>
      </c>
      <c r="J215" s="2" t="s">
        <v>661</v>
      </c>
      <c r="K215" s="2" t="s">
        <v>631</v>
      </c>
      <c r="L215" s="3">
        <v>161.5</v>
      </c>
      <c r="M215" s="3">
        <v>169.58</v>
      </c>
      <c r="N215" s="3">
        <v>339</v>
      </c>
      <c r="O215" s="2" t="s">
        <v>95</v>
      </c>
      <c r="P215" s="2" t="s">
        <v>140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590</v>
      </c>
      <c r="V215" s="2" t="s">
        <v>208</v>
      </c>
      <c r="W215" s="2" t="s">
        <v>384</v>
      </c>
      <c r="X215" s="2" t="s">
        <v>242</v>
      </c>
      <c r="Y215" s="2" t="s">
        <v>1082</v>
      </c>
      <c r="Z215" s="4">
        <v>193</v>
      </c>
      <c r="AA215" s="4">
        <f>=ROUNDDOWN(48.25,0)</f>
      </c>
      <c r="AB215" s="5">
        <v>4</v>
      </c>
      <c r="AC215" s="2" t="s">
        <v>1083</v>
      </c>
      <c r="AD215" s="4">
        <v>50</v>
      </c>
      <c r="AE215" s="4">
        <v>100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/>
      <c r="BJ215" s="4">
        <v>4</v>
      </c>
      <c r="BK215" s="8">
        <v>581.55</v>
      </c>
      <c r="BL215" s="2" t="s">
        <v>1091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95</v>
      </c>
      <c r="BW215" s="2" t="s">
        <v>1035</v>
      </c>
      <c r="BX215" s="2" t="s">
        <v>1092</v>
      </c>
      <c r="BY215" s="2" t="s">
        <v>109</v>
      </c>
      <c r="BZ215" s="2" t="s">
        <v>98</v>
      </c>
    </row>
    <row r="216">
      <c r="A216" s="2" t="s">
        <v>1093</v>
      </c>
      <c r="B216" s="2" t="s">
        <v>996</v>
      </c>
      <c r="C216" s="2" t="s">
        <v>88</v>
      </c>
      <c r="D216" s="2" t="s">
        <v>1070</v>
      </c>
      <c r="E216" s="2" t="s">
        <v>1071</v>
      </c>
      <c r="F216" s="2" t="s">
        <v>1072</v>
      </c>
      <c r="G216" s="2" t="s">
        <v>1072</v>
      </c>
      <c r="H216" s="2" t="s">
        <v>1072</v>
      </c>
      <c r="I216" s="2" t="s">
        <v>1073</v>
      </c>
      <c r="J216" s="2" t="s">
        <v>661</v>
      </c>
      <c r="K216" s="2" t="s">
        <v>908</v>
      </c>
      <c r="L216" s="3">
        <v>161.5</v>
      </c>
      <c r="M216" s="3">
        <v>169.58</v>
      </c>
      <c r="N216" s="3">
        <v>339</v>
      </c>
      <c r="O216" s="2" t="s">
        <v>95</v>
      </c>
      <c r="P216" s="2" t="s">
        <v>96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590</v>
      </c>
      <c r="V216" s="2" t="s">
        <v>208</v>
      </c>
      <c r="W216" s="2" t="s">
        <v>384</v>
      </c>
      <c r="X216" s="2" t="s">
        <v>242</v>
      </c>
      <c r="Y216" s="2" t="s">
        <v>1094</v>
      </c>
      <c r="Z216" s="4">
        <v>287</v>
      </c>
      <c r="AA216" s="4">
        <f>=ROUNDDOWN(44.84375,0)</f>
      </c>
      <c r="AB216" s="5">
        <v>6.4</v>
      </c>
      <c r="AC216" s="2" t="s">
        <v>1095</v>
      </c>
      <c r="AD216" s="4">
        <v>141</v>
      </c>
      <c r="AE216" s="4">
        <v>401</v>
      </c>
      <c r="AF216" s="6">
        <v>74</v>
      </c>
      <c r="AG216" s="6">
        <v>60</v>
      </c>
      <c r="AH216" s="7">
        <v>1</v>
      </c>
      <c r="AI216" s="4"/>
      <c r="AJ216" s="4">
        <f>=ROUNDDOWN({0},0)</f>
      </c>
      <c r="AK216" s="5">
        <v>9</v>
      </c>
      <c r="AL216" s="2" t="s">
        <v>1076</v>
      </c>
      <c r="AM216" s="4">
        <v>80</v>
      </c>
      <c r="AN216" s="4">
        <v>80</v>
      </c>
      <c r="AO216" s="7">
        <v>1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/>
      <c r="BJ216" s="4">
        <v>13</v>
      </c>
      <c r="BK216" s="8">
        <v>1609.53</v>
      </c>
      <c r="BL216" s="2" t="s">
        <v>1096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95</v>
      </c>
      <c r="BW216" s="2" t="s">
        <v>852</v>
      </c>
      <c r="BX216" s="2" t="s">
        <v>1097</v>
      </c>
      <c r="BY216" s="2" t="s">
        <v>109</v>
      </c>
      <c r="BZ216" s="2" t="s">
        <v>98</v>
      </c>
    </row>
    <row r="217">
      <c r="A217" s="2" t="s">
        <v>1098</v>
      </c>
      <c r="B217" s="2" t="s">
        <v>996</v>
      </c>
      <c r="C217" s="2" t="s">
        <v>88</v>
      </c>
      <c r="D217" s="2" t="s">
        <v>1070</v>
      </c>
      <c r="E217" s="2" t="s">
        <v>1071</v>
      </c>
      <c r="F217" s="2" t="s">
        <v>1072</v>
      </c>
      <c r="G217" s="2" t="s">
        <v>1072</v>
      </c>
      <c r="H217" s="2" t="s">
        <v>1072</v>
      </c>
      <c r="I217" s="2" t="s">
        <v>1073</v>
      </c>
      <c r="J217" s="2" t="s">
        <v>661</v>
      </c>
      <c r="K217" s="2" t="s">
        <v>1099</v>
      </c>
      <c r="L217" s="3">
        <v>161.5</v>
      </c>
      <c r="M217" s="3">
        <v>169.58</v>
      </c>
      <c r="N217" s="3">
        <v>339</v>
      </c>
      <c r="O217" s="2" t="s">
        <v>95</v>
      </c>
      <c r="P217" s="2" t="s">
        <v>714</v>
      </c>
      <c r="Q217" s="2" t="s">
        <v>97</v>
      </c>
      <c r="R217" s="2" t="s">
        <v>98</v>
      </c>
      <c r="S217" s="2" t="s">
        <v>98</v>
      </c>
      <c r="T217" s="2" t="s">
        <v>98</v>
      </c>
      <c r="U217" s="2" t="s">
        <v>590</v>
      </c>
      <c r="V217" s="2" t="s">
        <v>208</v>
      </c>
      <c r="W217" s="2" t="s">
        <v>384</v>
      </c>
      <c r="X217" s="2" t="s">
        <v>242</v>
      </c>
      <c r="Y217" s="2" t="s">
        <v>1100</v>
      </c>
      <c r="Z217" s="4">
        <v>155</v>
      </c>
      <c r="AA217" s="4">
        <f>=ROUNDDOWN(38.75,0)</f>
      </c>
      <c r="AB217" s="5">
        <v>4</v>
      </c>
      <c r="AC217" s="2" t="s">
        <v>869</v>
      </c>
      <c r="AD217" s="4">
        <v>47</v>
      </c>
      <c r="AE217" s="4">
        <v>47</v>
      </c>
      <c r="AF217" s="6">
        <v>74</v>
      </c>
      <c r="AG217" s="6">
        <v>60</v>
      </c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/>
      <c r="BJ217" s="4"/>
      <c r="BK217" s="8"/>
      <c r="BL217" s="2" t="s">
        <v>98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95</v>
      </c>
      <c r="BW217" s="2" t="s">
        <v>682</v>
      </c>
      <c r="BX217" s="2" t="s">
        <v>1101</v>
      </c>
      <c r="BY217" s="2" t="s">
        <v>109</v>
      </c>
      <c r="BZ217" s="2" t="s">
        <v>98</v>
      </c>
    </row>
    <row r="218">
      <c r="A218" s="2" t="s">
        <v>1102</v>
      </c>
      <c r="B218" s="2" t="s">
        <v>996</v>
      </c>
      <c r="C218" s="2" t="s">
        <v>88</v>
      </c>
      <c r="D218" s="2" t="s">
        <v>1070</v>
      </c>
      <c r="E218" s="2" t="s">
        <v>1071</v>
      </c>
      <c r="F218" s="2" t="s">
        <v>1103</v>
      </c>
      <c r="G218" s="2" t="s">
        <v>1103</v>
      </c>
      <c r="H218" s="2" t="s">
        <v>1103</v>
      </c>
      <c r="I218" s="2" t="s">
        <v>1104</v>
      </c>
      <c r="J218" s="2" t="s">
        <v>661</v>
      </c>
      <c r="K218" s="2" t="s">
        <v>367</v>
      </c>
      <c r="L218" s="3">
        <v>262.38</v>
      </c>
      <c r="M218" s="3">
        <v>275.5</v>
      </c>
      <c r="N218" s="3">
        <v>549</v>
      </c>
      <c r="O218" s="2" t="s">
        <v>206</v>
      </c>
      <c r="P218" s="2" t="s">
        <v>128</v>
      </c>
      <c r="Q218" s="2" t="s">
        <v>97</v>
      </c>
      <c r="R218" s="2" t="s">
        <v>98</v>
      </c>
      <c r="S218" s="2" t="s">
        <v>98</v>
      </c>
      <c r="T218" s="2" t="s">
        <v>98</v>
      </c>
      <c r="U218" s="2" t="s">
        <v>590</v>
      </c>
      <c r="V218" s="2" t="s">
        <v>208</v>
      </c>
      <c r="W218" s="2" t="s">
        <v>242</v>
      </c>
      <c r="X218" s="2" t="s">
        <v>163</v>
      </c>
      <c r="Y218" s="2" t="s">
        <v>1105</v>
      </c>
      <c r="Z218" s="4"/>
      <c r="AA218" s="4">
        <f>=ROUNDDOWN({0},0)</f>
      </c>
      <c r="AB218" s="5">
        <v>0.3</v>
      </c>
      <c r="AC218" s="2" t="s">
        <v>98</v>
      </c>
      <c r="AD218" s="4"/>
      <c r="AE218" s="4"/>
      <c r="AF218" s="6">
        <v>76</v>
      </c>
      <c r="AG218" s="6"/>
      <c r="AH218" s="7">
        <v>0</v>
      </c>
      <c r="AI218" s="4"/>
      <c r="AJ218" s="4">
        <f>=ROUNDDOWN({0},0)</f>
      </c>
      <c r="AK218" s="5"/>
      <c r="AL218" s="2" t="s">
        <v>98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98</v>
      </c>
      <c r="BM218" s="7"/>
      <c r="BN218" s="7"/>
      <c r="BO218" s="4"/>
      <c r="BP218" s="8"/>
      <c r="BQ218" s="4"/>
      <c r="BR218" s="8"/>
      <c r="BS218" s="7"/>
      <c r="BT218" s="7"/>
      <c r="BU218" s="2" t="s">
        <v>832</v>
      </c>
      <c r="BV218" s="2" t="s">
        <v>95</v>
      </c>
      <c r="BW218" s="2" t="s">
        <v>98</v>
      </c>
      <c r="BX218" s="2" t="s">
        <v>98</v>
      </c>
      <c r="BY218" s="2" t="s">
        <v>109</v>
      </c>
      <c r="BZ218" s="2" t="s">
        <v>98</v>
      </c>
    </row>
    <row r="219">
      <c r="A219" s="2" t="s">
        <v>1106</v>
      </c>
      <c r="B219" s="2" t="s">
        <v>996</v>
      </c>
      <c r="C219" s="2" t="s">
        <v>88</v>
      </c>
      <c r="D219" s="2" t="s">
        <v>1070</v>
      </c>
      <c r="E219" s="2" t="s">
        <v>1071</v>
      </c>
      <c r="F219" s="2" t="s">
        <v>1107</v>
      </c>
      <c r="G219" s="2" t="s">
        <v>1107</v>
      </c>
      <c r="H219" s="2" t="s">
        <v>1107</v>
      </c>
      <c r="I219" s="2" t="s">
        <v>1108</v>
      </c>
      <c r="J219" s="2" t="s">
        <v>661</v>
      </c>
      <c r="K219" s="2" t="s">
        <v>395</v>
      </c>
      <c r="L219" s="3">
        <v>261</v>
      </c>
      <c r="M219" s="3">
        <v>274.05</v>
      </c>
      <c r="N219" s="3">
        <v>549</v>
      </c>
      <c r="O219" s="2" t="s">
        <v>95</v>
      </c>
      <c r="P219" s="2" t="s">
        <v>714</v>
      </c>
      <c r="Q219" s="2" t="s">
        <v>97</v>
      </c>
      <c r="R219" s="2" t="s">
        <v>98</v>
      </c>
      <c r="S219" s="2" t="s">
        <v>1109</v>
      </c>
      <c r="T219" s="2" t="s">
        <v>98</v>
      </c>
      <c r="U219" s="2" t="s">
        <v>98</v>
      </c>
      <c r="V219" s="2" t="s">
        <v>208</v>
      </c>
      <c r="W219" s="2" t="s">
        <v>384</v>
      </c>
      <c r="X219" s="2" t="s">
        <v>98</v>
      </c>
      <c r="Y219" s="2" t="s">
        <v>1110</v>
      </c>
      <c r="Z219" s="4">
        <v>58</v>
      </c>
      <c r="AA219" s="4">
        <f>=ROUNDDOWN(32.2222222222222,0)</f>
      </c>
      <c r="AB219" s="5">
        <v>1.8</v>
      </c>
      <c r="AC219" s="2" t="s">
        <v>98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/>
      <c r="BJ219" s="4">
        <v>3</v>
      </c>
      <c r="BK219" s="8">
        <v>821.86</v>
      </c>
      <c r="BL219" s="2" t="s">
        <v>790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95</v>
      </c>
      <c r="BW219" s="2" t="s">
        <v>168</v>
      </c>
      <c r="BX219" s="2" t="s">
        <v>779</v>
      </c>
      <c r="BY219" s="2" t="s">
        <v>109</v>
      </c>
      <c r="BZ219" s="2" t="s">
        <v>98</v>
      </c>
    </row>
    <row r="220">
      <c r="A220" s="2" t="s">
        <v>1111</v>
      </c>
      <c r="B220" s="2" t="s">
        <v>996</v>
      </c>
      <c r="C220" s="2" t="s">
        <v>88</v>
      </c>
      <c r="D220" s="2" t="s">
        <v>1070</v>
      </c>
      <c r="E220" s="2" t="s">
        <v>1071</v>
      </c>
      <c r="F220" s="2" t="s">
        <v>1107</v>
      </c>
      <c r="G220" s="2" t="s">
        <v>1107</v>
      </c>
      <c r="H220" s="2" t="s">
        <v>1107</v>
      </c>
      <c r="I220" s="2" t="s">
        <v>1108</v>
      </c>
      <c r="J220" s="2" t="s">
        <v>661</v>
      </c>
      <c r="K220" s="2" t="s">
        <v>1112</v>
      </c>
      <c r="L220" s="3">
        <v>261</v>
      </c>
      <c r="M220" s="3">
        <v>274.05</v>
      </c>
      <c r="N220" s="3">
        <v>549</v>
      </c>
      <c r="O220" s="2" t="s">
        <v>95</v>
      </c>
      <c r="P220" s="2" t="s">
        <v>140</v>
      </c>
      <c r="Q220" s="2" t="s">
        <v>97</v>
      </c>
      <c r="R220" s="2" t="s">
        <v>98</v>
      </c>
      <c r="S220" s="2" t="s">
        <v>1113</v>
      </c>
      <c r="T220" s="2" t="s">
        <v>98</v>
      </c>
      <c r="U220" s="2" t="s">
        <v>98</v>
      </c>
      <c r="V220" s="2" t="s">
        <v>208</v>
      </c>
      <c r="W220" s="2" t="s">
        <v>384</v>
      </c>
      <c r="X220" s="2" t="s">
        <v>98</v>
      </c>
      <c r="Y220" s="2" t="s">
        <v>354</v>
      </c>
      <c r="Z220" s="4">
        <v>170</v>
      </c>
      <c r="AA220" s="4">
        <f>=ROUNDDOWN(85,0)</f>
      </c>
      <c r="AB220" s="5">
        <v>2</v>
      </c>
      <c r="AC220" s="2" t="s">
        <v>178</v>
      </c>
      <c r="AD220" s="4">
        <v>58</v>
      </c>
      <c r="AE220" s="4">
        <v>58</v>
      </c>
      <c r="AF220" s="6">
        <v>69</v>
      </c>
      <c r="AG220" s="6">
        <v>52</v>
      </c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/>
      <c r="BJ220" s="4">
        <v>4</v>
      </c>
      <c r="BK220" s="8">
        <v>1232</v>
      </c>
      <c r="BL220" s="2" t="s">
        <v>1114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95</v>
      </c>
      <c r="BW220" s="2" t="s">
        <v>168</v>
      </c>
      <c r="BX220" s="2" t="s">
        <v>1115</v>
      </c>
      <c r="BY220" s="2" t="s">
        <v>109</v>
      </c>
      <c r="BZ220" s="2" t="s">
        <v>98</v>
      </c>
    </row>
    <row r="221">
      <c r="A221" s="2" t="s">
        <v>1116</v>
      </c>
      <c r="B221" s="2" t="s">
        <v>996</v>
      </c>
      <c r="C221" s="2" t="s">
        <v>88</v>
      </c>
      <c r="D221" s="2" t="s">
        <v>1070</v>
      </c>
      <c r="E221" s="2" t="s">
        <v>1071</v>
      </c>
      <c r="F221" s="2" t="s">
        <v>1107</v>
      </c>
      <c r="G221" s="2" t="s">
        <v>1107</v>
      </c>
      <c r="H221" s="2" t="s">
        <v>1107</v>
      </c>
      <c r="I221" s="2" t="s">
        <v>1108</v>
      </c>
      <c r="J221" s="2" t="s">
        <v>661</v>
      </c>
      <c r="K221" s="2" t="s">
        <v>1032</v>
      </c>
      <c r="L221" s="3">
        <v>261</v>
      </c>
      <c r="M221" s="3">
        <v>274.05</v>
      </c>
      <c r="N221" s="3">
        <v>549</v>
      </c>
      <c r="O221" s="2" t="s">
        <v>95</v>
      </c>
      <c r="P221" s="2" t="s">
        <v>140</v>
      </c>
      <c r="Q221" s="2" t="s">
        <v>97</v>
      </c>
      <c r="R221" s="2" t="s">
        <v>98</v>
      </c>
      <c r="S221" s="2" t="s">
        <v>1117</v>
      </c>
      <c r="T221" s="2" t="s">
        <v>98</v>
      </c>
      <c r="U221" s="2" t="s">
        <v>98</v>
      </c>
      <c r="V221" s="2" t="s">
        <v>208</v>
      </c>
      <c r="W221" s="2" t="s">
        <v>384</v>
      </c>
      <c r="X221" s="2" t="s">
        <v>98</v>
      </c>
      <c r="Y221" s="2" t="s">
        <v>542</v>
      </c>
      <c r="Z221" s="4">
        <v>44</v>
      </c>
      <c r="AA221" s="4">
        <f>=ROUNDDOWN(11,0)</f>
      </c>
      <c r="AB221" s="5">
        <v>4</v>
      </c>
      <c r="AC221" s="2" t="s">
        <v>1018</v>
      </c>
      <c r="AD221" s="4">
        <v>50</v>
      </c>
      <c r="AE221" s="4">
        <v>99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/>
      <c r="BJ221" s="4">
        <v>12</v>
      </c>
      <c r="BK221" s="8">
        <v>2961.44</v>
      </c>
      <c r="BL221" s="2" t="s">
        <v>1118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95</v>
      </c>
      <c r="BW221" s="2" t="s">
        <v>168</v>
      </c>
      <c r="BX221" s="2" t="s">
        <v>1119</v>
      </c>
      <c r="BY221" s="2" t="s">
        <v>109</v>
      </c>
      <c r="BZ221" s="2" t="s">
        <v>98</v>
      </c>
    </row>
    <row r="222">
      <c r="A222" s="2" t="s">
        <v>1120</v>
      </c>
      <c r="B222" s="2" t="s">
        <v>996</v>
      </c>
      <c r="C222" s="2" t="s">
        <v>88</v>
      </c>
      <c r="D222" s="2" t="s">
        <v>1070</v>
      </c>
      <c r="E222" s="2" t="s">
        <v>1071</v>
      </c>
      <c r="F222" s="2" t="s">
        <v>1121</v>
      </c>
      <c r="G222" s="2" t="s">
        <v>1121</v>
      </c>
      <c r="H222" s="2" t="s">
        <v>98</v>
      </c>
      <c r="I222" s="2" t="s">
        <v>1122</v>
      </c>
      <c r="J222" s="2" t="s">
        <v>661</v>
      </c>
      <c r="K222" s="2" t="s">
        <v>1123</v>
      </c>
      <c r="L222" s="3">
        <v>261.25</v>
      </c>
      <c r="M222" s="3">
        <v>274.31</v>
      </c>
      <c r="N222" s="3">
        <v>549</v>
      </c>
      <c r="O222" s="2" t="s">
        <v>95</v>
      </c>
      <c r="P222" s="2" t="s">
        <v>140</v>
      </c>
      <c r="Q222" s="2" t="s">
        <v>97</v>
      </c>
      <c r="R222" s="2" t="s">
        <v>98</v>
      </c>
      <c r="S222" s="2" t="s">
        <v>1124</v>
      </c>
      <c r="T222" s="2" t="s">
        <v>98</v>
      </c>
      <c r="U222" s="2" t="s">
        <v>98</v>
      </c>
      <c r="V222" s="2" t="s">
        <v>208</v>
      </c>
      <c r="W222" s="2" t="s">
        <v>190</v>
      </c>
      <c r="X222" s="2" t="s">
        <v>98</v>
      </c>
      <c r="Y222" s="2" t="s">
        <v>354</v>
      </c>
      <c r="Z222" s="4">
        <v>95</v>
      </c>
      <c r="AA222" s="4">
        <f>=ROUNDDOWN(13.5714285714286,0)</f>
      </c>
      <c r="AB222" s="5">
        <v>7</v>
      </c>
      <c r="AC222" s="2" t="s">
        <v>1125</v>
      </c>
      <c r="AD222" s="4">
        <v>84</v>
      </c>
      <c r="AE222" s="4">
        <v>84</v>
      </c>
      <c r="AF222" s="6">
        <v>69</v>
      </c>
      <c r="AG222" s="6">
        <v>52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22</v>
      </c>
      <c r="BK222" s="8">
        <v>5986.97</v>
      </c>
      <c r="BL222" s="2" t="s">
        <v>1126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95</v>
      </c>
      <c r="BW222" s="2" t="s">
        <v>1127</v>
      </c>
      <c r="BX222" s="2" t="s">
        <v>868</v>
      </c>
      <c r="BY222" s="2" t="s">
        <v>109</v>
      </c>
      <c r="BZ222" s="2" t="s">
        <v>98</v>
      </c>
    </row>
    <row r="223">
      <c r="A223" s="2" t="s">
        <v>1128</v>
      </c>
      <c r="B223" s="2" t="s">
        <v>996</v>
      </c>
      <c r="C223" s="2" t="s">
        <v>88</v>
      </c>
      <c r="D223" s="2" t="s">
        <v>1070</v>
      </c>
      <c r="E223" s="2" t="s">
        <v>1071</v>
      </c>
      <c r="F223" s="2" t="s">
        <v>1129</v>
      </c>
      <c r="G223" s="2" t="s">
        <v>1129</v>
      </c>
      <c r="H223" s="2" t="s">
        <v>1129</v>
      </c>
      <c r="I223" s="2" t="s">
        <v>1108</v>
      </c>
      <c r="J223" s="2" t="s">
        <v>661</v>
      </c>
      <c r="K223" s="2" t="s">
        <v>1130</v>
      </c>
      <c r="L223" s="3">
        <v>172</v>
      </c>
      <c r="M223" s="3">
        <v>180.6</v>
      </c>
      <c r="N223" s="3">
        <v>359</v>
      </c>
      <c r="O223" s="2" t="s">
        <v>95</v>
      </c>
      <c r="P223" s="2" t="s">
        <v>140</v>
      </c>
      <c r="Q223" s="2" t="s">
        <v>97</v>
      </c>
      <c r="R223" s="2" t="s">
        <v>98</v>
      </c>
      <c r="S223" s="2" t="s">
        <v>98</v>
      </c>
      <c r="T223" s="2" t="s">
        <v>98</v>
      </c>
      <c r="U223" s="2" t="s">
        <v>590</v>
      </c>
      <c r="V223" s="2" t="s">
        <v>208</v>
      </c>
      <c r="W223" s="2" t="s">
        <v>190</v>
      </c>
      <c r="X223" s="2" t="s">
        <v>98</v>
      </c>
      <c r="Y223" s="2" t="s">
        <v>1131</v>
      </c>
      <c r="Z223" s="4">
        <v>205</v>
      </c>
      <c r="AA223" s="4">
        <f>=ROUNDDOWN(20.5,0)</f>
      </c>
      <c r="AB223" s="5">
        <v>10</v>
      </c>
      <c r="AC223" s="2" t="s">
        <v>1095</v>
      </c>
      <c r="AD223" s="4">
        <v>40</v>
      </c>
      <c r="AE223" s="4">
        <v>199</v>
      </c>
      <c r="AF223" s="6">
        <v>69</v>
      </c>
      <c r="AG223" s="6">
        <v>52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37</v>
      </c>
      <c r="BK223" s="8">
        <v>6744.18</v>
      </c>
      <c r="BL223" s="2" t="s">
        <v>1132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95</v>
      </c>
      <c r="BW223" s="2" t="s">
        <v>168</v>
      </c>
      <c r="BX223" s="2" t="s">
        <v>1133</v>
      </c>
      <c r="BY223" s="2" t="s">
        <v>109</v>
      </c>
      <c r="BZ223" s="2" t="s">
        <v>98</v>
      </c>
    </row>
    <row r="224">
      <c r="A224" s="2" t="s">
        <v>1134</v>
      </c>
      <c r="B224" s="2" t="s">
        <v>996</v>
      </c>
      <c r="C224" s="2" t="s">
        <v>88</v>
      </c>
      <c r="D224" s="2" t="s">
        <v>1070</v>
      </c>
      <c r="E224" s="2" t="s">
        <v>1071</v>
      </c>
      <c r="F224" s="2" t="s">
        <v>1135</v>
      </c>
      <c r="G224" s="2" t="s">
        <v>1135</v>
      </c>
      <c r="H224" s="2" t="s">
        <v>1135</v>
      </c>
      <c r="I224" s="2" t="s">
        <v>1108</v>
      </c>
      <c r="J224" s="2" t="s">
        <v>661</v>
      </c>
      <c r="K224" s="2" t="s">
        <v>631</v>
      </c>
      <c r="L224" s="3">
        <v>251.75</v>
      </c>
      <c r="M224" s="3">
        <v>264.34</v>
      </c>
      <c r="N224" s="3">
        <v>529</v>
      </c>
      <c r="O224" s="2" t="s">
        <v>95</v>
      </c>
      <c r="P224" s="2" t="s">
        <v>128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590</v>
      </c>
      <c r="V224" s="2" t="s">
        <v>208</v>
      </c>
      <c r="W224" s="2" t="s">
        <v>384</v>
      </c>
      <c r="X224" s="2" t="s">
        <v>98</v>
      </c>
      <c r="Y224" s="2" t="s">
        <v>1136</v>
      </c>
      <c r="Z224" s="4">
        <v>89</v>
      </c>
      <c r="AA224" s="4">
        <f>=ROUNDDOWN(89,0)</f>
      </c>
      <c r="AB224" s="5">
        <v>1</v>
      </c>
      <c r="AC224" s="2" t="s">
        <v>98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98</v>
      </c>
      <c r="BM224" s="7"/>
      <c r="BN224" s="7"/>
      <c r="BO224" s="4"/>
      <c r="BP224" s="8"/>
      <c r="BQ224" s="4"/>
      <c r="BR224" s="8"/>
      <c r="BS224" s="7"/>
      <c r="BT224" s="7"/>
      <c r="BU224" s="2" t="s">
        <v>106</v>
      </c>
      <c r="BV224" s="2" t="s">
        <v>95</v>
      </c>
      <c r="BW224" s="2" t="s">
        <v>168</v>
      </c>
      <c r="BX224" s="2" t="s">
        <v>117</v>
      </c>
      <c r="BY224" s="2" t="s">
        <v>109</v>
      </c>
      <c r="BZ224" s="2" t="s">
        <v>98</v>
      </c>
    </row>
    <row r="225">
      <c r="A225" s="2" t="s">
        <v>1137</v>
      </c>
      <c r="B225" s="2" t="s">
        <v>996</v>
      </c>
      <c r="C225" s="2" t="s">
        <v>88</v>
      </c>
      <c r="D225" s="2" t="s">
        <v>1070</v>
      </c>
      <c r="E225" s="2" t="s">
        <v>1071</v>
      </c>
      <c r="F225" s="2" t="s">
        <v>1138</v>
      </c>
      <c r="G225" s="2" t="s">
        <v>1138</v>
      </c>
      <c r="H225" s="2" t="s">
        <v>1138</v>
      </c>
      <c r="I225" s="2" t="s">
        <v>1108</v>
      </c>
      <c r="J225" s="2" t="s">
        <v>661</v>
      </c>
      <c r="K225" s="2" t="s">
        <v>631</v>
      </c>
      <c r="L225" s="3">
        <v>209.95</v>
      </c>
      <c r="M225" s="3">
        <v>220.45</v>
      </c>
      <c r="N225" s="3">
        <v>439</v>
      </c>
      <c r="O225" s="2" t="s">
        <v>95</v>
      </c>
      <c r="P225" s="2" t="s">
        <v>128</v>
      </c>
      <c r="Q225" s="2" t="s">
        <v>97</v>
      </c>
      <c r="R225" s="2" t="s">
        <v>98</v>
      </c>
      <c r="S225" s="2" t="s">
        <v>1139</v>
      </c>
      <c r="T225" s="2" t="s">
        <v>98</v>
      </c>
      <c r="U225" s="2" t="s">
        <v>590</v>
      </c>
      <c r="V225" s="2" t="s">
        <v>208</v>
      </c>
      <c r="W225" s="2" t="s">
        <v>190</v>
      </c>
      <c r="X225" s="2" t="s">
        <v>98</v>
      </c>
      <c r="Y225" s="2" t="s">
        <v>354</v>
      </c>
      <c r="Z225" s="4">
        <v>2</v>
      </c>
      <c r="AA225" s="4">
        <f>=ROUNDDOWN(0.434782608695652,0)</f>
      </c>
      <c r="AB225" s="5">
        <v>4.6</v>
      </c>
      <c r="AC225" s="2" t="s">
        <v>98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98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95</v>
      </c>
      <c r="BW225" s="2" t="s">
        <v>168</v>
      </c>
      <c r="BX225" s="2" t="s">
        <v>607</v>
      </c>
      <c r="BY225" s="2" t="s">
        <v>109</v>
      </c>
      <c r="BZ225" s="2" t="s">
        <v>98</v>
      </c>
    </row>
    <row r="226">
      <c r="A226" s="2" t="s">
        <v>1140</v>
      </c>
      <c r="B226" s="2" t="s">
        <v>996</v>
      </c>
      <c r="C226" s="2" t="s">
        <v>88</v>
      </c>
      <c r="D226" s="2" t="s">
        <v>1070</v>
      </c>
      <c r="E226" s="2" t="s">
        <v>1071</v>
      </c>
      <c r="F226" s="2" t="s">
        <v>1141</v>
      </c>
      <c r="G226" s="2" t="s">
        <v>1141</v>
      </c>
      <c r="H226" s="2" t="s">
        <v>1141</v>
      </c>
      <c r="I226" s="2" t="s">
        <v>1142</v>
      </c>
      <c r="J226" s="2" t="s">
        <v>661</v>
      </c>
      <c r="K226" s="2" t="s">
        <v>395</v>
      </c>
      <c r="L226" s="3">
        <v>180.5</v>
      </c>
      <c r="M226" s="3">
        <v>189.52</v>
      </c>
      <c r="N226" s="3">
        <v>379</v>
      </c>
      <c r="O226" s="2" t="s">
        <v>95</v>
      </c>
      <c r="P226" s="2" t="s">
        <v>153</v>
      </c>
      <c r="Q226" s="2" t="s">
        <v>97</v>
      </c>
      <c r="R226" s="2" t="s">
        <v>98</v>
      </c>
      <c r="S226" s="2" t="s">
        <v>1143</v>
      </c>
      <c r="T226" s="2" t="s">
        <v>98</v>
      </c>
      <c r="U226" s="2" t="s">
        <v>98</v>
      </c>
      <c r="V226" s="2" t="s">
        <v>208</v>
      </c>
      <c r="W226" s="2" t="s">
        <v>384</v>
      </c>
      <c r="X226" s="2" t="s">
        <v>98</v>
      </c>
      <c r="Y226" s="2" t="s">
        <v>1144</v>
      </c>
      <c r="Z226" s="4">
        <v>1005</v>
      </c>
      <c r="AA226" s="4">
        <f>=ROUNDDOWN(83.75,0)</f>
      </c>
      <c r="AB226" s="5">
        <v>12</v>
      </c>
      <c r="AC226" s="2" t="s">
        <v>1145</v>
      </c>
      <c r="AD226" s="4">
        <v>34</v>
      </c>
      <c r="AE226" s="4">
        <v>278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1146</v>
      </c>
      <c r="AM226" s="4">
        <v>111</v>
      </c>
      <c r="AN226" s="4">
        <v>389</v>
      </c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>
        <v>39</v>
      </c>
      <c r="BK226" s="8">
        <v>6497.1</v>
      </c>
      <c r="BL226" s="2" t="s">
        <v>1147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95</v>
      </c>
      <c r="BW226" s="2" t="s">
        <v>168</v>
      </c>
      <c r="BX226" s="2" t="s">
        <v>1148</v>
      </c>
      <c r="BY226" s="2" t="s">
        <v>109</v>
      </c>
      <c r="BZ226" s="2" t="s">
        <v>98</v>
      </c>
    </row>
    <row r="227">
      <c r="A227" s="2" t="s">
        <v>1149</v>
      </c>
      <c r="B227" s="2" t="s">
        <v>996</v>
      </c>
      <c r="C227" s="2" t="s">
        <v>88</v>
      </c>
      <c r="D227" s="2" t="s">
        <v>1070</v>
      </c>
      <c r="E227" s="2" t="s">
        <v>1071</v>
      </c>
      <c r="F227" s="2" t="s">
        <v>1141</v>
      </c>
      <c r="G227" s="2" t="s">
        <v>1141</v>
      </c>
      <c r="H227" s="2" t="s">
        <v>1141</v>
      </c>
      <c r="I227" s="2" t="s">
        <v>1142</v>
      </c>
      <c r="J227" s="2" t="s">
        <v>661</v>
      </c>
      <c r="K227" s="2" t="s">
        <v>1150</v>
      </c>
      <c r="L227" s="3">
        <v>180.5</v>
      </c>
      <c r="M227" s="3">
        <v>189.52</v>
      </c>
      <c r="N227" s="3">
        <v>379</v>
      </c>
      <c r="O227" s="2" t="s">
        <v>95</v>
      </c>
      <c r="P227" s="2" t="s">
        <v>140</v>
      </c>
      <c r="Q227" s="2" t="s">
        <v>97</v>
      </c>
      <c r="R227" s="2" t="s">
        <v>98</v>
      </c>
      <c r="S227" s="2" t="s">
        <v>98</v>
      </c>
      <c r="T227" s="2" t="s">
        <v>98</v>
      </c>
      <c r="U227" s="2" t="s">
        <v>590</v>
      </c>
      <c r="V227" s="2" t="s">
        <v>208</v>
      </c>
      <c r="W227" s="2" t="s">
        <v>384</v>
      </c>
      <c r="X227" s="2" t="s">
        <v>98</v>
      </c>
      <c r="Y227" s="2" t="s">
        <v>1151</v>
      </c>
      <c r="Z227" s="4">
        <v>317</v>
      </c>
      <c r="AA227" s="4">
        <f>=ROUNDDOWN(88.0555555555555,0)</f>
      </c>
      <c r="AB227" s="5">
        <v>3.6</v>
      </c>
      <c r="AC227" s="2" t="s">
        <v>1152</v>
      </c>
      <c r="AD227" s="4">
        <v>50</v>
      </c>
      <c r="AE227" s="4">
        <v>90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1146</v>
      </c>
      <c r="AM227" s="4">
        <v>50</v>
      </c>
      <c r="AN227" s="4">
        <v>50</v>
      </c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>
        <v>37</v>
      </c>
      <c r="BK227" s="8">
        <v>6664.52</v>
      </c>
      <c r="BL227" s="2" t="s">
        <v>1153</v>
      </c>
      <c r="BM227" s="7"/>
      <c r="BN227" s="7"/>
      <c r="BO227" s="4"/>
      <c r="BP227" s="8"/>
      <c r="BQ227" s="4"/>
      <c r="BR227" s="8"/>
      <c r="BS227" s="7"/>
      <c r="BT227" s="7"/>
      <c r="BU227" s="2" t="s">
        <v>106</v>
      </c>
      <c r="BV227" s="2" t="s">
        <v>95</v>
      </c>
      <c r="BW227" s="2" t="s">
        <v>1154</v>
      </c>
      <c r="BX227" s="2" t="s">
        <v>1155</v>
      </c>
      <c r="BY227" s="2" t="s">
        <v>109</v>
      </c>
      <c r="BZ227" s="2" t="s">
        <v>98</v>
      </c>
    </row>
    <row r="228">
      <c r="A228" s="2" t="s">
        <v>1156</v>
      </c>
      <c r="B228" s="2" t="s">
        <v>996</v>
      </c>
      <c r="C228" s="2" t="s">
        <v>88</v>
      </c>
      <c r="D228" s="2" t="s">
        <v>1070</v>
      </c>
      <c r="E228" s="2" t="s">
        <v>1071</v>
      </c>
      <c r="F228" s="2" t="s">
        <v>1141</v>
      </c>
      <c r="G228" s="2" t="s">
        <v>1141</v>
      </c>
      <c r="H228" s="2" t="s">
        <v>1141</v>
      </c>
      <c r="I228" s="2" t="s">
        <v>1142</v>
      </c>
      <c r="J228" s="2" t="s">
        <v>661</v>
      </c>
      <c r="K228" s="2" t="s">
        <v>908</v>
      </c>
      <c r="L228" s="3">
        <v>180.5</v>
      </c>
      <c r="M228" s="3">
        <v>189.52</v>
      </c>
      <c r="N228" s="3">
        <v>379</v>
      </c>
      <c r="O228" s="2" t="s">
        <v>95</v>
      </c>
      <c r="P228" s="2" t="s">
        <v>140</v>
      </c>
      <c r="Q228" s="2" t="s">
        <v>97</v>
      </c>
      <c r="R228" s="2" t="s">
        <v>98</v>
      </c>
      <c r="S228" s="2" t="s">
        <v>98</v>
      </c>
      <c r="T228" s="2" t="s">
        <v>98</v>
      </c>
      <c r="U228" s="2" t="s">
        <v>590</v>
      </c>
      <c r="V228" s="2" t="s">
        <v>208</v>
      </c>
      <c r="W228" s="2" t="s">
        <v>384</v>
      </c>
      <c r="X228" s="2" t="s">
        <v>98</v>
      </c>
      <c r="Y228" s="2" t="s">
        <v>1157</v>
      </c>
      <c r="Z228" s="4">
        <v>347</v>
      </c>
      <c r="AA228" s="4">
        <f>=ROUNDDOWN(123.928571428571,0)</f>
      </c>
      <c r="AB228" s="5">
        <v>2.8</v>
      </c>
      <c r="AC228" s="2" t="s">
        <v>1152</v>
      </c>
      <c r="AD228" s="4">
        <v>47</v>
      </c>
      <c r="AE228" s="4">
        <v>47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1146</v>
      </c>
      <c r="AM228" s="4">
        <v>64</v>
      </c>
      <c r="AN228" s="4">
        <v>121</v>
      </c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>
        <v>15</v>
      </c>
      <c r="BK228" s="8">
        <v>2281.82</v>
      </c>
      <c r="BL228" s="2" t="s">
        <v>1158</v>
      </c>
      <c r="BM228" s="7"/>
      <c r="BN228" s="7"/>
      <c r="BO228" s="4"/>
      <c r="BP228" s="8"/>
      <c r="BQ228" s="4"/>
      <c r="BR228" s="8"/>
      <c r="BS228" s="7"/>
      <c r="BT228" s="7"/>
      <c r="BU228" s="2" t="s">
        <v>106</v>
      </c>
      <c r="BV228" s="2" t="s">
        <v>95</v>
      </c>
      <c r="BW228" s="2" t="s">
        <v>168</v>
      </c>
      <c r="BX228" s="2" t="s">
        <v>1159</v>
      </c>
      <c r="BY228" s="2" t="s">
        <v>109</v>
      </c>
      <c r="BZ228" s="2" t="s">
        <v>98</v>
      </c>
    </row>
    <row r="229">
      <c r="A229" s="2" t="s">
        <v>1160</v>
      </c>
      <c r="B229" s="2" t="s">
        <v>996</v>
      </c>
      <c r="C229" s="2" t="s">
        <v>88</v>
      </c>
      <c r="D229" s="2" t="s">
        <v>1070</v>
      </c>
      <c r="E229" s="2" t="s">
        <v>1071</v>
      </c>
      <c r="F229" s="2" t="s">
        <v>1141</v>
      </c>
      <c r="G229" s="2" t="s">
        <v>1141</v>
      </c>
      <c r="H229" s="2" t="s">
        <v>1141</v>
      </c>
      <c r="I229" s="2" t="s">
        <v>1142</v>
      </c>
      <c r="J229" s="2" t="s">
        <v>661</v>
      </c>
      <c r="K229" s="2" t="s">
        <v>1112</v>
      </c>
      <c r="L229" s="3">
        <v>180.5</v>
      </c>
      <c r="M229" s="3">
        <v>189.52</v>
      </c>
      <c r="N229" s="3">
        <v>379</v>
      </c>
      <c r="O229" s="2" t="s">
        <v>95</v>
      </c>
      <c r="P229" s="2" t="s">
        <v>140</v>
      </c>
      <c r="Q229" s="2" t="s">
        <v>97</v>
      </c>
      <c r="R229" s="2" t="s">
        <v>98</v>
      </c>
      <c r="S229" s="2" t="s">
        <v>98</v>
      </c>
      <c r="T229" s="2" t="s">
        <v>98</v>
      </c>
      <c r="U229" s="2" t="s">
        <v>590</v>
      </c>
      <c r="V229" s="2" t="s">
        <v>208</v>
      </c>
      <c r="W229" s="2" t="s">
        <v>384</v>
      </c>
      <c r="X229" s="2" t="s">
        <v>98</v>
      </c>
      <c r="Y229" s="2" t="s">
        <v>1161</v>
      </c>
      <c r="Z229" s="4">
        <v>368</v>
      </c>
      <c r="AA229" s="4">
        <f>=ROUNDDOWN(184,0)</f>
      </c>
      <c r="AB229" s="5">
        <v>2</v>
      </c>
      <c r="AC229" s="2" t="s">
        <v>1152</v>
      </c>
      <c r="AD229" s="4">
        <v>40</v>
      </c>
      <c r="AE229" s="4">
        <v>90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>
        <v>2</v>
      </c>
      <c r="AL229" s="2" t="s">
        <v>1146</v>
      </c>
      <c r="AM229" s="4">
        <v>60</v>
      </c>
      <c r="AN229" s="4">
        <v>110</v>
      </c>
      <c r="AO229" s="7">
        <v>1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>
        <v>10</v>
      </c>
      <c r="BK229" s="8">
        <v>1692.59</v>
      </c>
      <c r="BL229" s="2" t="s">
        <v>1162</v>
      </c>
      <c r="BM229" s="7"/>
      <c r="BN229" s="7"/>
      <c r="BO229" s="4"/>
      <c r="BP229" s="8"/>
      <c r="BQ229" s="4"/>
      <c r="BR229" s="8"/>
      <c r="BS229" s="7"/>
      <c r="BT229" s="7"/>
      <c r="BU229" s="2" t="s">
        <v>106</v>
      </c>
      <c r="BV229" s="2" t="s">
        <v>95</v>
      </c>
      <c r="BW229" s="2" t="s">
        <v>471</v>
      </c>
      <c r="BX229" s="2" t="s">
        <v>1163</v>
      </c>
      <c r="BY229" s="2" t="s">
        <v>109</v>
      </c>
      <c r="BZ229" s="2" t="s">
        <v>98</v>
      </c>
    </row>
    <row r="230">
      <c r="A230" s="2" t="s">
        <v>1164</v>
      </c>
      <c r="B230" s="2" t="s">
        <v>996</v>
      </c>
      <c r="C230" s="2" t="s">
        <v>88</v>
      </c>
      <c r="D230" s="2" t="s">
        <v>1070</v>
      </c>
      <c r="E230" s="2" t="s">
        <v>1071</v>
      </c>
      <c r="F230" s="2" t="s">
        <v>1141</v>
      </c>
      <c r="G230" s="2" t="s">
        <v>1141</v>
      </c>
      <c r="H230" s="2" t="s">
        <v>1141</v>
      </c>
      <c r="I230" s="2" t="s">
        <v>1142</v>
      </c>
      <c r="J230" s="2" t="s">
        <v>661</v>
      </c>
      <c r="K230" s="2" t="s">
        <v>1165</v>
      </c>
      <c r="L230" s="3">
        <v>180.5</v>
      </c>
      <c r="M230" s="3">
        <v>189.52</v>
      </c>
      <c r="N230" s="3">
        <v>379</v>
      </c>
      <c r="O230" s="2" t="s">
        <v>95</v>
      </c>
      <c r="P230" s="2" t="s">
        <v>140</v>
      </c>
      <c r="Q230" s="2" t="s">
        <v>97</v>
      </c>
      <c r="R230" s="2" t="s">
        <v>98</v>
      </c>
      <c r="S230" s="2" t="s">
        <v>1166</v>
      </c>
      <c r="T230" s="2" t="s">
        <v>1167</v>
      </c>
      <c r="U230" s="2" t="s">
        <v>98</v>
      </c>
      <c r="V230" s="2" t="s">
        <v>208</v>
      </c>
      <c r="W230" s="2" t="s">
        <v>384</v>
      </c>
      <c r="X230" s="2" t="s">
        <v>98</v>
      </c>
      <c r="Y230" s="2" t="s">
        <v>354</v>
      </c>
      <c r="Z230" s="4">
        <v>172</v>
      </c>
      <c r="AA230" s="4">
        <f>=ROUNDDOWN(24.5714285714286,0)</f>
      </c>
      <c r="AB230" s="5">
        <v>7</v>
      </c>
      <c r="AC230" s="2" t="s">
        <v>1152</v>
      </c>
      <c r="AD230" s="4">
        <v>100</v>
      </c>
      <c r="AE230" s="4">
        <v>200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>
        <v>13</v>
      </c>
      <c r="BK230" s="8">
        <v>2190.17</v>
      </c>
      <c r="BL230" s="2" t="s">
        <v>1158</v>
      </c>
      <c r="BM230" s="7"/>
      <c r="BN230" s="7"/>
      <c r="BO230" s="4"/>
      <c r="BP230" s="8"/>
      <c r="BQ230" s="4"/>
      <c r="BR230" s="8"/>
      <c r="BS230" s="7"/>
      <c r="BT230" s="7"/>
      <c r="BU230" s="2" t="s">
        <v>106</v>
      </c>
      <c r="BV230" s="2" t="s">
        <v>95</v>
      </c>
      <c r="BW230" s="2" t="s">
        <v>1168</v>
      </c>
      <c r="BX230" s="2" t="s">
        <v>1169</v>
      </c>
      <c r="BY230" s="2" t="s">
        <v>109</v>
      </c>
      <c r="BZ230" s="2" t="s">
        <v>98</v>
      </c>
    </row>
    <row r="231">
      <c r="A231" s="2" t="s">
        <v>1170</v>
      </c>
      <c r="B231" s="2" t="s">
        <v>996</v>
      </c>
      <c r="C231" s="2" t="s">
        <v>88</v>
      </c>
      <c r="D231" s="2" t="s">
        <v>1070</v>
      </c>
      <c r="E231" s="2" t="s">
        <v>1071</v>
      </c>
      <c r="F231" s="2" t="s">
        <v>1141</v>
      </c>
      <c r="G231" s="2" t="s">
        <v>1141</v>
      </c>
      <c r="H231" s="2" t="s">
        <v>1141</v>
      </c>
      <c r="I231" s="2" t="s">
        <v>1142</v>
      </c>
      <c r="J231" s="2" t="s">
        <v>661</v>
      </c>
      <c r="K231" s="2" t="s">
        <v>1099</v>
      </c>
      <c r="L231" s="3">
        <v>180.5</v>
      </c>
      <c r="M231" s="3">
        <v>189.52</v>
      </c>
      <c r="N231" s="3">
        <v>379</v>
      </c>
      <c r="O231" s="2" t="s">
        <v>95</v>
      </c>
      <c r="P231" s="2" t="s">
        <v>96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590</v>
      </c>
      <c r="V231" s="2" t="s">
        <v>208</v>
      </c>
      <c r="W231" s="2" t="s">
        <v>384</v>
      </c>
      <c r="X231" s="2" t="s">
        <v>98</v>
      </c>
      <c r="Y231" s="2" t="s">
        <v>1171</v>
      </c>
      <c r="Z231" s="4">
        <v>294</v>
      </c>
      <c r="AA231" s="4">
        <f>=ROUNDDOWN(15.2331606217617,0)</f>
      </c>
      <c r="AB231" s="5">
        <v>19.3</v>
      </c>
      <c r="AC231" s="2" t="s">
        <v>1172</v>
      </c>
      <c r="AD231" s="4">
        <v>54</v>
      </c>
      <c r="AE231" s="4">
        <v>202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1146</v>
      </c>
      <c r="AM231" s="4">
        <v>63</v>
      </c>
      <c r="AN231" s="4">
        <v>200</v>
      </c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11</v>
      </c>
      <c r="BK231" s="8">
        <v>1738.83</v>
      </c>
      <c r="BL231" s="2" t="s">
        <v>1173</v>
      </c>
      <c r="BM231" s="7"/>
      <c r="BN231" s="7"/>
      <c r="BO231" s="4"/>
      <c r="BP231" s="8"/>
      <c r="BQ231" s="4"/>
      <c r="BR231" s="8"/>
      <c r="BS231" s="7"/>
      <c r="BT231" s="7"/>
      <c r="BU231" s="2" t="s">
        <v>106</v>
      </c>
      <c r="BV231" s="2" t="s">
        <v>95</v>
      </c>
      <c r="BW231" s="2" t="s">
        <v>1026</v>
      </c>
      <c r="BX231" s="2" t="s">
        <v>1174</v>
      </c>
      <c r="BY231" s="2" t="s">
        <v>109</v>
      </c>
      <c r="BZ231" s="2" t="s">
        <v>98</v>
      </c>
    </row>
    <row r="232">
      <c r="A232" s="2" t="s">
        <v>1175</v>
      </c>
      <c r="B232" s="2" t="s">
        <v>996</v>
      </c>
      <c r="C232" s="2" t="s">
        <v>88</v>
      </c>
      <c r="D232" s="2" t="s">
        <v>1070</v>
      </c>
      <c r="E232" s="2" t="s">
        <v>1071</v>
      </c>
      <c r="F232" s="2" t="s">
        <v>1176</v>
      </c>
      <c r="G232" s="2" t="s">
        <v>1176</v>
      </c>
      <c r="H232" s="2" t="s">
        <v>1176</v>
      </c>
      <c r="I232" s="2" t="s">
        <v>1177</v>
      </c>
      <c r="J232" s="2" t="s">
        <v>661</v>
      </c>
      <c r="K232" s="2" t="s">
        <v>1178</v>
      </c>
      <c r="L232" s="3">
        <v>161.5</v>
      </c>
      <c r="M232" s="3">
        <v>169.58</v>
      </c>
      <c r="N232" s="3">
        <v>339</v>
      </c>
      <c r="O232" s="2" t="s">
        <v>95</v>
      </c>
      <c r="P232" s="2" t="s">
        <v>140</v>
      </c>
      <c r="Q232" s="2" t="s">
        <v>97</v>
      </c>
      <c r="R232" s="2" t="s">
        <v>98</v>
      </c>
      <c r="S232" s="2" t="s">
        <v>1179</v>
      </c>
      <c r="T232" s="2" t="s">
        <v>98</v>
      </c>
      <c r="U232" s="2" t="s">
        <v>98</v>
      </c>
      <c r="V232" s="2" t="s">
        <v>208</v>
      </c>
      <c r="W232" s="2" t="s">
        <v>384</v>
      </c>
      <c r="X232" s="2" t="s">
        <v>98</v>
      </c>
      <c r="Y232" s="2" t="s">
        <v>542</v>
      </c>
      <c r="Z232" s="4">
        <v>496</v>
      </c>
      <c r="AA232" s="4">
        <f>=ROUNDDOWN(41.3333333333333,0)</f>
      </c>
      <c r="AB232" s="5">
        <v>12</v>
      </c>
      <c r="AC232" s="2" t="s">
        <v>98</v>
      </c>
      <c r="AD232" s="4"/>
      <c r="AE232" s="4"/>
      <c r="AF232" s="6">
        <v>69</v>
      </c>
      <c r="AG232" s="6">
        <v>52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22</v>
      </c>
      <c r="BK232" s="8">
        <v>3406.28</v>
      </c>
      <c r="BL232" s="2" t="s">
        <v>1180</v>
      </c>
      <c r="BM232" s="7"/>
      <c r="BN232" s="7"/>
      <c r="BO232" s="4"/>
      <c r="BP232" s="8"/>
      <c r="BQ232" s="4"/>
      <c r="BR232" s="8"/>
      <c r="BS232" s="7"/>
      <c r="BT232" s="7"/>
      <c r="BU232" s="2" t="s">
        <v>832</v>
      </c>
      <c r="BV232" s="2" t="s">
        <v>95</v>
      </c>
      <c r="BW232" s="2" t="s">
        <v>168</v>
      </c>
      <c r="BX232" s="2" t="s">
        <v>1181</v>
      </c>
      <c r="BY232" s="2" t="s">
        <v>109</v>
      </c>
      <c r="BZ232" s="2" t="s">
        <v>98</v>
      </c>
    </row>
    <row r="233">
      <c r="A233" s="2" t="s">
        <v>1182</v>
      </c>
      <c r="B233" s="2" t="s">
        <v>996</v>
      </c>
      <c r="C233" s="2" t="s">
        <v>88</v>
      </c>
      <c r="D233" s="2" t="s">
        <v>1070</v>
      </c>
      <c r="E233" s="2" t="s">
        <v>1071</v>
      </c>
      <c r="F233" s="2" t="s">
        <v>1176</v>
      </c>
      <c r="G233" s="2" t="s">
        <v>1176</v>
      </c>
      <c r="H233" s="2" t="s">
        <v>1176</v>
      </c>
      <c r="I233" s="2" t="s">
        <v>1177</v>
      </c>
      <c r="J233" s="2" t="s">
        <v>661</v>
      </c>
      <c r="K233" s="2" t="s">
        <v>1112</v>
      </c>
      <c r="L233" s="3">
        <v>161.5</v>
      </c>
      <c r="M233" s="3">
        <v>169.58</v>
      </c>
      <c r="N233" s="3">
        <v>339</v>
      </c>
      <c r="O233" s="2" t="s">
        <v>95</v>
      </c>
      <c r="P233" s="2" t="s">
        <v>140</v>
      </c>
      <c r="Q233" s="2" t="s">
        <v>97</v>
      </c>
      <c r="R233" s="2" t="s">
        <v>98</v>
      </c>
      <c r="S233" s="2" t="s">
        <v>98</v>
      </c>
      <c r="T233" s="2" t="s">
        <v>98</v>
      </c>
      <c r="U233" s="2" t="s">
        <v>590</v>
      </c>
      <c r="V233" s="2" t="s">
        <v>208</v>
      </c>
      <c r="W233" s="2" t="s">
        <v>384</v>
      </c>
      <c r="X233" s="2" t="s">
        <v>98</v>
      </c>
      <c r="Y233" s="2" t="s">
        <v>1183</v>
      </c>
      <c r="Z233" s="4">
        <v>286</v>
      </c>
      <c r="AA233" s="4">
        <f>=ROUNDDOWN(31.7777777777778,0)</f>
      </c>
      <c r="AB233" s="5">
        <v>9</v>
      </c>
      <c r="AC233" s="2" t="s">
        <v>98</v>
      </c>
      <c r="AD233" s="4"/>
      <c r="AE233" s="4"/>
      <c r="AF233" s="6">
        <v>69</v>
      </c>
      <c r="AG233" s="6">
        <v>52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26</v>
      </c>
      <c r="BK233" s="8">
        <v>4130.78</v>
      </c>
      <c r="BL233" s="2" t="s">
        <v>790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95</v>
      </c>
      <c r="BW233" s="2" t="s">
        <v>1184</v>
      </c>
      <c r="BX233" s="2" t="s">
        <v>1185</v>
      </c>
      <c r="BY233" s="2" t="s">
        <v>109</v>
      </c>
      <c r="BZ233" s="2" t="s">
        <v>98</v>
      </c>
    </row>
    <row r="234">
      <c r="A234" s="2" t="s">
        <v>1186</v>
      </c>
      <c r="B234" s="2" t="s">
        <v>996</v>
      </c>
      <c r="C234" s="2" t="s">
        <v>88</v>
      </c>
      <c r="D234" s="2" t="s">
        <v>1070</v>
      </c>
      <c r="E234" s="2" t="s">
        <v>1071</v>
      </c>
      <c r="F234" s="2" t="s">
        <v>1176</v>
      </c>
      <c r="G234" s="2" t="s">
        <v>1176</v>
      </c>
      <c r="H234" s="2" t="s">
        <v>98</v>
      </c>
      <c r="I234" s="2" t="s">
        <v>1177</v>
      </c>
      <c r="J234" s="2" t="s">
        <v>661</v>
      </c>
      <c r="K234" s="2" t="s">
        <v>1187</v>
      </c>
      <c r="L234" s="3">
        <v>161.5</v>
      </c>
      <c r="M234" s="3">
        <v>169.58</v>
      </c>
      <c r="N234" s="3">
        <v>339</v>
      </c>
      <c r="O234" s="2" t="s">
        <v>95</v>
      </c>
      <c r="P234" s="2" t="s">
        <v>140</v>
      </c>
      <c r="Q234" s="2" t="s">
        <v>97</v>
      </c>
      <c r="R234" s="2" t="s">
        <v>98</v>
      </c>
      <c r="S234" s="2" t="s">
        <v>1188</v>
      </c>
      <c r="T234" s="2" t="s">
        <v>98</v>
      </c>
      <c r="U234" s="2" t="s">
        <v>98</v>
      </c>
      <c r="V234" s="2" t="s">
        <v>208</v>
      </c>
      <c r="W234" s="2" t="s">
        <v>384</v>
      </c>
      <c r="X234" s="2" t="s">
        <v>98</v>
      </c>
      <c r="Y234" s="2" t="s">
        <v>354</v>
      </c>
      <c r="Z234" s="4">
        <v>75</v>
      </c>
      <c r="AA234" s="4">
        <f>=ROUNDDOWN(15.625,0)</f>
      </c>
      <c r="AB234" s="5">
        <v>4.8</v>
      </c>
      <c r="AC234" s="2" t="s">
        <v>1095</v>
      </c>
      <c r="AD234" s="4">
        <v>40</v>
      </c>
      <c r="AE234" s="4">
        <v>200</v>
      </c>
      <c r="AF234" s="6">
        <v>69</v>
      </c>
      <c r="AG234" s="6">
        <v>52</v>
      </c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16</v>
      </c>
      <c r="BK234" s="8">
        <v>2559.19</v>
      </c>
      <c r="BL234" s="2" t="s">
        <v>790</v>
      </c>
      <c r="BM234" s="7"/>
      <c r="BN234" s="7"/>
      <c r="BO234" s="4"/>
      <c r="BP234" s="8"/>
      <c r="BQ234" s="4"/>
      <c r="BR234" s="8"/>
      <c r="BS234" s="7"/>
      <c r="BT234" s="7"/>
      <c r="BU234" s="2" t="s">
        <v>106</v>
      </c>
      <c r="BV234" s="2" t="s">
        <v>95</v>
      </c>
      <c r="BW234" s="2" t="s">
        <v>168</v>
      </c>
      <c r="BX234" s="2" t="s">
        <v>1189</v>
      </c>
      <c r="BY234" s="2" t="s">
        <v>109</v>
      </c>
      <c r="BZ234" s="2" t="s">
        <v>98</v>
      </c>
    </row>
    <row r="235">
      <c r="A235" s="2" t="s">
        <v>1190</v>
      </c>
      <c r="B235" s="2" t="s">
        <v>996</v>
      </c>
      <c r="C235" s="2" t="s">
        <v>88</v>
      </c>
      <c r="D235" s="2" t="s">
        <v>1070</v>
      </c>
      <c r="E235" s="2" t="s">
        <v>1071</v>
      </c>
      <c r="F235" s="2" t="s">
        <v>1176</v>
      </c>
      <c r="G235" s="2" t="s">
        <v>1176</v>
      </c>
      <c r="H235" s="2" t="s">
        <v>98</v>
      </c>
      <c r="I235" s="2" t="s">
        <v>1177</v>
      </c>
      <c r="J235" s="2" t="s">
        <v>661</v>
      </c>
      <c r="K235" s="2" t="s">
        <v>1191</v>
      </c>
      <c r="L235" s="3">
        <v>161.5</v>
      </c>
      <c r="M235" s="3">
        <v>169.58</v>
      </c>
      <c r="N235" s="3">
        <v>339</v>
      </c>
      <c r="O235" s="2" t="s">
        <v>95</v>
      </c>
      <c r="P235" s="2" t="s">
        <v>140</v>
      </c>
      <c r="Q235" s="2" t="s">
        <v>97</v>
      </c>
      <c r="R235" s="2" t="s">
        <v>98</v>
      </c>
      <c r="S235" s="2" t="s">
        <v>1192</v>
      </c>
      <c r="T235" s="2" t="s">
        <v>98</v>
      </c>
      <c r="U235" s="2" t="s">
        <v>98</v>
      </c>
      <c r="V235" s="2" t="s">
        <v>208</v>
      </c>
      <c r="W235" s="2" t="s">
        <v>384</v>
      </c>
      <c r="X235" s="2" t="s">
        <v>98</v>
      </c>
      <c r="Y235" s="2" t="s">
        <v>354</v>
      </c>
      <c r="Z235" s="4">
        <v>127</v>
      </c>
      <c r="AA235" s="4">
        <f>=ROUNDDOWN(7.47058823529412,0)</f>
      </c>
      <c r="AB235" s="5">
        <v>17</v>
      </c>
      <c r="AC235" s="2" t="s">
        <v>1018</v>
      </c>
      <c r="AD235" s="4">
        <v>72</v>
      </c>
      <c r="AE235" s="4">
        <v>150</v>
      </c>
      <c r="AF235" s="6">
        <v>69</v>
      </c>
      <c r="AG235" s="6">
        <v>52</v>
      </c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1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>
        <v>2</v>
      </c>
      <c r="BK235" s="8">
        <v>352.72</v>
      </c>
      <c r="BL235" s="2" t="s">
        <v>1193</v>
      </c>
      <c r="BM235" s="7"/>
      <c r="BN235" s="7"/>
      <c r="BO235" s="4"/>
      <c r="BP235" s="8"/>
      <c r="BQ235" s="4"/>
      <c r="BR235" s="8"/>
      <c r="BS235" s="7"/>
      <c r="BT235" s="7"/>
      <c r="BU235" s="2" t="s">
        <v>106</v>
      </c>
      <c r="BV235" s="2" t="s">
        <v>95</v>
      </c>
      <c r="BW235" s="2" t="s">
        <v>168</v>
      </c>
      <c r="BX235" s="2" t="s">
        <v>1194</v>
      </c>
      <c r="BY235" s="2" t="s">
        <v>109</v>
      </c>
      <c r="BZ235" s="2" t="s">
        <v>98</v>
      </c>
    </row>
    <row r="236">
      <c r="A236" s="2" t="s">
        <v>1195</v>
      </c>
      <c r="B236" s="2" t="s">
        <v>996</v>
      </c>
      <c r="C236" s="2" t="s">
        <v>88</v>
      </c>
      <c r="D236" s="2" t="s">
        <v>1070</v>
      </c>
      <c r="E236" s="2" t="s">
        <v>1071</v>
      </c>
      <c r="F236" s="2" t="s">
        <v>1176</v>
      </c>
      <c r="G236" s="2" t="s">
        <v>1176</v>
      </c>
      <c r="H236" s="2" t="s">
        <v>1176</v>
      </c>
      <c r="I236" s="2" t="s">
        <v>1177</v>
      </c>
      <c r="J236" s="2" t="s">
        <v>661</v>
      </c>
      <c r="K236" s="2" t="s">
        <v>1032</v>
      </c>
      <c r="L236" s="3">
        <v>161.5</v>
      </c>
      <c r="M236" s="3">
        <v>169.58</v>
      </c>
      <c r="N236" s="3">
        <v>339</v>
      </c>
      <c r="O236" s="2" t="s">
        <v>95</v>
      </c>
      <c r="P236" s="2" t="s">
        <v>128</v>
      </c>
      <c r="Q236" s="2" t="s">
        <v>97</v>
      </c>
      <c r="R236" s="2" t="s">
        <v>98</v>
      </c>
      <c r="S236" s="2" t="s">
        <v>1196</v>
      </c>
      <c r="T236" s="2" t="s">
        <v>98</v>
      </c>
      <c r="U236" s="2" t="s">
        <v>98</v>
      </c>
      <c r="V236" s="2" t="s">
        <v>208</v>
      </c>
      <c r="W236" s="2" t="s">
        <v>384</v>
      </c>
      <c r="X236" s="2" t="s">
        <v>98</v>
      </c>
      <c r="Y236" s="2" t="s">
        <v>542</v>
      </c>
      <c r="Z236" s="4">
        <v>70</v>
      </c>
      <c r="AA236" s="4">
        <f>=ROUNDDOWN(15.5555555555556,0)</f>
      </c>
      <c r="AB236" s="5">
        <v>4.5</v>
      </c>
      <c r="AC236" s="2" t="s">
        <v>98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>
        <v>11</v>
      </c>
      <c r="BK236" s="8">
        <v>997.46</v>
      </c>
      <c r="BL236" s="2" t="s">
        <v>502</v>
      </c>
      <c r="BM236" s="7"/>
      <c r="BN236" s="7"/>
      <c r="BO236" s="4"/>
      <c r="BP236" s="8"/>
      <c r="BQ236" s="4"/>
      <c r="BR236" s="8"/>
      <c r="BS236" s="7"/>
      <c r="BT236" s="7"/>
      <c r="BU236" s="2" t="s">
        <v>106</v>
      </c>
      <c r="BV236" s="2" t="s">
        <v>95</v>
      </c>
      <c r="BW236" s="2" t="s">
        <v>168</v>
      </c>
      <c r="BX236" s="2" t="s">
        <v>1089</v>
      </c>
      <c r="BY236" s="2" t="s">
        <v>109</v>
      </c>
      <c r="BZ236" s="2" t="s">
        <v>98</v>
      </c>
    </row>
    <row r="237">
      <c r="A237" s="2" t="s">
        <v>1197</v>
      </c>
      <c r="B237" s="2" t="s">
        <v>996</v>
      </c>
      <c r="C237" s="2" t="s">
        <v>88</v>
      </c>
      <c r="D237" s="2" t="s">
        <v>1070</v>
      </c>
      <c r="E237" s="2" t="s">
        <v>1071</v>
      </c>
      <c r="F237" s="2" t="s">
        <v>1198</v>
      </c>
      <c r="G237" s="2" t="s">
        <v>1198</v>
      </c>
      <c r="H237" s="2" t="s">
        <v>98</v>
      </c>
      <c r="I237" s="2" t="s">
        <v>1108</v>
      </c>
      <c r="J237" s="2" t="s">
        <v>661</v>
      </c>
      <c r="K237" s="2" t="s">
        <v>1199</v>
      </c>
      <c r="L237" s="3">
        <v>194.75</v>
      </c>
      <c r="M237" s="3">
        <v>204.49</v>
      </c>
      <c r="N237" s="3">
        <v>409</v>
      </c>
      <c r="O237" s="2" t="s">
        <v>95</v>
      </c>
      <c r="P237" s="2" t="s">
        <v>714</v>
      </c>
      <c r="Q237" s="2" t="s">
        <v>97</v>
      </c>
      <c r="R237" s="2" t="s">
        <v>98</v>
      </c>
      <c r="S237" s="2" t="s">
        <v>1200</v>
      </c>
      <c r="T237" s="2" t="s">
        <v>98</v>
      </c>
      <c r="U237" s="2" t="s">
        <v>98</v>
      </c>
      <c r="V237" s="2" t="s">
        <v>208</v>
      </c>
      <c r="W237" s="2" t="s">
        <v>1201</v>
      </c>
      <c r="X237" s="2" t="s">
        <v>98</v>
      </c>
      <c r="Y237" s="2" t="s">
        <v>354</v>
      </c>
      <c r="Z237" s="4">
        <v>79</v>
      </c>
      <c r="AA237" s="4">
        <f>=ROUNDDOWN(79,0)</f>
      </c>
      <c r="AB237" s="5">
        <v>1</v>
      </c>
      <c r="AC237" s="2" t="s">
        <v>98</v>
      </c>
      <c r="AD237" s="4"/>
      <c r="AE237" s="4"/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2</v>
      </c>
      <c r="BK237" s="8">
        <v>395.15</v>
      </c>
      <c r="BL237" s="2" t="s">
        <v>1202</v>
      </c>
      <c r="BM237" s="7"/>
      <c r="BN237" s="7"/>
      <c r="BO237" s="4"/>
      <c r="BP237" s="8"/>
      <c r="BQ237" s="4"/>
      <c r="BR237" s="8"/>
      <c r="BS237" s="7"/>
      <c r="BT237" s="7"/>
      <c r="BU237" s="2" t="s">
        <v>106</v>
      </c>
      <c r="BV237" s="2" t="s">
        <v>95</v>
      </c>
      <c r="BW237" s="2" t="s">
        <v>168</v>
      </c>
      <c r="BX237" s="2" t="s">
        <v>1168</v>
      </c>
      <c r="BY237" s="2" t="s">
        <v>109</v>
      </c>
      <c r="BZ237" s="2" t="s">
        <v>98</v>
      </c>
    </row>
    <row r="238">
      <c r="A238" s="2" t="s">
        <v>1203</v>
      </c>
      <c r="B238" s="2" t="s">
        <v>996</v>
      </c>
      <c r="C238" s="2" t="s">
        <v>88</v>
      </c>
      <c r="D238" s="2" t="s">
        <v>1070</v>
      </c>
      <c r="E238" s="2" t="s">
        <v>1071</v>
      </c>
      <c r="F238" s="2" t="s">
        <v>1204</v>
      </c>
      <c r="G238" s="2" t="s">
        <v>1204</v>
      </c>
      <c r="H238" s="2" t="s">
        <v>1204</v>
      </c>
      <c r="I238" s="2" t="s">
        <v>1108</v>
      </c>
      <c r="J238" s="2" t="s">
        <v>661</v>
      </c>
      <c r="K238" s="2" t="s">
        <v>737</v>
      </c>
      <c r="L238" s="3">
        <v>226.1</v>
      </c>
      <c r="M238" s="3">
        <v>237.4</v>
      </c>
      <c r="N238" s="3">
        <v>479</v>
      </c>
      <c r="O238" s="2" t="s">
        <v>95</v>
      </c>
      <c r="P238" s="2" t="s">
        <v>140</v>
      </c>
      <c r="Q238" s="2" t="s">
        <v>97</v>
      </c>
      <c r="R238" s="2" t="s">
        <v>98</v>
      </c>
      <c r="S238" s="2" t="s">
        <v>1205</v>
      </c>
      <c r="T238" s="2" t="s">
        <v>98</v>
      </c>
      <c r="U238" s="2" t="s">
        <v>98</v>
      </c>
      <c r="V238" s="2" t="s">
        <v>208</v>
      </c>
      <c r="W238" s="2" t="s">
        <v>729</v>
      </c>
      <c r="X238" s="2" t="s">
        <v>98</v>
      </c>
      <c r="Y238" s="2" t="s">
        <v>1206</v>
      </c>
      <c r="Z238" s="4">
        <v>174</v>
      </c>
      <c r="AA238" s="4">
        <f>=ROUNDDOWN(34.8,0)</f>
      </c>
      <c r="AB238" s="5">
        <v>5</v>
      </c>
      <c r="AC238" s="2" t="s">
        <v>342</v>
      </c>
      <c r="AD238" s="4">
        <v>110</v>
      </c>
      <c r="AE238" s="4">
        <v>110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5</v>
      </c>
      <c r="BK238" s="8">
        <v>1109.96</v>
      </c>
      <c r="BL238" s="2" t="s">
        <v>1207</v>
      </c>
      <c r="BM238" s="7"/>
      <c r="BN238" s="7"/>
      <c r="BO238" s="4"/>
      <c r="BP238" s="8"/>
      <c r="BQ238" s="4"/>
      <c r="BR238" s="8"/>
      <c r="BS238" s="7"/>
      <c r="BT238" s="7"/>
      <c r="BU238" s="2" t="s">
        <v>106</v>
      </c>
      <c r="BV238" s="2" t="s">
        <v>95</v>
      </c>
      <c r="BW238" s="2" t="s">
        <v>168</v>
      </c>
      <c r="BX238" s="2" t="s">
        <v>471</v>
      </c>
      <c r="BY238" s="2" t="s">
        <v>109</v>
      </c>
      <c r="BZ238" s="2" t="s">
        <v>98</v>
      </c>
    </row>
    <row r="239">
      <c r="A239" s="2" t="s">
        <v>1208</v>
      </c>
      <c r="B239" s="2" t="s">
        <v>996</v>
      </c>
      <c r="C239" s="2" t="s">
        <v>88</v>
      </c>
      <c r="D239" s="2" t="s">
        <v>1070</v>
      </c>
      <c r="E239" s="2" t="s">
        <v>1071</v>
      </c>
      <c r="F239" s="2" t="s">
        <v>1209</v>
      </c>
      <c r="G239" s="2" t="s">
        <v>1209</v>
      </c>
      <c r="H239" s="2" t="s">
        <v>1209</v>
      </c>
      <c r="I239" s="2" t="s">
        <v>1108</v>
      </c>
      <c r="J239" s="2" t="s">
        <v>661</v>
      </c>
      <c r="K239" s="2" t="s">
        <v>1210</v>
      </c>
      <c r="L239" s="3">
        <v>263.5</v>
      </c>
      <c r="M239" s="3">
        <v>276.68</v>
      </c>
      <c r="N239" s="3">
        <v>549</v>
      </c>
      <c r="O239" s="2" t="s">
        <v>95</v>
      </c>
      <c r="P239" s="2" t="s">
        <v>140</v>
      </c>
      <c r="Q239" s="2" t="s">
        <v>97</v>
      </c>
      <c r="R239" s="2" t="s">
        <v>98</v>
      </c>
      <c r="S239" s="2" t="s">
        <v>98</v>
      </c>
      <c r="T239" s="2" t="s">
        <v>98</v>
      </c>
      <c r="U239" s="2" t="s">
        <v>98</v>
      </c>
      <c r="V239" s="2" t="s">
        <v>208</v>
      </c>
      <c r="W239" s="2" t="s">
        <v>384</v>
      </c>
      <c r="X239" s="2" t="s">
        <v>98</v>
      </c>
      <c r="Y239" s="2" t="s">
        <v>1211</v>
      </c>
      <c r="Z239" s="4">
        <v>52</v>
      </c>
      <c r="AA239" s="4">
        <f>=ROUNDDOWN(8.66666666666667,0)</f>
      </c>
      <c r="AB239" s="5">
        <v>6</v>
      </c>
      <c r="AC239" s="2" t="s">
        <v>1212</v>
      </c>
      <c r="AD239" s="4">
        <v>100</v>
      </c>
      <c r="AE239" s="4">
        <v>100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21</v>
      </c>
      <c r="BK239" s="8">
        <v>5060.77</v>
      </c>
      <c r="BL239" s="2" t="s">
        <v>1213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95</v>
      </c>
      <c r="BW239" s="2" t="s">
        <v>168</v>
      </c>
      <c r="BX239" s="2" t="s">
        <v>1154</v>
      </c>
      <c r="BY239" s="2" t="s">
        <v>109</v>
      </c>
      <c r="BZ239" s="2" t="s">
        <v>98</v>
      </c>
    </row>
    <row r="240">
      <c r="A240" s="2" t="s">
        <v>1214</v>
      </c>
      <c r="B240" s="2" t="s">
        <v>996</v>
      </c>
      <c r="C240" s="2" t="s">
        <v>88</v>
      </c>
      <c r="D240" s="2" t="s">
        <v>1070</v>
      </c>
      <c r="E240" s="2" t="s">
        <v>1071</v>
      </c>
      <c r="F240" s="2" t="s">
        <v>1215</v>
      </c>
      <c r="G240" s="2" t="s">
        <v>1215</v>
      </c>
      <c r="H240" s="2" t="s">
        <v>1215</v>
      </c>
      <c r="I240" s="2" t="s">
        <v>1177</v>
      </c>
      <c r="J240" s="2" t="s">
        <v>661</v>
      </c>
      <c r="K240" s="2" t="s">
        <v>1006</v>
      </c>
      <c r="L240" s="3">
        <v>226.1</v>
      </c>
      <c r="M240" s="3">
        <v>237.4</v>
      </c>
      <c r="N240" s="3">
        <v>479</v>
      </c>
      <c r="O240" s="2" t="s">
        <v>95</v>
      </c>
      <c r="P240" s="2" t="s">
        <v>128</v>
      </c>
      <c r="Q240" s="2" t="s">
        <v>97</v>
      </c>
      <c r="R240" s="2" t="s">
        <v>98</v>
      </c>
      <c r="S240" s="2" t="s">
        <v>1216</v>
      </c>
      <c r="T240" s="2" t="s">
        <v>98</v>
      </c>
      <c r="U240" s="2" t="s">
        <v>98</v>
      </c>
      <c r="V240" s="2" t="s">
        <v>208</v>
      </c>
      <c r="W240" s="2" t="s">
        <v>242</v>
      </c>
      <c r="X240" s="2" t="s">
        <v>98</v>
      </c>
      <c r="Y240" s="2" t="s">
        <v>354</v>
      </c>
      <c r="Z240" s="4">
        <v>18</v>
      </c>
      <c r="AA240" s="4">
        <f>=ROUNDDOWN(6.92307692307692,0)</f>
      </c>
      <c r="AB240" s="5">
        <v>2.6</v>
      </c>
      <c r="AC240" s="2" t="s">
        <v>98</v>
      </c>
      <c r="AD240" s="4"/>
      <c r="AE240" s="4"/>
      <c r="AF240" s="6">
        <v>68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4</v>
      </c>
      <c r="BK240" s="8">
        <v>474.8</v>
      </c>
      <c r="BL240" s="2" t="s">
        <v>525</v>
      </c>
      <c r="BM240" s="7"/>
      <c r="BN240" s="7"/>
      <c r="BO240" s="4"/>
      <c r="BP240" s="8"/>
      <c r="BQ240" s="4"/>
      <c r="BR240" s="8"/>
      <c r="BS240" s="7"/>
      <c r="BT240" s="7"/>
      <c r="BU240" s="2" t="s">
        <v>106</v>
      </c>
      <c r="BV240" s="2" t="s">
        <v>95</v>
      </c>
      <c r="BW240" s="2" t="s">
        <v>168</v>
      </c>
      <c r="BX240" s="2" t="s">
        <v>1217</v>
      </c>
      <c r="BY240" s="2" t="s">
        <v>109</v>
      </c>
      <c r="BZ240" s="2" t="s">
        <v>98</v>
      </c>
    </row>
    <row r="241">
      <c r="A241" s="2" t="s">
        <v>1218</v>
      </c>
      <c r="B241" s="2" t="s">
        <v>996</v>
      </c>
      <c r="C241" s="2" t="s">
        <v>88</v>
      </c>
      <c r="D241" s="2" t="s">
        <v>1070</v>
      </c>
      <c r="E241" s="2" t="s">
        <v>1071</v>
      </c>
      <c r="F241" s="2" t="s">
        <v>1215</v>
      </c>
      <c r="G241" s="2" t="s">
        <v>1215</v>
      </c>
      <c r="H241" s="2" t="s">
        <v>1215</v>
      </c>
      <c r="I241" s="2" t="s">
        <v>1177</v>
      </c>
      <c r="J241" s="2" t="s">
        <v>661</v>
      </c>
      <c r="K241" s="2" t="s">
        <v>631</v>
      </c>
      <c r="L241" s="3">
        <v>226.1</v>
      </c>
      <c r="M241" s="3">
        <v>237.4</v>
      </c>
      <c r="N241" s="3">
        <v>479</v>
      </c>
      <c r="O241" s="2" t="s">
        <v>95</v>
      </c>
      <c r="P241" s="2" t="s">
        <v>128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98</v>
      </c>
      <c r="V241" s="2" t="s">
        <v>208</v>
      </c>
      <c r="W241" s="2" t="s">
        <v>242</v>
      </c>
      <c r="X241" s="2" t="s">
        <v>98</v>
      </c>
      <c r="Y241" s="2" t="s">
        <v>542</v>
      </c>
      <c r="Z241" s="4">
        <v>89</v>
      </c>
      <c r="AA241" s="4">
        <f>=ROUNDDOWN(32.962962962963,0)</f>
      </c>
      <c r="AB241" s="5">
        <v>2.7</v>
      </c>
      <c r="AC241" s="2" t="s">
        <v>98</v>
      </c>
      <c r="AD241" s="4"/>
      <c r="AE241" s="4"/>
      <c r="AF241" s="6">
        <v>68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1</v>
      </c>
      <c r="BK241" s="8">
        <v>226.8</v>
      </c>
      <c r="BL241" s="2" t="s">
        <v>525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95</v>
      </c>
      <c r="BW241" s="2" t="s">
        <v>168</v>
      </c>
      <c r="BX241" s="2" t="s">
        <v>1219</v>
      </c>
      <c r="BY241" s="2" t="s">
        <v>109</v>
      </c>
      <c r="BZ241" s="2" t="s">
        <v>98</v>
      </c>
    </row>
    <row r="242">
      <c r="A242" s="2" t="s">
        <v>1220</v>
      </c>
      <c r="B242" s="2" t="s">
        <v>996</v>
      </c>
      <c r="C242" s="2" t="s">
        <v>88</v>
      </c>
      <c r="D242" s="2" t="s">
        <v>1070</v>
      </c>
      <c r="E242" s="2" t="s">
        <v>1221</v>
      </c>
      <c r="F242" s="2" t="s">
        <v>1222</v>
      </c>
      <c r="G242" s="2" t="s">
        <v>1222</v>
      </c>
      <c r="H242" s="2" t="s">
        <v>1222</v>
      </c>
      <c r="I242" s="2" t="s">
        <v>1108</v>
      </c>
      <c r="J242" s="2" t="s">
        <v>661</v>
      </c>
      <c r="K242" s="2" t="s">
        <v>737</v>
      </c>
      <c r="L242" s="3">
        <v>225</v>
      </c>
      <c r="M242" s="3">
        <v>236.25</v>
      </c>
      <c r="N242" s="3">
        <v>479</v>
      </c>
      <c r="O242" s="2" t="s">
        <v>95</v>
      </c>
      <c r="P242" s="2" t="s">
        <v>714</v>
      </c>
      <c r="Q242" s="2" t="s">
        <v>97</v>
      </c>
      <c r="R242" s="2" t="s">
        <v>98</v>
      </c>
      <c r="S242" s="2" t="s">
        <v>1223</v>
      </c>
      <c r="T242" s="2" t="s">
        <v>98</v>
      </c>
      <c r="U242" s="2" t="s">
        <v>98</v>
      </c>
      <c r="V242" s="2" t="s">
        <v>208</v>
      </c>
      <c r="W242" s="2" t="s">
        <v>729</v>
      </c>
      <c r="X242" s="2" t="s">
        <v>98</v>
      </c>
      <c r="Y242" s="2" t="s">
        <v>1224</v>
      </c>
      <c r="Z242" s="4">
        <v>106</v>
      </c>
      <c r="AA242" s="4">
        <f>=ROUNDDOWN(35.3333333333333,0)</f>
      </c>
      <c r="AB242" s="5">
        <v>3</v>
      </c>
      <c r="AC242" s="2" t="s">
        <v>1076</v>
      </c>
      <c r="AD242" s="4">
        <v>50</v>
      </c>
      <c r="AE242" s="4">
        <v>100</v>
      </c>
      <c r="AF242" s="6">
        <v>69</v>
      </c>
      <c r="AG242" s="6">
        <v>52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/>
      <c r="BK242" s="8"/>
      <c r="BL242" s="2" t="s">
        <v>98</v>
      </c>
      <c r="BM242" s="7"/>
      <c r="BN242" s="7"/>
      <c r="BO242" s="4"/>
      <c r="BP242" s="8"/>
      <c r="BQ242" s="4"/>
      <c r="BR242" s="8"/>
      <c r="BS242" s="7"/>
      <c r="BT242" s="7"/>
      <c r="BU242" s="2" t="s">
        <v>106</v>
      </c>
      <c r="BV242" s="2" t="s">
        <v>95</v>
      </c>
      <c r="BW242" s="2" t="s">
        <v>168</v>
      </c>
      <c r="BX242" s="2" t="s">
        <v>426</v>
      </c>
      <c r="BY242" s="2" t="s">
        <v>109</v>
      </c>
      <c r="BZ242" s="2" t="s">
        <v>98</v>
      </c>
    </row>
    <row r="243">
      <c r="A243" s="2" t="s">
        <v>1225</v>
      </c>
      <c r="B243" s="2" t="s">
        <v>996</v>
      </c>
      <c r="C243" s="2" t="s">
        <v>88</v>
      </c>
      <c r="D243" s="2" t="s">
        <v>1070</v>
      </c>
      <c r="E243" s="2" t="s">
        <v>1221</v>
      </c>
      <c r="F243" s="2" t="s">
        <v>1222</v>
      </c>
      <c r="G243" s="2" t="s">
        <v>1222</v>
      </c>
      <c r="H243" s="2" t="s">
        <v>98</v>
      </c>
      <c r="I243" s="2" t="s">
        <v>1108</v>
      </c>
      <c r="J243" s="2" t="s">
        <v>661</v>
      </c>
      <c r="K243" s="2" t="s">
        <v>1226</v>
      </c>
      <c r="L243" s="3">
        <v>225</v>
      </c>
      <c r="M243" s="3">
        <v>236.25</v>
      </c>
      <c r="N243" s="3">
        <v>479</v>
      </c>
      <c r="O243" s="2" t="s">
        <v>95</v>
      </c>
      <c r="P243" s="2" t="s">
        <v>128</v>
      </c>
      <c r="Q243" s="2" t="s">
        <v>97</v>
      </c>
      <c r="R243" s="2" t="s">
        <v>98</v>
      </c>
      <c r="S243" s="2" t="s">
        <v>1227</v>
      </c>
      <c r="T243" s="2" t="s">
        <v>98</v>
      </c>
      <c r="U243" s="2" t="s">
        <v>98</v>
      </c>
      <c r="V243" s="2" t="s">
        <v>208</v>
      </c>
      <c r="W243" s="2" t="s">
        <v>384</v>
      </c>
      <c r="X243" s="2" t="s">
        <v>98</v>
      </c>
      <c r="Y243" s="2" t="s">
        <v>354</v>
      </c>
      <c r="Z243" s="4">
        <v>107</v>
      </c>
      <c r="AA243" s="4">
        <f>=ROUNDDOWN(38.2142857142857,0)</f>
      </c>
      <c r="AB243" s="5">
        <v>2.8</v>
      </c>
      <c r="AC243" s="2" t="s">
        <v>98</v>
      </c>
      <c r="AD243" s="4"/>
      <c r="AE243" s="4"/>
      <c r="AF243" s="6">
        <v>66</v>
      </c>
      <c r="AG243" s="6">
        <v>49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>
        <v>2</v>
      </c>
      <c r="BK243" s="8">
        <v>423.7</v>
      </c>
      <c r="BL243" s="2" t="s">
        <v>989</v>
      </c>
      <c r="BM243" s="7"/>
      <c r="BN243" s="7"/>
      <c r="BO243" s="4"/>
      <c r="BP243" s="8"/>
      <c r="BQ243" s="4"/>
      <c r="BR243" s="8"/>
      <c r="BS243" s="7"/>
      <c r="BT243" s="7"/>
      <c r="BU243" s="2" t="s">
        <v>106</v>
      </c>
      <c r="BV243" s="2" t="s">
        <v>95</v>
      </c>
      <c r="BW243" s="2" t="s">
        <v>168</v>
      </c>
      <c r="BX243" s="2" t="s">
        <v>1155</v>
      </c>
      <c r="BY243" s="2" t="s">
        <v>109</v>
      </c>
      <c r="BZ243" s="2" t="s">
        <v>98</v>
      </c>
    </row>
    <row r="244">
      <c r="A244" s="2" t="s">
        <v>1228</v>
      </c>
      <c r="B244" s="2" t="s">
        <v>996</v>
      </c>
      <c r="C244" s="2" t="s">
        <v>88</v>
      </c>
      <c r="D244" s="2" t="s">
        <v>1070</v>
      </c>
      <c r="E244" s="2" t="s">
        <v>1221</v>
      </c>
      <c r="F244" s="2" t="s">
        <v>1229</v>
      </c>
      <c r="G244" s="2" t="s">
        <v>1229</v>
      </c>
      <c r="H244" s="2" t="s">
        <v>1229</v>
      </c>
      <c r="I244" s="2" t="s">
        <v>1108</v>
      </c>
      <c r="J244" s="2" t="s">
        <v>661</v>
      </c>
      <c r="K244" s="2" t="s">
        <v>1032</v>
      </c>
      <c r="L244" s="3">
        <v>174.8</v>
      </c>
      <c r="M244" s="3">
        <v>183.54</v>
      </c>
      <c r="N244" s="3">
        <v>369</v>
      </c>
      <c r="O244" s="2" t="s">
        <v>95</v>
      </c>
      <c r="P244" s="2" t="s">
        <v>140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590</v>
      </c>
      <c r="V244" s="2" t="s">
        <v>208</v>
      </c>
      <c r="W244" s="2" t="s">
        <v>384</v>
      </c>
      <c r="X244" s="2" t="s">
        <v>98</v>
      </c>
      <c r="Y244" s="2" t="s">
        <v>1230</v>
      </c>
      <c r="Z244" s="4">
        <v>169</v>
      </c>
      <c r="AA244" s="4">
        <f>=ROUNDDOWN(33.8,0)</f>
      </c>
      <c r="AB244" s="5">
        <v>5</v>
      </c>
      <c r="AC244" s="2" t="s">
        <v>934</v>
      </c>
      <c r="AD244" s="4">
        <v>100</v>
      </c>
      <c r="AE244" s="4">
        <v>200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11</v>
      </c>
      <c r="BK244" s="8">
        <v>1825.88</v>
      </c>
      <c r="BL244" s="2" t="s">
        <v>1231</v>
      </c>
      <c r="BM244" s="7"/>
      <c r="BN244" s="7"/>
      <c r="BO244" s="4"/>
      <c r="BP244" s="8"/>
      <c r="BQ244" s="4"/>
      <c r="BR244" s="8"/>
      <c r="BS244" s="7"/>
      <c r="BT244" s="7"/>
      <c r="BU244" s="2" t="s">
        <v>106</v>
      </c>
      <c r="BV244" s="2" t="s">
        <v>95</v>
      </c>
      <c r="BW244" s="2" t="s">
        <v>168</v>
      </c>
      <c r="BX244" s="2" t="s">
        <v>1232</v>
      </c>
      <c r="BY244" s="2" t="s">
        <v>109</v>
      </c>
      <c r="BZ244" s="2" t="s">
        <v>98</v>
      </c>
    </row>
    <row r="245">
      <c r="A245" s="2" t="s">
        <v>1233</v>
      </c>
      <c r="B245" s="2" t="s">
        <v>996</v>
      </c>
      <c r="C245" s="2" t="s">
        <v>88</v>
      </c>
      <c r="D245" s="2" t="s">
        <v>1070</v>
      </c>
      <c r="E245" s="2" t="s">
        <v>1221</v>
      </c>
      <c r="F245" s="2" t="s">
        <v>1234</v>
      </c>
      <c r="G245" s="2" t="s">
        <v>1234</v>
      </c>
      <c r="H245" s="2" t="s">
        <v>1234</v>
      </c>
      <c r="I245" s="2" t="s">
        <v>1108</v>
      </c>
      <c r="J245" s="2" t="s">
        <v>661</v>
      </c>
      <c r="K245" s="2" t="s">
        <v>631</v>
      </c>
      <c r="L245" s="3">
        <v>120</v>
      </c>
      <c r="M245" s="3">
        <v>126</v>
      </c>
      <c r="N245" s="3">
        <v>249</v>
      </c>
      <c r="O245" s="2" t="s">
        <v>206</v>
      </c>
      <c r="P245" s="2" t="s">
        <v>128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590</v>
      </c>
      <c r="V245" s="2" t="s">
        <v>369</v>
      </c>
      <c r="W245" s="2" t="s">
        <v>242</v>
      </c>
      <c r="X245" s="2" t="s">
        <v>98</v>
      </c>
      <c r="Y245" s="2" t="s">
        <v>1235</v>
      </c>
      <c r="Z245" s="4">
        <v>42</v>
      </c>
      <c r="AA245" s="4">
        <f>=ROUNDDOWN(3.15789473684211,0)</f>
      </c>
      <c r="AB245" s="5">
        <v>13.3</v>
      </c>
      <c r="AC245" s="2" t="s">
        <v>98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12</v>
      </c>
      <c r="BK245" s="8">
        <v>116.88</v>
      </c>
      <c r="BL245" s="2" t="s">
        <v>502</v>
      </c>
      <c r="BM245" s="7"/>
      <c r="BN245" s="7"/>
      <c r="BO245" s="4"/>
      <c r="BP245" s="8"/>
      <c r="BQ245" s="4"/>
      <c r="BR245" s="8"/>
      <c r="BS245" s="7"/>
      <c r="BT245" s="7"/>
      <c r="BU245" s="2" t="s">
        <v>106</v>
      </c>
      <c r="BV245" s="2" t="s">
        <v>95</v>
      </c>
      <c r="BW245" s="2" t="s">
        <v>1026</v>
      </c>
      <c r="BX245" s="2" t="s">
        <v>1236</v>
      </c>
      <c r="BY245" s="2" t="s">
        <v>109</v>
      </c>
      <c r="BZ245" s="2" t="s">
        <v>98</v>
      </c>
    </row>
    <row r="246">
      <c r="A246" s="2" t="s">
        <v>1237</v>
      </c>
      <c r="B246" s="2" t="s">
        <v>996</v>
      </c>
      <c r="C246" s="2" t="s">
        <v>88</v>
      </c>
      <c r="D246" s="2" t="s">
        <v>1238</v>
      </c>
      <c r="E246" s="2" t="s">
        <v>1239</v>
      </c>
      <c r="F246" s="2" t="s">
        <v>1240</v>
      </c>
      <c r="G246" s="2" t="s">
        <v>1240</v>
      </c>
      <c r="H246" s="2" t="s">
        <v>1240</v>
      </c>
      <c r="I246" s="2" t="s">
        <v>1241</v>
      </c>
      <c r="J246" s="2" t="s">
        <v>661</v>
      </c>
      <c r="K246" s="2" t="s">
        <v>367</v>
      </c>
      <c r="L246" s="3">
        <v>285.2</v>
      </c>
      <c r="M246" s="3">
        <v>299.46</v>
      </c>
      <c r="N246" s="3">
        <v>599</v>
      </c>
      <c r="O246" s="2" t="s">
        <v>95</v>
      </c>
      <c r="P246" s="2" t="s">
        <v>140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98</v>
      </c>
      <c r="V246" s="2" t="s">
        <v>208</v>
      </c>
      <c r="W246" s="2" t="s">
        <v>729</v>
      </c>
      <c r="X246" s="2" t="s">
        <v>98</v>
      </c>
      <c r="Y246" s="2" t="s">
        <v>1206</v>
      </c>
      <c r="Z246" s="4">
        <v>113</v>
      </c>
      <c r="AA246" s="4">
        <f>=ROUNDDOWN(23.5416666666667,0)</f>
      </c>
      <c r="AB246" s="5">
        <v>4.8</v>
      </c>
      <c r="AC246" s="2" t="s">
        <v>1076</v>
      </c>
      <c r="AD246" s="4">
        <v>130</v>
      </c>
      <c r="AE246" s="4">
        <v>280</v>
      </c>
      <c r="AF246" s="6">
        <v>74</v>
      </c>
      <c r="AG246" s="6">
        <v>60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348.06</v>
      </c>
      <c r="AR246" s="4"/>
      <c r="AS246" s="8"/>
      <c r="AT246" s="7"/>
      <c r="AU246" s="7"/>
      <c r="AV246" s="4">
        <v>1</v>
      </c>
      <c r="AW246" s="8">
        <v>348.06</v>
      </c>
      <c r="AX246" s="4"/>
      <c r="AY246" s="8"/>
      <c r="AZ246" s="7"/>
      <c r="BA246" s="7"/>
      <c r="BB246" s="7">
        <v>1</v>
      </c>
      <c r="BC246" s="4">
        <v>1</v>
      </c>
      <c r="BD246" s="8">
        <v>348.06</v>
      </c>
      <c r="BE246" s="4"/>
      <c r="BF246" s="8"/>
      <c r="BG246" s="7"/>
      <c r="BH246" s="7"/>
      <c r="BI246" s="7">
        <v>1</v>
      </c>
      <c r="BJ246" s="4">
        <v>10</v>
      </c>
      <c r="BK246" s="8">
        <v>2881.07</v>
      </c>
      <c r="BL246" s="2" t="s">
        <v>1242</v>
      </c>
      <c r="BM246" s="7">
        <v>0.1</v>
      </c>
      <c r="BN246" s="7">
        <v>0.1208</v>
      </c>
      <c r="BO246" s="4">
        <v>1</v>
      </c>
      <c r="BP246" s="8">
        <v>348.06</v>
      </c>
      <c r="BQ246" s="4"/>
      <c r="BR246" s="8"/>
      <c r="BS246" s="7"/>
      <c r="BT246" s="7"/>
      <c r="BU246" s="2" t="s">
        <v>106</v>
      </c>
      <c r="BV246" s="2" t="s">
        <v>95</v>
      </c>
      <c r="BW246" s="2" t="s">
        <v>168</v>
      </c>
      <c r="BX246" s="2" t="s">
        <v>125</v>
      </c>
      <c r="BY246" s="2" t="s">
        <v>109</v>
      </c>
      <c r="BZ246" s="2" t="s">
        <v>98</v>
      </c>
    </row>
    <row r="247">
      <c r="A247" s="2" t="s">
        <v>1243</v>
      </c>
      <c r="B247" s="2" t="s">
        <v>996</v>
      </c>
      <c r="C247" s="2" t="s">
        <v>88</v>
      </c>
      <c r="D247" s="2" t="s">
        <v>1238</v>
      </c>
      <c r="E247" s="2" t="s">
        <v>1239</v>
      </c>
      <c r="F247" s="2" t="s">
        <v>1244</v>
      </c>
      <c r="G247" s="2" t="s">
        <v>1244</v>
      </c>
      <c r="H247" s="2" t="s">
        <v>1244</v>
      </c>
      <c r="I247" s="2" t="s">
        <v>1245</v>
      </c>
      <c r="J247" s="2" t="s">
        <v>661</v>
      </c>
      <c r="K247" s="2" t="s">
        <v>1246</v>
      </c>
      <c r="L247" s="3">
        <v>256.68</v>
      </c>
      <c r="M247" s="3">
        <v>269.51</v>
      </c>
      <c r="N247" s="3">
        <v>549</v>
      </c>
      <c r="O247" s="2" t="s">
        <v>206</v>
      </c>
      <c r="P247" s="2" t="s">
        <v>128</v>
      </c>
      <c r="Q247" s="2" t="s">
        <v>97</v>
      </c>
      <c r="R247" s="2" t="s">
        <v>98</v>
      </c>
      <c r="S247" s="2" t="s">
        <v>98</v>
      </c>
      <c r="T247" s="2" t="s">
        <v>98</v>
      </c>
      <c r="U247" s="2" t="s">
        <v>98</v>
      </c>
      <c r="V247" s="2" t="s">
        <v>369</v>
      </c>
      <c r="W247" s="2" t="s">
        <v>242</v>
      </c>
      <c r="X247" s="2" t="s">
        <v>384</v>
      </c>
      <c r="Y247" s="2" t="s">
        <v>1247</v>
      </c>
      <c r="Z247" s="4">
        <v>22</v>
      </c>
      <c r="AA247" s="4">
        <f>=ROUNDDOWN(12.9411764705882,0)</f>
      </c>
      <c r="AB247" s="5">
        <v>1.7</v>
      </c>
      <c r="AC247" s="2" t="s">
        <v>98</v>
      </c>
      <c r="AD247" s="4"/>
      <c r="AE247" s="4"/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>
        <v>5</v>
      </c>
      <c r="BK247" s="8">
        <v>451.72</v>
      </c>
      <c r="BL247" s="2" t="s">
        <v>790</v>
      </c>
      <c r="BM247" s="7"/>
      <c r="BN247" s="7"/>
      <c r="BO247" s="4"/>
      <c r="BP247" s="8"/>
      <c r="BQ247" s="4"/>
      <c r="BR247" s="8"/>
      <c r="BS247" s="7"/>
      <c r="BT247" s="7"/>
      <c r="BU247" s="2" t="s">
        <v>106</v>
      </c>
      <c r="BV247" s="2" t="s">
        <v>95</v>
      </c>
      <c r="BW247" s="2" t="s">
        <v>682</v>
      </c>
      <c r="BX247" s="2" t="s">
        <v>1248</v>
      </c>
      <c r="BY247" s="2" t="s">
        <v>109</v>
      </c>
      <c r="BZ247" s="2" t="s">
        <v>98</v>
      </c>
    </row>
    <row r="248">
      <c r="A248" s="2" t="s">
        <v>1249</v>
      </c>
      <c r="B248" s="2" t="s">
        <v>996</v>
      </c>
      <c r="C248" s="2" t="s">
        <v>88</v>
      </c>
      <c r="D248" s="2" t="s">
        <v>1238</v>
      </c>
      <c r="E248" s="2" t="s">
        <v>1239</v>
      </c>
      <c r="F248" s="2" t="s">
        <v>1250</v>
      </c>
      <c r="G248" s="2" t="s">
        <v>1250</v>
      </c>
      <c r="H248" s="2" t="s">
        <v>1250</v>
      </c>
      <c r="I248" s="2" t="s">
        <v>1251</v>
      </c>
      <c r="J248" s="2" t="s">
        <v>661</v>
      </c>
      <c r="K248" s="2" t="s">
        <v>1246</v>
      </c>
      <c r="L248" s="3">
        <v>262.2</v>
      </c>
      <c r="M248" s="3">
        <v>275.31</v>
      </c>
      <c r="N248" s="3">
        <v>549</v>
      </c>
      <c r="O248" s="2" t="s">
        <v>95</v>
      </c>
      <c r="P248" s="2" t="s">
        <v>140</v>
      </c>
      <c r="Q248" s="2" t="s">
        <v>97</v>
      </c>
      <c r="R248" s="2" t="s">
        <v>98</v>
      </c>
      <c r="S248" s="2" t="s">
        <v>98</v>
      </c>
      <c r="T248" s="2" t="s">
        <v>98</v>
      </c>
      <c r="U248" s="2" t="s">
        <v>590</v>
      </c>
      <c r="V248" s="2" t="s">
        <v>369</v>
      </c>
      <c r="W248" s="2" t="s">
        <v>242</v>
      </c>
      <c r="X248" s="2" t="s">
        <v>190</v>
      </c>
      <c r="Y248" s="2" t="s">
        <v>1252</v>
      </c>
      <c r="Z248" s="4">
        <v>90</v>
      </c>
      <c r="AA248" s="4">
        <f>=ROUNDDOWN(17.6470588235294,0)</f>
      </c>
      <c r="AB248" s="5">
        <v>5.1</v>
      </c>
      <c r="AC248" s="2" t="s">
        <v>178</v>
      </c>
      <c r="AD248" s="4">
        <v>90</v>
      </c>
      <c r="AE248" s="4">
        <v>150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7</v>
      </c>
      <c r="BK248" s="8">
        <v>1852.81</v>
      </c>
      <c r="BL248" s="2" t="s">
        <v>790</v>
      </c>
      <c r="BM248" s="7"/>
      <c r="BN248" s="7"/>
      <c r="BO248" s="4"/>
      <c r="BP248" s="8"/>
      <c r="BQ248" s="4"/>
      <c r="BR248" s="8"/>
      <c r="BS248" s="7"/>
      <c r="BT248" s="7"/>
      <c r="BU248" s="2" t="s">
        <v>106</v>
      </c>
      <c r="BV248" s="2" t="s">
        <v>95</v>
      </c>
      <c r="BW248" s="2" t="s">
        <v>682</v>
      </c>
      <c r="BX248" s="2" t="s">
        <v>1253</v>
      </c>
      <c r="BY248" s="2" t="s">
        <v>109</v>
      </c>
      <c r="BZ248" s="2" t="s">
        <v>98</v>
      </c>
    </row>
    <row r="249">
      <c r="A249" s="2" t="s">
        <v>1254</v>
      </c>
      <c r="B249" s="2" t="s">
        <v>996</v>
      </c>
      <c r="C249" s="2" t="s">
        <v>88</v>
      </c>
      <c r="D249" s="2" t="s">
        <v>1238</v>
      </c>
      <c r="E249" s="2" t="s">
        <v>1239</v>
      </c>
      <c r="F249" s="2" t="s">
        <v>1255</v>
      </c>
      <c r="G249" s="2" t="s">
        <v>1255</v>
      </c>
      <c r="H249" s="2" t="s">
        <v>98</v>
      </c>
      <c r="I249" s="2" t="s">
        <v>1256</v>
      </c>
      <c r="J249" s="2" t="s">
        <v>661</v>
      </c>
      <c r="K249" s="2" t="s">
        <v>1257</v>
      </c>
      <c r="L249" s="3">
        <v>380</v>
      </c>
      <c r="M249" s="3">
        <v>399</v>
      </c>
      <c r="N249" s="3">
        <v>799</v>
      </c>
      <c r="O249" s="2" t="s">
        <v>95</v>
      </c>
      <c r="P249" s="2" t="s">
        <v>140</v>
      </c>
      <c r="Q249" s="2" t="s">
        <v>97</v>
      </c>
      <c r="R249" s="2" t="s">
        <v>98</v>
      </c>
      <c r="S249" s="2" t="s">
        <v>1258</v>
      </c>
      <c r="T249" s="2" t="s">
        <v>98</v>
      </c>
      <c r="U249" s="2" t="s">
        <v>98</v>
      </c>
      <c r="V249" s="2" t="s">
        <v>208</v>
      </c>
      <c r="W249" s="2" t="s">
        <v>729</v>
      </c>
      <c r="X249" s="2" t="s">
        <v>98</v>
      </c>
      <c r="Y249" s="2" t="s">
        <v>354</v>
      </c>
      <c r="Z249" s="4">
        <v>88</v>
      </c>
      <c r="AA249" s="4">
        <f>=ROUNDDOWN(17.6,0)</f>
      </c>
      <c r="AB249" s="5">
        <v>5</v>
      </c>
      <c r="AC249" s="2" t="s">
        <v>1172</v>
      </c>
      <c r="AD249" s="4">
        <v>100</v>
      </c>
      <c r="AE249" s="4">
        <v>100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4</v>
      </c>
      <c r="BK249" s="8">
        <v>1608.72</v>
      </c>
      <c r="BL249" s="2" t="s">
        <v>989</v>
      </c>
      <c r="BM249" s="7"/>
      <c r="BN249" s="7"/>
      <c r="BO249" s="4"/>
      <c r="BP249" s="8"/>
      <c r="BQ249" s="4"/>
      <c r="BR249" s="8"/>
      <c r="BS249" s="7"/>
      <c r="BT249" s="7"/>
      <c r="BU249" s="2" t="s">
        <v>106</v>
      </c>
      <c r="BV249" s="2" t="s">
        <v>95</v>
      </c>
      <c r="BW249" s="2" t="s">
        <v>1082</v>
      </c>
      <c r="BX249" s="2" t="s">
        <v>1259</v>
      </c>
      <c r="BY249" s="2" t="s">
        <v>109</v>
      </c>
      <c r="BZ249" s="2" t="s">
        <v>98</v>
      </c>
    </row>
    <row r="250">
      <c r="A250" s="2" t="s">
        <v>1260</v>
      </c>
      <c r="B250" s="2" t="s">
        <v>996</v>
      </c>
      <c r="C250" s="2" t="s">
        <v>88</v>
      </c>
      <c r="D250" s="2" t="s">
        <v>1238</v>
      </c>
      <c r="E250" s="2" t="s">
        <v>1239</v>
      </c>
      <c r="F250" s="2" t="s">
        <v>1261</v>
      </c>
      <c r="G250" s="2" t="s">
        <v>1261</v>
      </c>
      <c r="H250" s="2" t="s">
        <v>1261</v>
      </c>
      <c r="I250" s="2" t="s">
        <v>1262</v>
      </c>
      <c r="J250" s="2" t="s">
        <v>661</v>
      </c>
      <c r="K250" s="2" t="s">
        <v>564</v>
      </c>
      <c r="L250" s="3">
        <v>405</v>
      </c>
      <c r="M250" s="3">
        <v>425.25</v>
      </c>
      <c r="N250" s="3">
        <v>849</v>
      </c>
      <c r="O250" s="2" t="s">
        <v>95</v>
      </c>
      <c r="P250" s="2" t="s">
        <v>128</v>
      </c>
      <c r="Q250" s="2" t="s">
        <v>97</v>
      </c>
      <c r="R250" s="2" t="s">
        <v>98</v>
      </c>
      <c r="S250" s="2" t="s">
        <v>98</v>
      </c>
      <c r="T250" s="2" t="s">
        <v>98</v>
      </c>
      <c r="U250" s="2" t="s">
        <v>98</v>
      </c>
      <c r="V250" s="2" t="s">
        <v>369</v>
      </c>
      <c r="W250" s="2" t="s">
        <v>384</v>
      </c>
      <c r="X250" s="2" t="s">
        <v>242</v>
      </c>
      <c r="Y250" s="2" t="s">
        <v>1263</v>
      </c>
      <c r="Z250" s="4">
        <v>138</v>
      </c>
      <c r="AA250" s="4">
        <f>=ROUNDDOWN(106.153846153846,0)</f>
      </c>
      <c r="AB250" s="5">
        <v>1.3</v>
      </c>
      <c r="AC250" s="2" t="s">
        <v>98</v>
      </c>
      <c r="AD250" s="4"/>
      <c r="AE250" s="4"/>
      <c r="AF250" s="6">
        <v>74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6</v>
      </c>
      <c r="BK250" s="8">
        <v>1181.83</v>
      </c>
      <c r="BL250" s="2" t="s">
        <v>502</v>
      </c>
      <c r="BM250" s="7"/>
      <c r="BN250" s="7"/>
      <c r="BO250" s="4"/>
      <c r="BP250" s="8"/>
      <c r="BQ250" s="4"/>
      <c r="BR250" s="8"/>
      <c r="BS250" s="7"/>
      <c r="BT250" s="7"/>
      <c r="BU250" s="2" t="s">
        <v>1264</v>
      </c>
      <c r="BV250" s="2" t="s">
        <v>95</v>
      </c>
      <c r="BW250" s="2" t="s">
        <v>98</v>
      </c>
      <c r="BX250" s="2" t="s">
        <v>98</v>
      </c>
      <c r="BY250" s="2" t="s">
        <v>109</v>
      </c>
      <c r="BZ250" s="2" t="s">
        <v>98</v>
      </c>
    </row>
    <row r="251">
      <c r="A251" s="2" t="s">
        <v>1265</v>
      </c>
      <c r="B251" s="2" t="s">
        <v>996</v>
      </c>
      <c r="C251" s="2" t="s">
        <v>88</v>
      </c>
      <c r="D251" s="2" t="s">
        <v>1238</v>
      </c>
      <c r="E251" s="2" t="s">
        <v>1239</v>
      </c>
      <c r="F251" s="2" t="s">
        <v>1261</v>
      </c>
      <c r="G251" s="2" t="s">
        <v>1261</v>
      </c>
      <c r="H251" s="2" t="s">
        <v>1261</v>
      </c>
      <c r="I251" s="2" t="s">
        <v>1262</v>
      </c>
      <c r="J251" s="2" t="s">
        <v>661</v>
      </c>
      <c r="K251" s="2" t="s">
        <v>1266</v>
      </c>
      <c r="L251" s="3">
        <v>405</v>
      </c>
      <c r="M251" s="3">
        <v>425.25</v>
      </c>
      <c r="N251" s="3">
        <v>849</v>
      </c>
      <c r="O251" s="2" t="s">
        <v>95</v>
      </c>
      <c r="P251" s="2" t="s">
        <v>714</v>
      </c>
      <c r="Q251" s="2" t="s">
        <v>97</v>
      </c>
      <c r="R251" s="2" t="s">
        <v>98</v>
      </c>
      <c r="S251" s="2" t="s">
        <v>1267</v>
      </c>
      <c r="T251" s="2" t="s">
        <v>98</v>
      </c>
      <c r="U251" s="2" t="s">
        <v>98</v>
      </c>
      <c r="V251" s="2" t="s">
        <v>208</v>
      </c>
      <c r="W251" s="2" t="s">
        <v>384</v>
      </c>
      <c r="X251" s="2" t="s">
        <v>98</v>
      </c>
      <c r="Y251" s="2" t="s">
        <v>354</v>
      </c>
      <c r="Z251" s="4">
        <v>82</v>
      </c>
      <c r="AA251" s="4">
        <f>=ROUNDDOWN(16.4,0)</f>
      </c>
      <c r="AB251" s="5">
        <v>5</v>
      </c>
      <c r="AC251" s="2" t="s">
        <v>1268</v>
      </c>
      <c r="AD251" s="4">
        <v>50</v>
      </c>
      <c r="AE251" s="4">
        <v>50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/>
      <c r="BK251" s="8"/>
      <c r="BL251" s="2" t="s">
        <v>98</v>
      </c>
      <c r="BM251" s="7"/>
      <c r="BN251" s="7"/>
      <c r="BO251" s="4"/>
      <c r="BP251" s="8"/>
      <c r="BQ251" s="4"/>
      <c r="BR251" s="8"/>
      <c r="BS251" s="7"/>
      <c r="BT251" s="7"/>
      <c r="BU251" s="2" t="s">
        <v>1264</v>
      </c>
      <c r="BV251" s="2" t="s">
        <v>95</v>
      </c>
      <c r="BW251" s="2" t="s">
        <v>98</v>
      </c>
      <c r="BX251" s="2" t="s">
        <v>98</v>
      </c>
      <c r="BY251" s="2" t="s">
        <v>109</v>
      </c>
      <c r="BZ251" s="2" t="s">
        <v>98</v>
      </c>
    </row>
    <row r="252">
      <c r="A252" s="2" t="s">
        <v>1269</v>
      </c>
      <c r="B252" s="2" t="s">
        <v>996</v>
      </c>
      <c r="C252" s="2" t="s">
        <v>88</v>
      </c>
      <c r="D252" s="2" t="s">
        <v>1238</v>
      </c>
      <c r="E252" s="2" t="s">
        <v>1239</v>
      </c>
      <c r="F252" s="2" t="s">
        <v>1270</v>
      </c>
      <c r="G252" s="2" t="s">
        <v>1270</v>
      </c>
      <c r="H252" s="2" t="s">
        <v>1270</v>
      </c>
      <c r="I252" s="2" t="s">
        <v>1271</v>
      </c>
      <c r="J252" s="2" t="s">
        <v>661</v>
      </c>
      <c r="K252" s="2" t="s">
        <v>631</v>
      </c>
      <c r="L252" s="3">
        <v>313.5</v>
      </c>
      <c r="M252" s="3">
        <v>329.18</v>
      </c>
      <c r="N252" s="3">
        <v>659</v>
      </c>
      <c r="O252" s="2" t="s">
        <v>95</v>
      </c>
      <c r="P252" s="2" t="s">
        <v>714</v>
      </c>
      <c r="Q252" s="2" t="s">
        <v>97</v>
      </c>
      <c r="R252" s="2" t="s">
        <v>98</v>
      </c>
      <c r="S252" s="2" t="s">
        <v>98</v>
      </c>
      <c r="T252" s="2" t="s">
        <v>98</v>
      </c>
      <c r="U252" s="2" t="s">
        <v>98</v>
      </c>
      <c r="V252" s="2" t="s">
        <v>208</v>
      </c>
      <c r="W252" s="2" t="s">
        <v>729</v>
      </c>
      <c r="X252" s="2" t="s">
        <v>98</v>
      </c>
      <c r="Y252" s="2" t="s">
        <v>1206</v>
      </c>
      <c r="Z252" s="4">
        <v>150</v>
      </c>
      <c r="AA252" s="4">
        <f>=ROUNDDOWN(50,0)</f>
      </c>
      <c r="AB252" s="5">
        <v>3</v>
      </c>
      <c r="AC252" s="2" t="s">
        <v>98</v>
      </c>
      <c r="AD252" s="4"/>
      <c r="AE252" s="4"/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1</v>
      </c>
      <c r="BK252" s="8">
        <v>351.34</v>
      </c>
      <c r="BL252" s="2" t="s">
        <v>143</v>
      </c>
      <c r="BM252" s="7"/>
      <c r="BN252" s="7"/>
      <c r="BO252" s="4"/>
      <c r="BP252" s="8"/>
      <c r="BQ252" s="4"/>
      <c r="BR252" s="8"/>
      <c r="BS252" s="7"/>
      <c r="BT252" s="7"/>
      <c r="BU252" s="2" t="s">
        <v>106</v>
      </c>
      <c r="BV252" s="2" t="s">
        <v>95</v>
      </c>
      <c r="BW252" s="2" t="s">
        <v>168</v>
      </c>
      <c r="BX252" s="2" t="s">
        <v>868</v>
      </c>
      <c r="BY252" s="2" t="s">
        <v>109</v>
      </c>
      <c r="BZ252" s="2" t="s">
        <v>98</v>
      </c>
    </row>
    <row r="253">
      <c r="A253" s="2" t="s">
        <v>1272</v>
      </c>
      <c r="B253" s="2" t="s">
        <v>996</v>
      </c>
      <c r="C253" s="2" t="s">
        <v>88</v>
      </c>
      <c r="D253" s="2" t="s">
        <v>1238</v>
      </c>
      <c r="E253" s="2" t="s">
        <v>1239</v>
      </c>
      <c r="F253" s="2" t="s">
        <v>1273</v>
      </c>
      <c r="G253" s="2" t="s">
        <v>1273</v>
      </c>
      <c r="H253" s="2" t="s">
        <v>98</v>
      </c>
      <c r="I253" s="2" t="s">
        <v>1274</v>
      </c>
      <c r="J253" s="2" t="s">
        <v>661</v>
      </c>
      <c r="K253" s="2" t="s">
        <v>1130</v>
      </c>
      <c r="L253" s="3">
        <v>120</v>
      </c>
      <c r="M253" s="3">
        <v>126</v>
      </c>
      <c r="N253" s="3">
        <v>249</v>
      </c>
      <c r="O253" s="2" t="s">
        <v>95</v>
      </c>
      <c r="P253" s="2" t="s">
        <v>140</v>
      </c>
      <c r="Q253" s="2" t="s">
        <v>97</v>
      </c>
      <c r="R253" s="2" t="s">
        <v>98</v>
      </c>
      <c r="S253" s="2" t="s">
        <v>1275</v>
      </c>
      <c r="T253" s="2" t="s">
        <v>98</v>
      </c>
      <c r="U253" s="2" t="s">
        <v>98</v>
      </c>
      <c r="V253" s="2" t="s">
        <v>208</v>
      </c>
      <c r="W253" s="2" t="s">
        <v>729</v>
      </c>
      <c r="X253" s="2" t="s">
        <v>98</v>
      </c>
      <c r="Y253" s="2" t="s">
        <v>354</v>
      </c>
      <c r="Z253" s="4">
        <v>122</v>
      </c>
      <c r="AA253" s="4">
        <f>=ROUNDDOWN(110.909090909091,0)</f>
      </c>
      <c r="AB253" s="5">
        <v>1.1</v>
      </c>
      <c r="AC253" s="2" t="s">
        <v>1276</v>
      </c>
      <c r="AD253" s="4">
        <v>100</v>
      </c>
      <c r="AE253" s="4">
        <v>100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>
        <v>11</v>
      </c>
      <c r="AL253" s="2" t="s">
        <v>98</v>
      </c>
      <c r="AM253" s="4"/>
      <c r="AN253" s="4"/>
      <c r="AO253" s="7">
        <v>1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>
        <v>11</v>
      </c>
      <c r="BK253" s="8">
        <v>935.85</v>
      </c>
      <c r="BL253" s="2" t="s">
        <v>1277</v>
      </c>
      <c r="BM253" s="7"/>
      <c r="BN253" s="7"/>
      <c r="BO253" s="4"/>
      <c r="BP253" s="8"/>
      <c r="BQ253" s="4"/>
      <c r="BR253" s="8"/>
      <c r="BS253" s="7"/>
      <c r="BT253" s="7"/>
      <c r="BU253" s="2" t="s">
        <v>106</v>
      </c>
      <c r="BV253" s="2" t="s">
        <v>95</v>
      </c>
      <c r="BW253" s="2" t="s">
        <v>168</v>
      </c>
      <c r="BX253" s="2" t="s">
        <v>1278</v>
      </c>
      <c r="BY253" s="2" t="s">
        <v>109</v>
      </c>
      <c r="BZ253" s="2" t="s">
        <v>98</v>
      </c>
    </row>
    <row r="254">
      <c r="A254" s="2" t="s">
        <v>1279</v>
      </c>
      <c r="B254" s="2" t="s">
        <v>996</v>
      </c>
      <c r="C254" s="2" t="s">
        <v>88</v>
      </c>
      <c r="D254" s="2" t="s">
        <v>1280</v>
      </c>
      <c r="E254" s="2" t="s">
        <v>1281</v>
      </c>
      <c r="F254" s="2" t="s">
        <v>1282</v>
      </c>
      <c r="G254" s="2" t="s">
        <v>1282</v>
      </c>
      <c r="H254" s="2" t="s">
        <v>1282</v>
      </c>
      <c r="I254" s="2" t="s">
        <v>1283</v>
      </c>
      <c r="J254" s="2" t="s">
        <v>661</v>
      </c>
      <c r="K254" s="2" t="s">
        <v>1053</v>
      </c>
      <c r="L254" s="3">
        <v>213.75</v>
      </c>
      <c r="M254" s="3">
        <v>224.44</v>
      </c>
      <c r="N254" s="3">
        <v>449</v>
      </c>
      <c r="O254" s="2" t="s">
        <v>95</v>
      </c>
      <c r="P254" s="2" t="s">
        <v>140</v>
      </c>
      <c r="Q254" s="2" t="s">
        <v>97</v>
      </c>
      <c r="R254" s="2" t="s">
        <v>98</v>
      </c>
      <c r="S254" s="2" t="s">
        <v>98</v>
      </c>
      <c r="T254" s="2" t="s">
        <v>98</v>
      </c>
      <c r="U254" s="2" t="s">
        <v>590</v>
      </c>
      <c r="V254" s="2" t="s">
        <v>369</v>
      </c>
      <c r="W254" s="2" t="s">
        <v>377</v>
      </c>
      <c r="X254" s="2" t="s">
        <v>190</v>
      </c>
      <c r="Y254" s="2" t="s">
        <v>1284</v>
      </c>
      <c r="Z254" s="4">
        <v>248</v>
      </c>
      <c r="AA254" s="4">
        <f>=ROUNDDOWN(88.5714285714286,0)</f>
      </c>
      <c r="AB254" s="5">
        <v>2.8</v>
      </c>
      <c r="AC254" s="2" t="s">
        <v>98</v>
      </c>
      <c r="AD254" s="4"/>
      <c r="AE254" s="4"/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/>
      <c r="AP254" s="4">
        <v>1</v>
      </c>
      <c r="AQ254" s="8">
        <v>251.37</v>
      </c>
      <c r="AR254" s="4"/>
      <c r="AS254" s="8"/>
      <c r="AT254" s="7"/>
      <c r="AU254" s="7"/>
      <c r="AV254" s="4">
        <v>1</v>
      </c>
      <c r="AW254" s="8">
        <v>251.37</v>
      </c>
      <c r="AX254" s="4"/>
      <c r="AY254" s="8"/>
      <c r="AZ254" s="7"/>
      <c r="BA254" s="7"/>
      <c r="BB254" s="7">
        <v>1</v>
      </c>
      <c r="BC254" s="4">
        <v>1</v>
      </c>
      <c r="BD254" s="8">
        <v>251.37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1</v>
      </c>
      <c r="BJ254" s="4">
        <v>4</v>
      </c>
      <c r="BK254" s="8">
        <v>958.35</v>
      </c>
      <c r="BL254" s="2" t="s">
        <v>1285</v>
      </c>
      <c r="BM254" s="7">
        <v>0.25</v>
      </c>
      <c r="BN254" s="7">
        <v>0.2623</v>
      </c>
      <c r="BO254" s="4">
        <v>1</v>
      </c>
      <c r="BP254" s="8">
        <v>251.37</v>
      </c>
      <c r="BQ254" s="4"/>
      <c r="BR254" s="8"/>
      <c r="BS254" s="7"/>
      <c r="BT254" s="7"/>
      <c r="BU254" s="2" t="s">
        <v>106</v>
      </c>
      <c r="BV254" s="2" t="s">
        <v>95</v>
      </c>
      <c r="BW254" s="2" t="s">
        <v>1020</v>
      </c>
      <c r="BX254" s="2" t="s">
        <v>1286</v>
      </c>
      <c r="BY254" s="2" t="s">
        <v>109</v>
      </c>
      <c r="BZ254" s="2" t="s">
        <v>98</v>
      </c>
    </row>
    <row r="255">
      <c r="A255" s="2" t="s">
        <v>1287</v>
      </c>
      <c r="B255" s="2" t="s">
        <v>996</v>
      </c>
      <c r="C255" s="2" t="s">
        <v>88</v>
      </c>
      <c r="D255" s="2" t="s">
        <v>1280</v>
      </c>
      <c r="E255" s="2" t="s">
        <v>1281</v>
      </c>
      <c r="F255" s="2" t="s">
        <v>1282</v>
      </c>
      <c r="G255" s="2" t="s">
        <v>1282</v>
      </c>
      <c r="H255" s="2" t="s">
        <v>1282</v>
      </c>
      <c r="I255" s="2" t="s">
        <v>1283</v>
      </c>
      <c r="J255" s="2" t="s">
        <v>661</v>
      </c>
      <c r="K255" s="2" t="s">
        <v>1006</v>
      </c>
      <c r="L255" s="3">
        <v>213.75</v>
      </c>
      <c r="M255" s="3">
        <v>224.44</v>
      </c>
      <c r="N255" s="3">
        <v>449</v>
      </c>
      <c r="O255" s="2" t="s">
        <v>95</v>
      </c>
      <c r="P255" s="2" t="s">
        <v>177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590</v>
      </c>
      <c r="V255" s="2" t="s">
        <v>369</v>
      </c>
      <c r="W255" s="2" t="s">
        <v>377</v>
      </c>
      <c r="X255" s="2" t="s">
        <v>190</v>
      </c>
      <c r="Y255" s="2" t="s">
        <v>1288</v>
      </c>
      <c r="Z255" s="4">
        <v>62</v>
      </c>
      <c r="AA255" s="4">
        <f>=ROUNDDOWN(31,0)</f>
      </c>
      <c r="AB255" s="5">
        <v>2</v>
      </c>
      <c r="AC255" s="2" t="s">
        <v>98</v>
      </c>
      <c r="AD255" s="4"/>
      <c r="AE255" s="4"/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>
        <v>2</v>
      </c>
      <c r="BK255" s="8">
        <v>456.5</v>
      </c>
      <c r="BL255" s="2" t="s">
        <v>525</v>
      </c>
      <c r="BM255" s="7"/>
      <c r="BN255" s="7"/>
      <c r="BO255" s="4"/>
      <c r="BP255" s="8"/>
      <c r="BQ255" s="4"/>
      <c r="BR255" s="8"/>
      <c r="BS255" s="7"/>
      <c r="BT255" s="7"/>
      <c r="BU255" s="2" t="s">
        <v>106</v>
      </c>
      <c r="BV255" s="2" t="s">
        <v>95</v>
      </c>
      <c r="BW255" s="2" t="s">
        <v>1020</v>
      </c>
      <c r="BX255" s="2" t="s">
        <v>1289</v>
      </c>
      <c r="BY255" s="2" t="s">
        <v>109</v>
      </c>
      <c r="BZ255" s="2" t="s">
        <v>98</v>
      </c>
    </row>
    <row r="256">
      <c r="A256" s="2" t="s">
        <v>1290</v>
      </c>
      <c r="B256" s="2" t="s">
        <v>996</v>
      </c>
      <c r="C256" s="2" t="s">
        <v>88</v>
      </c>
      <c r="D256" s="2" t="s">
        <v>1280</v>
      </c>
      <c r="E256" s="2" t="s">
        <v>1281</v>
      </c>
      <c r="F256" s="2" t="s">
        <v>1282</v>
      </c>
      <c r="G256" s="2" t="s">
        <v>1282</v>
      </c>
      <c r="H256" s="2" t="s">
        <v>1282</v>
      </c>
      <c r="I256" s="2" t="s">
        <v>1283</v>
      </c>
      <c r="J256" s="2" t="s">
        <v>661</v>
      </c>
      <c r="K256" s="2" t="s">
        <v>1011</v>
      </c>
      <c r="L256" s="3">
        <v>213.75</v>
      </c>
      <c r="M256" s="3">
        <v>224.44</v>
      </c>
      <c r="N256" s="3">
        <v>449</v>
      </c>
      <c r="O256" s="2" t="s">
        <v>95</v>
      </c>
      <c r="P256" s="2" t="s">
        <v>177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590</v>
      </c>
      <c r="V256" s="2" t="s">
        <v>369</v>
      </c>
      <c r="W256" s="2" t="s">
        <v>377</v>
      </c>
      <c r="X256" s="2" t="s">
        <v>190</v>
      </c>
      <c r="Y256" s="2" t="s">
        <v>1291</v>
      </c>
      <c r="Z256" s="4">
        <v>9</v>
      </c>
      <c r="AA256" s="4">
        <f>=ROUNDDOWN(3,0)</f>
      </c>
      <c r="AB256" s="5">
        <v>3</v>
      </c>
      <c r="AC256" s="2" t="s">
        <v>1292</v>
      </c>
      <c r="AD256" s="4">
        <v>80</v>
      </c>
      <c r="AE256" s="4">
        <v>80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5</v>
      </c>
      <c r="BK256" s="8">
        <v>1171.57</v>
      </c>
      <c r="BL256" s="2" t="s">
        <v>1293</v>
      </c>
      <c r="BM256" s="7"/>
      <c r="BN256" s="7"/>
      <c r="BO256" s="4"/>
      <c r="BP256" s="8"/>
      <c r="BQ256" s="4"/>
      <c r="BR256" s="8"/>
      <c r="BS256" s="7"/>
      <c r="BT256" s="7"/>
      <c r="BU256" s="2" t="s">
        <v>106</v>
      </c>
      <c r="BV256" s="2" t="s">
        <v>95</v>
      </c>
      <c r="BW256" s="2" t="s">
        <v>1020</v>
      </c>
      <c r="BX256" s="2" t="s">
        <v>798</v>
      </c>
      <c r="BY256" s="2" t="s">
        <v>109</v>
      </c>
      <c r="BZ256" s="2" t="s">
        <v>98</v>
      </c>
    </row>
    <row r="257">
      <c r="A257" s="2" t="s">
        <v>1294</v>
      </c>
      <c r="B257" s="2" t="s">
        <v>996</v>
      </c>
      <c r="C257" s="2" t="s">
        <v>88</v>
      </c>
      <c r="D257" s="2" t="s">
        <v>1280</v>
      </c>
      <c r="E257" s="2" t="s">
        <v>1281</v>
      </c>
      <c r="F257" s="2" t="s">
        <v>1295</v>
      </c>
      <c r="G257" s="2" t="s">
        <v>1295</v>
      </c>
      <c r="H257" s="2" t="s">
        <v>1295</v>
      </c>
      <c r="I257" s="2" t="s">
        <v>1296</v>
      </c>
      <c r="J257" s="2" t="s">
        <v>661</v>
      </c>
      <c r="K257" s="2" t="s">
        <v>1011</v>
      </c>
      <c r="L257" s="3">
        <v>239</v>
      </c>
      <c r="M257" s="3">
        <v>250.95</v>
      </c>
      <c r="N257" s="3">
        <v>499</v>
      </c>
      <c r="O257" s="2" t="s">
        <v>95</v>
      </c>
      <c r="P257" s="2" t="s">
        <v>177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590</v>
      </c>
      <c r="V257" s="2" t="s">
        <v>208</v>
      </c>
      <c r="W257" s="2" t="s">
        <v>242</v>
      </c>
      <c r="X257" s="2" t="s">
        <v>190</v>
      </c>
      <c r="Y257" s="2" t="s">
        <v>689</v>
      </c>
      <c r="Z257" s="4">
        <v>61</v>
      </c>
      <c r="AA257" s="4">
        <f>=ROUNDDOWN(61,0)</f>
      </c>
      <c r="AB257" s="5">
        <v>1</v>
      </c>
      <c r="AC257" s="2" t="s">
        <v>98</v>
      </c>
      <c r="AD257" s="4"/>
      <c r="AE257" s="4"/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/>
      <c r="BJ257" s="4"/>
      <c r="BK257" s="8"/>
      <c r="BL257" s="2" t="s">
        <v>98</v>
      </c>
      <c r="BM257" s="7"/>
      <c r="BN257" s="7"/>
      <c r="BO257" s="4"/>
      <c r="BP257" s="8"/>
      <c r="BQ257" s="4"/>
      <c r="BR257" s="8"/>
      <c r="BS257" s="7"/>
      <c r="BT257" s="7"/>
      <c r="BU257" s="2" t="s">
        <v>832</v>
      </c>
      <c r="BV257" s="2" t="s">
        <v>95</v>
      </c>
      <c r="BW257" s="2" t="s">
        <v>98</v>
      </c>
      <c r="BX257" s="2" t="s">
        <v>98</v>
      </c>
      <c r="BY257" s="2" t="s">
        <v>109</v>
      </c>
      <c r="BZ257" s="2" t="s">
        <v>98</v>
      </c>
    </row>
    <row r="258">
      <c r="A258" s="2" t="s">
        <v>1297</v>
      </c>
      <c r="B258" s="2" t="s">
        <v>996</v>
      </c>
      <c r="C258" s="2" t="s">
        <v>88</v>
      </c>
      <c r="D258" s="2" t="s">
        <v>1280</v>
      </c>
      <c r="E258" s="2" t="s">
        <v>1281</v>
      </c>
      <c r="F258" s="2" t="s">
        <v>1295</v>
      </c>
      <c r="G258" s="2" t="s">
        <v>1295</v>
      </c>
      <c r="H258" s="2" t="s">
        <v>1295</v>
      </c>
      <c r="I258" s="2" t="s">
        <v>1296</v>
      </c>
      <c r="J258" s="2" t="s">
        <v>661</v>
      </c>
      <c r="K258" s="2" t="s">
        <v>694</v>
      </c>
      <c r="L258" s="3">
        <v>239</v>
      </c>
      <c r="M258" s="3">
        <v>250.95</v>
      </c>
      <c r="N258" s="3">
        <v>499</v>
      </c>
      <c r="O258" s="2" t="s">
        <v>95</v>
      </c>
      <c r="P258" s="2" t="s">
        <v>177</v>
      </c>
      <c r="Q258" s="2" t="s">
        <v>97</v>
      </c>
      <c r="R258" s="2" t="s">
        <v>98</v>
      </c>
      <c r="S258" s="2" t="s">
        <v>98</v>
      </c>
      <c r="T258" s="2" t="s">
        <v>98</v>
      </c>
      <c r="U258" s="2" t="s">
        <v>590</v>
      </c>
      <c r="V258" s="2" t="s">
        <v>208</v>
      </c>
      <c r="W258" s="2" t="s">
        <v>242</v>
      </c>
      <c r="X258" s="2" t="s">
        <v>190</v>
      </c>
      <c r="Y258" s="2" t="s">
        <v>689</v>
      </c>
      <c r="Z258" s="4">
        <v>31</v>
      </c>
      <c r="AA258" s="4">
        <f>=ROUNDDOWN(15.5,0)</f>
      </c>
      <c r="AB258" s="5">
        <v>2</v>
      </c>
      <c r="AC258" s="2" t="s">
        <v>1298</v>
      </c>
      <c r="AD258" s="4">
        <v>100</v>
      </c>
      <c r="AE258" s="4">
        <v>100</v>
      </c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>
        <v>12</v>
      </c>
      <c r="BK258" s="8">
        <v>2860.8</v>
      </c>
      <c r="BL258" s="2" t="s">
        <v>525</v>
      </c>
      <c r="BM258" s="7"/>
      <c r="BN258" s="7"/>
      <c r="BO258" s="4"/>
      <c r="BP258" s="8"/>
      <c r="BQ258" s="4"/>
      <c r="BR258" s="8"/>
      <c r="BS258" s="7"/>
      <c r="BT258" s="7"/>
      <c r="BU258" s="2" t="s">
        <v>832</v>
      </c>
      <c r="BV258" s="2" t="s">
        <v>95</v>
      </c>
      <c r="BW258" s="2" t="s">
        <v>98</v>
      </c>
      <c r="BX258" s="2" t="s">
        <v>98</v>
      </c>
      <c r="BY258" s="2" t="s">
        <v>109</v>
      </c>
      <c r="BZ258" s="2" t="s">
        <v>98</v>
      </c>
    </row>
    <row r="259">
      <c r="A259" s="2" t="s">
        <v>1299</v>
      </c>
      <c r="B259" s="2" t="s">
        <v>996</v>
      </c>
      <c r="C259" s="2" t="s">
        <v>88</v>
      </c>
      <c r="D259" s="2" t="s">
        <v>1280</v>
      </c>
      <c r="E259" s="2" t="s">
        <v>1281</v>
      </c>
      <c r="F259" s="2" t="s">
        <v>1300</v>
      </c>
      <c r="G259" s="2" t="s">
        <v>1300</v>
      </c>
      <c r="H259" s="2" t="s">
        <v>1300</v>
      </c>
      <c r="I259" s="2" t="s">
        <v>1301</v>
      </c>
      <c r="J259" s="2" t="s">
        <v>661</v>
      </c>
      <c r="K259" s="2" t="s">
        <v>1302</v>
      </c>
      <c r="L259" s="3">
        <v>238</v>
      </c>
      <c r="M259" s="3">
        <v>249.9</v>
      </c>
      <c r="N259" s="3">
        <v>499</v>
      </c>
      <c r="O259" s="2" t="s">
        <v>95</v>
      </c>
      <c r="P259" s="2" t="s">
        <v>128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590</v>
      </c>
      <c r="V259" s="2" t="s">
        <v>208</v>
      </c>
      <c r="W259" s="2" t="s">
        <v>384</v>
      </c>
      <c r="X259" s="2" t="s">
        <v>98</v>
      </c>
      <c r="Y259" s="2" t="s">
        <v>1230</v>
      </c>
      <c r="Z259" s="4">
        <v>154</v>
      </c>
      <c r="AA259" s="4">
        <f>=ROUNDDOWN(81.0526315789474,0)</f>
      </c>
      <c r="AB259" s="5">
        <v>1.9</v>
      </c>
      <c r="AC259" s="2" t="s">
        <v>98</v>
      </c>
      <c r="AD259" s="4"/>
      <c r="AE259" s="4"/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98</v>
      </c>
      <c r="BM259" s="7"/>
      <c r="BN259" s="7"/>
      <c r="BO259" s="4"/>
      <c r="BP259" s="8"/>
      <c r="BQ259" s="4"/>
      <c r="BR259" s="8"/>
      <c r="BS259" s="7"/>
      <c r="BT259" s="7"/>
      <c r="BU259" s="2" t="s">
        <v>106</v>
      </c>
      <c r="BV259" s="2" t="s">
        <v>95</v>
      </c>
      <c r="BW259" s="2" t="s">
        <v>1119</v>
      </c>
      <c r="BX259" s="2" t="s">
        <v>258</v>
      </c>
      <c r="BY259" s="2" t="s">
        <v>109</v>
      </c>
      <c r="BZ259" s="2" t="s">
        <v>98</v>
      </c>
    </row>
    <row r="260">
      <c r="A260" s="2" t="s">
        <v>1303</v>
      </c>
      <c r="B260" s="2" t="s">
        <v>996</v>
      </c>
      <c r="C260" s="2" t="s">
        <v>88</v>
      </c>
      <c r="D260" s="2" t="s">
        <v>1304</v>
      </c>
      <c r="E260" s="2" t="s">
        <v>1029</v>
      </c>
      <c r="F260" s="2" t="s">
        <v>1240</v>
      </c>
      <c r="G260" s="2" t="s">
        <v>1240</v>
      </c>
      <c r="H260" s="2" t="s">
        <v>1240</v>
      </c>
      <c r="I260" s="2" t="s">
        <v>1305</v>
      </c>
      <c r="J260" s="2" t="s">
        <v>661</v>
      </c>
      <c r="K260" s="2" t="s">
        <v>367</v>
      </c>
      <c r="L260" s="3">
        <v>121.5</v>
      </c>
      <c r="M260" s="3">
        <v>127.58</v>
      </c>
      <c r="N260" s="3">
        <v>259</v>
      </c>
      <c r="O260" s="2" t="s">
        <v>95</v>
      </c>
      <c r="P260" s="2" t="s">
        <v>140</v>
      </c>
      <c r="Q260" s="2" t="s">
        <v>97</v>
      </c>
      <c r="R260" s="2" t="s">
        <v>98</v>
      </c>
      <c r="S260" s="2" t="s">
        <v>98</v>
      </c>
      <c r="T260" s="2" t="s">
        <v>98</v>
      </c>
      <c r="U260" s="2" t="s">
        <v>98</v>
      </c>
      <c r="V260" s="2" t="s">
        <v>208</v>
      </c>
      <c r="W260" s="2" t="s">
        <v>729</v>
      </c>
      <c r="X260" s="2" t="s">
        <v>98</v>
      </c>
      <c r="Y260" s="2" t="s">
        <v>1206</v>
      </c>
      <c r="Z260" s="4">
        <v>110</v>
      </c>
      <c r="AA260" s="4">
        <f>=ROUNDDOWN(14.4736842105263,0)</f>
      </c>
      <c r="AB260" s="5">
        <v>7.6</v>
      </c>
      <c r="AC260" s="2" t="s">
        <v>1268</v>
      </c>
      <c r="AD260" s="4">
        <v>100</v>
      </c>
      <c r="AE260" s="4">
        <v>200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/>
      <c r="AP260" s="4">
        <v>1</v>
      </c>
      <c r="AQ260" s="8">
        <v>164.59</v>
      </c>
      <c r="AR260" s="4"/>
      <c r="AS260" s="8"/>
      <c r="AT260" s="7"/>
      <c r="AU260" s="7"/>
      <c r="AV260" s="4">
        <v>1</v>
      </c>
      <c r="AW260" s="8">
        <v>164.59</v>
      </c>
      <c r="AX260" s="4"/>
      <c r="AY260" s="8"/>
      <c r="AZ260" s="7"/>
      <c r="BA260" s="7"/>
      <c r="BB260" s="7">
        <v>1</v>
      </c>
      <c r="BC260" s="4">
        <v>1</v>
      </c>
      <c r="BD260" s="8">
        <v>164.59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1</v>
      </c>
      <c r="BJ260" s="4">
        <v>4</v>
      </c>
      <c r="BK260" s="8">
        <v>499.66</v>
      </c>
      <c r="BL260" s="2" t="s">
        <v>965</v>
      </c>
      <c r="BM260" s="7">
        <v>0.25</v>
      </c>
      <c r="BN260" s="7">
        <v>0.3294</v>
      </c>
      <c r="BO260" s="4">
        <v>1</v>
      </c>
      <c r="BP260" s="8">
        <v>164.59</v>
      </c>
      <c r="BQ260" s="4"/>
      <c r="BR260" s="8"/>
      <c r="BS260" s="7"/>
      <c r="BT260" s="7"/>
      <c r="BU260" s="2" t="s">
        <v>106</v>
      </c>
      <c r="BV260" s="2" t="s">
        <v>95</v>
      </c>
      <c r="BW260" s="2" t="s">
        <v>168</v>
      </c>
      <c r="BX260" s="2" t="s">
        <v>1306</v>
      </c>
      <c r="BY260" s="2" t="s">
        <v>109</v>
      </c>
      <c r="BZ260" s="2" t="s">
        <v>98</v>
      </c>
    </row>
    <row r="261">
      <c r="A261" s="2" t="s">
        <v>1307</v>
      </c>
      <c r="B261" s="2" t="s">
        <v>996</v>
      </c>
      <c r="C261" s="2" t="s">
        <v>88</v>
      </c>
      <c r="D261" s="2" t="s">
        <v>1304</v>
      </c>
      <c r="E261" s="2" t="s">
        <v>1029</v>
      </c>
      <c r="F261" s="2" t="s">
        <v>1240</v>
      </c>
      <c r="G261" s="2" t="s">
        <v>1240</v>
      </c>
      <c r="H261" s="2" t="s">
        <v>1240</v>
      </c>
      <c r="I261" s="2" t="s">
        <v>1305</v>
      </c>
      <c r="J261" s="2" t="s">
        <v>661</v>
      </c>
      <c r="K261" s="2" t="s">
        <v>1308</v>
      </c>
      <c r="L261" s="3">
        <v>121.5</v>
      </c>
      <c r="M261" s="3">
        <v>127.58</v>
      </c>
      <c r="N261" s="3">
        <v>259</v>
      </c>
      <c r="O261" s="2" t="s">
        <v>95</v>
      </c>
      <c r="P261" s="2" t="s">
        <v>714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590</v>
      </c>
      <c r="V261" s="2" t="s">
        <v>208</v>
      </c>
      <c r="W261" s="2" t="s">
        <v>729</v>
      </c>
      <c r="X261" s="2" t="s">
        <v>242</v>
      </c>
      <c r="Y261" s="2" t="s">
        <v>1309</v>
      </c>
      <c r="Z261" s="4">
        <v>53</v>
      </c>
      <c r="AA261" s="4">
        <f>=ROUNDDOWN(18.9285714285714,0)</f>
      </c>
      <c r="AB261" s="5">
        <v>2.8</v>
      </c>
      <c r="AC261" s="2" t="s">
        <v>1310</v>
      </c>
      <c r="AD261" s="4">
        <v>60</v>
      </c>
      <c r="AE261" s="4">
        <v>60</v>
      </c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/>
      <c r="BJ261" s="4">
        <v>1</v>
      </c>
      <c r="BK261" s="8">
        <v>131.4</v>
      </c>
      <c r="BL261" s="2" t="s">
        <v>502</v>
      </c>
      <c r="BM261" s="7"/>
      <c r="BN261" s="7"/>
      <c r="BO261" s="4"/>
      <c r="BP261" s="8"/>
      <c r="BQ261" s="4"/>
      <c r="BR261" s="8"/>
      <c r="BS261" s="7"/>
      <c r="BT261" s="7"/>
      <c r="BU261" s="2" t="s">
        <v>106</v>
      </c>
      <c r="BV261" s="2" t="s">
        <v>95</v>
      </c>
      <c r="BW261" s="2" t="s">
        <v>1311</v>
      </c>
      <c r="BX261" s="2" t="s">
        <v>1312</v>
      </c>
      <c r="BY261" s="2" t="s">
        <v>109</v>
      </c>
      <c r="BZ261" s="2" t="s">
        <v>98</v>
      </c>
    </row>
    <row r="262">
      <c r="A262" s="2" t="s">
        <v>1313</v>
      </c>
      <c r="B262" s="2" t="s">
        <v>996</v>
      </c>
      <c r="C262" s="2" t="s">
        <v>88</v>
      </c>
      <c r="D262" s="2" t="s">
        <v>1304</v>
      </c>
      <c r="E262" s="2" t="s">
        <v>1029</v>
      </c>
      <c r="F262" s="2" t="s">
        <v>1314</v>
      </c>
      <c r="G262" s="2" t="s">
        <v>1314</v>
      </c>
      <c r="H262" s="2" t="s">
        <v>1314</v>
      </c>
      <c r="I262" s="2" t="s">
        <v>1305</v>
      </c>
      <c r="J262" s="2" t="s">
        <v>661</v>
      </c>
      <c r="K262" s="2" t="s">
        <v>737</v>
      </c>
      <c r="L262" s="3">
        <v>115.2</v>
      </c>
      <c r="M262" s="3">
        <v>120.96</v>
      </c>
      <c r="N262" s="3">
        <v>249</v>
      </c>
      <c r="O262" s="2" t="s">
        <v>95</v>
      </c>
      <c r="P262" s="2" t="s">
        <v>128</v>
      </c>
      <c r="Q262" s="2" t="s">
        <v>97</v>
      </c>
      <c r="R262" s="2" t="s">
        <v>98</v>
      </c>
      <c r="S262" s="2" t="s">
        <v>98</v>
      </c>
      <c r="T262" s="2" t="s">
        <v>98</v>
      </c>
      <c r="U262" s="2" t="s">
        <v>590</v>
      </c>
      <c r="V262" s="2" t="s">
        <v>369</v>
      </c>
      <c r="W262" s="2" t="s">
        <v>190</v>
      </c>
      <c r="X262" s="2" t="s">
        <v>242</v>
      </c>
      <c r="Y262" s="2" t="s">
        <v>1315</v>
      </c>
      <c r="Z262" s="4">
        <v>6</v>
      </c>
      <c r="AA262" s="4">
        <f>=ROUNDDOWN(12,0)</f>
      </c>
      <c r="AB262" s="5">
        <v>0.5</v>
      </c>
      <c r="AC262" s="2" t="s">
        <v>98</v>
      </c>
      <c r="AD262" s="4"/>
      <c r="AE262" s="4"/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1</v>
      </c>
      <c r="BK262" s="8">
        <v>33.64</v>
      </c>
      <c r="BL262" s="2" t="s">
        <v>502</v>
      </c>
      <c r="BM262" s="7"/>
      <c r="BN262" s="7"/>
      <c r="BO262" s="4"/>
      <c r="BP262" s="8"/>
      <c r="BQ262" s="4"/>
      <c r="BR262" s="8"/>
      <c r="BS262" s="7"/>
      <c r="BT262" s="7"/>
      <c r="BU262" s="2" t="s">
        <v>106</v>
      </c>
      <c r="BV262" s="2" t="s">
        <v>95</v>
      </c>
      <c r="BW262" s="2" t="s">
        <v>682</v>
      </c>
      <c r="BX262" s="2" t="s">
        <v>1316</v>
      </c>
      <c r="BY262" s="2" t="s">
        <v>109</v>
      </c>
      <c r="BZ262" s="2" t="s">
        <v>98</v>
      </c>
    </row>
    <row r="263">
      <c r="A263" s="2" t="s">
        <v>1317</v>
      </c>
      <c r="B263" s="2" t="s">
        <v>996</v>
      </c>
      <c r="C263" s="2" t="s">
        <v>88</v>
      </c>
      <c r="D263" s="2" t="s">
        <v>1318</v>
      </c>
      <c r="E263" s="2" t="s">
        <v>1319</v>
      </c>
      <c r="F263" s="2" t="s">
        <v>1320</v>
      </c>
      <c r="G263" s="2" t="s">
        <v>1320</v>
      </c>
      <c r="H263" s="2" t="s">
        <v>98</v>
      </c>
      <c r="I263" s="2" t="s">
        <v>1321</v>
      </c>
      <c r="J263" s="2" t="s">
        <v>661</v>
      </c>
      <c r="K263" s="2" t="s">
        <v>631</v>
      </c>
      <c r="L263" s="3">
        <v>114</v>
      </c>
      <c r="M263" s="3">
        <v>119.7</v>
      </c>
      <c r="N263" s="3">
        <v>239</v>
      </c>
      <c r="O263" s="2" t="s">
        <v>95</v>
      </c>
      <c r="P263" s="2" t="s">
        <v>140</v>
      </c>
      <c r="Q263" s="2" t="s">
        <v>97</v>
      </c>
      <c r="R263" s="2" t="s">
        <v>98</v>
      </c>
      <c r="S263" s="2" t="s">
        <v>1322</v>
      </c>
      <c r="T263" s="2" t="s">
        <v>98</v>
      </c>
      <c r="U263" s="2" t="s">
        <v>98</v>
      </c>
      <c r="V263" s="2" t="s">
        <v>208</v>
      </c>
      <c r="W263" s="2" t="s">
        <v>729</v>
      </c>
      <c r="X263" s="2" t="s">
        <v>98</v>
      </c>
      <c r="Y263" s="2" t="s">
        <v>354</v>
      </c>
      <c r="Z263" s="4">
        <v>327</v>
      </c>
      <c r="AA263" s="4">
        <f>=ROUNDDOWN(81.75,0)</f>
      </c>
      <c r="AB263" s="5">
        <v>4</v>
      </c>
      <c r="AC263" s="2" t="s">
        <v>98</v>
      </c>
      <c r="AD263" s="4"/>
      <c r="AE263" s="4"/>
      <c r="AF263" s="6">
        <v>76</v>
      </c>
      <c r="AG263" s="6">
        <v>62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/>
      <c r="AP263" s="4">
        <v>1</v>
      </c>
      <c r="AQ263" s="8">
        <v>134.06</v>
      </c>
      <c r="AR263" s="4"/>
      <c r="AS263" s="8"/>
      <c r="AT263" s="7"/>
      <c r="AU263" s="7"/>
      <c r="AV263" s="4">
        <v>1</v>
      </c>
      <c r="AW263" s="8">
        <v>134.06</v>
      </c>
      <c r="AX263" s="4"/>
      <c r="AY263" s="8"/>
      <c r="AZ263" s="7"/>
      <c r="BA263" s="7"/>
      <c r="BB263" s="7">
        <v>1</v>
      </c>
      <c r="BC263" s="4">
        <v>1</v>
      </c>
      <c r="BD263" s="8">
        <v>134.06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1</v>
      </c>
      <c r="BJ263" s="4">
        <v>5</v>
      </c>
      <c r="BK263" s="8">
        <v>575.06</v>
      </c>
      <c r="BL263" s="2" t="s">
        <v>1323</v>
      </c>
      <c r="BM263" s="7">
        <v>0.2</v>
      </c>
      <c r="BN263" s="7">
        <v>0.2331</v>
      </c>
      <c r="BO263" s="4">
        <v>1</v>
      </c>
      <c r="BP263" s="8">
        <v>134.06</v>
      </c>
      <c r="BQ263" s="4"/>
      <c r="BR263" s="8"/>
      <c r="BS263" s="7"/>
      <c r="BT263" s="7"/>
      <c r="BU263" s="2" t="s">
        <v>106</v>
      </c>
      <c r="BV263" s="2" t="s">
        <v>95</v>
      </c>
      <c r="BW263" s="2" t="s">
        <v>168</v>
      </c>
      <c r="BX263" s="2" t="s">
        <v>1324</v>
      </c>
      <c r="BY263" s="2" t="s">
        <v>109</v>
      </c>
      <c r="BZ263" s="2" t="s">
        <v>98</v>
      </c>
    </row>
    <row r="264">
      <c r="A264" s="2" t="s">
        <v>1325</v>
      </c>
      <c r="B264" s="2" t="s">
        <v>996</v>
      </c>
      <c r="C264" s="2" t="s">
        <v>88</v>
      </c>
      <c r="D264" s="2" t="s">
        <v>1318</v>
      </c>
      <c r="E264" s="2" t="s">
        <v>1319</v>
      </c>
      <c r="F264" s="2" t="s">
        <v>1320</v>
      </c>
      <c r="G264" s="2" t="s">
        <v>1320</v>
      </c>
      <c r="H264" s="2" t="s">
        <v>1320</v>
      </c>
      <c r="I264" s="2" t="s">
        <v>1321</v>
      </c>
      <c r="J264" s="2" t="s">
        <v>661</v>
      </c>
      <c r="K264" s="2" t="s">
        <v>564</v>
      </c>
      <c r="L264" s="3">
        <v>114</v>
      </c>
      <c r="M264" s="3">
        <v>119.7</v>
      </c>
      <c r="N264" s="3">
        <v>239</v>
      </c>
      <c r="O264" s="2" t="s">
        <v>95</v>
      </c>
      <c r="P264" s="2" t="s">
        <v>128</v>
      </c>
      <c r="Q264" s="2" t="s">
        <v>97</v>
      </c>
      <c r="R264" s="2" t="s">
        <v>98</v>
      </c>
      <c r="S264" s="2" t="s">
        <v>1326</v>
      </c>
      <c r="T264" s="2" t="s">
        <v>98</v>
      </c>
      <c r="U264" s="2" t="s">
        <v>98</v>
      </c>
      <c r="V264" s="2" t="s">
        <v>208</v>
      </c>
      <c r="W264" s="2" t="s">
        <v>729</v>
      </c>
      <c r="X264" s="2" t="s">
        <v>98</v>
      </c>
      <c r="Y264" s="2" t="s">
        <v>1327</v>
      </c>
      <c r="Z264" s="4">
        <v>160</v>
      </c>
      <c r="AA264" s="4">
        <f>=ROUNDDOWN(50,0)</f>
      </c>
      <c r="AB264" s="5">
        <v>3.2</v>
      </c>
      <c r="AC264" s="2" t="s">
        <v>98</v>
      </c>
      <c r="AD264" s="4"/>
      <c r="AE264" s="4"/>
      <c r="AF264" s="6">
        <v>76</v>
      </c>
      <c r="AG264" s="6">
        <v>62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>
        <v>2</v>
      </c>
      <c r="BK264" s="8">
        <v>114.7</v>
      </c>
      <c r="BL264" s="2" t="s">
        <v>1328</v>
      </c>
      <c r="BM264" s="7"/>
      <c r="BN264" s="7"/>
      <c r="BO264" s="4"/>
      <c r="BP264" s="8"/>
      <c r="BQ264" s="4"/>
      <c r="BR264" s="8"/>
      <c r="BS264" s="7"/>
      <c r="BT264" s="7"/>
      <c r="BU264" s="2" t="s">
        <v>106</v>
      </c>
      <c r="BV264" s="2" t="s">
        <v>95</v>
      </c>
      <c r="BW264" s="2" t="s">
        <v>168</v>
      </c>
      <c r="BX264" s="2" t="s">
        <v>1329</v>
      </c>
      <c r="BY264" s="2" t="s">
        <v>109</v>
      </c>
      <c r="BZ264" s="2" t="s">
        <v>98</v>
      </c>
    </row>
    <row r="265">
      <c r="A265" s="2" t="s">
        <v>1330</v>
      </c>
      <c r="B265" s="2" t="s">
        <v>996</v>
      </c>
      <c r="C265" s="2" t="s">
        <v>88</v>
      </c>
      <c r="D265" s="2" t="s">
        <v>1318</v>
      </c>
      <c r="E265" s="2" t="s">
        <v>1319</v>
      </c>
      <c r="F265" s="2" t="s">
        <v>1222</v>
      </c>
      <c r="G265" s="2" t="s">
        <v>1222</v>
      </c>
      <c r="H265" s="2" t="s">
        <v>1222</v>
      </c>
      <c r="I265" s="2" t="s">
        <v>1319</v>
      </c>
      <c r="J265" s="2" t="s">
        <v>661</v>
      </c>
      <c r="K265" s="2" t="s">
        <v>1112</v>
      </c>
      <c r="L265" s="3">
        <v>119.7</v>
      </c>
      <c r="M265" s="3">
        <v>125.68</v>
      </c>
      <c r="N265" s="3">
        <v>249</v>
      </c>
      <c r="O265" s="2" t="s">
        <v>95</v>
      </c>
      <c r="P265" s="2" t="s">
        <v>140</v>
      </c>
      <c r="Q265" s="2" t="s">
        <v>97</v>
      </c>
      <c r="R265" s="2" t="s">
        <v>98</v>
      </c>
      <c r="S265" s="2" t="s">
        <v>1331</v>
      </c>
      <c r="T265" s="2" t="s">
        <v>98</v>
      </c>
      <c r="U265" s="2" t="s">
        <v>590</v>
      </c>
      <c r="V265" s="2" t="s">
        <v>208</v>
      </c>
      <c r="W265" s="2" t="s">
        <v>384</v>
      </c>
      <c r="X265" s="2" t="s">
        <v>98</v>
      </c>
      <c r="Y265" s="2" t="s">
        <v>1332</v>
      </c>
      <c r="Z265" s="4">
        <v>160</v>
      </c>
      <c r="AA265" s="4">
        <f>=ROUNDDOWN(10.6666666666667,0)</f>
      </c>
      <c r="AB265" s="5">
        <v>15</v>
      </c>
      <c r="AC265" s="2" t="s">
        <v>1333</v>
      </c>
      <c r="AD265" s="4">
        <v>90</v>
      </c>
      <c r="AE265" s="4">
        <v>249</v>
      </c>
      <c r="AF265" s="6">
        <v>69</v>
      </c>
      <c r="AG265" s="6">
        <v>52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4</v>
      </c>
      <c r="BK265" s="8">
        <v>548.9</v>
      </c>
      <c r="BL265" s="2" t="s">
        <v>1114</v>
      </c>
      <c r="BM265" s="7"/>
      <c r="BN265" s="7"/>
      <c r="BO265" s="4"/>
      <c r="BP265" s="8"/>
      <c r="BQ265" s="4"/>
      <c r="BR265" s="8"/>
      <c r="BS265" s="7"/>
      <c r="BT265" s="7"/>
      <c r="BU265" s="2" t="s">
        <v>106</v>
      </c>
      <c r="BV265" s="2" t="s">
        <v>95</v>
      </c>
      <c r="BW265" s="2" t="s">
        <v>168</v>
      </c>
      <c r="BX265" s="2" t="s">
        <v>608</v>
      </c>
      <c r="BY265" s="2" t="s">
        <v>109</v>
      </c>
      <c r="BZ265" s="2" t="s">
        <v>98</v>
      </c>
    </row>
    <row r="266">
      <c r="A266" s="2" t="s">
        <v>1334</v>
      </c>
      <c r="B266" s="2" t="s">
        <v>996</v>
      </c>
      <c r="C266" s="2" t="s">
        <v>88</v>
      </c>
      <c r="D266" s="2" t="s">
        <v>1318</v>
      </c>
      <c r="E266" s="2" t="s">
        <v>1319</v>
      </c>
      <c r="F266" s="2" t="s">
        <v>1222</v>
      </c>
      <c r="G266" s="2" t="s">
        <v>1222</v>
      </c>
      <c r="H266" s="2" t="s">
        <v>1222</v>
      </c>
      <c r="I266" s="2" t="s">
        <v>1319</v>
      </c>
      <c r="J266" s="2" t="s">
        <v>661</v>
      </c>
      <c r="K266" s="2" t="s">
        <v>94</v>
      </c>
      <c r="L266" s="3">
        <v>119.7</v>
      </c>
      <c r="M266" s="3">
        <v>125.68</v>
      </c>
      <c r="N266" s="3">
        <v>249</v>
      </c>
      <c r="O266" s="2" t="s">
        <v>95</v>
      </c>
      <c r="P266" s="2" t="s">
        <v>140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590</v>
      </c>
      <c r="V266" s="2" t="s">
        <v>208</v>
      </c>
      <c r="W266" s="2" t="s">
        <v>384</v>
      </c>
      <c r="X266" s="2" t="s">
        <v>98</v>
      </c>
      <c r="Y266" s="2" t="s">
        <v>1335</v>
      </c>
      <c r="Z266" s="4">
        <v>156</v>
      </c>
      <c r="AA266" s="4">
        <f>=ROUNDDOWN(31.2,0)</f>
      </c>
      <c r="AB266" s="5">
        <v>5</v>
      </c>
      <c r="AC266" s="2" t="s">
        <v>1125</v>
      </c>
      <c r="AD266" s="4">
        <v>100</v>
      </c>
      <c r="AE266" s="4">
        <v>100</v>
      </c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/>
      <c r="BJ266" s="4">
        <v>3</v>
      </c>
      <c r="BK266" s="8">
        <v>377.07</v>
      </c>
      <c r="BL266" s="2" t="s">
        <v>1336</v>
      </c>
      <c r="BM266" s="7"/>
      <c r="BN266" s="7"/>
      <c r="BO266" s="4"/>
      <c r="BP266" s="8"/>
      <c r="BQ266" s="4"/>
      <c r="BR266" s="8"/>
      <c r="BS266" s="7"/>
      <c r="BT266" s="7"/>
      <c r="BU266" s="2" t="s">
        <v>106</v>
      </c>
      <c r="BV266" s="2" t="s">
        <v>95</v>
      </c>
      <c r="BW266" s="2" t="s">
        <v>682</v>
      </c>
      <c r="BX266" s="2" t="s">
        <v>1337</v>
      </c>
      <c r="BY266" s="2" t="s">
        <v>109</v>
      </c>
      <c r="BZ266" s="2" t="s">
        <v>98</v>
      </c>
    </row>
    <row r="267">
      <c r="A267" s="2" t="s">
        <v>1338</v>
      </c>
      <c r="B267" s="2" t="s">
        <v>996</v>
      </c>
      <c r="C267" s="2" t="s">
        <v>88</v>
      </c>
      <c r="D267" s="2" t="s">
        <v>1318</v>
      </c>
      <c r="E267" s="2" t="s">
        <v>1319</v>
      </c>
      <c r="F267" s="2" t="s">
        <v>1107</v>
      </c>
      <c r="G267" s="2" t="s">
        <v>1107</v>
      </c>
      <c r="H267" s="2" t="s">
        <v>1107</v>
      </c>
      <c r="I267" s="2" t="s">
        <v>1319</v>
      </c>
      <c r="J267" s="2" t="s">
        <v>661</v>
      </c>
      <c r="K267" s="2" t="s">
        <v>1112</v>
      </c>
      <c r="L267" s="3">
        <v>133</v>
      </c>
      <c r="M267" s="3">
        <v>139.65</v>
      </c>
      <c r="N267" s="3">
        <v>279</v>
      </c>
      <c r="O267" s="2" t="s">
        <v>95</v>
      </c>
      <c r="P267" s="2" t="s">
        <v>140</v>
      </c>
      <c r="Q267" s="2" t="s">
        <v>97</v>
      </c>
      <c r="R267" s="2" t="s">
        <v>98</v>
      </c>
      <c r="S267" s="2" t="s">
        <v>1339</v>
      </c>
      <c r="T267" s="2" t="s">
        <v>98</v>
      </c>
      <c r="U267" s="2" t="s">
        <v>98</v>
      </c>
      <c r="V267" s="2" t="s">
        <v>208</v>
      </c>
      <c r="W267" s="2" t="s">
        <v>377</v>
      </c>
      <c r="X267" s="2" t="s">
        <v>98</v>
      </c>
      <c r="Y267" s="2" t="s">
        <v>354</v>
      </c>
      <c r="Z267" s="4">
        <v>313</v>
      </c>
      <c r="AA267" s="4">
        <f>=ROUNDDOWN(19.5625,0)</f>
      </c>
      <c r="AB267" s="5">
        <v>16</v>
      </c>
      <c r="AC267" s="2" t="s">
        <v>98</v>
      </c>
      <c r="AD267" s="4"/>
      <c r="AE267" s="4"/>
      <c r="AF267" s="6">
        <v>69</v>
      </c>
      <c r="AG267" s="6">
        <v>52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31</v>
      </c>
      <c r="BK267" s="8">
        <v>4047.51</v>
      </c>
      <c r="BL267" s="2" t="s">
        <v>1340</v>
      </c>
      <c r="BM267" s="7"/>
      <c r="BN267" s="7"/>
      <c r="BO267" s="4"/>
      <c r="BP267" s="8"/>
      <c r="BQ267" s="4"/>
      <c r="BR267" s="8"/>
      <c r="BS267" s="7"/>
      <c r="BT267" s="7"/>
      <c r="BU267" s="2" t="s">
        <v>106</v>
      </c>
      <c r="BV267" s="2" t="s">
        <v>95</v>
      </c>
      <c r="BW267" s="2" t="s">
        <v>168</v>
      </c>
      <c r="BX267" s="2" t="s">
        <v>259</v>
      </c>
      <c r="BY267" s="2" t="s">
        <v>109</v>
      </c>
      <c r="BZ267" s="2" t="s">
        <v>98</v>
      </c>
    </row>
    <row r="268">
      <c r="A268" s="2" t="s">
        <v>1341</v>
      </c>
      <c r="B268" s="2" t="s">
        <v>996</v>
      </c>
      <c r="C268" s="2" t="s">
        <v>88</v>
      </c>
      <c r="D268" s="2" t="s">
        <v>1318</v>
      </c>
      <c r="E268" s="2" t="s">
        <v>1319</v>
      </c>
      <c r="F268" s="2" t="s">
        <v>1342</v>
      </c>
      <c r="G268" s="2" t="s">
        <v>1342</v>
      </c>
      <c r="H268" s="2" t="s">
        <v>98</v>
      </c>
      <c r="I268" s="2" t="s">
        <v>1343</v>
      </c>
      <c r="J268" s="2" t="s">
        <v>661</v>
      </c>
      <c r="K268" s="2" t="s">
        <v>737</v>
      </c>
      <c r="L268" s="3">
        <v>81</v>
      </c>
      <c r="M268" s="3">
        <v>85.05</v>
      </c>
      <c r="N268" s="3">
        <v>169</v>
      </c>
      <c r="O268" s="2" t="s">
        <v>95</v>
      </c>
      <c r="P268" s="2" t="s">
        <v>128</v>
      </c>
      <c r="Q268" s="2" t="s">
        <v>97</v>
      </c>
      <c r="R268" s="2" t="s">
        <v>98</v>
      </c>
      <c r="S268" s="2" t="s">
        <v>1344</v>
      </c>
      <c r="T268" s="2" t="s">
        <v>98</v>
      </c>
      <c r="U268" s="2" t="s">
        <v>98</v>
      </c>
      <c r="V268" s="2" t="s">
        <v>208</v>
      </c>
      <c r="W268" s="2" t="s">
        <v>729</v>
      </c>
      <c r="X268" s="2" t="s">
        <v>98</v>
      </c>
      <c r="Y268" s="2" t="s">
        <v>354</v>
      </c>
      <c r="Z268" s="4">
        <v>21</v>
      </c>
      <c r="AA268" s="4">
        <f>=ROUNDDOWN(1.73553719008264,0)</f>
      </c>
      <c r="AB268" s="5">
        <v>12.1</v>
      </c>
      <c r="AC268" s="2" t="s">
        <v>98</v>
      </c>
      <c r="AD268" s="4"/>
      <c r="AE268" s="4"/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>
        <v>3</v>
      </c>
      <c r="BK268" s="8">
        <v>126.72</v>
      </c>
      <c r="BL268" s="2" t="s">
        <v>502</v>
      </c>
      <c r="BM268" s="7"/>
      <c r="BN268" s="7"/>
      <c r="BO268" s="4"/>
      <c r="BP268" s="8"/>
      <c r="BQ268" s="4"/>
      <c r="BR268" s="8"/>
      <c r="BS268" s="7"/>
      <c r="BT268" s="7"/>
      <c r="BU268" s="2" t="s">
        <v>106</v>
      </c>
      <c r="BV268" s="2" t="s">
        <v>95</v>
      </c>
      <c r="BW268" s="2" t="s">
        <v>168</v>
      </c>
      <c r="BX268" s="2" t="s">
        <v>1345</v>
      </c>
      <c r="BY268" s="2" t="s">
        <v>109</v>
      </c>
      <c r="BZ268" s="2" t="s">
        <v>98</v>
      </c>
    </row>
    <row r="269">
      <c r="A269" s="2" t="s">
        <v>1346</v>
      </c>
      <c r="B269" s="2" t="s">
        <v>996</v>
      </c>
      <c r="C269" s="2" t="s">
        <v>88</v>
      </c>
      <c r="D269" s="2" t="s">
        <v>1318</v>
      </c>
      <c r="E269" s="2" t="s">
        <v>1319</v>
      </c>
      <c r="F269" s="2" t="s">
        <v>1347</v>
      </c>
      <c r="G269" s="2" t="s">
        <v>1347</v>
      </c>
      <c r="H269" s="2" t="s">
        <v>1347</v>
      </c>
      <c r="I269" s="2" t="s">
        <v>1319</v>
      </c>
      <c r="J269" s="2" t="s">
        <v>661</v>
      </c>
      <c r="K269" s="2" t="s">
        <v>1039</v>
      </c>
      <c r="L269" s="3">
        <v>85</v>
      </c>
      <c r="M269" s="3">
        <v>89.25</v>
      </c>
      <c r="N269" s="3">
        <v>179</v>
      </c>
      <c r="O269" s="2" t="s">
        <v>206</v>
      </c>
      <c r="P269" s="2" t="s">
        <v>128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590</v>
      </c>
      <c r="V269" s="2" t="s">
        <v>369</v>
      </c>
      <c r="W269" s="2" t="s">
        <v>384</v>
      </c>
      <c r="X269" s="2" t="s">
        <v>729</v>
      </c>
      <c r="Y269" s="2" t="s">
        <v>1235</v>
      </c>
      <c r="Z269" s="4">
        <v>98</v>
      </c>
      <c r="AA269" s="4">
        <f>=ROUNDDOWN(4.35555555555556,0)</f>
      </c>
      <c r="AB269" s="5">
        <v>22.5</v>
      </c>
      <c r="AC269" s="2" t="s">
        <v>98</v>
      </c>
      <c r="AD269" s="4"/>
      <c r="AE269" s="4"/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>
        <v>22</v>
      </c>
      <c r="BK269" s="8">
        <v>1385.34</v>
      </c>
      <c r="BL269" s="2" t="s">
        <v>1348</v>
      </c>
      <c r="BM269" s="7"/>
      <c r="BN269" s="7"/>
      <c r="BO269" s="4"/>
      <c r="BP269" s="8"/>
      <c r="BQ269" s="4"/>
      <c r="BR269" s="8"/>
      <c r="BS269" s="7"/>
      <c r="BT269" s="7"/>
      <c r="BU269" s="2" t="s">
        <v>106</v>
      </c>
      <c r="BV269" s="2" t="s">
        <v>95</v>
      </c>
      <c r="BW269" s="2" t="s">
        <v>1026</v>
      </c>
      <c r="BX269" s="2" t="s">
        <v>1349</v>
      </c>
      <c r="BY269" s="2" t="s">
        <v>109</v>
      </c>
      <c r="BZ269" s="2" t="s">
        <v>98</v>
      </c>
    </row>
    <row r="270">
      <c r="A270" s="2" t="s">
        <v>1350</v>
      </c>
      <c r="B270" s="2" t="s">
        <v>996</v>
      </c>
      <c r="C270" s="2" t="s">
        <v>88</v>
      </c>
      <c r="D270" s="2" t="s">
        <v>1318</v>
      </c>
      <c r="E270" s="2" t="s">
        <v>1319</v>
      </c>
      <c r="F270" s="2" t="s">
        <v>1255</v>
      </c>
      <c r="G270" s="2" t="s">
        <v>1255</v>
      </c>
      <c r="H270" s="2" t="s">
        <v>98</v>
      </c>
      <c r="I270" s="2" t="s">
        <v>1351</v>
      </c>
      <c r="J270" s="2" t="s">
        <v>661</v>
      </c>
      <c r="K270" s="2" t="s">
        <v>1352</v>
      </c>
      <c r="L270" s="3">
        <v>118.75</v>
      </c>
      <c r="M270" s="3">
        <v>124.69</v>
      </c>
      <c r="N270" s="3">
        <v>249</v>
      </c>
      <c r="O270" s="2" t="s">
        <v>95</v>
      </c>
      <c r="P270" s="2" t="s">
        <v>140</v>
      </c>
      <c r="Q270" s="2" t="s">
        <v>97</v>
      </c>
      <c r="R270" s="2" t="s">
        <v>98</v>
      </c>
      <c r="S270" s="2" t="s">
        <v>1353</v>
      </c>
      <c r="T270" s="2" t="s">
        <v>98</v>
      </c>
      <c r="U270" s="2" t="s">
        <v>98</v>
      </c>
      <c r="V270" s="2" t="s">
        <v>208</v>
      </c>
      <c r="W270" s="2" t="s">
        <v>729</v>
      </c>
      <c r="X270" s="2" t="s">
        <v>98</v>
      </c>
      <c r="Y270" s="2" t="s">
        <v>354</v>
      </c>
      <c r="Z270" s="4">
        <v>211</v>
      </c>
      <c r="AA270" s="4">
        <f>=ROUNDDOWN(15.0714285714286,0)</f>
      </c>
      <c r="AB270" s="5">
        <v>14</v>
      </c>
      <c r="AC270" s="2" t="s">
        <v>473</v>
      </c>
      <c r="AD270" s="4">
        <v>150</v>
      </c>
      <c r="AE270" s="4">
        <v>300</v>
      </c>
      <c r="AF270" s="6">
        <v>74</v>
      </c>
      <c r="AG270" s="6">
        <v>60</v>
      </c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26</v>
      </c>
      <c r="BK270" s="8">
        <v>3396.9</v>
      </c>
      <c r="BL270" s="2" t="s">
        <v>989</v>
      </c>
      <c r="BM270" s="7"/>
      <c r="BN270" s="7"/>
      <c r="BO270" s="4"/>
      <c r="BP270" s="8"/>
      <c r="BQ270" s="4"/>
      <c r="BR270" s="8"/>
      <c r="BS270" s="7"/>
      <c r="BT270" s="7"/>
      <c r="BU270" s="2" t="s">
        <v>832</v>
      </c>
      <c r="BV270" s="2" t="s">
        <v>95</v>
      </c>
      <c r="BW270" s="2" t="s">
        <v>168</v>
      </c>
      <c r="BX270" s="2" t="s">
        <v>1354</v>
      </c>
      <c r="BY270" s="2" t="s">
        <v>109</v>
      </c>
      <c r="BZ270" s="2" t="s">
        <v>98</v>
      </c>
    </row>
    <row r="271">
      <c r="A271" s="2" t="s">
        <v>1355</v>
      </c>
      <c r="B271" s="2" t="s">
        <v>996</v>
      </c>
      <c r="C271" s="2" t="s">
        <v>88</v>
      </c>
      <c r="D271" s="2" t="s">
        <v>1318</v>
      </c>
      <c r="E271" s="2" t="s">
        <v>1319</v>
      </c>
      <c r="F271" s="2" t="s">
        <v>1255</v>
      </c>
      <c r="G271" s="2" t="s">
        <v>1255</v>
      </c>
      <c r="H271" s="2" t="s">
        <v>1255</v>
      </c>
      <c r="I271" s="2" t="s">
        <v>1351</v>
      </c>
      <c r="J271" s="2" t="s">
        <v>661</v>
      </c>
      <c r="K271" s="2" t="s">
        <v>1356</v>
      </c>
      <c r="L271" s="3">
        <v>118.75</v>
      </c>
      <c r="M271" s="3">
        <v>124.69</v>
      </c>
      <c r="N271" s="3">
        <v>249</v>
      </c>
      <c r="O271" s="2" t="s">
        <v>95</v>
      </c>
      <c r="P271" s="2" t="s">
        <v>128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590</v>
      </c>
      <c r="V271" s="2" t="s">
        <v>208</v>
      </c>
      <c r="W271" s="2" t="s">
        <v>729</v>
      </c>
      <c r="X271" s="2" t="s">
        <v>242</v>
      </c>
      <c r="Y271" s="2" t="s">
        <v>1357</v>
      </c>
      <c r="Z271" s="4">
        <v>119</v>
      </c>
      <c r="AA271" s="4">
        <f>=ROUNDDOWN(14.3373493975904,0)</f>
      </c>
      <c r="AB271" s="5">
        <v>8.3</v>
      </c>
      <c r="AC271" s="2" t="s">
        <v>98</v>
      </c>
      <c r="AD271" s="4"/>
      <c r="AE271" s="4"/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10</v>
      </c>
      <c r="BK271" s="8">
        <v>983.31</v>
      </c>
      <c r="BL271" s="2" t="s">
        <v>1358</v>
      </c>
      <c r="BM271" s="7"/>
      <c r="BN271" s="7"/>
      <c r="BO271" s="4"/>
      <c r="BP271" s="8"/>
      <c r="BQ271" s="4"/>
      <c r="BR271" s="8"/>
      <c r="BS271" s="7"/>
      <c r="BT271" s="7"/>
      <c r="BU271" s="2" t="s">
        <v>106</v>
      </c>
      <c r="BV271" s="2" t="s">
        <v>95</v>
      </c>
      <c r="BW271" s="2" t="s">
        <v>1035</v>
      </c>
      <c r="BX271" s="2" t="s">
        <v>98</v>
      </c>
      <c r="BY271" s="2" t="s">
        <v>109</v>
      </c>
      <c r="BZ271" s="2" t="s">
        <v>98</v>
      </c>
    </row>
    <row r="272">
      <c r="A272" s="2" t="s">
        <v>1359</v>
      </c>
      <c r="B272" s="2" t="s">
        <v>996</v>
      </c>
      <c r="C272" s="2" t="s">
        <v>88</v>
      </c>
      <c r="D272" s="2" t="s">
        <v>1318</v>
      </c>
      <c r="E272" s="2" t="s">
        <v>1319</v>
      </c>
      <c r="F272" s="2" t="s">
        <v>1360</v>
      </c>
      <c r="G272" s="2" t="s">
        <v>1360</v>
      </c>
      <c r="H272" s="2" t="s">
        <v>1360</v>
      </c>
      <c r="I272" s="2" t="s">
        <v>1361</v>
      </c>
      <c r="J272" s="2" t="s">
        <v>661</v>
      </c>
      <c r="K272" s="2" t="s">
        <v>152</v>
      </c>
      <c r="L272" s="3">
        <v>66.5</v>
      </c>
      <c r="M272" s="3">
        <v>69.82</v>
      </c>
      <c r="N272" s="3">
        <v>139</v>
      </c>
      <c r="O272" s="2" t="s">
        <v>95</v>
      </c>
      <c r="P272" s="2" t="s">
        <v>140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590</v>
      </c>
      <c r="V272" s="2" t="s">
        <v>369</v>
      </c>
      <c r="W272" s="2" t="s">
        <v>242</v>
      </c>
      <c r="X272" s="2" t="s">
        <v>98</v>
      </c>
      <c r="Y272" s="2" t="s">
        <v>1362</v>
      </c>
      <c r="Z272" s="4">
        <v>223</v>
      </c>
      <c r="AA272" s="4">
        <f>=ROUNDDOWN(22.3,0)</f>
      </c>
      <c r="AB272" s="5">
        <v>10</v>
      </c>
      <c r="AC272" s="2" t="s">
        <v>250</v>
      </c>
      <c r="AD272" s="4">
        <v>142</v>
      </c>
      <c r="AE272" s="4">
        <v>242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9</v>
      </c>
      <c r="BK272" s="8">
        <v>507.14</v>
      </c>
      <c r="BL272" s="2" t="s">
        <v>1363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95</v>
      </c>
      <c r="BW272" s="2" t="s">
        <v>1020</v>
      </c>
      <c r="BX272" s="2" t="s">
        <v>1364</v>
      </c>
      <c r="BY272" s="2" t="s">
        <v>109</v>
      </c>
      <c r="BZ272" s="2" t="s">
        <v>98</v>
      </c>
    </row>
    <row r="273">
      <c r="A273" s="2" t="s">
        <v>1365</v>
      </c>
      <c r="B273" s="2" t="s">
        <v>996</v>
      </c>
      <c r="C273" s="2" t="s">
        <v>88</v>
      </c>
      <c r="D273" s="2" t="s">
        <v>1318</v>
      </c>
      <c r="E273" s="2" t="s">
        <v>1319</v>
      </c>
      <c r="F273" s="2" t="s">
        <v>1366</v>
      </c>
      <c r="G273" s="2" t="s">
        <v>1366</v>
      </c>
      <c r="H273" s="2" t="s">
        <v>1366</v>
      </c>
      <c r="I273" s="2" t="s">
        <v>1367</v>
      </c>
      <c r="J273" s="2" t="s">
        <v>661</v>
      </c>
      <c r="K273" s="2" t="s">
        <v>737</v>
      </c>
      <c r="L273" s="3">
        <v>131.75</v>
      </c>
      <c r="M273" s="3">
        <v>138.34</v>
      </c>
      <c r="N273" s="3">
        <v>279</v>
      </c>
      <c r="O273" s="2" t="s">
        <v>95</v>
      </c>
      <c r="P273" s="2" t="s">
        <v>96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590</v>
      </c>
      <c r="V273" s="2" t="s">
        <v>369</v>
      </c>
      <c r="W273" s="2" t="s">
        <v>190</v>
      </c>
      <c r="X273" s="2" t="s">
        <v>384</v>
      </c>
      <c r="Y273" s="2" t="s">
        <v>1368</v>
      </c>
      <c r="Z273" s="4">
        <v>131</v>
      </c>
      <c r="AA273" s="4">
        <f>=ROUNDDOWN(6.23809523809524,0)</f>
      </c>
      <c r="AB273" s="5">
        <v>21</v>
      </c>
      <c r="AC273" s="2" t="s">
        <v>1083</v>
      </c>
      <c r="AD273" s="4">
        <v>200</v>
      </c>
      <c r="AE273" s="4">
        <v>470</v>
      </c>
      <c r="AF273" s="6">
        <v>74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20</v>
      </c>
      <c r="BK273" s="8">
        <v>2873.29</v>
      </c>
      <c r="BL273" s="2" t="s">
        <v>1369</v>
      </c>
      <c r="BM273" s="7"/>
      <c r="BN273" s="7"/>
      <c r="BO273" s="4"/>
      <c r="BP273" s="8"/>
      <c r="BQ273" s="4"/>
      <c r="BR273" s="8"/>
      <c r="BS273" s="7"/>
      <c r="BT273" s="7"/>
      <c r="BU273" s="2" t="s">
        <v>1370</v>
      </c>
      <c r="BV273" s="2" t="s">
        <v>95</v>
      </c>
      <c r="BW273" s="2" t="s">
        <v>98</v>
      </c>
      <c r="BX273" s="2" t="s">
        <v>98</v>
      </c>
      <c r="BY273" s="2" t="s">
        <v>109</v>
      </c>
      <c r="BZ273" s="2" t="s">
        <v>98</v>
      </c>
    </row>
    <row r="274">
      <c r="A274" s="2" t="s">
        <v>1371</v>
      </c>
      <c r="B274" s="2" t="s">
        <v>996</v>
      </c>
      <c r="C274" s="2" t="s">
        <v>88</v>
      </c>
      <c r="D274" s="2" t="s">
        <v>1318</v>
      </c>
      <c r="E274" s="2" t="s">
        <v>1319</v>
      </c>
      <c r="F274" s="2" t="s">
        <v>1372</v>
      </c>
      <c r="G274" s="2" t="s">
        <v>98</v>
      </c>
      <c r="H274" s="2" t="s">
        <v>98</v>
      </c>
      <c r="I274" s="2" t="s">
        <v>1319</v>
      </c>
      <c r="J274" s="2" t="s">
        <v>661</v>
      </c>
      <c r="K274" s="2" t="s">
        <v>1373</v>
      </c>
      <c r="L274" s="3">
        <v>75</v>
      </c>
      <c r="M274" s="3">
        <v>78.75</v>
      </c>
      <c r="N274" s="3">
        <v>159</v>
      </c>
      <c r="O274" s="2" t="s">
        <v>95</v>
      </c>
      <c r="P274" s="2" t="s">
        <v>140</v>
      </c>
      <c r="Q274" s="2" t="s">
        <v>97</v>
      </c>
      <c r="R274" s="2" t="s">
        <v>98</v>
      </c>
      <c r="S274" s="2" t="s">
        <v>1374</v>
      </c>
      <c r="T274" s="2" t="s">
        <v>98</v>
      </c>
      <c r="U274" s="2" t="s">
        <v>98</v>
      </c>
      <c r="V274" s="2" t="s">
        <v>208</v>
      </c>
      <c r="W274" s="2" t="s">
        <v>729</v>
      </c>
      <c r="X274" s="2" t="s">
        <v>98</v>
      </c>
      <c r="Y274" s="2" t="s">
        <v>1375</v>
      </c>
      <c r="Z274" s="4">
        <v>110</v>
      </c>
      <c r="AA274" s="4">
        <f>=ROUNDDOWN(18.3333333333333,0)</f>
      </c>
      <c r="AB274" s="5">
        <v>6</v>
      </c>
      <c r="AC274" s="2" t="s">
        <v>1083</v>
      </c>
      <c r="AD274" s="4">
        <v>100</v>
      </c>
      <c r="AE274" s="4">
        <v>100</v>
      </c>
      <c r="AF274" s="6">
        <v>74</v>
      </c>
      <c r="AG274" s="6">
        <v>60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>
        <v>4</v>
      </c>
      <c r="BK274" s="8">
        <v>323.16</v>
      </c>
      <c r="BL274" s="2" t="s">
        <v>1376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95</v>
      </c>
      <c r="BW274" s="2" t="s">
        <v>168</v>
      </c>
      <c r="BX274" s="2" t="s">
        <v>1377</v>
      </c>
      <c r="BY274" s="2" t="s">
        <v>109</v>
      </c>
      <c r="BZ274" s="2" t="s">
        <v>98</v>
      </c>
    </row>
    <row r="275">
      <c r="A275" s="2" t="s">
        <v>1378</v>
      </c>
      <c r="B275" s="2" t="s">
        <v>996</v>
      </c>
      <c r="C275" s="2" t="s">
        <v>88</v>
      </c>
      <c r="D275" s="2" t="s">
        <v>1318</v>
      </c>
      <c r="E275" s="2" t="s">
        <v>1379</v>
      </c>
      <c r="F275" s="2" t="s">
        <v>1107</v>
      </c>
      <c r="G275" s="2" t="s">
        <v>98</v>
      </c>
      <c r="H275" s="2" t="s">
        <v>98</v>
      </c>
      <c r="I275" s="2" t="s">
        <v>1380</v>
      </c>
      <c r="J275" s="2" t="s">
        <v>661</v>
      </c>
      <c r="K275" s="2" t="s">
        <v>1112</v>
      </c>
      <c r="L275" s="3">
        <v>138</v>
      </c>
      <c r="M275" s="3">
        <v>144.9</v>
      </c>
      <c r="N275" s="3">
        <v>289</v>
      </c>
      <c r="O275" s="2" t="s">
        <v>95</v>
      </c>
      <c r="P275" s="2" t="s">
        <v>714</v>
      </c>
      <c r="Q275" s="2" t="s">
        <v>97</v>
      </c>
      <c r="R275" s="2" t="s">
        <v>98</v>
      </c>
      <c r="S275" s="2" t="s">
        <v>1381</v>
      </c>
      <c r="T275" s="2" t="s">
        <v>98</v>
      </c>
      <c r="U275" s="2" t="s">
        <v>98</v>
      </c>
      <c r="V275" s="2" t="s">
        <v>208</v>
      </c>
      <c r="W275" s="2" t="s">
        <v>377</v>
      </c>
      <c r="X275" s="2" t="s">
        <v>98</v>
      </c>
      <c r="Y275" s="2" t="s">
        <v>354</v>
      </c>
      <c r="Z275" s="4">
        <v>119</v>
      </c>
      <c r="AA275" s="4">
        <f>=ROUNDDOWN(22.037037037037,0)</f>
      </c>
      <c r="AB275" s="5">
        <v>5.4</v>
      </c>
      <c r="AC275" s="2" t="s">
        <v>1076</v>
      </c>
      <c r="AD275" s="4">
        <v>99</v>
      </c>
      <c r="AE275" s="4">
        <v>99</v>
      </c>
      <c r="AF275" s="6">
        <v>69</v>
      </c>
      <c r="AG275" s="6">
        <v>52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>
        <v>7</v>
      </c>
      <c r="BK275" s="8">
        <v>943.26</v>
      </c>
      <c r="BL275" s="2" t="s">
        <v>1382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95</v>
      </c>
      <c r="BW275" s="2" t="s">
        <v>168</v>
      </c>
      <c r="BX275" s="2" t="s">
        <v>1383</v>
      </c>
      <c r="BY275" s="2" t="s">
        <v>109</v>
      </c>
      <c r="BZ275" s="2" t="s">
        <v>98</v>
      </c>
    </row>
    <row r="276">
      <c r="A276" s="2" t="s">
        <v>1384</v>
      </c>
      <c r="B276" s="2" t="s">
        <v>996</v>
      </c>
      <c r="C276" s="2" t="s">
        <v>88</v>
      </c>
      <c r="D276" s="2" t="s">
        <v>1318</v>
      </c>
      <c r="E276" s="2" t="s">
        <v>1379</v>
      </c>
      <c r="F276" s="2" t="s">
        <v>1255</v>
      </c>
      <c r="G276" s="2" t="s">
        <v>98</v>
      </c>
      <c r="H276" s="2" t="s">
        <v>98</v>
      </c>
      <c r="I276" s="2" t="s">
        <v>1385</v>
      </c>
      <c r="J276" s="2" t="s">
        <v>661</v>
      </c>
      <c r="K276" s="2" t="s">
        <v>1257</v>
      </c>
      <c r="L276" s="3">
        <v>128.25</v>
      </c>
      <c r="M276" s="3">
        <v>134.66</v>
      </c>
      <c r="N276" s="3">
        <v>269</v>
      </c>
      <c r="O276" s="2" t="s">
        <v>95</v>
      </c>
      <c r="P276" s="2" t="s">
        <v>714</v>
      </c>
      <c r="Q276" s="2" t="s">
        <v>97</v>
      </c>
      <c r="R276" s="2" t="s">
        <v>98</v>
      </c>
      <c r="S276" s="2" t="s">
        <v>1386</v>
      </c>
      <c r="T276" s="2" t="s">
        <v>98</v>
      </c>
      <c r="U276" s="2" t="s">
        <v>98</v>
      </c>
      <c r="V276" s="2" t="s">
        <v>208</v>
      </c>
      <c r="W276" s="2" t="s">
        <v>729</v>
      </c>
      <c r="X276" s="2" t="s">
        <v>242</v>
      </c>
      <c r="Y276" s="2" t="s">
        <v>1387</v>
      </c>
      <c r="Z276" s="4">
        <v>112</v>
      </c>
      <c r="AA276" s="4">
        <f>=ROUNDDOWN(14,0)</f>
      </c>
      <c r="AB276" s="5">
        <v>8</v>
      </c>
      <c r="AC276" s="2" t="s">
        <v>118</v>
      </c>
      <c r="AD276" s="4">
        <v>150</v>
      </c>
      <c r="AE276" s="4">
        <v>150</v>
      </c>
      <c r="AF276" s="6">
        <v>74</v>
      </c>
      <c r="AG276" s="6">
        <v>60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6</v>
      </c>
      <c r="BK276" s="8">
        <v>790.32</v>
      </c>
      <c r="BL276" s="2" t="s">
        <v>1388</v>
      </c>
      <c r="BM276" s="7"/>
      <c r="BN276" s="7"/>
      <c r="BO276" s="4"/>
      <c r="BP276" s="8"/>
      <c r="BQ276" s="4"/>
      <c r="BR276" s="8"/>
      <c r="BS276" s="7"/>
      <c r="BT276" s="7"/>
      <c r="BU276" s="2" t="s">
        <v>832</v>
      </c>
      <c r="BV276" s="2" t="s">
        <v>95</v>
      </c>
      <c r="BW276" s="2" t="s">
        <v>168</v>
      </c>
      <c r="BX276" s="2" t="s">
        <v>1389</v>
      </c>
      <c r="BY276" s="2" t="s">
        <v>109</v>
      </c>
      <c r="BZ276" s="2" t="s">
        <v>98</v>
      </c>
    </row>
    <row r="277">
      <c r="A277" s="2" t="s">
        <v>1390</v>
      </c>
      <c r="B277" s="2" t="s">
        <v>996</v>
      </c>
      <c r="C277" s="2" t="s">
        <v>88</v>
      </c>
      <c r="D277" s="2" t="s">
        <v>1318</v>
      </c>
      <c r="E277" s="2" t="s">
        <v>1391</v>
      </c>
      <c r="F277" s="2" t="s">
        <v>1392</v>
      </c>
      <c r="G277" s="2" t="s">
        <v>1392</v>
      </c>
      <c r="H277" s="2" t="s">
        <v>1392</v>
      </c>
      <c r="I277" s="2" t="s">
        <v>1393</v>
      </c>
      <c r="J277" s="2" t="s">
        <v>661</v>
      </c>
      <c r="K277" s="2" t="s">
        <v>1112</v>
      </c>
      <c r="L277" s="3">
        <v>85.5</v>
      </c>
      <c r="M277" s="3">
        <v>89.78</v>
      </c>
      <c r="N277" s="3">
        <v>179</v>
      </c>
      <c r="O277" s="2" t="s">
        <v>95</v>
      </c>
      <c r="P277" s="2" t="s">
        <v>128</v>
      </c>
      <c r="Q277" s="2" t="s">
        <v>97</v>
      </c>
      <c r="R277" s="2" t="s">
        <v>98</v>
      </c>
      <c r="S277" s="2" t="s">
        <v>1394</v>
      </c>
      <c r="T277" s="2" t="s">
        <v>98</v>
      </c>
      <c r="U277" s="2" t="s">
        <v>98</v>
      </c>
      <c r="V277" s="2" t="s">
        <v>208</v>
      </c>
      <c r="W277" s="2" t="s">
        <v>729</v>
      </c>
      <c r="X277" s="2" t="s">
        <v>98</v>
      </c>
      <c r="Y277" s="2" t="s">
        <v>1395</v>
      </c>
      <c r="Z277" s="4"/>
      <c r="AA277" s="4">
        <f>=ROUNDDOWN({0},0)</f>
      </c>
      <c r="AB277" s="5">
        <v>1.8</v>
      </c>
      <c r="AC277" s="2" t="s">
        <v>98</v>
      </c>
      <c r="AD277" s="4"/>
      <c r="AE277" s="4"/>
      <c r="AF277" s="6">
        <v>74</v>
      </c>
      <c r="AG277" s="6"/>
      <c r="AH277" s="7">
        <v>0</v>
      </c>
      <c r="AI277" s="4"/>
      <c r="AJ277" s="4">
        <f>=ROUNDDOWN({0},0)</f>
      </c>
      <c r="AK277" s="5"/>
      <c r="AL277" s="2" t="s">
        <v>98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52</v>
      </c>
      <c r="BK277" s="8">
        <v>4040.92</v>
      </c>
      <c r="BL277" s="2" t="s">
        <v>1348</v>
      </c>
      <c r="BM277" s="7"/>
      <c r="BN277" s="7"/>
      <c r="BO277" s="4"/>
      <c r="BP277" s="8"/>
      <c r="BQ277" s="4"/>
      <c r="BR277" s="8"/>
      <c r="BS277" s="7"/>
      <c r="BT277" s="7"/>
      <c r="BU277" s="2" t="s">
        <v>106</v>
      </c>
      <c r="BV277" s="2" t="s">
        <v>95</v>
      </c>
      <c r="BW277" s="2" t="s">
        <v>168</v>
      </c>
      <c r="BX277" s="2" t="s">
        <v>627</v>
      </c>
      <c r="BY277" s="2" t="s">
        <v>109</v>
      </c>
      <c r="BZ277" s="2" t="s">
        <v>98</v>
      </c>
    </row>
    <row r="278">
      <c r="A278" s="2" t="s">
        <v>1396</v>
      </c>
      <c r="B278" s="2" t="s">
        <v>996</v>
      </c>
      <c r="C278" s="2" t="s">
        <v>88</v>
      </c>
      <c r="D278" s="2" t="s">
        <v>1318</v>
      </c>
      <c r="E278" s="2" t="s">
        <v>1397</v>
      </c>
      <c r="F278" s="2" t="s">
        <v>1398</v>
      </c>
      <c r="G278" s="2" t="s">
        <v>1398</v>
      </c>
      <c r="H278" s="2" t="s">
        <v>1398</v>
      </c>
      <c r="I278" s="2" t="s">
        <v>1399</v>
      </c>
      <c r="J278" s="2" t="s">
        <v>661</v>
      </c>
      <c r="K278" s="2" t="s">
        <v>631</v>
      </c>
      <c r="L278" s="3">
        <v>85.5</v>
      </c>
      <c r="M278" s="3">
        <v>89.78</v>
      </c>
      <c r="N278" s="3">
        <v>179</v>
      </c>
      <c r="O278" s="2" t="s">
        <v>95</v>
      </c>
      <c r="P278" s="2" t="s">
        <v>714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590</v>
      </c>
      <c r="V278" s="2" t="s">
        <v>369</v>
      </c>
      <c r="W278" s="2" t="s">
        <v>242</v>
      </c>
      <c r="X278" s="2" t="s">
        <v>98</v>
      </c>
      <c r="Y278" s="2" t="s">
        <v>1400</v>
      </c>
      <c r="Z278" s="4">
        <v>217</v>
      </c>
      <c r="AA278" s="4">
        <f>=ROUNDDOWN(108.5,0)</f>
      </c>
      <c r="AB278" s="5">
        <v>2</v>
      </c>
      <c r="AC278" s="2" t="s">
        <v>98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98</v>
      </c>
      <c r="BM278" s="7"/>
      <c r="BN278" s="7"/>
      <c r="BO278" s="4"/>
      <c r="BP278" s="8"/>
      <c r="BQ278" s="4"/>
      <c r="BR278" s="8"/>
      <c r="BS278" s="7"/>
      <c r="BT278" s="7"/>
      <c r="BU278" s="2" t="s">
        <v>106</v>
      </c>
      <c r="BV278" s="2" t="s">
        <v>95</v>
      </c>
      <c r="BW278" s="2" t="s">
        <v>1401</v>
      </c>
      <c r="BX278" s="2" t="s">
        <v>1402</v>
      </c>
      <c r="BY278" s="2" t="s">
        <v>109</v>
      </c>
      <c r="BZ278" s="2" t="s">
        <v>98</v>
      </c>
    </row>
    <row r="279">
      <c r="A279" s="2" t="s">
        <v>1403</v>
      </c>
      <c r="B279" s="2" t="s">
        <v>996</v>
      </c>
      <c r="C279" s="2" t="s">
        <v>88</v>
      </c>
      <c r="D279" s="2" t="s">
        <v>1318</v>
      </c>
      <c r="E279" s="2" t="s">
        <v>1397</v>
      </c>
      <c r="F279" s="2" t="s">
        <v>1404</v>
      </c>
      <c r="G279" s="2" t="s">
        <v>1404</v>
      </c>
      <c r="H279" s="2" t="s">
        <v>1404</v>
      </c>
      <c r="I279" s="2" t="s">
        <v>1405</v>
      </c>
      <c r="J279" s="2" t="s">
        <v>661</v>
      </c>
      <c r="K279" s="2" t="s">
        <v>367</v>
      </c>
      <c r="L279" s="3">
        <v>165</v>
      </c>
      <c r="M279" s="3">
        <v>173.25</v>
      </c>
      <c r="N279" s="3">
        <v>349</v>
      </c>
      <c r="O279" s="2" t="s">
        <v>95</v>
      </c>
      <c r="P279" s="2" t="s">
        <v>177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590</v>
      </c>
      <c r="V279" s="2" t="s">
        <v>369</v>
      </c>
      <c r="W279" s="2" t="s">
        <v>384</v>
      </c>
      <c r="X279" s="2" t="s">
        <v>242</v>
      </c>
      <c r="Y279" s="2" t="s">
        <v>1406</v>
      </c>
      <c r="Z279" s="4">
        <v>44</v>
      </c>
      <c r="AA279" s="4">
        <f>=ROUNDDOWN(14.6666666666667,0)</f>
      </c>
      <c r="AB279" s="5">
        <v>3</v>
      </c>
      <c r="AC279" s="2" t="s">
        <v>98</v>
      </c>
      <c r="AD279" s="4"/>
      <c r="AE279" s="4"/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1</v>
      </c>
      <c r="BK279" s="8">
        <v>187.11</v>
      </c>
      <c r="BL279" s="2" t="s">
        <v>525</v>
      </c>
      <c r="BM279" s="7"/>
      <c r="BN279" s="7"/>
      <c r="BO279" s="4"/>
      <c r="BP279" s="8"/>
      <c r="BQ279" s="4"/>
      <c r="BR279" s="8"/>
      <c r="BS279" s="7"/>
      <c r="BT279" s="7"/>
      <c r="BU279" s="2" t="s">
        <v>832</v>
      </c>
      <c r="BV279" s="2" t="s">
        <v>95</v>
      </c>
      <c r="BW279" s="2" t="s">
        <v>98</v>
      </c>
      <c r="BX279" s="2" t="s">
        <v>98</v>
      </c>
      <c r="BY279" s="2" t="s">
        <v>109</v>
      </c>
      <c r="BZ279" s="2" t="s">
        <v>98</v>
      </c>
    </row>
    <row r="280">
      <c r="A280" s="2" t="s">
        <v>1407</v>
      </c>
      <c r="B280" s="2" t="s">
        <v>996</v>
      </c>
      <c r="C280" s="2" t="s">
        <v>88</v>
      </c>
      <c r="D280" s="2" t="s">
        <v>1318</v>
      </c>
      <c r="E280" s="2" t="s">
        <v>1397</v>
      </c>
      <c r="F280" s="2" t="s">
        <v>1392</v>
      </c>
      <c r="G280" s="2" t="s">
        <v>1392</v>
      </c>
      <c r="H280" s="2" t="s">
        <v>1392</v>
      </c>
      <c r="I280" s="2" t="s">
        <v>1397</v>
      </c>
      <c r="J280" s="2" t="s">
        <v>661</v>
      </c>
      <c r="K280" s="2" t="s">
        <v>1408</v>
      </c>
      <c r="L280" s="3">
        <v>80.75</v>
      </c>
      <c r="M280" s="3">
        <v>84.79</v>
      </c>
      <c r="N280" s="3">
        <v>169</v>
      </c>
      <c r="O280" s="2" t="s">
        <v>95</v>
      </c>
      <c r="P280" s="2" t="s">
        <v>140</v>
      </c>
      <c r="Q280" s="2" t="s">
        <v>97</v>
      </c>
      <c r="R280" s="2" t="s">
        <v>98</v>
      </c>
      <c r="S280" s="2" t="s">
        <v>98</v>
      </c>
      <c r="T280" s="2" t="s">
        <v>98</v>
      </c>
      <c r="U280" s="2" t="s">
        <v>590</v>
      </c>
      <c r="V280" s="2" t="s">
        <v>208</v>
      </c>
      <c r="W280" s="2" t="s">
        <v>729</v>
      </c>
      <c r="X280" s="2" t="s">
        <v>98</v>
      </c>
      <c r="Y280" s="2" t="s">
        <v>1409</v>
      </c>
      <c r="Z280" s="4">
        <v>232</v>
      </c>
      <c r="AA280" s="4">
        <f>=ROUNDDOWN(21.0909090909091,0)</f>
      </c>
      <c r="AB280" s="5">
        <v>11</v>
      </c>
      <c r="AC280" s="2" t="s">
        <v>118</v>
      </c>
      <c r="AD280" s="4">
        <v>80</v>
      </c>
      <c r="AE280" s="4">
        <v>80</v>
      </c>
      <c r="AF280" s="6">
        <v>74</v>
      </c>
      <c r="AG280" s="6">
        <v>60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13</v>
      </c>
      <c r="BK280" s="8">
        <v>1093.68</v>
      </c>
      <c r="BL280" s="2" t="s">
        <v>1328</v>
      </c>
      <c r="BM280" s="7"/>
      <c r="BN280" s="7"/>
      <c r="BO280" s="4"/>
      <c r="BP280" s="8"/>
      <c r="BQ280" s="4"/>
      <c r="BR280" s="8"/>
      <c r="BS280" s="7"/>
      <c r="BT280" s="7"/>
      <c r="BU280" s="2" t="s">
        <v>106</v>
      </c>
      <c r="BV280" s="2" t="s">
        <v>95</v>
      </c>
      <c r="BW280" s="2" t="s">
        <v>168</v>
      </c>
      <c r="BX280" s="2" t="s">
        <v>1410</v>
      </c>
      <c r="BY280" s="2" t="s">
        <v>109</v>
      </c>
      <c r="BZ280" s="2" t="s">
        <v>98</v>
      </c>
    </row>
    <row r="281">
      <c r="A281" s="2" t="s">
        <v>1411</v>
      </c>
      <c r="B281" s="2" t="s">
        <v>996</v>
      </c>
      <c r="C281" s="2" t="s">
        <v>88</v>
      </c>
      <c r="D281" s="2" t="s">
        <v>1318</v>
      </c>
      <c r="E281" s="2" t="s">
        <v>1397</v>
      </c>
      <c r="F281" s="2" t="s">
        <v>1412</v>
      </c>
      <c r="G281" s="2" t="s">
        <v>1412</v>
      </c>
      <c r="H281" s="2" t="s">
        <v>1412</v>
      </c>
      <c r="I281" s="2" t="s">
        <v>1413</v>
      </c>
      <c r="J281" s="2" t="s">
        <v>661</v>
      </c>
      <c r="K281" s="2" t="s">
        <v>1414</v>
      </c>
      <c r="L281" s="3">
        <v>123</v>
      </c>
      <c r="M281" s="3">
        <v>129.15</v>
      </c>
      <c r="N281" s="3">
        <v>259</v>
      </c>
      <c r="O281" s="2" t="s">
        <v>95</v>
      </c>
      <c r="P281" s="2" t="s">
        <v>128</v>
      </c>
      <c r="Q281" s="2" t="s">
        <v>97</v>
      </c>
      <c r="R281" s="2" t="s">
        <v>98</v>
      </c>
      <c r="S281" s="2" t="s">
        <v>98</v>
      </c>
      <c r="T281" s="2" t="s">
        <v>98</v>
      </c>
      <c r="U281" s="2" t="s">
        <v>590</v>
      </c>
      <c r="V281" s="2" t="s">
        <v>369</v>
      </c>
      <c r="W281" s="2" t="s">
        <v>242</v>
      </c>
      <c r="X281" s="2" t="s">
        <v>190</v>
      </c>
      <c r="Y281" s="2" t="s">
        <v>1415</v>
      </c>
      <c r="Z281" s="4">
        <v>11</v>
      </c>
      <c r="AA281" s="4">
        <f>=ROUNDDOWN(2.75,0)</f>
      </c>
      <c r="AB281" s="5">
        <v>4</v>
      </c>
      <c r="AC281" s="2" t="s">
        <v>98</v>
      </c>
      <c r="AD281" s="4"/>
      <c r="AE281" s="4"/>
      <c r="AF281" s="6">
        <v>66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27</v>
      </c>
      <c r="BK281" s="8">
        <v>1677.86</v>
      </c>
      <c r="BL281" s="2" t="s">
        <v>1416</v>
      </c>
      <c r="BM281" s="7"/>
      <c r="BN281" s="7"/>
      <c r="BO281" s="4"/>
      <c r="BP281" s="8"/>
      <c r="BQ281" s="4"/>
      <c r="BR281" s="8"/>
      <c r="BS281" s="7"/>
      <c r="BT281" s="7"/>
      <c r="BU281" s="2" t="s">
        <v>106</v>
      </c>
      <c r="BV281" s="2" t="s">
        <v>95</v>
      </c>
      <c r="BW281" s="2" t="s">
        <v>1020</v>
      </c>
      <c r="BX281" s="2" t="s">
        <v>335</v>
      </c>
      <c r="BY281" s="2" t="s">
        <v>109</v>
      </c>
      <c r="BZ281" s="2" t="s">
        <v>98</v>
      </c>
    </row>
    <row r="282">
      <c r="A282" s="2" t="s">
        <v>1417</v>
      </c>
      <c r="B282" s="2" t="s">
        <v>996</v>
      </c>
      <c r="C282" s="2" t="s">
        <v>88</v>
      </c>
      <c r="D282" s="2" t="s">
        <v>1418</v>
      </c>
      <c r="E282" s="2" t="s">
        <v>1419</v>
      </c>
      <c r="F282" s="2" t="s">
        <v>1420</v>
      </c>
      <c r="G282" s="2" t="s">
        <v>1420</v>
      </c>
      <c r="H282" s="2" t="s">
        <v>1420</v>
      </c>
      <c r="I282" s="2" t="s">
        <v>1421</v>
      </c>
      <c r="J282" s="2" t="s">
        <v>661</v>
      </c>
      <c r="K282" s="2" t="s">
        <v>737</v>
      </c>
      <c r="L282" s="3">
        <v>248.29</v>
      </c>
      <c r="M282" s="3">
        <v>260.7</v>
      </c>
      <c r="N282" s="3">
        <v>519</v>
      </c>
      <c r="O282" s="2" t="s">
        <v>95</v>
      </c>
      <c r="P282" s="2" t="s">
        <v>128</v>
      </c>
      <c r="Q282" s="2" t="s">
        <v>97</v>
      </c>
      <c r="R282" s="2" t="s">
        <v>98</v>
      </c>
      <c r="S282" s="2" t="s">
        <v>98</v>
      </c>
      <c r="T282" s="2" t="s">
        <v>98</v>
      </c>
      <c r="U282" s="2" t="s">
        <v>590</v>
      </c>
      <c r="V282" s="2" t="s">
        <v>208</v>
      </c>
      <c r="W282" s="2" t="s">
        <v>242</v>
      </c>
      <c r="X282" s="2" t="s">
        <v>377</v>
      </c>
      <c r="Y282" s="2" t="s">
        <v>849</v>
      </c>
      <c r="Z282" s="4">
        <v>181</v>
      </c>
      <c r="AA282" s="4">
        <f>=ROUNDDOWN(60.3333333333333,0)</f>
      </c>
      <c r="AB282" s="5">
        <v>3</v>
      </c>
      <c r="AC282" s="2" t="s">
        <v>98</v>
      </c>
      <c r="AD282" s="4"/>
      <c r="AE282" s="4"/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5</v>
      </c>
      <c r="BK282" s="8">
        <v>787.53</v>
      </c>
      <c r="BL282" s="2" t="s">
        <v>1422</v>
      </c>
      <c r="BM282" s="7"/>
      <c r="BN282" s="7"/>
      <c r="BO282" s="4"/>
      <c r="BP282" s="8"/>
      <c r="BQ282" s="4"/>
      <c r="BR282" s="8"/>
      <c r="BS282" s="7"/>
      <c r="BT282" s="7"/>
      <c r="BU282" s="2" t="s">
        <v>1264</v>
      </c>
      <c r="BV282" s="2" t="s">
        <v>95</v>
      </c>
      <c r="BW282" s="2" t="s">
        <v>98</v>
      </c>
      <c r="BX282" s="2" t="s">
        <v>98</v>
      </c>
      <c r="BY282" s="2" t="s">
        <v>109</v>
      </c>
      <c r="BZ282" s="2" t="s">
        <v>98</v>
      </c>
    </row>
    <row r="283">
      <c r="A283" s="2" t="s">
        <v>1423</v>
      </c>
      <c r="B283" s="2" t="s">
        <v>996</v>
      </c>
      <c r="C283" s="2" t="s">
        <v>88</v>
      </c>
      <c r="D283" s="2" t="s">
        <v>1424</v>
      </c>
      <c r="E283" s="2" t="s">
        <v>1425</v>
      </c>
      <c r="F283" s="2" t="s">
        <v>1261</v>
      </c>
      <c r="G283" s="2" t="s">
        <v>1261</v>
      </c>
      <c r="H283" s="2" t="s">
        <v>1261</v>
      </c>
      <c r="I283" s="2" t="s">
        <v>1426</v>
      </c>
      <c r="J283" s="2" t="s">
        <v>661</v>
      </c>
      <c r="K283" s="2" t="s">
        <v>1266</v>
      </c>
      <c r="L283" s="3">
        <v>118</v>
      </c>
      <c r="M283" s="3">
        <v>123.9</v>
      </c>
      <c r="N283" s="3">
        <v>249</v>
      </c>
      <c r="O283" s="2" t="s">
        <v>95</v>
      </c>
      <c r="P283" s="2" t="s">
        <v>140</v>
      </c>
      <c r="Q283" s="2" t="s">
        <v>97</v>
      </c>
      <c r="R283" s="2" t="s">
        <v>98</v>
      </c>
      <c r="S283" s="2" t="s">
        <v>1267</v>
      </c>
      <c r="T283" s="2" t="s">
        <v>98</v>
      </c>
      <c r="U283" s="2" t="s">
        <v>98</v>
      </c>
      <c r="V283" s="2" t="s">
        <v>208</v>
      </c>
      <c r="W283" s="2" t="s">
        <v>384</v>
      </c>
      <c r="X283" s="2" t="s">
        <v>98</v>
      </c>
      <c r="Y283" s="2" t="s">
        <v>354</v>
      </c>
      <c r="Z283" s="4">
        <v>52</v>
      </c>
      <c r="AA283" s="4">
        <f>=ROUNDDOWN(11.8181818181818,0)</f>
      </c>
      <c r="AB283" s="5">
        <v>4.4</v>
      </c>
      <c r="AC283" s="2" t="s">
        <v>1427</v>
      </c>
      <c r="AD283" s="4">
        <v>100</v>
      </c>
      <c r="AE283" s="4">
        <v>100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5</v>
      </c>
      <c r="BK283" s="8">
        <v>547.65</v>
      </c>
      <c r="BL283" s="2" t="s">
        <v>502</v>
      </c>
      <c r="BM283" s="7"/>
      <c r="BN283" s="7"/>
      <c r="BO283" s="4"/>
      <c r="BP283" s="8"/>
      <c r="BQ283" s="4"/>
      <c r="BR283" s="8"/>
      <c r="BS283" s="7"/>
      <c r="BT283" s="7"/>
      <c r="BU283" s="2" t="s">
        <v>1264</v>
      </c>
      <c r="BV283" s="2" t="s">
        <v>95</v>
      </c>
      <c r="BW283" s="2" t="s">
        <v>98</v>
      </c>
      <c r="BX283" s="2" t="s">
        <v>98</v>
      </c>
      <c r="BY283" s="2" t="s">
        <v>109</v>
      </c>
      <c r="BZ283" s="2" t="s">
        <v>98</v>
      </c>
    </row>
    <row r="284">
      <c r="A284" s="2" t="s">
        <v>1428</v>
      </c>
      <c r="B284" s="2" t="s">
        <v>996</v>
      </c>
      <c r="C284" s="2" t="s">
        <v>88</v>
      </c>
      <c r="D284" s="2" t="s">
        <v>1429</v>
      </c>
      <c r="E284" s="2" t="s">
        <v>1430</v>
      </c>
      <c r="F284" s="2" t="s">
        <v>1431</v>
      </c>
      <c r="G284" s="2" t="s">
        <v>1431</v>
      </c>
      <c r="H284" s="2" t="s">
        <v>1431</v>
      </c>
      <c r="I284" s="2" t="s">
        <v>1432</v>
      </c>
      <c r="J284" s="2" t="s">
        <v>1433</v>
      </c>
      <c r="K284" s="2" t="s">
        <v>1434</v>
      </c>
      <c r="L284" s="3">
        <v>552</v>
      </c>
      <c r="M284" s="3">
        <v>579.6</v>
      </c>
      <c r="N284" s="3">
        <v>1149</v>
      </c>
      <c r="O284" s="2" t="s">
        <v>95</v>
      </c>
      <c r="P284" s="2" t="s">
        <v>177</v>
      </c>
      <c r="Q284" s="2" t="s">
        <v>97</v>
      </c>
      <c r="R284" s="2" t="s">
        <v>98</v>
      </c>
      <c r="S284" s="2" t="s">
        <v>98</v>
      </c>
      <c r="T284" s="2" t="s">
        <v>98</v>
      </c>
      <c r="U284" s="2" t="s">
        <v>590</v>
      </c>
      <c r="V284" s="2" t="s">
        <v>208</v>
      </c>
      <c r="W284" s="2" t="s">
        <v>242</v>
      </c>
      <c r="X284" s="2" t="s">
        <v>190</v>
      </c>
      <c r="Y284" s="2" t="s">
        <v>1435</v>
      </c>
      <c r="Z284" s="4">
        <v>135</v>
      </c>
      <c r="AA284" s="4">
        <f>=ROUNDDOWN(96.4285714285714,0)</f>
      </c>
      <c r="AB284" s="5">
        <v>1.4</v>
      </c>
      <c r="AC284" s="2" t="s">
        <v>98</v>
      </c>
      <c r="AD284" s="4"/>
      <c r="AE284" s="4"/>
      <c r="AF284" s="6">
        <v>74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1</v>
      </c>
      <c r="BK284" s="8">
        <v>596.99</v>
      </c>
      <c r="BL284" s="2" t="s">
        <v>502</v>
      </c>
      <c r="BM284" s="7"/>
      <c r="BN284" s="7"/>
      <c r="BO284" s="4"/>
      <c r="BP284" s="8"/>
      <c r="BQ284" s="4"/>
      <c r="BR284" s="8"/>
      <c r="BS284" s="7"/>
      <c r="BT284" s="7"/>
      <c r="BU284" s="2" t="s">
        <v>1370</v>
      </c>
      <c r="BV284" s="2" t="s">
        <v>95</v>
      </c>
      <c r="BW284" s="2" t="s">
        <v>98</v>
      </c>
      <c r="BX284" s="2" t="s">
        <v>98</v>
      </c>
      <c r="BY284" s="2" t="s">
        <v>109</v>
      </c>
      <c r="BZ284" s="2" t="s">
        <v>98</v>
      </c>
    </row>
    <row r="285">
      <c r="A285" s="2" t="s">
        <v>1436</v>
      </c>
      <c r="B285" s="2" t="s">
        <v>996</v>
      </c>
      <c r="C285" s="2" t="s">
        <v>88</v>
      </c>
      <c r="D285" s="2" t="s">
        <v>1429</v>
      </c>
      <c r="E285" s="2" t="s">
        <v>1430</v>
      </c>
      <c r="F285" s="2" t="s">
        <v>1431</v>
      </c>
      <c r="G285" s="2" t="s">
        <v>98</v>
      </c>
      <c r="H285" s="2" t="s">
        <v>98</v>
      </c>
      <c r="I285" s="2" t="s">
        <v>1437</v>
      </c>
      <c r="J285" s="2" t="s">
        <v>1433</v>
      </c>
      <c r="K285" s="2" t="s">
        <v>1246</v>
      </c>
      <c r="L285" s="3">
        <v>521.98</v>
      </c>
      <c r="M285" s="3">
        <v>548.08</v>
      </c>
      <c r="N285" s="3">
        <v>1099</v>
      </c>
      <c r="O285" s="2" t="s">
        <v>95</v>
      </c>
      <c r="P285" s="2" t="s">
        <v>714</v>
      </c>
      <c r="Q285" s="2" t="s">
        <v>97</v>
      </c>
      <c r="R285" s="2" t="s">
        <v>98</v>
      </c>
      <c r="S285" s="2" t="s">
        <v>1438</v>
      </c>
      <c r="T285" s="2" t="s">
        <v>98</v>
      </c>
      <c r="U285" s="2" t="s">
        <v>98</v>
      </c>
      <c r="V285" s="2" t="s">
        <v>208</v>
      </c>
      <c r="W285" s="2" t="s">
        <v>384</v>
      </c>
      <c r="X285" s="2" t="s">
        <v>98</v>
      </c>
      <c r="Y285" s="2" t="s">
        <v>354</v>
      </c>
      <c r="Z285" s="4">
        <v>61</v>
      </c>
      <c r="AA285" s="4">
        <f>=ROUNDDOWN(20.3333333333333,0)</f>
      </c>
      <c r="AB285" s="5">
        <v>3</v>
      </c>
      <c r="AC285" s="2" t="s">
        <v>98</v>
      </c>
      <c r="AD285" s="4"/>
      <c r="AE285" s="4"/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98</v>
      </c>
      <c r="AW285" s="8" t="s">
        <v>98</v>
      </c>
      <c r="AX285" s="4" t="s">
        <v>98</v>
      </c>
      <c r="AY285" s="8" t="s">
        <v>98</v>
      </c>
      <c r="AZ285" s="7" t="s">
        <v>98</v>
      </c>
      <c r="BA285" s="7" t="s">
        <v>98</v>
      </c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5</v>
      </c>
      <c r="BK285" s="8">
        <v>2235.03</v>
      </c>
      <c r="BL285" s="2" t="s">
        <v>502</v>
      </c>
      <c r="BM285" s="7"/>
      <c r="BN285" s="7"/>
      <c r="BO285" s="4"/>
      <c r="BP285" s="8"/>
      <c r="BQ285" s="4"/>
      <c r="BR285" s="8"/>
      <c r="BS285" s="7"/>
      <c r="BT285" s="7"/>
      <c r="BU285" s="2" t="s">
        <v>1264</v>
      </c>
      <c r="BV285" s="2" t="s">
        <v>95</v>
      </c>
      <c r="BW285" s="2" t="s">
        <v>98</v>
      </c>
      <c r="BX285" s="2" t="s">
        <v>98</v>
      </c>
      <c r="BY285" s="2" t="s">
        <v>109</v>
      </c>
      <c r="BZ285" s="2" t="s">
        <v>98</v>
      </c>
    </row>
    <row r="286">
      <c r="A286" s="2" t="s">
        <v>1439</v>
      </c>
      <c r="B286" s="2" t="s">
        <v>996</v>
      </c>
      <c r="C286" s="2" t="s">
        <v>88</v>
      </c>
      <c r="D286" s="2" t="s">
        <v>1429</v>
      </c>
      <c r="E286" s="2" t="s">
        <v>1430</v>
      </c>
      <c r="F286" s="2" t="s">
        <v>1431</v>
      </c>
      <c r="G286" s="2" t="s">
        <v>98</v>
      </c>
      <c r="H286" s="2" t="s">
        <v>98</v>
      </c>
      <c r="I286" s="2" t="s">
        <v>1437</v>
      </c>
      <c r="J286" s="2" t="s">
        <v>401</v>
      </c>
      <c r="K286" s="2" t="s">
        <v>1246</v>
      </c>
      <c r="L286" s="3">
        <v>574.7</v>
      </c>
      <c r="M286" s="3">
        <v>603.44</v>
      </c>
      <c r="N286" s="3">
        <v>1199</v>
      </c>
      <c r="O286" s="2" t="s">
        <v>95</v>
      </c>
      <c r="P286" s="2" t="s">
        <v>140</v>
      </c>
      <c r="Q286" s="2" t="s">
        <v>97</v>
      </c>
      <c r="R286" s="2" t="s">
        <v>98</v>
      </c>
      <c r="S286" s="2" t="s">
        <v>1438</v>
      </c>
      <c r="T286" s="2" t="s">
        <v>98</v>
      </c>
      <c r="U286" s="2" t="s">
        <v>98</v>
      </c>
      <c r="V286" s="2" t="s">
        <v>208</v>
      </c>
      <c r="W286" s="2" t="s">
        <v>384</v>
      </c>
      <c r="X286" s="2" t="s">
        <v>98</v>
      </c>
      <c r="Y286" s="2" t="s">
        <v>1440</v>
      </c>
      <c r="Z286" s="4">
        <v>94</v>
      </c>
      <c r="AA286" s="4">
        <f>=ROUNDDOWN(23.5,0)</f>
      </c>
      <c r="AB286" s="5">
        <v>4</v>
      </c>
      <c r="AC286" s="2" t="s">
        <v>1441</v>
      </c>
      <c r="AD286" s="4">
        <v>35</v>
      </c>
      <c r="AE286" s="4">
        <v>35</v>
      </c>
      <c r="AF286" s="6">
        <v>74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4</v>
      </c>
      <c r="BK286" s="8">
        <v>2161.22</v>
      </c>
      <c r="BL286" s="2" t="s">
        <v>989</v>
      </c>
      <c r="BM286" s="7"/>
      <c r="BN286" s="7"/>
      <c r="BO286" s="4"/>
      <c r="BP286" s="8"/>
      <c r="BQ286" s="4"/>
      <c r="BR286" s="8"/>
      <c r="BS286" s="7"/>
      <c r="BT286" s="7"/>
      <c r="BU286" s="2" t="s">
        <v>1264</v>
      </c>
      <c r="BV286" s="2" t="s">
        <v>95</v>
      </c>
      <c r="BW286" s="2" t="s">
        <v>98</v>
      </c>
      <c r="BX286" s="2" t="s">
        <v>98</v>
      </c>
      <c r="BY286" s="2" t="s">
        <v>109</v>
      </c>
      <c r="BZ286" s="2" t="s">
        <v>98</v>
      </c>
    </row>
    <row r="287">
      <c r="A287" s="2" t="s">
        <v>1442</v>
      </c>
      <c r="B287" s="2" t="s">
        <v>996</v>
      </c>
      <c r="C287" s="2" t="s">
        <v>88</v>
      </c>
      <c r="D287" s="2" t="s">
        <v>1429</v>
      </c>
      <c r="E287" s="2" t="s">
        <v>1430</v>
      </c>
      <c r="F287" s="2" t="s">
        <v>1443</v>
      </c>
      <c r="G287" s="2" t="s">
        <v>1443</v>
      </c>
      <c r="H287" s="2" t="s">
        <v>1443</v>
      </c>
      <c r="I287" s="2" t="s">
        <v>1444</v>
      </c>
      <c r="J287" s="2" t="s">
        <v>661</v>
      </c>
      <c r="K287" s="2" t="s">
        <v>367</v>
      </c>
      <c r="L287" s="3">
        <v>430</v>
      </c>
      <c r="M287" s="3">
        <v>451.5</v>
      </c>
      <c r="N287" s="3">
        <v>899</v>
      </c>
      <c r="O287" s="2" t="s">
        <v>95</v>
      </c>
      <c r="P287" s="2" t="s">
        <v>714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590</v>
      </c>
      <c r="V287" s="2" t="s">
        <v>369</v>
      </c>
      <c r="W287" s="2" t="s">
        <v>384</v>
      </c>
      <c r="X287" s="2" t="s">
        <v>242</v>
      </c>
      <c r="Y287" s="2" t="s">
        <v>1445</v>
      </c>
      <c r="Z287" s="4">
        <v>81</v>
      </c>
      <c r="AA287" s="4">
        <f>=ROUNDDOWN(57.8571428571429,0)</f>
      </c>
      <c r="AB287" s="5">
        <v>1.4</v>
      </c>
      <c r="AC287" s="2" t="s">
        <v>98</v>
      </c>
      <c r="AD287" s="4"/>
      <c r="AE287" s="4"/>
      <c r="AF287" s="6">
        <v>74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6</v>
      </c>
      <c r="BK287" s="8">
        <v>2573.52</v>
      </c>
      <c r="BL287" s="2" t="s">
        <v>525</v>
      </c>
      <c r="BM287" s="7"/>
      <c r="BN287" s="7"/>
      <c r="BO287" s="4"/>
      <c r="BP287" s="8"/>
      <c r="BQ287" s="4"/>
      <c r="BR287" s="8"/>
      <c r="BS287" s="7"/>
      <c r="BT287" s="7"/>
      <c r="BU287" s="2" t="s">
        <v>1370</v>
      </c>
      <c r="BV287" s="2" t="s">
        <v>95</v>
      </c>
      <c r="BW287" s="2" t="s">
        <v>98</v>
      </c>
      <c r="BX287" s="2" t="s">
        <v>98</v>
      </c>
      <c r="BY287" s="2" t="s">
        <v>109</v>
      </c>
      <c r="BZ287" s="2" t="s">
        <v>98</v>
      </c>
    </row>
    <row r="288">
      <c r="A288" s="2" t="s">
        <v>1446</v>
      </c>
      <c r="B288" s="2" t="s">
        <v>996</v>
      </c>
      <c r="C288" s="2" t="s">
        <v>88</v>
      </c>
      <c r="D288" s="2" t="s">
        <v>1447</v>
      </c>
      <c r="E288" s="2" t="s">
        <v>1448</v>
      </c>
      <c r="F288" s="2" t="s">
        <v>1449</v>
      </c>
      <c r="G288" s="2" t="s">
        <v>1449</v>
      </c>
      <c r="H288" s="2" t="s">
        <v>1449</v>
      </c>
      <c r="I288" s="2" t="s">
        <v>1450</v>
      </c>
      <c r="J288" s="2" t="s">
        <v>661</v>
      </c>
      <c r="K288" s="2" t="s">
        <v>1053</v>
      </c>
      <c r="L288" s="3">
        <v>204.25</v>
      </c>
      <c r="M288" s="3">
        <v>214.46</v>
      </c>
      <c r="N288" s="3">
        <v>429</v>
      </c>
      <c r="O288" s="2" t="s">
        <v>95</v>
      </c>
      <c r="P288" s="2" t="s">
        <v>128</v>
      </c>
      <c r="Q288" s="2" t="s">
        <v>97</v>
      </c>
      <c r="R288" s="2" t="s">
        <v>98</v>
      </c>
      <c r="S288" s="2" t="s">
        <v>98</v>
      </c>
      <c r="T288" s="2" t="s">
        <v>98</v>
      </c>
      <c r="U288" s="2" t="s">
        <v>662</v>
      </c>
      <c r="V288" s="2" t="s">
        <v>369</v>
      </c>
      <c r="W288" s="2" t="s">
        <v>384</v>
      </c>
      <c r="X288" s="2" t="s">
        <v>242</v>
      </c>
      <c r="Y288" s="2" t="s">
        <v>1315</v>
      </c>
      <c r="Z288" s="4">
        <v>111</v>
      </c>
      <c r="AA288" s="4">
        <f>=ROUNDDOWN(58.4210526315789,0)</f>
      </c>
      <c r="AB288" s="5">
        <v>1.9</v>
      </c>
      <c r="AC288" s="2" t="s">
        <v>98</v>
      </c>
      <c r="AD288" s="4"/>
      <c r="AE288" s="4"/>
      <c r="AF288" s="6">
        <v>74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2</v>
      </c>
      <c r="BK288" s="8">
        <v>198.82</v>
      </c>
      <c r="BL288" s="2" t="s">
        <v>502</v>
      </c>
      <c r="BM288" s="7"/>
      <c r="BN288" s="7"/>
      <c r="BO288" s="4"/>
      <c r="BP288" s="8"/>
      <c r="BQ288" s="4"/>
      <c r="BR288" s="8"/>
      <c r="BS288" s="7"/>
      <c r="BT288" s="7"/>
      <c r="BU288" s="2" t="s">
        <v>106</v>
      </c>
      <c r="BV288" s="2" t="s">
        <v>95</v>
      </c>
      <c r="BW288" s="2" t="s">
        <v>682</v>
      </c>
      <c r="BX288" s="2" t="s">
        <v>1451</v>
      </c>
      <c r="BY288" s="2" t="s">
        <v>109</v>
      </c>
      <c r="BZ288" s="2" t="s">
        <v>98</v>
      </c>
    </row>
    <row r="289">
      <c r="A289" s="2" t="s">
        <v>1452</v>
      </c>
      <c r="B289" s="2" t="s">
        <v>996</v>
      </c>
      <c r="C289" s="2" t="s">
        <v>88</v>
      </c>
      <c r="D289" s="2" t="s">
        <v>1447</v>
      </c>
      <c r="E289" s="2" t="s">
        <v>1448</v>
      </c>
      <c r="F289" s="2" t="s">
        <v>1222</v>
      </c>
      <c r="G289" s="2" t="s">
        <v>1222</v>
      </c>
      <c r="H289" s="2" t="s">
        <v>1222</v>
      </c>
      <c r="I289" s="2" t="s">
        <v>1453</v>
      </c>
      <c r="J289" s="2" t="s">
        <v>661</v>
      </c>
      <c r="K289" s="2" t="s">
        <v>395</v>
      </c>
      <c r="L289" s="3">
        <v>193.5</v>
      </c>
      <c r="M289" s="3">
        <v>203.18</v>
      </c>
      <c r="N289" s="3">
        <v>399</v>
      </c>
      <c r="O289" s="2" t="s">
        <v>95</v>
      </c>
      <c r="P289" s="2" t="s">
        <v>140</v>
      </c>
      <c r="Q289" s="2" t="s">
        <v>97</v>
      </c>
      <c r="R289" s="2" t="s">
        <v>98</v>
      </c>
      <c r="S289" s="2" t="s">
        <v>1454</v>
      </c>
      <c r="T289" s="2" t="s">
        <v>98</v>
      </c>
      <c r="U289" s="2" t="s">
        <v>98</v>
      </c>
      <c r="V289" s="2" t="s">
        <v>208</v>
      </c>
      <c r="W289" s="2" t="s">
        <v>384</v>
      </c>
      <c r="X289" s="2" t="s">
        <v>98</v>
      </c>
      <c r="Y289" s="2" t="s">
        <v>354</v>
      </c>
      <c r="Z289" s="4">
        <v>237</v>
      </c>
      <c r="AA289" s="4">
        <f>=ROUNDDOWN(18.2307692307692,0)</f>
      </c>
      <c r="AB289" s="5">
        <v>13</v>
      </c>
      <c r="AC289" s="2" t="s">
        <v>869</v>
      </c>
      <c r="AD289" s="4">
        <v>40</v>
      </c>
      <c r="AE289" s="4">
        <v>150</v>
      </c>
      <c r="AF289" s="6">
        <v>69</v>
      </c>
      <c r="AG289" s="6">
        <v>52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5</v>
      </c>
      <c r="BK289" s="8">
        <v>972.64</v>
      </c>
      <c r="BL289" s="2" t="s">
        <v>790</v>
      </c>
      <c r="BM289" s="7"/>
      <c r="BN289" s="7"/>
      <c r="BO289" s="4"/>
      <c r="BP289" s="8"/>
      <c r="BQ289" s="4"/>
      <c r="BR289" s="8"/>
      <c r="BS289" s="7"/>
      <c r="BT289" s="7"/>
      <c r="BU289" s="2" t="s">
        <v>106</v>
      </c>
      <c r="BV289" s="2" t="s">
        <v>95</v>
      </c>
      <c r="BW289" s="2" t="s">
        <v>168</v>
      </c>
      <c r="BX289" s="2" t="s">
        <v>1455</v>
      </c>
      <c r="BY289" s="2" t="s">
        <v>109</v>
      </c>
      <c r="BZ289" s="2" t="s">
        <v>98</v>
      </c>
    </row>
    <row r="290">
      <c r="A290" s="2" t="s">
        <v>1456</v>
      </c>
      <c r="B290" s="2" t="s">
        <v>996</v>
      </c>
      <c r="C290" s="2" t="s">
        <v>88</v>
      </c>
      <c r="D290" s="2" t="s">
        <v>1447</v>
      </c>
      <c r="E290" s="2" t="s">
        <v>1448</v>
      </c>
      <c r="F290" s="2" t="s">
        <v>1222</v>
      </c>
      <c r="G290" s="2" t="s">
        <v>1222</v>
      </c>
      <c r="H290" s="2" t="s">
        <v>1222</v>
      </c>
      <c r="I290" s="2" t="s">
        <v>1453</v>
      </c>
      <c r="J290" s="2" t="s">
        <v>661</v>
      </c>
      <c r="K290" s="2" t="s">
        <v>1112</v>
      </c>
      <c r="L290" s="3">
        <v>193.5</v>
      </c>
      <c r="M290" s="3">
        <v>203.18</v>
      </c>
      <c r="N290" s="3">
        <v>399</v>
      </c>
      <c r="O290" s="2" t="s">
        <v>95</v>
      </c>
      <c r="P290" s="2" t="s">
        <v>140</v>
      </c>
      <c r="Q290" s="2" t="s">
        <v>97</v>
      </c>
      <c r="R290" s="2" t="s">
        <v>98</v>
      </c>
      <c r="S290" s="2" t="s">
        <v>1331</v>
      </c>
      <c r="T290" s="2" t="s">
        <v>98</v>
      </c>
      <c r="U290" s="2" t="s">
        <v>98</v>
      </c>
      <c r="V290" s="2" t="s">
        <v>208</v>
      </c>
      <c r="W290" s="2" t="s">
        <v>729</v>
      </c>
      <c r="X290" s="2" t="s">
        <v>98</v>
      </c>
      <c r="Y290" s="2" t="s">
        <v>1457</v>
      </c>
      <c r="Z290" s="4">
        <v>190</v>
      </c>
      <c r="AA290" s="4">
        <f>=ROUNDDOWN(23.1707317073171,0)</f>
      </c>
      <c r="AB290" s="5">
        <v>8.2</v>
      </c>
      <c r="AC290" s="2" t="s">
        <v>869</v>
      </c>
      <c r="AD290" s="4">
        <v>99</v>
      </c>
      <c r="AE290" s="4">
        <v>99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>
        <v>5</v>
      </c>
      <c r="BK290" s="8">
        <v>1064.65</v>
      </c>
      <c r="BL290" s="2" t="s">
        <v>1458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95</v>
      </c>
      <c r="BW290" s="2" t="s">
        <v>168</v>
      </c>
      <c r="BX290" s="2" t="s">
        <v>370</v>
      </c>
      <c r="BY290" s="2" t="s">
        <v>109</v>
      </c>
      <c r="BZ290" s="2" t="s">
        <v>98</v>
      </c>
    </row>
    <row r="291">
      <c r="A291" s="2" t="s">
        <v>1459</v>
      </c>
      <c r="B291" s="2" t="s">
        <v>996</v>
      </c>
      <c r="C291" s="2" t="s">
        <v>88</v>
      </c>
      <c r="D291" s="2" t="s">
        <v>1447</v>
      </c>
      <c r="E291" s="2" t="s">
        <v>1448</v>
      </c>
      <c r="F291" s="2" t="s">
        <v>1460</v>
      </c>
      <c r="G291" s="2" t="s">
        <v>98</v>
      </c>
      <c r="H291" s="2" t="s">
        <v>98</v>
      </c>
      <c r="I291" s="2" t="s">
        <v>1461</v>
      </c>
      <c r="J291" s="2" t="s">
        <v>661</v>
      </c>
      <c r="K291" s="2" t="s">
        <v>1011</v>
      </c>
      <c r="L291" s="3">
        <v>256.5</v>
      </c>
      <c r="M291" s="3">
        <v>269.32</v>
      </c>
      <c r="N291" s="3">
        <v>549</v>
      </c>
      <c r="O291" s="2" t="s">
        <v>95</v>
      </c>
      <c r="P291" s="2" t="s">
        <v>140</v>
      </c>
      <c r="Q291" s="2" t="s">
        <v>97</v>
      </c>
      <c r="R291" s="2" t="s">
        <v>98</v>
      </c>
      <c r="S291" s="2" t="s">
        <v>1462</v>
      </c>
      <c r="T291" s="2" t="s">
        <v>98</v>
      </c>
      <c r="U291" s="2" t="s">
        <v>98</v>
      </c>
      <c r="V291" s="2" t="s">
        <v>208</v>
      </c>
      <c r="W291" s="2" t="s">
        <v>377</v>
      </c>
      <c r="X291" s="2" t="s">
        <v>98</v>
      </c>
      <c r="Y291" s="2" t="s">
        <v>354</v>
      </c>
      <c r="Z291" s="4">
        <v>3</v>
      </c>
      <c r="AA291" s="4">
        <f>=ROUNDDOWN(0.326086956521739,0)</f>
      </c>
      <c r="AB291" s="5">
        <v>9.2</v>
      </c>
      <c r="AC291" s="2" t="s">
        <v>1125</v>
      </c>
      <c r="AD291" s="4">
        <v>129</v>
      </c>
      <c r="AE291" s="4">
        <v>129</v>
      </c>
      <c r="AF291" s="6">
        <v>69</v>
      </c>
      <c r="AG291" s="6">
        <v>52</v>
      </c>
      <c r="AH291" s="7">
        <v>0</v>
      </c>
      <c r="AI291" s="4"/>
      <c r="AJ291" s="4">
        <f>=ROUNDDOWN({0},0)</f>
      </c>
      <c r="AK291" s="5"/>
      <c r="AL291" s="2" t="s">
        <v>98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1</v>
      </c>
      <c r="BK291" s="8">
        <v>304.33</v>
      </c>
      <c r="BL291" s="2" t="s">
        <v>525</v>
      </c>
      <c r="BM291" s="7"/>
      <c r="BN291" s="7"/>
      <c r="BO291" s="4"/>
      <c r="BP291" s="8"/>
      <c r="BQ291" s="4"/>
      <c r="BR291" s="8"/>
      <c r="BS291" s="7"/>
      <c r="BT291" s="7"/>
      <c r="BU291" s="2" t="s">
        <v>106</v>
      </c>
      <c r="BV291" s="2" t="s">
        <v>95</v>
      </c>
      <c r="BW291" s="2" t="s">
        <v>168</v>
      </c>
      <c r="BX291" s="2" t="s">
        <v>1463</v>
      </c>
      <c r="BY291" s="2" t="s">
        <v>109</v>
      </c>
      <c r="BZ291" s="2" t="s">
        <v>98</v>
      </c>
    </row>
    <row r="292">
      <c r="A292" s="2" t="s">
        <v>1464</v>
      </c>
      <c r="B292" s="2" t="s">
        <v>996</v>
      </c>
      <c r="C292" s="2" t="s">
        <v>88</v>
      </c>
      <c r="D292" s="2" t="s">
        <v>1447</v>
      </c>
      <c r="E292" s="2" t="s">
        <v>1448</v>
      </c>
      <c r="F292" s="2" t="s">
        <v>1314</v>
      </c>
      <c r="G292" s="2" t="s">
        <v>1314</v>
      </c>
      <c r="H292" s="2" t="s">
        <v>1314</v>
      </c>
      <c r="I292" s="2" t="s">
        <v>1465</v>
      </c>
      <c r="J292" s="2" t="s">
        <v>661</v>
      </c>
      <c r="K292" s="2" t="s">
        <v>139</v>
      </c>
      <c r="L292" s="3">
        <v>215</v>
      </c>
      <c r="M292" s="3">
        <v>225.75</v>
      </c>
      <c r="N292" s="3">
        <v>449</v>
      </c>
      <c r="O292" s="2" t="s">
        <v>95</v>
      </c>
      <c r="P292" s="2" t="s">
        <v>140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662</v>
      </c>
      <c r="V292" s="2" t="s">
        <v>369</v>
      </c>
      <c r="W292" s="2" t="s">
        <v>190</v>
      </c>
      <c r="X292" s="2" t="s">
        <v>242</v>
      </c>
      <c r="Y292" s="2" t="s">
        <v>1466</v>
      </c>
      <c r="Z292" s="4">
        <v>40</v>
      </c>
      <c r="AA292" s="4">
        <f>=ROUNDDOWN(5,0)</f>
      </c>
      <c r="AB292" s="5">
        <v>8</v>
      </c>
      <c r="AC292" s="2" t="s">
        <v>1467</v>
      </c>
      <c r="AD292" s="4">
        <v>100</v>
      </c>
      <c r="AE292" s="4">
        <v>250</v>
      </c>
      <c r="AF292" s="6">
        <v>74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14</v>
      </c>
      <c r="BK292" s="8">
        <v>3382.52</v>
      </c>
      <c r="BL292" s="2" t="s">
        <v>1202</v>
      </c>
      <c r="BM292" s="7"/>
      <c r="BN292" s="7"/>
      <c r="BO292" s="4"/>
      <c r="BP292" s="8"/>
      <c r="BQ292" s="4"/>
      <c r="BR292" s="8"/>
      <c r="BS292" s="7"/>
      <c r="BT292" s="7"/>
      <c r="BU292" s="2" t="s">
        <v>106</v>
      </c>
      <c r="BV292" s="2" t="s">
        <v>95</v>
      </c>
      <c r="BW292" s="2" t="s">
        <v>682</v>
      </c>
      <c r="BX292" s="2" t="s">
        <v>1468</v>
      </c>
      <c r="BY292" s="2" t="s">
        <v>109</v>
      </c>
      <c r="BZ292" s="2" t="s">
        <v>98</v>
      </c>
    </row>
    <row r="293">
      <c r="A293" s="2" t="s">
        <v>1469</v>
      </c>
      <c r="B293" s="2" t="s">
        <v>996</v>
      </c>
      <c r="C293" s="2" t="s">
        <v>88</v>
      </c>
      <c r="D293" s="2" t="s">
        <v>1447</v>
      </c>
      <c r="E293" s="2" t="s">
        <v>1448</v>
      </c>
      <c r="F293" s="2" t="s">
        <v>1129</v>
      </c>
      <c r="G293" s="2" t="s">
        <v>1129</v>
      </c>
      <c r="H293" s="2" t="s">
        <v>1129</v>
      </c>
      <c r="I293" s="2" t="s">
        <v>1470</v>
      </c>
      <c r="J293" s="2" t="s">
        <v>661</v>
      </c>
      <c r="K293" s="2" t="s">
        <v>737</v>
      </c>
      <c r="L293" s="3">
        <v>203</v>
      </c>
      <c r="M293" s="3">
        <v>213.15</v>
      </c>
      <c r="N293" s="3">
        <v>429</v>
      </c>
      <c r="O293" s="2" t="s">
        <v>95</v>
      </c>
      <c r="P293" s="2" t="s">
        <v>140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662</v>
      </c>
      <c r="V293" s="2" t="s">
        <v>369</v>
      </c>
      <c r="W293" s="2" t="s">
        <v>190</v>
      </c>
      <c r="X293" s="2" t="s">
        <v>242</v>
      </c>
      <c r="Y293" s="2" t="s">
        <v>1471</v>
      </c>
      <c r="Z293" s="4">
        <v>12</v>
      </c>
      <c r="AA293" s="4">
        <f>=ROUNDDOWN(0.923076923076923,0)</f>
      </c>
      <c r="AB293" s="5">
        <v>13</v>
      </c>
      <c r="AC293" s="2" t="s">
        <v>1472</v>
      </c>
      <c r="AD293" s="4">
        <v>100</v>
      </c>
      <c r="AE293" s="4">
        <v>300</v>
      </c>
      <c r="AF293" s="6">
        <v>74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>
        <v>2</v>
      </c>
      <c r="BK293" s="8">
        <v>407.92</v>
      </c>
      <c r="BL293" s="2" t="s">
        <v>502</v>
      </c>
      <c r="BM293" s="7"/>
      <c r="BN293" s="7"/>
      <c r="BO293" s="4"/>
      <c r="BP293" s="8"/>
      <c r="BQ293" s="4"/>
      <c r="BR293" s="8"/>
      <c r="BS293" s="7"/>
      <c r="BT293" s="7"/>
      <c r="BU293" s="2" t="s">
        <v>106</v>
      </c>
      <c r="BV293" s="2" t="s">
        <v>95</v>
      </c>
      <c r="BW293" s="2" t="s">
        <v>1473</v>
      </c>
      <c r="BX293" s="2" t="s">
        <v>1474</v>
      </c>
      <c r="BY293" s="2" t="s">
        <v>109</v>
      </c>
      <c r="BZ293" s="2" t="s">
        <v>98</v>
      </c>
    </row>
    <row r="294">
      <c r="A294" s="2" t="s">
        <v>1475</v>
      </c>
      <c r="B294" s="2" t="s">
        <v>996</v>
      </c>
      <c r="C294" s="2" t="s">
        <v>88</v>
      </c>
      <c r="D294" s="2" t="s">
        <v>1447</v>
      </c>
      <c r="E294" s="2" t="s">
        <v>1448</v>
      </c>
      <c r="F294" s="2" t="s">
        <v>1255</v>
      </c>
      <c r="G294" s="2" t="s">
        <v>98</v>
      </c>
      <c r="H294" s="2" t="s">
        <v>98</v>
      </c>
      <c r="I294" s="2" t="s">
        <v>1448</v>
      </c>
      <c r="J294" s="2" t="s">
        <v>661</v>
      </c>
      <c r="K294" s="2" t="s">
        <v>1006</v>
      </c>
      <c r="L294" s="3">
        <v>121.6</v>
      </c>
      <c r="M294" s="3">
        <v>127.68</v>
      </c>
      <c r="N294" s="3">
        <v>259</v>
      </c>
      <c r="O294" s="2" t="s">
        <v>95</v>
      </c>
      <c r="P294" s="2" t="s">
        <v>140</v>
      </c>
      <c r="Q294" s="2" t="s">
        <v>97</v>
      </c>
      <c r="R294" s="2" t="s">
        <v>98</v>
      </c>
      <c r="S294" s="2" t="s">
        <v>1476</v>
      </c>
      <c r="T294" s="2" t="s">
        <v>98</v>
      </c>
      <c r="U294" s="2" t="s">
        <v>98</v>
      </c>
      <c r="V294" s="2" t="s">
        <v>208</v>
      </c>
      <c r="W294" s="2" t="s">
        <v>729</v>
      </c>
      <c r="X294" s="2" t="s">
        <v>98</v>
      </c>
      <c r="Y294" s="2" t="s">
        <v>354</v>
      </c>
      <c r="Z294" s="4">
        <v>285</v>
      </c>
      <c r="AA294" s="4">
        <f>=ROUNDDOWN(35.625,0)</f>
      </c>
      <c r="AB294" s="5">
        <v>8</v>
      </c>
      <c r="AC294" s="2" t="s">
        <v>473</v>
      </c>
      <c r="AD294" s="4">
        <v>150</v>
      </c>
      <c r="AE294" s="4">
        <v>150</v>
      </c>
      <c r="AF294" s="6">
        <v>74</v>
      </c>
      <c r="AG294" s="6">
        <v>60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>
        <v>6</v>
      </c>
      <c r="BK294" s="8">
        <v>723.62</v>
      </c>
      <c r="BL294" s="2" t="s">
        <v>1477</v>
      </c>
      <c r="BM294" s="7"/>
      <c r="BN294" s="7"/>
      <c r="BO294" s="4"/>
      <c r="BP294" s="8"/>
      <c r="BQ294" s="4"/>
      <c r="BR294" s="8"/>
      <c r="BS294" s="7"/>
      <c r="BT294" s="7"/>
      <c r="BU294" s="2" t="s">
        <v>106</v>
      </c>
      <c r="BV294" s="2" t="s">
        <v>95</v>
      </c>
      <c r="BW294" s="2" t="s">
        <v>168</v>
      </c>
      <c r="BX294" s="2" t="s">
        <v>1324</v>
      </c>
      <c r="BY294" s="2" t="s">
        <v>109</v>
      </c>
      <c r="BZ294" s="2" t="s">
        <v>98</v>
      </c>
    </row>
    <row r="295">
      <c r="A295" s="2" t="s">
        <v>1478</v>
      </c>
      <c r="B295" s="2" t="s">
        <v>996</v>
      </c>
      <c r="C295" s="2" t="s">
        <v>88</v>
      </c>
      <c r="D295" s="2" t="s">
        <v>1447</v>
      </c>
      <c r="E295" s="2" t="s">
        <v>1448</v>
      </c>
      <c r="F295" s="2" t="s">
        <v>1479</v>
      </c>
      <c r="G295" s="2" t="s">
        <v>1479</v>
      </c>
      <c r="H295" s="2" t="s">
        <v>1479</v>
      </c>
      <c r="I295" s="2" t="s">
        <v>1480</v>
      </c>
      <c r="J295" s="2" t="s">
        <v>661</v>
      </c>
      <c r="K295" s="2" t="s">
        <v>1032</v>
      </c>
      <c r="L295" s="3">
        <v>190</v>
      </c>
      <c r="M295" s="3">
        <v>199.5</v>
      </c>
      <c r="N295" s="3">
        <v>399</v>
      </c>
      <c r="O295" s="2" t="s">
        <v>95</v>
      </c>
      <c r="P295" s="2" t="s">
        <v>128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662</v>
      </c>
      <c r="V295" s="2" t="s">
        <v>208</v>
      </c>
      <c r="W295" s="2" t="s">
        <v>242</v>
      </c>
      <c r="X295" s="2" t="s">
        <v>384</v>
      </c>
      <c r="Y295" s="2" t="s">
        <v>1481</v>
      </c>
      <c r="Z295" s="4">
        <v>92</v>
      </c>
      <c r="AA295" s="4">
        <f>=ROUNDDOWN(83.6363636363636,0)</f>
      </c>
      <c r="AB295" s="5">
        <v>1.1</v>
      </c>
      <c r="AC295" s="2" t="s">
        <v>98</v>
      </c>
      <c r="AD295" s="4"/>
      <c r="AE295" s="4"/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98</v>
      </c>
      <c r="BM295" s="7"/>
      <c r="BN295" s="7"/>
      <c r="BO295" s="4"/>
      <c r="BP295" s="8"/>
      <c r="BQ295" s="4"/>
      <c r="BR295" s="8"/>
      <c r="BS295" s="7"/>
      <c r="BT295" s="7"/>
      <c r="BU295" s="2" t="s">
        <v>106</v>
      </c>
      <c r="BV295" s="2" t="s">
        <v>95</v>
      </c>
      <c r="BW295" s="2" t="s">
        <v>682</v>
      </c>
      <c r="BX295" s="2" t="s">
        <v>915</v>
      </c>
      <c r="BY295" s="2" t="s">
        <v>109</v>
      </c>
      <c r="BZ295" s="2" t="s">
        <v>98</v>
      </c>
    </row>
    <row r="296">
      <c r="A296" s="2" t="s">
        <v>1482</v>
      </c>
      <c r="B296" s="2" t="s">
        <v>996</v>
      </c>
      <c r="C296" s="2" t="s">
        <v>88</v>
      </c>
      <c r="D296" s="2" t="s">
        <v>1447</v>
      </c>
      <c r="E296" s="2" t="s">
        <v>1448</v>
      </c>
      <c r="F296" s="2" t="s">
        <v>1483</v>
      </c>
      <c r="G296" s="2" t="s">
        <v>1483</v>
      </c>
      <c r="H296" s="2" t="s">
        <v>1483</v>
      </c>
      <c r="I296" s="2" t="s">
        <v>1484</v>
      </c>
      <c r="J296" s="2" t="s">
        <v>661</v>
      </c>
      <c r="K296" s="2" t="s">
        <v>1011</v>
      </c>
      <c r="L296" s="3">
        <v>209</v>
      </c>
      <c r="M296" s="3">
        <v>219.45</v>
      </c>
      <c r="N296" s="3">
        <v>459</v>
      </c>
      <c r="O296" s="2" t="s">
        <v>95</v>
      </c>
      <c r="P296" s="2" t="s">
        <v>153</v>
      </c>
      <c r="Q296" s="2" t="s">
        <v>97</v>
      </c>
      <c r="R296" s="2" t="s">
        <v>98</v>
      </c>
      <c r="S296" s="2" t="s">
        <v>98</v>
      </c>
      <c r="T296" s="2" t="s">
        <v>98</v>
      </c>
      <c r="U296" s="2" t="s">
        <v>662</v>
      </c>
      <c r="V296" s="2" t="s">
        <v>208</v>
      </c>
      <c r="W296" s="2" t="s">
        <v>190</v>
      </c>
      <c r="X296" s="2" t="s">
        <v>98</v>
      </c>
      <c r="Y296" s="2" t="s">
        <v>1485</v>
      </c>
      <c r="Z296" s="4">
        <v>954</v>
      </c>
      <c r="AA296" s="4">
        <f>=ROUNDDOWN(25.7837837837838,0)</f>
      </c>
      <c r="AB296" s="5">
        <v>37</v>
      </c>
      <c r="AC296" s="2" t="s">
        <v>1172</v>
      </c>
      <c r="AD296" s="4">
        <v>300</v>
      </c>
      <c r="AE296" s="4">
        <v>300</v>
      </c>
      <c r="AF296" s="6">
        <v>74</v>
      </c>
      <c r="AG296" s="6">
        <v>60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29</v>
      </c>
      <c r="BK296" s="8">
        <v>6257.84</v>
      </c>
      <c r="BL296" s="2" t="s">
        <v>1486</v>
      </c>
      <c r="BM296" s="7"/>
      <c r="BN296" s="7"/>
      <c r="BO296" s="4"/>
      <c r="BP296" s="8"/>
      <c r="BQ296" s="4"/>
      <c r="BR296" s="8"/>
      <c r="BS296" s="7"/>
      <c r="BT296" s="7"/>
      <c r="BU296" s="2" t="s">
        <v>106</v>
      </c>
      <c r="BV296" s="2" t="s">
        <v>95</v>
      </c>
      <c r="BW296" s="2" t="s">
        <v>168</v>
      </c>
      <c r="BX296" s="2" t="s">
        <v>1487</v>
      </c>
      <c r="BY296" s="2" t="s">
        <v>109</v>
      </c>
      <c r="BZ296" s="2" t="s">
        <v>98</v>
      </c>
    </row>
    <row r="297">
      <c r="A297" s="2" t="s">
        <v>1488</v>
      </c>
      <c r="B297" s="2" t="s">
        <v>996</v>
      </c>
      <c r="C297" s="2" t="s">
        <v>88</v>
      </c>
      <c r="D297" s="2" t="s">
        <v>1447</v>
      </c>
      <c r="E297" s="2" t="s">
        <v>1448</v>
      </c>
      <c r="F297" s="2" t="s">
        <v>1483</v>
      </c>
      <c r="G297" s="2" t="s">
        <v>1483</v>
      </c>
      <c r="H297" s="2" t="s">
        <v>1483</v>
      </c>
      <c r="I297" s="2" t="s">
        <v>1484</v>
      </c>
      <c r="J297" s="2" t="s">
        <v>661</v>
      </c>
      <c r="K297" s="2" t="s">
        <v>94</v>
      </c>
      <c r="L297" s="3">
        <v>209</v>
      </c>
      <c r="M297" s="3">
        <v>219.45</v>
      </c>
      <c r="N297" s="3">
        <v>459</v>
      </c>
      <c r="O297" s="2" t="s">
        <v>95</v>
      </c>
      <c r="P297" s="2" t="s">
        <v>96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662</v>
      </c>
      <c r="V297" s="2" t="s">
        <v>208</v>
      </c>
      <c r="W297" s="2" t="s">
        <v>190</v>
      </c>
      <c r="X297" s="2" t="s">
        <v>98</v>
      </c>
      <c r="Y297" s="2" t="s">
        <v>1489</v>
      </c>
      <c r="Z297" s="4">
        <v>507</v>
      </c>
      <c r="AA297" s="4">
        <f>=ROUNDDOWN(42.25,0)</f>
      </c>
      <c r="AB297" s="5">
        <v>12</v>
      </c>
      <c r="AC297" s="2" t="s">
        <v>98</v>
      </c>
      <c r="AD297" s="4"/>
      <c r="AE297" s="4"/>
      <c r="AF297" s="6">
        <v>74</v>
      </c>
      <c r="AG297" s="6">
        <v>60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14</v>
      </c>
      <c r="BK297" s="8">
        <v>3108.98</v>
      </c>
      <c r="BL297" s="2" t="s">
        <v>1490</v>
      </c>
      <c r="BM297" s="7"/>
      <c r="BN297" s="7"/>
      <c r="BO297" s="4"/>
      <c r="BP297" s="8"/>
      <c r="BQ297" s="4"/>
      <c r="BR297" s="8"/>
      <c r="BS297" s="7"/>
      <c r="BT297" s="7"/>
      <c r="BU297" s="2" t="s">
        <v>106</v>
      </c>
      <c r="BV297" s="2" t="s">
        <v>95</v>
      </c>
      <c r="BW297" s="2" t="s">
        <v>200</v>
      </c>
      <c r="BX297" s="2" t="s">
        <v>1491</v>
      </c>
      <c r="BY297" s="2" t="s">
        <v>109</v>
      </c>
      <c r="BZ297" s="2" t="s">
        <v>98</v>
      </c>
    </row>
    <row r="298">
      <c r="A298" s="2" t="s">
        <v>1492</v>
      </c>
      <c r="B298" s="2" t="s">
        <v>996</v>
      </c>
      <c r="C298" s="2" t="s">
        <v>88</v>
      </c>
      <c r="D298" s="2" t="s">
        <v>1447</v>
      </c>
      <c r="E298" s="2" t="s">
        <v>1448</v>
      </c>
      <c r="F298" s="2" t="s">
        <v>1483</v>
      </c>
      <c r="G298" s="2" t="s">
        <v>1483</v>
      </c>
      <c r="H298" s="2" t="s">
        <v>1483</v>
      </c>
      <c r="I298" s="2" t="s">
        <v>1484</v>
      </c>
      <c r="J298" s="2" t="s">
        <v>661</v>
      </c>
      <c r="K298" s="2" t="s">
        <v>1493</v>
      </c>
      <c r="L298" s="3">
        <v>209</v>
      </c>
      <c r="M298" s="3">
        <v>219.45</v>
      </c>
      <c r="N298" s="3">
        <v>459</v>
      </c>
      <c r="O298" s="2" t="s">
        <v>95</v>
      </c>
      <c r="P298" s="2" t="s">
        <v>140</v>
      </c>
      <c r="Q298" s="2" t="s">
        <v>97</v>
      </c>
      <c r="R298" s="2" t="s">
        <v>98</v>
      </c>
      <c r="S298" s="2" t="s">
        <v>1494</v>
      </c>
      <c r="T298" s="2" t="s">
        <v>98</v>
      </c>
      <c r="U298" s="2" t="s">
        <v>662</v>
      </c>
      <c r="V298" s="2" t="s">
        <v>208</v>
      </c>
      <c r="W298" s="2" t="s">
        <v>190</v>
      </c>
      <c r="X298" s="2" t="s">
        <v>98</v>
      </c>
      <c r="Y298" s="2" t="s">
        <v>1495</v>
      </c>
      <c r="Z298" s="4">
        <v>124</v>
      </c>
      <c r="AA298" s="4">
        <f>=ROUNDDOWN(13.7777777777778,0)</f>
      </c>
      <c r="AB298" s="5">
        <v>9</v>
      </c>
      <c r="AC298" s="2" t="s">
        <v>1075</v>
      </c>
      <c r="AD298" s="4">
        <v>162</v>
      </c>
      <c r="AE298" s="4">
        <v>182</v>
      </c>
      <c r="AF298" s="6">
        <v>74</v>
      </c>
      <c r="AG298" s="6">
        <v>60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>
        <v>5</v>
      </c>
      <c r="BK298" s="8">
        <v>1043.59</v>
      </c>
      <c r="BL298" s="2" t="s">
        <v>790</v>
      </c>
      <c r="BM298" s="7"/>
      <c r="BN298" s="7"/>
      <c r="BO298" s="4"/>
      <c r="BP298" s="8"/>
      <c r="BQ298" s="4"/>
      <c r="BR298" s="8"/>
      <c r="BS298" s="7"/>
      <c r="BT298" s="7"/>
      <c r="BU298" s="2" t="s">
        <v>106</v>
      </c>
      <c r="BV298" s="2" t="s">
        <v>95</v>
      </c>
      <c r="BW298" s="2" t="s">
        <v>168</v>
      </c>
      <c r="BX298" s="2" t="s">
        <v>1496</v>
      </c>
      <c r="BY298" s="2" t="s">
        <v>109</v>
      </c>
      <c r="BZ298" s="2" t="s">
        <v>98</v>
      </c>
    </row>
    <row r="299">
      <c r="A299" s="2" t="s">
        <v>1497</v>
      </c>
      <c r="B299" s="2" t="s">
        <v>996</v>
      </c>
      <c r="C299" s="2" t="s">
        <v>88</v>
      </c>
      <c r="D299" s="2" t="s">
        <v>1447</v>
      </c>
      <c r="E299" s="2" t="s">
        <v>1448</v>
      </c>
      <c r="F299" s="2" t="s">
        <v>1270</v>
      </c>
      <c r="G299" s="2" t="s">
        <v>1270</v>
      </c>
      <c r="H299" s="2" t="s">
        <v>1270</v>
      </c>
      <c r="I299" s="2" t="s">
        <v>1498</v>
      </c>
      <c r="J299" s="2" t="s">
        <v>661</v>
      </c>
      <c r="K299" s="2" t="s">
        <v>1499</v>
      </c>
      <c r="L299" s="3">
        <v>162</v>
      </c>
      <c r="M299" s="3">
        <v>170.1</v>
      </c>
      <c r="N299" s="3">
        <v>349</v>
      </c>
      <c r="O299" s="2" t="s">
        <v>95</v>
      </c>
      <c r="P299" s="2" t="s">
        <v>714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98</v>
      </c>
      <c r="V299" s="2" t="s">
        <v>369</v>
      </c>
      <c r="W299" s="2" t="s">
        <v>729</v>
      </c>
      <c r="X299" s="2" t="s">
        <v>377</v>
      </c>
      <c r="Y299" s="2" t="s">
        <v>813</v>
      </c>
      <c r="Z299" s="4">
        <v>184</v>
      </c>
      <c r="AA299" s="4">
        <f>=ROUNDDOWN(49.7297297297297,0)</f>
      </c>
      <c r="AB299" s="5">
        <v>3.7</v>
      </c>
      <c r="AC299" s="2" t="s">
        <v>98</v>
      </c>
      <c r="AD299" s="4"/>
      <c r="AE299" s="4"/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1</v>
      </c>
      <c r="BK299" s="8">
        <v>144.59</v>
      </c>
      <c r="BL299" s="2" t="s">
        <v>502</v>
      </c>
      <c r="BM299" s="7"/>
      <c r="BN299" s="7"/>
      <c r="BO299" s="4"/>
      <c r="BP299" s="8"/>
      <c r="BQ299" s="4"/>
      <c r="BR299" s="8"/>
      <c r="BS299" s="7"/>
      <c r="BT299" s="7"/>
      <c r="BU299" s="2" t="s">
        <v>106</v>
      </c>
      <c r="BV299" s="2" t="s">
        <v>95</v>
      </c>
      <c r="BW299" s="2" t="s">
        <v>1026</v>
      </c>
      <c r="BX299" s="2" t="s">
        <v>1500</v>
      </c>
      <c r="BY299" s="2" t="s">
        <v>109</v>
      </c>
      <c r="BZ299" s="2" t="s">
        <v>98</v>
      </c>
    </row>
    <row r="300">
      <c r="A300" s="2" t="s">
        <v>1501</v>
      </c>
      <c r="B300" s="2" t="s">
        <v>996</v>
      </c>
      <c r="C300" s="2" t="s">
        <v>88</v>
      </c>
      <c r="D300" s="2" t="s">
        <v>1447</v>
      </c>
      <c r="E300" s="2" t="s">
        <v>1448</v>
      </c>
      <c r="F300" s="2" t="s">
        <v>1270</v>
      </c>
      <c r="G300" s="2" t="s">
        <v>1270</v>
      </c>
      <c r="H300" s="2" t="s">
        <v>1270</v>
      </c>
      <c r="I300" s="2" t="s">
        <v>1502</v>
      </c>
      <c r="J300" s="2" t="s">
        <v>661</v>
      </c>
      <c r="K300" s="2" t="s">
        <v>1503</v>
      </c>
      <c r="L300" s="3">
        <v>162</v>
      </c>
      <c r="M300" s="3">
        <v>170.1</v>
      </c>
      <c r="N300" s="3">
        <v>349</v>
      </c>
      <c r="O300" s="2" t="s">
        <v>95</v>
      </c>
      <c r="P300" s="2" t="s">
        <v>140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98</v>
      </c>
      <c r="V300" s="2" t="s">
        <v>208</v>
      </c>
      <c r="W300" s="2" t="s">
        <v>729</v>
      </c>
      <c r="X300" s="2" t="s">
        <v>98</v>
      </c>
      <c r="Y300" s="2" t="s">
        <v>1206</v>
      </c>
      <c r="Z300" s="4">
        <v>230</v>
      </c>
      <c r="AA300" s="4">
        <f>=ROUNDDOWN(32.8571428571429,0)</f>
      </c>
      <c r="AB300" s="5">
        <v>7</v>
      </c>
      <c r="AC300" s="2" t="s">
        <v>98</v>
      </c>
      <c r="AD300" s="4"/>
      <c r="AE300" s="4"/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10</v>
      </c>
      <c r="BK300" s="8">
        <v>1556.58</v>
      </c>
      <c r="BL300" s="2" t="s">
        <v>1504</v>
      </c>
      <c r="BM300" s="7"/>
      <c r="BN300" s="7"/>
      <c r="BO300" s="4"/>
      <c r="BP300" s="8"/>
      <c r="BQ300" s="4"/>
      <c r="BR300" s="8"/>
      <c r="BS300" s="7"/>
      <c r="BT300" s="7"/>
      <c r="BU300" s="2" t="s">
        <v>106</v>
      </c>
      <c r="BV300" s="2" t="s">
        <v>95</v>
      </c>
      <c r="BW300" s="2" t="s">
        <v>168</v>
      </c>
      <c r="BX300" s="2" t="s">
        <v>849</v>
      </c>
      <c r="BY300" s="2" t="s">
        <v>109</v>
      </c>
      <c r="BZ300" s="2" t="s">
        <v>98</v>
      </c>
    </row>
    <row r="301">
      <c r="A301" s="2" t="s">
        <v>1505</v>
      </c>
      <c r="B301" s="2" t="s">
        <v>996</v>
      </c>
      <c r="C301" s="2" t="s">
        <v>88</v>
      </c>
      <c r="D301" s="2" t="s">
        <v>1447</v>
      </c>
      <c r="E301" s="2" t="s">
        <v>1448</v>
      </c>
      <c r="F301" s="2" t="s">
        <v>1366</v>
      </c>
      <c r="G301" s="2" t="s">
        <v>1366</v>
      </c>
      <c r="H301" s="2" t="s">
        <v>1366</v>
      </c>
      <c r="I301" s="2" t="s">
        <v>1506</v>
      </c>
      <c r="J301" s="2" t="s">
        <v>661</v>
      </c>
      <c r="K301" s="2" t="s">
        <v>737</v>
      </c>
      <c r="L301" s="3">
        <v>229.14</v>
      </c>
      <c r="M301" s="3">
        <v>240.6</v>
      </c>
      <c r="N301" s="3">
        <v>479</v>
      </c>
      <c r="O301" s="2" t="s">
        <v>95</v>
      </c>
      <c r="P301" s="2" t="s">
        <v>714</v>
      </c>
      <c r="Q301" s="2" t="s">
        <v>97</v>
      </c>
      <c r="R301" s="2" t="s">
        <v>98</v>
      </c>
      <c r="S301" s="2" t="s">
        <v>98</v>
      </c>
      <c r="T301" s="2" t="s">
        <v>98</v>
      </c>
      <c r="U301" s="2" t="s">
        <v>662</v>
      </c>
      <c r="V301" s="2" t="s">
        <v>369</v>
      </c>
      <c r="W301" s="2" t="s">
        <v>190</v>
      </c>
      <c r="X301" s="2" t="s">
        <v>384</v>
      </c>
      <c r="Y301" s="2" t="s">
        <v>1368</v>
      </c>
      <c r="Z301" s="4">
        <v>177</v>
      </c>
      <c r="AA301" s="4">
        <f>=ROUNDDOWN(88.5,0)</f>
      </c>
      <c r="AB301" s="5">
        <v>2</v>
      </c>
      <c r="AC301" s="2" t="s">
        <v>98</v>
      </c>
      <c r="AD301" s="4"/>
      <c r="AE301" s="4"/>
      <c r="AF301" s="6">
        <v>74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98</v>
      </c>
      <c r="BM301" s="7"/>
      <c r="BN301" s="7"/>
      <c r="BO301" s="4"/>
      <c r="BP301" s="8"/>
      <c r="BQ301" s="4"/>
      <c r="BR301" s="8"/>
      <c r="BS301" s="7"/>
      <c r="BT301" s="7"/>
      <c r="BU301" s="2" t="s">
        <v>1370</v>
      </c>
      <c r="BV301" s="2" t="s">
        <v>95</v>
      </c>
      <c r="BW301" s="2" t="s">
        <v>98</v>
      </c>
      <c r="BX301" s="2" t="s">
        <v>98</v>
      </c>
      <c r="BY301" s="2" t="s">
        <v>109</v>
      </c>
      <c r="BZ301" s="2" t="s">
        <v>98</v>
      </c>
    </row>
    <row r="302">
      <c r="A302" s="2" t="s">
        <v>1507</v>
      </c>
      <c r="B302" s="2" t="s">
        <v>996</v>
      </c>
      <c r="C302" s="2" t="s">
        <v>88</v>
      </c>
      <c r="D302" s="2" t="s">
        <v>1447</v>
      </c>
      <c r="E302" s="2" t="s">
        <v>1448</v>
      </c>
      <c r="F302" s="2" t="s">
        <v>1240</v>
      </c>
      <c r="G302" s="2" t="s">
        <v>1240</v>
      </c>
      <c r="H302" s="2" t="s">
        <v>1240</v>
      </c>
      <c r="I302" s="2" t="s">
        <v>1508</v>
      </c>
      <c r="J302" s="2" t="s">
        <v>661</v>
      </c>
      <c r="K302" s="2" t="s">
        <v>1503</v>
      </c>
      <c r="L302" s="3">
        <v>164.59</v>
      </c>
      <c r="M302" s="3">
        <v>172.82</v>
      </c>
      <c r="N302" s="3">
        <v>349</v>
      </c>
      <c r="O302" s="2" t="s">
        <v>95</v>
      </c>
      <c r="P302" s="2" t="s">
        <v>140</v>
      </c>
      <c r="Q302" s="2" t="s">
        <v>97</v>
      </c>
      <c r="R302" s="2" t="s">
        <v>98</v>
      </c>
      <c r="S302" s="2" t="s">
        <v>98</v>
      </c>
      <c r="T302" s="2" t="s">
        <v>98</v>
      </c>
      <c r="U302" s="2" t="s">
        <v>98</v>
      </c>
      <c r="V302" s="2" t="s">
        <v>208</v>
      </c>
      <c r="W302" s="2" t="s">
        <v>729</v>
      </c>
      <c r="X302" s="2" t="s">
        <v>98</v>
      </c>
      <c r="Y302" s="2" t="s">
        <v>1206</v>
      </c>
      <c r="Z302" s="4">
        <v>8</v>
      </c>
      <c r="AA302" s="4">
        <f>=ROUNDDOWN(1.03896103896104,0)</f>
      </c>
      <c r="AB302" s="5">
        <v>7.7</v>
      </c>
      <c r="AC302" s="2" t="s">
        <v>1083</v>
      </c>
      <c r="AD302" s="4">
        <v>100</v>
      </c>
      <c r="AE302" s="4">
        <v>200</v>
      </c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4</v>
      </c>
      <c r="BK302" s="8">
        <v>574.3</v>
      </c>
      <c r="BL302" s="2" t="s">
        <v>502</v>
      </c>
      <c r="BM302" s="7"/>
      <c r="BN302" s="7"/>
      <c r="BO302" s="4"/>
      <c r="BP302" s="8"/>
      <c r="BQ302" s="4"/>
      <c r="BR302" s="8"/>
      <c r="BS302" s="7"/>
      <c r="BT302" s="7"/>
      <c r="BU302" s="2" t="s">
        <v>106</v>
      </c>
      <c r="BV302" s="2" t="s">
        <v>95</v>
      </c>
      <c r="BW302" s="2" t="s">
        <v>168</v>
      </c>
      <c r="BX302" s="2" t="s">
        <v>1509</v>
      </c>
      <c r="BY302" s="2" t="s">
        <v>109</v>
      </c>
      <c r="BZ302" s="2" t="s">
        <v>98</v>
      </c>
    </row>
    <row r="303">
      <c r="A303" s="2" t="s">
        <v>1510</v>
      </c>
      <c r="B303" s="2" t="s">
        <v>996</v>
      </c>
      <c r="C303" s="2" t="s">
        <v>88</v>
      </c>
      <c r="D303" s="2" t="s">
        <v>1447</v>
      </c>
      <c r="E303" s="2" t="s">
        <v>1448</v>
      </c>
      <c r="F303" s="2" t="s">
        <v>1240</v>
      </c>
      <c r="G303" s="2" t="s">
        <v>1240</v>
      </c>
      <c r="H303" s="2" t="s">
        <v>1240</v>
      </c>
      <c r="I303" s="2" t="s">
        <v>1508</v>
      </c>
      <c r="J303" s="2" t="s">
        <v>661</v>
      </c>
      <c r="K303" s="2" t="s">
        <v>1511</v>
      </c>
      <c r="L303" s="3">
        <v>164.59</v>
      </c>
      <c r="M303" s="3">
        <v>172.82</v>
      </c>
      <c r="N303" s="3">
        <v>349</v>
      </c>
      <c r="O303" s="2" t="s">
        <v>95</v>
      </c>
      <c r="P303" s="2" t="s">
        <v>140</v>
      </c>
      <c r="Q303" s="2" t="s">
        <v>97</v>
      </c>
      <c r="R303" s="2" t="s">
        <v>98</v>
      </c>
      <c r="S303" s="2" t="s">
        <v>98</v>
      </c>
      <c r="T303" s="2" t="s">
        <v>98</v>
      </c>
      <c r="U303" s="2" t="s">
        <v>98</v>
      </c>
      <c r="V303" s="2" t="s">
        <v>208</v>
      </c>
      <c r="W303" s="2" t="s">
        <v>729</v>
      </c>
      <c r="X303" s="2" t="s">
        <v>242</v>
      </c>
      <c r="Y303" s="2" t="s">
        <v>519</v>
      </c>
      <c r="Z303" s="4">
        <v>49</v>
      </c>
      <c r="AA303" s="4">
        <f>=ROUNDDOWN(7.3134328358209,0)</f>
      </c>
      <c r="AB303" s="5">
        <v>6.7</v>
      </c>
      <c r="AC303" s="2" t="s">
        <v>1310</v>
      </c>
      <c r="AD303" s="4">
        <v>100</v>
      </c>
      <c r="AE303" s="4">
        <v>200</v>
      </c>
      <c r="AF303" s="6">
        <v>74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/>
      <c r="BK303" s="8"/>
      <c r="BL303" s="2" t="s">
        <v>98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95</v>
      </c>
      <c r="BW303" s="2" t="s">
        <v>1311</v>
      </c>
      <c r="BX303" s="2" t="s">
        <v>1512</v>
      </c>
      <c r="BY303" s="2" t="s">
        <v>109</v>
      </c>
      <c r="BZ303" s="2" t="s">
        <v>98</v>
      </c>
    </row>
    <row r="304">
      <c r="A304" s="2" t="s">
        <v>1513</v>
      </c>
      <c r="B304" s="2" t="s">
        <v>996</v>
      </c>
      <c r="C304" s="2" t="s">
        <v>88</v>
      </c>
      <c r="D304" s="2" t="s">
        <v>1447</v>
      </c>
      <c r="E304" s="2" t="s">
        <v>1448</v>
      </c>
      <c r="F304" s="2" t="s">
        <v>1240</v>
      </c>
      <c r="G304" s="2" t="s">
        <v>1240</v>
      </c>
      <c r="H304" s="2" t="s">
        <v>1240</v>
      </c>
      <c r="I304" s="2" t="s">
        <v>1508</v>
      </c>
      <c r="J304" s="2" t="s">
        <v>661</v>
      </c>
      <c r="K304" s="2" t="s">
        <v>1308</v>
      </c>
      <c r="L304" s="3">
        <v>164.59</v>
      </c>
      <c r="M304" s="3">
        <v>172.82</v>
      </c>
      <c r="N304" s="3">
        <v>349</v>
      </c>
      <c r="O304" s="2" t="s">
        <v>95</v>
      </c>
      <c r="P304" s="2" t="s">
        <v>714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98</v>
      </c>
      <c r="V304" s="2" t="s">
        <v>208</v>
      </c>
      <c r="W304" s="2" t="s">
        <v>729</v>
      </c>
      <c r="X304" s="2" t="s">
        <v>242</v>
      </c>
      <c r="Y304" s="2" t="s">
        <v>1514</v>
      </c>
      <c r="Z304" s="4">
        <v>77</v>
      </c>
      <c r="AA304" s="4">
        <f>=ROUNDDOWN(19.25,0)</f>
      </c>
      <c r="AB304" s="5">
        <v>4</v>
      </c>
      <c r="AC304" s="2" t="s">
        <v>98</v>
      </c>
      <c r="AD304" s="4"/>
      <c r="AE304" s="4"/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/>
      <c r="BJ304" s="4">
        <v>3</v>
      </c>
      <c r="BK304" s="8">
        <v>476.67</v>
      </c>
      <c r="BL304" s="2" t="s">
        <v>502</v>
      </c>
      <c r="BM304" s="7"/>
      <c r="BN304" s="7"/>
      <c r="BO304" s="4"/>
      <c r="BP304" s="8"/>
      <c r="BQ304" s="4"/>
      <c r="BR304" s="8"/>
      <c r="BS304" s="7"/>
      <c r="BT304" s="7"/>
      <c r="BU304" s="2" t="s">
        <v>106</v>
      </c>
      <c r="BV304" s="2" t="s">
        <v>95</v>
      </c>
      <c r="BW304" s="2" t="s">
        <v>1515</v>
      </c>
      <c r="BX304" s="2" t="s">
        <v>1516</v>
      </c>
      <c r="BY304" s="2" t="s">
        <v>109</v>
      </c>
      <c r="BZ304" s="2" t="s">
        <v>98</v>
      </c>
    </row>
    <row r="305">
      <c r="A305" s="2" t="s">
        <v>1517</v>
      </c>
      <c r="B305" s="2" t="s">
        <v>996</v>
      </c>
      <c r="C305" s="2" t="s">
        <v>88</v>
      </c>
      <c r="D305" s="2" t="s">
        <v>1447</v>
      </c>
      <c r="E305" s="2" t="s">
        <v>1448</v>
      </c>
      <c r="F305" s="2" t="s">
        <v>1320</v>
      </c>
      <c r="G305" s="2" t="s">
        <v>1320</v>
      </c>
      <c r="H305" s="2" t="s">
        <v>1320</v>
      </c>
      <c r="I305" s="2" t="s">
        <v>1453</v>
      </c>
      <c r="J305" s="2" t="s">
        <v>661</v>
      </c>
      <c r="K305" s="2" t="s">
        <v>631</v>
      </c>
      <c r="L305" s="3">
        <v>195</v>
      </c>
      <c r="M305" s="3">
        <v>204.75</v>
      </c>
      <c r="N305" s="3">
        <v>409</v>
      </c>
      <c r="O305" s="2" t="s">
        <v>95</v>
      </c>
      <c r="P305" s="2" t="s">
        <v>714</v>
      </c>
      <c r="Q305" s="2" t="s">
        <v>97</v>
      </c>
      <c r="R305" s="2" t="s">
        <v>98</v>
      </c>
      <c r="S305" s="2" t="s">
        <v>1518</v>
      </c>
      <c r="T305" s="2" t="s">
        <v>98</v>
      </c>
      <c r="U305" s="2" t="s">
        <v>98</v>
      </c>
      <c r="V305" s="2" t="s">
        <v>208</v>
      </c>
      <c r="W305" s="2" t="s">
        <v>729</v>
      </c>
      <c r="X305" s="2" t="s">
        <v>98</v>
      </c>
      <c r="Y305" s="2" t="s">
        <v>354</v>
      </c>
      <c r="Z305" s="4">
        <v>88</v>
      </c>
      <c r="AA305" s="4">
        <f>=ROUNDDOWN(88,0)</f>
      </c>
      <c r="AB305" s="5">
        <v>1</v>
      </c>
      <c r="AC305" s="2" t="s">
        <v>98</v>
      </c>
      <c r="AD305" s="4"/>
      <c r="AE305" s="4"/>
      <c r="AF305" s="6">
        <v>76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98</v>
      </c>
      <c r="BM305" s="7"/>
      <c r="BN305" s="7"/>
      <c r="BO305" s="4"/>
      <c r="BP305" s="8"/>
      <c r="BQ305" s="4"/>
      <c r="BR305" s="8"/>
      <c r="BS305" s="7"/>
      <c r="BT305" s="7"/>
      <c r="BU305" s="2" t="s">
        <v>106</v>
      </c>
      <c r="BV305" s="2" t="s">
        <v>95</v>
      </c>
      <c r="BW305" s="2" t="s">
        <v>168</v>
      </c>
      <c r="BX305" s="2" t="s">
        <v>1079</v>
      </c>
      <c r="BY305" s="2" t="s">
        <v>109</v>
      </c>
      <c r="BZ305" s="2" t="s">
        <v>98</v>
      </c>
    </row>
    <row r="306">
      <c r="A306" s="2" t="s">
        <v>1519</v>
      </c>
      <c r="B306" s="2" t="s">
        <v>996</v>
      </c>
      <c r="C306" s="2" t="s">
        <v>88</v>
      </c>
      <c r="D306" s="2" t="s">
        <v>1520</v>
      </c>
      <c r="E306" s="2" t="s">
        <v>1521</v>
      </c>
      <c r="F306" s="2" t="s">
        <v>1273</v>
      </c>
      <c r="G306" s="2" t="s">
        <v>98</v>
      </c>
      <c r="H306" s="2" t="s">
        <v>98</v>
      </c>
      <c r="I306" s="2" t="s">
        <v>1522</v>
      </c>
      <c r="J306" s="2" t="s">
        <v>1433</v>
      </c>
      <c r="K306" s="2" t="s">
        <v>1523</v>
      </c>
      <c r="L306" s="3">
        <v>190</v>
      </c>
      <c r="M306" s="3">
        <v>199.5</v>
      </c>
      <c r="N306" s="3">
        <v>399</v>
      </c>
      <c r="O306" s="2" t="s">
        <v>161</v>
      </c>
      <c r="P306" s="2" t="s">
        <v>128</v>
      </c>
      <c r="Q306" s="2" t="s">
        <v>97</v>
      </c>
      <c r="R306" s="2" t="s">
        <v>98</v>
      </c>
      <c r="S306" s="2" t="s">
        <v>1524</v>
      </c>
      <c r="T306" s="2" t="s">
        <v>98</v>
      </c>
      <c r="U306" s="2" t="s">
        <v>98</v>
      </c>
      <c r="V306" s="2" t="s">
        <v>208</v>
      </c>
      <c r="W306" s="2" t="s">
        <v>729</v>
      </c>
      <c r="X306" s="2" t="s">
        <v>98</v>
      </c>
      <c r="Y306" s="2" t="s">
        <v>354</v>
      </c>
      <c r="Z306" s="4">
        <v>11</v>
      </c>
      <c r="AA306" s="4">
        <f>=ROUNDDOWN(18.3333333333333,0)</f>
      </c>
      <c r="AB306" s="5">
        <v>0.6</v>
      </c>
      <c r="AC306" s="2" t="s">
        <v>98</v>
      </c>
      <c r="AD306" s="4"/>
      <c r="AE306" s="4"/>
      <c r="AF306" s="6">
        <v>74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98</v>
      </c>
      <c r="BM306" s="7"/>
      <c r="BN306" s="7"/>
      <c r="BO306" s="4"/>
      <c r="BP306" s="8"/>
      <c r="BQ306" s="4"/>
      <c r="BR306" s="8"/>
      <c r="BS306" s="7"/>
      <c r="BT306" s="7"/>
      <c r="BU306" s="2" t="s">
        <v>106</v>
      </c>
      <c r="BV306" s="2" t="s">
        <v>95</v>
      </c>
      <c r="BW306" s="2" t="s">
        <v>168</v>
      </c>
      <c r="BX306" s="2" t="s">
        <v>1410</v>
      </c>
      <c r="BY306" s="2" t="s">
        <v>109</v>
      </c>
      <c r="BZ306" s="2" t="s">
        <v>98</v>
      </c>
    </row>
    <row r="307">
      <c r="A307" s="2" t="s">
        <v>1525</v>
      </c>
      <c r="B307" s="2" t="s">
        <v>996</v>
      </c>
      <c r="C307" s="2" t="s">
        <v>88</v>
      </c>
      <c r="D307" s="2" t="s">
        <v>1526</v>
      </c>
      <c r="E307" s="2" t="s">
        <v>1527</v>
      </c>
      <c r="F307" s="2" t="s">
        <v>1176</v>
      </c>
      <c r="G307" s="2" t="s">
        <v>1176</v>
      </c>
      <c r="H307" s="2" t="s">
        <v>1176</v>
      </c>
      <c r="I307" s="2" t="s">
        <v>1528</v>
      </c>
      <c r="J307" s="2" t="s">
        <v>661</v>
      </c>
      <c r="K307" s="2" t="s">
        <v>395</v>
      </c>
      <c r="L307" s="3">
        <v>230.85</v>
      </c>
      <c r="M307" s="3">
        <v>242.39</v>
      </c>
      <c r="N307" s="3">
        <v>479</v>
      </c>
      <c r="O307" s="2" t="s">
        <v>95</v>
      </c>
      <c r="P307" s="2" t="s">
        <v>140</v>
      </c>
      <c r="Q307" s="2" t="s">
        <v>97</v>
      </c>
      <c r="R307" s="2" t="s">
        <v>98</v>
      </c>
      <c r="S307" s="2" t="s">
        <v>1529</v>
      </c>
      <c r="T307" s="2" t="s">
        <v>98</v>
      </c>
      <c r="U307" s="2" t="s">
        <v>98</v>
      </c>
      <c r="V307" s="2" t="s">
        <v>208</v>
      </c>
      <c r="W307" s="2" t="s">
        <v>729</v>
      </c>
      <c r="X307" s="2" t="s">
        <v>98</v>
      </c>
      <c r="Y307" s="2" t="s">
        <v>1530</v>
      </c>
      <c r="Z307" s="4">
        <v>121</v>
      </c>
      <c r="AA307" s="4">
        <f>=ROUNDDOWN(35.5882352941176,0)</f>
      </c>
      <c r="AB307" s="5">
        <v>3.4</v>
      </c>
      <c r="AC307" s="2" t="s">
        <v>98</v>
      </c>
      <c r="AD307" s="4"/>
      <c r="AE307" s="4"/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3</v>
      </c>
      <c r="BK307" s="8">
        <v>727.17</v>
      </c>
      <c r="BL307" s="2" t="s">
        <v>1336</v>
      </c>
      <c r="BM307" s="7"/>
      <c r="BN307" s="7"/>
      <c r="BO307" s="4"/>
      <c r="BP307" s="8"/>
      <c r="BQ307" s="4"/>
      <c r="BR307" s="8"/>
      <c r="BS307" s="7"/>
      <c r="BT307" s="7"/>
      <c r="BU307" s="2" t="s">
        <v>106</v>
      </c>
      <c r="BV307" s="2" t="s">
        <v>95</v>
      </c>
      <c r="BW307" s="2" t="s">
        <v>168</v>
      </c>
      <c r="BX307" s="2" t="s">
        <v>1115</v>
      </c>
      <c r="BY307" s="2" t="s">
        <v>109</v>
      </c>
      <c r="BZ307" s="2" t="s">
        <v>98</v>
      </c>
    </row>
    <row r="308">
      <c r="A308" s="2" t="s">
        <v>1531</v>
      </c>
      <c r="B308" s="2" t="s">
        <v>996</v>
      </c>
      <c r="C308" s="2" t="s">
        <v>88</v>
      </c>
      <c r="D308" s="2" t="s">
        <v>1532</v>
      </c>
      <c r="E308" s="2" t="s">
        <v>1533</v>
      </c>
      <c r="F308" s="2" t="s">
        <v>1443</v>
      </c>
      <c r="G308" s="2" t="s">
        <v>1443</v>
      </c>
      <c r="H308" s="2" t="s">
        <v>1443</v>
      </c>
      <c r="I308" s="2" t="s">
        <v>1534</v>
      </c>
      <c r="J308" s="2" t="s">
        <v>661</v>
      </c>
      <c r="K308" s="2" t="s">
        <v>367</v>
      </c>
      <c r="L308" s="3">
        <v>145</v>
      </c>
      <c r="M308" s="3">
        <v>152.25</v>
      </c>
      <c r="N308" s="3">
        <v>299</v>
      </c>
      <c r="O308" s="2" t="s">
        <v>95</v>
      </c>
      <c r="P308" s="2" t="s">
        <v>140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98</v>
      </c>
      <c r="V308" s="2" t="s">
        <v>369</v>
      </c>
      <c r="W308" s="2" t="s">
        <v>384</v>
      </c>
      <c r="X308" s="2" t="s">
        <v>242</v>
      </c>
      <c r="Y308" s="2" t="s">
        <v>1535</v>
      </c>
      <c r="Z308" s="4">
        <v>74</v>
      </c>
      <c r="AA308" s="4">
        <f>=ROUNDDOWN(18.5,0)</f>
      </c>
      <c r="AB308" s="5">
        <v>4</v>
      </c>
      <c r="AC308" s="2" t="s">
        <v>1083</v>
      </c>
      <c r="AD308" s="4">
        <v>150</v>
      </c>
      <c r="AE308" s="4">
        <v>300</v>
      </c>
      <c r="AF308" s="6">
        <v>74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12</v>
      </c>
      <c r="BK308" s="8">
        <v>1735.68</v>
      </c>
      <c r="BL308" s="2" t="s">
        <v>525</v>
      </c>
      <c r="BM308" s="7"/>
      <c r="BN308" s="7"/>
      <c r="BO308" s="4"/>
      <c r="BP308" s="8"/>
      <c r="BQ308" s="4"/>
      <c r="BR308" s="8"/>
      <c r="BS308" s="7"/>
      <c r="BT308" s="7"/>
      <c r="BU308" s="2" t="s">
        <v>106</v>
      </c>
      <c r="BV308" s="2" t="s">
        <v>95</v>
      </c>
      <c r="BW308" s="2" t="s">
        <v>1020</v>
      </c>
      <c r="BX308" s="2" t="s">
        <v>1089</v>
      </c>
      <c r="BY308" s="2" t="s">
        <v>109</v>
      </c>
      <c r="BZ308" s="2" t="s">
        <v>98</v>
      </c>
    </row>
    <row r="309">
      <c r="A309" s="2" t="s">
        <v>1536</v>
      </c>
      <c r="B309" s="2" t="s">
        <v>996</v>
      </c>
      <c r="C309" s="2" t="s">
        <v>88</v>
      </c>
      <c r="D309" s="2" t="s">
        <v>1532</v>
      </c>
      <c r="E309" s="2" t="s">
        <v>1533</v>
      </c>
      <c r="F309" s="2" t="s">
        <v>1537</v>
      </c>
      <c r="G309" s="2" t="s">
        <v>1537</v>
      </c>
      <c r="H309" s="2" t="s">
        <v>1537</v>
      </c>
      <c r="I309" s="2" t="s">
        <v>1538</v>
      </c>
      <c r="J309" s="2" t="s">
        <v>661</v>
      </c>
      <c r="K309" s="2" t="s">
        <v>1539</v>
      </c>
      <c r="L309" s="3">
        <v>135.85</v>
      </c>
      <c r="M309" s="3">
        <v>142.64</v>
      </c>
      <c r="N309" s="3">
        <v>289</v>
      </c>
      <c r="O309" s="2" t="s">
        <v>95</v>
      </c>
      <c r="P309" s="2" t="s">
        <v>714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98</v>
      </c>
      <c r="V309" s="2" t="s">
        <v>208</v>
      </c>
      <c r="W309" s="2" t="s">
        <v>384</v>
      </c>
      <c r="X309" s="2" t="s">
        <v>98</v>
      </c>
      <c r="Y309" s="2" t="s">
        <v>1540</v>
      </c>
      <c r="Z309" s="4">
        <v>73</v>
      </c>
      <c r="AA309" s="4">
        <f>=ROUNDDOWN(24.3333333333333,0)</f>
      </c>
      <c r="AB309" s="5">
        <v>3</v>
      </c>
      <c r="AC309" s="2" t="s">
        <v>730</v>
      </c>
      <c r="AD309" s="4">
        <v>77</v>
      </c>
      <c r="AE309" s="4">
        <v>100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4</v>
      </c>
      <c r="BK309" s="8">
        <v>558.89</v>
      </c>
      <c r="BL309" s="2" t="s">
        <v>790</v>
      </c>
      <c r="BM309" s="7"/>
      <c r="BN309" s="7"/>
      <c r="BO309" s="4"/>
      <c r="BP309" s="8"/>
      <c r="BQ309" s="4"/>
      <c r="BR309" s="8"/>
      <c r="BS309" s="7"/>
      <c r="BT309" s="7"/>
      <c r="BU309" s="2" t="s">
        <v>106</v>
      </c>
      <c r="BV309" s="2" t="s">
        <v>95</v>
      </c>
      <c r="BW309" s="2" t="s">
        <v>168</v>
      </c>
      <c r="BX309" s="2" t="s">
        <v>608</v>
      </c>
      <c r="BY309" s="2" t="s">
        <v>109</v>
      </c>
      <c r="BZ309" s="2" t="s">
        <v>98</v>
      </c>
    </row>
    <row r="310">
      <c r="A310" s="2" t="s">
        <v>1541</v>
      </c>
      <c r="B310" s="2" t="s">
        <v>996</v>
      </c>
      <c r="C310" s="2" t="s">
        <v>88</v>
      </c>
      <c r="D310" s="2" t="s">
        <v>1532</v>
      </c>
      <c r="E310" s="2" t="s">
        <v>1533</v>
      </c>
      <c r="F310" s="2" t="s">
        <v>1273</v>
      </c>
      <c r="G310" s="2" t="s">
        <v>1273</v>
      </c>
      <c r="H310" s="2" t="s">
        <v>98</v>
      </c>
      <c r="I310" s="2" t="s">
        <v>1542</v>
      </c>
      <c r="J310" s="2" t="s">
        <v>661</v>
      </c>
      <c r="K310" s="2" t="s">
        <v>1543</v>
      </c>
      <c r="L310" s="3">
        <v>100.1</v>
      </c>
      <c r="M310" s="3">
        <v>105.1</v>
      </c>
      <c r="N310" s="3">
        <v>209</v>
      </c>
      <c r="O310" s="2" t="s">
        <v>95</v>
      </c>
      <c r="P310" s="2" t="s">
        <v>714</v>
      </c>
      <c r="Q310" s="2" t="s">
        <v>97</v>
      </c>
      <c r="R310" s="2" t="s">
        <v>98</v>
      </c>
      <c r="S310" s="2" t="s">
        <v>1544</v>
      </c>
      <c r="T310" s="2" t="s">
        <v>98</v>
      </c>
      <c r="U310" s="2" t="s">
        <v>98</v>
      </c>
      <c r="V310" s="2" t="s">
        <v>208</v>
      </c>
      <c r="W310" s="2" t="s">
        <v>729</v>
      </c>
      <c r="X310" s="2" t="s">
        <v>98</v>
      </c>
      <c r="Y310" s="2" t="s">
        <v>354</v>
      </c>
      <c r="Z310" s="4">
        <v>98</v>
      </c>
      <c r="AA310" s="4">
        <f>=ROUNDDOWN(24.5,0)</f>
      </c>
      <c r="AB310" s="5">
        <v>4</v>
      </c>
      <c r="AC310" s="2" t="s">
        <v>98</v>
      </c>
      <c r="AD310" s="4"/>
      <c r="AE310" s="4"/>
      <c r="AF310" s="6">
        <v>74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/>
      <c r="BJ310" s="4">
        <v>3</v>
      </c>
      <c r="BK310" s="8">
        <v>346.86</v>
      </c>
      <c r="BL310" s="2" t="s">
        <v>143</v>
      </c>
      <c r="BM310" s="7"/>
      <c r="BN310" s="7"/>
      <c r="BO310" s="4"/>
      <c r="BP310" s="8"/>
      <c r="BQ310" s="4"/>
      <c r="BR310" s="8"/>
      <c r="BS310" s="7"/>
      <c r="BT310" s="7"/>
      <c r="BU310" s="2" t="s">
        <v>106</v>
      </c>
      <c r="BV310" s="2" t="s">
        <v>95</v>
      </c>
      <c r="BW310" s="2" t="s">
        <v>168</v>
      </c>
      <c r="BX310" s="2" t="s">
        <v>1168</v>
      </c>
      <c r="BY310" s="2" t="s">
        <v>109</v>
      </c>
      <c r="BZ310" s="2" t="s">
        <v>98</v>
      </c>
    </row>
    <row r="311">
      <c r="A311" s="2" t="s">
        <v>1545</v>
      </c>
      <c r="B311" s="2" t="s">
        <v>996</v>
      </c>
      <c r="C311" s="2" t="s">
        <v>88</v>
      </c>
      <c r="D311" s="2" t="s">
        <v>1532</v>
      </c>
      <c r="E311" s="2" t="s">
        <v>1533</v>
      </c>
      <c r="F311" s="2" t="s">
        <v>1273</v>
      </c>
      <c r="G311" s="2" t="s">
        <v>1273</v>
      </c>
      <c r="H311" s="2" t="s">
        <v>1273</v>
      </c>
      <c r="I311" s="2" t="s">
        <v>1542</v>
      </c>
      <c r="J311" s="2" t="s">
        <v>661</v>
      </c>
      <c r="K311" s="2" t="s">
        <v>367</v>
      </c>
      <c r="L311" s="3">
        <v>100.1</v>
      </c>
      <c r="M311" s="3">
        <v>105.1</v>
      </c>
      <c r="N311" s="3">
        <v>209</v>
      </c>
      <c r="O311" s="2" t="s">
        <v>161</v>
      </c>
      <c r="P311" s="2" t="s">
        <v>128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590</v>
      </c>
      <c r="V311" s="2" t="s">
        <v>208</v>
      </c>
      <c r="W311" s="2" t="s">
        <v>729</v>
      </c>
      <c r="X311" s="2" t="s">
        <v>681</v>
      </c>
      <c r="Y311" s="2" t="s">
        <v>1546</v>
      </c>
      <c r="Z311" s="4"/>
      <c r="AA311" s="4">
        <f>=ROUNDDOWN({0},0)</f>
      </c>
      <c r="AB311" s="5">
        <v>9.3</v>
      </c>
      <c r="AC311" s="2" t="s">
        <v>98</v>
      </c>
      <c r="AD311" s="4"/>
      <c r="AE311" s="4"/>
      <c r="AF311" s="6">
        <v>74</v>
      </c>
      <c r="AG311" s="6"/>
      <c r="AH311" s="7">
        <v>0</v>
      </c>
      <c r="AI311" s="4"/>
      <c r="AJ311" s="4">
        <f>=ROUNDDOWN({0},0)</f>
      </c>
      <c r="AK311" s="5"/>
      <c r="AL311" s="2" t="s">
        <v>98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106</v>
      </c>
      <c r="BV311" s="2" t="s">
        <v>95</v>
      </c>
      <c r="BW311" s="2" t="s">
        <v>168</v>
      </c>
      <c r="BX311" s="2" t="s">
        <v>1547</v>
      </c>
      <c r="BY311" s="2" t="s">
        <v>109</v>
      </c>
      <c r="BZ311" s="2" t="s">
        <v>98</v>
      </c>
    </row>
    <row r="312">
      <c r="A312" s="2" t="s">
        <v>1548</v>
      </c>
      <c r="B312" s="2" t="s">
        <v>996</v>
      </c>
      <c r="C312" s="2" t="s">
        <v>88</v>
      </c>
      <c r="D312" s="2" t="s">
        <v>1532</v>
      </c>
      <c r="E312" s="2" t="s">
        <v>1533</v>
      </c>
      <c r="F312" s="2" t="s">
        <v>1549</v>
      </c>
      <c r="G312" s="2" t="s">
        <v>1549</v>
      </c>
      <c r="H312" s="2" t="s">
        <v>1549</v>
      </c>
      <c r="I312" s="2" t="s">
        <v>1550</v>
      </c>
      <c r="J312" s="2" t="s">
        <v>661</v>
      </c>
      <c r="K312" s="2" t="s">
        <v>737</v>
      </c>
      <c r="L312" s="3">
        <v>143</v>
      </c>
      <c r="M312" s="3">
        <v>150.15</v>
      </c>
      <c r="N312" s="3">
        <v>299</v>
      </c>
      <c r="O312" s="2" t="s">
        <v>95</v>
      </c>
      <c r="P312" s="2" t="s">
        <v>128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98</v>
      </c>
      <c r="V312" s="2" t="s">
        <v>369</v>
      </c>
      <c r="W312" s="2" t="s">
        <v>242</v>
      </c>
      <c r="X312" s="2" t="s">
        <v>98</v>
      </c>
      <c r="Y312" s="2" t="s">
        <v>1315</v>
      </c>
      <c r="Z312" s="4">
        <v>88</v>
      </c>
      <c r="AA312" s="4">
        <f>=ROUNDDOWN(46.3157894736842,0)</f>
      </c>
      <c r="AB312" s="5">
        <v>1.9</v>
      </c>
      <c r="AC312" s="2" t="s">
        <v>98</v>
      </c>
      <c r="AD312" s="4"/>
      <c r="AE312" s="4"/>
      <c r="AF312" s="6">
        <v>74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98</v>
      </c>
      <c r="BM312" s="7"/>
      <c r="BN312" s="7"/>
      <c r="BO312" s="4"/>
      <c r="BP312" s="8"/>
      <c r="BQ312" s="4"/>
      <c r="BR312" s="8"/>
      <c r="BS312" s="7"/>
      <c r="BT312" s="7"/>
      <c r="BU312" s="2" t="s">
        <v>832</v>
      </c>
      <c r="BV312" s="2" t="s">
        <v>95</v>
      </c>
      <c r="BW312" s="2" t="s">
        <v>98</v>
      </c>
      <c r="BX312" s="2" t="s">
        <v>98</v>
      </c>
      <c r="BY312" s="2" t="s">
        <v>109</v>
      </c>
      <c r="BZ312" s="2" t="s">
        <v>98</v>
      </c>
    </row>
    <row r="313">
      <c r="A313" s="2" t="s">
        <v>1551</v>
      </c>
      <c r="B313" s="2" t="s">
        <v>996</v>
      </c>
      <c r="C313" s="2" t="s">
        <v>88</v>
      </c>
      <c r="D313" s="2" t="s">
        <v>1552</v>
      </c>
      <c r="E313" s="2" t="s">
        <v>1553</v>
      </c>
      <c r="F313" s="2" t="s">
        <v>1554</v>
      </c>
      <c r="G313" s="2" t="s">
        <v>1554</v>
      </c>
      <c r="H313" s="2" t="s">
        <v>1554</v>
      </c>
      <c r="I313" s="2" t="s">
        <v>1555</v>
      </c>
      <c r="J313" s="2" t="s">
        <v>661</v>
      </c>
      <c r="K313" s="2" t="s">
        <v>1130</v>
      </c>
      <c r="L313" s="3">
        <v>99.18</v>
      </c>
      <c r="M313" s="3">
        <v>104.14</v>
      </c>
      <c r="N313" s="3">
        <v>209</v>
      </c>
      <c r="O313" s="2" t="s">
        <v>95</v>
      </c>
      <c r="P313" s="2" t="s">
        <v>140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590</v>
      </c>
      <c r="V313" s="2" t="s">
        <v>208</v>
      </c>
      <c r="W313" s="2" t="s">
        <v>384</v>
      </c>
      <c r="X313" s="2" t="s">
        <v>242</v>
      </c>
      <c r="Y313" s="2" t="s">
        <v>1496</v>
      </c>
      <c r="Z313" s="4">
        <v>372</v>
      </c>
      <c r="AA313" s="4">
        <f>=ROUNDDOWN(31,0)</f>
      </c>
      <c r="AB313" s="5">
        <v>12</v>
      </c>
      <c r="AC313" s="2" t="s">
        <v>1467</v>
      </c>
      <c r="AD313" s="4">
        <v>100</v>
      </c>
      <c r="AE313" s="4">
        <v>200</v>
      </c>
      <c r="AF313" s="6">
        <v>74</v>
      </c>
      <c r="AG313" s="6">
        <v>60</v>
      </c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16</v>
      </c>
      <c r="BK313" s="8">
        <v>1634.75</v>
      </c>
      <c r="BL313" s="2" t="s">
        <v>1556</v>
      </c>
      <c r="BM313" s="7"/>
      <c r="BN313" s="7"/>
      <c r="BO313" s="4"/>
      <c r="BP313" s="8"/>
      <c r="BQ313" s="4"/>
      <c r="BR313" s="8"/>
      <c r="BS313" s="7"/>
      <c r="BT313" s="7"/>
      <c r="BU313" s="2" t="s">
        <v>106</v>
      </c>
      <c r="BV313" s="2" t="s">
        <v>95</v>
      </c>
      <c r="BW313" s="2" t="s">
        <v>1557</v>
      </c>
      <c r="BX313" s="2" t="s">
        <v>1558</v>
      </c>
      <c r="BY313" s="2" t="s">
        <v>109</v>
      </c>
      <c r="BZ313" s="2" t="s">
        <v>98</v>
      </c>
    </row>
    <row r="314">
      <c r="A314" s="2" t="s">
        <v>1559</v>
      </c>
      <c r="B314" s="2" t="s">
        <v>996</v>
      </c>
      <c r="C314" s="2" t="s">
        <v>88</v>
      </c>
      <c r="D314" s="2" t="s">
        <v>1552</v>
      </c>
      <c r="E314" s="2" t="s">
        <v>1553</v>
      </c>
      <c r="F314" s="2" t="s">
        <v>1560</v>
      </c>
      <c r="G314" s="2" t="s">
        <v>1560</v>
      </c>
      <c r="H314" s="2" t="s">
        <v>1560</v>
      </c>
      <c r="I314" s="2" t="s">
        <v>1561</v>
      </c>
      <c r="J314" s="2" t="s">
        <v>661</v>
      </c>
      <c r="K314" s="2" t="s">
        <v>367</v>
      </c>
      <c r="L314" s="3">
        <v>189</v>
      </c>
      <c r="M314" s="3">
        <v>198.45</v>
      </c>
      <c r="N314" s="3">
        <v>399</v>
      </c>
      <c r="O314" s="2" t="s">
        <v>95</v>
      </c>
      <c r="P314" s="2" t="s">
        <v>140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590</v>
      </c>
      <c r="V314" s="2" t="s">
        <v>369</v>
      </c>
      <c r="W314" s="2" t="s">
        <v>242</v>
      </c>
      <c r="X314" s="2" t="s">
        <v>98</v>
      </c>
      <c r="Y314" s="2" t="s">
        <v>1562</v>
      </c>
      <c r="Z314" s="4">
        <v>53</v>
      </c>
      <c r="AA314" s="4">
        <f>=ROUNDDOWN(17.6666666666667,0)</f>
      </c>
      <c r="AB314" s="5">
        <v>3</v>
      </c>
      <c r="AC314" s="2" t="s">
        <v>1018</v>
      </c>
      <c r="AD314" s="4">
        <v>50</v>
      </c>
      <c r="AE314" s="4">
        <v>100</v>
      </c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98</v>
      </c>
      <c r="BM314" s="7"/>
      <c r="BN314" s="7"/>
      <c r="BO314" s="4"/>
      <c r="BP314" s="8"/>
      <c r="BQ314" s="4"/>
      <c r="BR314" s="8"/>
      <c r="BS314" s="7"/>
      <c r="BT314" s="7"/>
      <c r="BU314" s="2" t="s">
        <v>106</v>
      </c>
      <c r="BV314" s="2" t="s">
        <v>95</v>
      </c>
      <c r="BW314" s="2" t="s">
        <v>1020</v>
      </c>
      <c r="BX314" s="2" t="s">
        <v>1563</v>
      </c>
      <c r="BY314" s="2" t="s">
        <v>109</v>
      </c>
      <c r="BZ314" s="2" t="s">
        <v>98</v>
      </c>
    </row>
    <row r="315">
      <c r="A315" s="2" t="s">
        <v>1564</v>
      </c>
      <c r="B315" s="2" t="s">
        <v>996</v>
      </c>
      <c r="C315" s="2" t="s">
        <v>88</v>
      </c>
      <c r="D315" s="2" t="s">
        <v>1552</v>
      </c>
      <c r="E315" s="2" t="s">
        <v>1553</v>
      </c>
      <c r="F315" s="2" t="s">
        <v>1565</v>
      </c>
      <c r="G315" s="2" t="s">
        <v>1565</v>
      </c>
      <c r="H315" s="2" t="s">
        <v>1565</v>
      </c>
      <c r="I315" s="2" t="s">
        <v>1566</v>
      </c>
      <c r="J315" s="2" t="s">
        <v>661</v>
      </c>
      <c r="K315" s="2" t="s">
        <v>1567</v>
      </c>
      <c r="L315" s="3">
        <v>210</v>
      </c>
      <c r="M315" s="3">
        <v>220.5</v>
      </c>
      <c r="N315" s="3">
        <v>449</v>
      </c>
      <c r="O315" s="2" t="s">
        <v>95</v>
      </c>
      <c r="P315" s="2" t="s">
        <v>177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590</v>
      </c>
      <c r="V315" s="2" t="s">
        <v>369</v>
      </c>
      <c r="W315" s="2" t="s">
        <v>242</v>
      </c>
      <c r="X315" s="2" t="s">
        <v>190</v>
      </c>
      <c r="Y315" s="2" t="s">
        <v>1568</v>
      </c>
      <c r="Z315" s="4">
        <v>94</v>
      </c>
      <c r="AA315" s="4">
        <f>=ROUNDDOWN(94,0)</f>
      </c>
      <c r="AB315" s="5">
        <v>1</v>
      </c>
      <c r="AC315" s="2" t="s">
        <v>98</v>
      </c>
      <c r="AD315" s="4"/>
      <c r="AE315" s="4"/>
      <c r="AF315" s="6">
        <v>76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98</v>
      </c>
      <c r="BM315" s="7"/>
      <c r="BN315" s="7"/>
      <c r="BO315" s="4"/>
      <c r="BP315" s="8"/>
      <c r="BQ315" s="4"/>
      <c r="BR315" s="8"/>
      <c r="BS315" s="7"/>
      <c r="BT315" s="7"/>
      <c r="BU315" s="2" t="s">
        <v>832</v>
      </c>
      <c r="BV315" s="2" t="s">
        <v>95</v>
      </c>
      <c r="BW315" s="2" t="s">
        <v>98</v>
      </c>
      <c r="BX315" s="2" t="s">
        <v>98</v>
      </c>
      <c r="BY315" s="2" t="s">
        <v>109</v>
      </c>
      <c r="BZ315" s="2" t="s">
        <v>98</v>
      </c>
    </row>
    <row r="316">
      <c r="A316" s="2" t="s">
        <v>1569</v>
      </c>
      <c r="B316" s="2" t="s">
        <v>996</v>
      </c>
      <c r="C316" s="2" t="s">
        <v>88</v>
      </c>
      <c r="D316" s="2" t="s">
        <v>1552</v>
      </c>
      <c r="E316" s="2" t="s">
        <v>1553</v>
      </c>
      <c r="F316" s="2" t="s">
        <v>1570</v>
      </c>
      <c r="G316" s="2" t="s">
        <v>1570</v>
      </c>
      <c r="H316" s="2" t="s">
        <v>1570</v>
      </c>
      <c r="I316" s="2" t="s">
        <v>1571</v>
      </c>
      <c r="J316" s="2" t="s">
        <v>661</v>
      </c>
      <c r="K316" s="2" t="s">
        <v>1572</v>
      </c>
      <c r="L316" s="3">
        <v>244.7</v>
      </c>
      <c r="M316" s="3">
        <v>256.94</v>
      </c>
      <c r="N316" s="3">
        <v>499</v>
      </c>
      <c r="O316" s="2" t="s">
        <v>95</v>
      </c>
      <c r="P316" s="2" t="s">
        <v>177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590</v>
      </c>
      <c r="V316" s="2" t="s">
        <v>369</v>
      </c>
      <c r="W316" s="2" t="s">
        <v>242</v>
      </c>
      <c r="X316" s="2" t="s">
        <v>98</v>
      </c>
      <c r="Y316" s="2" t="s">
        <v>1568</v>
      </c>
      <c r="Z316" s="4">
        <v>49</v>
      </c>
      <c r="AA316" s="4">
        <f>=ROUNDDOWN(16.3333333333333,0)</f>
      </c>
      <c r="AB316" s="5">
        <v>3</v>
      </c>
      <c r="AC316" s="2" t="s">
        <v>1573</v>
      </c>
      <c r="AD316" s="4">
        <v>100</v>
      </c>
      <c r="AE316" s="4">
        <v>100</v>
      </c>
      <c r="AF316" s="6">
        <v>76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1</v>
      </c>
      <c r="BK316" s="8">
        <v>224.94</v>
      </c>
      <c r="BL316" s="2" t="s">
        <v>502</v>
      </c>
      <c r="BM316" s="7"/>
      <c r="BN316" s="7"/>
      <c r="BO316" s="4"/>
      <c r="BP316" s="8"/>
      <c r="BQ316" s="4"/>
      <c r="BR316" s="8"/>
      <c r="BS316" s="7"/>
      <c r="BT316" s="7"/>
      <c r="BU316" s="2" t="s">
        <v>832</v>
      </c>
      <c r="BV316" s="2" t="s">
        <v>95</v>
      </c>
      <c r="BW316" s="2" t="s">
        <v>98</v>
      </c>
      <c r="BX316" s="2" t="s">
        <v>98</v>
      </c>
      <c r="BY316" s="2" t="s">
        <v>109</v>
      </c>
      <c r="BZ316" s="2" t="s">
        <v>98</v>
      </c>
    </row>
    <row r="317">
      <c r="A317" s="2" t="s">
        <v>1574</v>
      </c>
      <c r="B317" s="2" t="s">
        <v>996</v>
      </c>
      <c r="C317" s="2" t="s">
        <v>88</v>
      </c>
      <c r="D317" s="2" t="s">
        <v>1552</v>
      </c>
      <c r="E317" s="2" t="s">
        <v>1553</v>
      </c>
      <c r="F317" s="2" t="s">
        <v>1261</v>
      </c>
      <c r="G317" s="2" t="s">
        <v>1261</v>
      </c>
      <c r="H317" s="2" t="s">
        <v>98</v>
      </c>
      <c r="I317" s="2" t="s">
        <v>1553</v>
      </c>
      <c r="J317" s="2" t="s">
        <v>661</v>
      </c>
      <c r="K317" s="2" t="s">
        <v>1266</v>
      </c>
      <c r="L317" s="3">
        <v>194.75</v>
      </c>
      <c r="M317" s="3">
        <v>204.49</v>
      </c>
      <c r="N317" s="3">
        <v>409</v>
      </c>
      <c r="O317" s="2" t="s">
        <v>95</v>
      </c>
      <c r="P317" s="2" t="s">
        <v>714</v>
      </c>
      <c r="Q317" s="2" t="s">
        <v>97</v>
      </c>
      <c r="R317" s="2" t="s">
        <v>98</v>
      </c>
      <c r="S317" s="2" t="s">
        <v>1267</v>
      </c>
      <c r="T317" s="2" t="s">
        <v>98</v>
      </c>
      <c r="U317" s="2" t="s">
        <v>98</v>
      </c>
      <c r="V317" s="2" t="s">
        <v>208</v>
      </c>
      <c r="W317" s="2" t="s">
        <v>384</v>
      </c>
      <c r="X317" s="2" t="s">
        <v>98</v>
      </c>
      <c r="Y317" s="2" t="s">
        <v>354</v>
      </c>
      <c r="Z317" s="4">
        <v>164</v>
      </c>
      <c r="AA317" s="4">
        <f>=ROUNDDOWN(58.5714285714286,0)</f>
      </c>
      <c r="AB317" s="5">
        <v>2.8</v>
      </c>
      <c r="AC317" s="2" t="s">
        <v>98</v>
      </c>
      <c r="AD317" s="4"/>
      <c r="AE317" s="4"/>
      <c r="AF317" s="6">
        <v>74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98</v>
      </c>
      <c r="BM317" s="7"/>
      <c r="BN317" s="7"/>
      <c r="BO317" s="4"/>
      <c r="BP317" s="8"/>
      <c r="BQ317" s="4"/>
      <c r="BR317" s="8"/>
      <c r="BS317" s="7"/>
      <c r="BT317" s="7"/>
      <c r="BU317" s="2" t="s">
        <v>1264</v>
      </c>
      <c r="BV317" s="2" t="s">
        <v>95</v>
      </c>
      <c r="BW317" s="2" t="s">
        <v>98</v>
      </c>
      <c r="BX317" s="2" t="s">
        <v>98</v>
      </c>
      <c r="BY317" s="2" t="s">
        <v>109</v>
      </c>
      <c r="BZ317" s="2" t="s">
        <v>98</v>
      </c>
    </row>
    <row r="318">
      <c r="A318" s="2" t="s">
        <v>1575</v>
      </c>
      <c r="B318" s="2" t="s">
        <v>996</v>
      </c>
      <c r="C318" s="2" t="s">
        <v>88</v>
      </c>
      <c r="D318" s="2" t="s">
        <v>1552</v>
      </c>
      <c r="E318" s="2" t="s">
        <v>1553</v>
      </c>
      <c r="F318" s="2" t="s">
        <v>1176</v>
      </c>
      <c r="G318" s="2" t="s">
        <v>1176</v>
      </c>
      <c r="H318" s="2" t="s">
        <v>1176</v>
      </c>
      <c r="I318" s="2" t="s">
        <v>1576</v>
      </c>
      <c r="J318" s="2" t="s">
        <v>661</v>
      </c>
      <c r="K318" s="2" t="s">
        <v>1246</v>
      </c>
      <c r="L318" s="3">
        <v>237.5</v>
      </c>
      <c r="M318" s="3">
        <v>249.38</v>
      </c>
      <c r="N318" s="3">
        <v>499</v>
      </c>
      <c r="O318" s="2" t="s">
        <v>95</v>
      </c>
      <c r="P318" s="2" t="s">
        <v>153</v>
      </c>
      <c r="Q318" s="2" t="s">
        <v>97</v>
      </c>
      <c r="R318" s="2" t="s">
        <v>98</v>
      </c>
      <c r="S318" s="2" t="s">
        <v>1577</v>
      </c>
      <c r="T318" s="2" t="s">
        <v>98</v>
      </c>
      <c r="U318" s="2" t="s">
        <v>98</v>
      </c>
      <c r="V318" s="2" t="s">
        <v>208</v>
      </c>
      <c r="W318" s="2" t="s">
        <v>384</v>
      </c>
      <c r="X318" s="2" t="s">
        <v>98</v>
      </c>
      <c r="Y318" s="2" t="s">
        <v>354</v>
      </c>
      <c r="Z318" s="4">
        <v>67</v>
      </c>
      <c r="AA318" s="4">
        <f>=ROUNDDOWN(2.16129032258065,0)</f>
      </c>
      <c r="AB318" s="5">
        <v>31</v>
      </c>
      <c r="AC318" s="2" t="s">
        <v>1333</v>
      </c>
      <c r="AD318" s="4">
        <v>80</v>
      </c>
      <c r="AE318" s="4">
        <v>599</v>
      </c>
      <c r="AF318" s="6">
        <v>69</v>
      </c>
      <c r="AG318" s="6">
        <v>52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26</v>
      </c>
      <c r="BK318" s="8">
        <v>5661.45</v>
      </c>
      <c r="BL318" s="2" t="s">
        <v>1578</v>
      </c>
      <c r="BM318" s="7"/>
      <c r="BN318" s="7"/>
      <c r="BO318" s="4"/>
      <c r="BP318" s="8"/>
      <c r="BQ318" s="4"/>
      <c r="BR318" s="8"/>
      <c r="BS318" s="7"/>
      <c r="BT318" s="7"/>
      <c r="BU318" s="2" t="s">
        <v>106</v>
      </c>
      <c r="BV318" s="2" t="s">
        <v>95</v>
      </c>
      <c r="BW318" s="2" t="s">
        <v>168</v>
      </c>
      <c r="BX318" s="2" t="s">
        <v>1579</v>
      </c>
      <c r="BY318" s="2" t="s">
        <v>109</v>
      </c>
      <c r="BZ318" s="2" t="s">
        <v>98</v>
      </c>
    </row>
    <row r="319">
      <c r="A319" s="2" t="s">
        <v>1580</v>
      </c>
      <c r="B319" s="2" t="s">
        <v>996</v>
      </c>
      <c r="C319" s="2" t="s">
        <v>88</v>
      </c>
      <c r="D319" s="2" t="s">
        <v>1552</v>
      </c>
      <c r="E319" s="2" t="s">
        <v>1553</v>
      </c>
      <c r="F319" s="2" t="s">
        <v>1581</v>
      </c>
      <c r="G319" s="2" t="s">
        <v>1581</v>
      </c>
      <c r="H319" s="2" t="s">
        <v>1581</v>
      </c>
      <c r="I319" s="2" t="s">
        <v>1582</v>
      </c>
      <c r="J319" s="2" t="s">
        <v>661</v>
      </c>
      <c r="K319" s="2" t="s">
        <v>367</v>
      </c>
      <c r="L319" s="3">
        <v>165</v>
      </c>
      <c r="M319" s="3">
        <v>173.25</v>
      </c>
      <c r="N319" s="3">
        <v>349</v>
      </c>
      <c r="O319" s="2" t="s">
        <v>95</v>
      </c>
      <c r="P319" s="2" t="s">
        <v>140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590</v>
      </c>
      <c r="V319" s="2" t="s">
        <v>369</v>
      </c>
      <c r="W319" s="2" t="s">
        <v>242</v>
      </c>
      <c r="X319" s="2" t="s">
        <v>190</v>
      </c>
      <c r="Y319" s="2" t="s">
        <v>1583</v>
      </c>
      <c r="Z319" s="4">
        <v>127</v>
      </c>
      <c r="AA319" s="4">
        <f>=ROUNDDOWN(12.7,0)</f>
      </c>
      <c r="AB319" s="5">
        <v>10</v>
      </c>
      <c r="AC319" s="2" t="s">
        <v>1152</v>
      </c>
      <c r="AD319" s="4">
        <v>100</v>
      </c>
      <c r="AE319" s="4">
        <v>300</v>
      </c>
      <c r="AF319" s="6">
        <v>76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3</v>
      </c>
      <c r="BK319" s="8">
        <v>554.41</v>
      </c>
      <c r="BL319" s="2" t="s">
        <v>1114</v>
      </c>
      <c r="BM319" s="7"/>
      <c r="BN319" s="7"/>
      <c r="BO319" s="4"/>
      <c r="BP319" s="8"/>
      <c r="BQ319" s="4"/>
      <c r="BR319" s="8"/>
      <c r="BS319" s="7"/>
      <c r="BT319" s="7"/>
      <c r="BU319" s="2" t="s">
        <v>832</v>
      </c>
      <c r="BV319" s="2" t="s">
        <v>95</v>
      </c>
      <c r="BW319" s="2" t="s">
        <v>98</v>
      </c>
      <c r="BX319" s="2" t="s">
        <v>98</v>
      </c>
      <c r="BY319" s="2" t="s">
        <v>109</v>
      </c>
      <c r="BZ319" s="2" t="s">
        <v>98</v>
      </c>
    </row>
    <row r="320">
      <c r="A320" s="2" t="s">
        <v>1584</v>
      </c>
      <c r="B320" s="2" t="s">
        <v>996</v>
      </c>
      <c r="C320" s="2" t="s">
        <v>88</v>
      </c>
      <c r="D320" s="2" t="s">
        <v>1552</v>
      </c>
      <c r="E320" s="2" t="s">
        <v>1553</v>
      </c>
      <c r="F320" s="2" t="s">
        <v>1585</v>
      </c>
      <c r="G320" s="2" t="s">
        <v>1585</v>
      </c>
      <c r="H320" s="2" t="s">
        <v>1585</v>
      </c>
      <c r="I320" s="2" t="s">
        <v>1553</v>
      </c>
      <c r="J320" s="2" t="s">
        <v>661</v>
      </c>
      <c r="K320" s="2" t="s">
        <v>1586</v>
      </c>
      <c r="L320" s="3">
        <v>157.3</v>
      </c>
      <c r="M320" s="3">
        <v>165.16</v>
      </c>
      <c r="N320" s="3">
        <v>329</v>
      </c>
      <c r="O320" s="2" t="s">
        <v>206</v>
      </c>
      <c r="P320" s="2" t="s">
        <v>128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590</v>
      </c>
      <c r="V320" s="2" t="s">
        <v>208</v>
      </c>
      <c r="W320" s="2" t="s">
        <v>242</v>
      </c>
      <c r="X320" s="2" t="s">
        <v>377</v>
      </c>
      <c r="Y320" s="2" t="s">
        <v>1587</v>
      </c>
      <c r="Z320" s="4">
        <v>35</v>
      </c>
      <c r="AA320" s="4">
        <f>=ROUNDDOWN(50,0)</f>
      </c>
      <c r="AB320" s="5">
        <v>0.7</v>
      </c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2</v>
      </c>
      <c r="BK320" s="8">
        <v>58.22</v>
      </c>
      <c r="BL320" s="2" t="s">
        <v>502</v>
      </c>
      <c r="BM320" s="7"/>
      <c r="BN320" s="7"/>
      <c r="BO320" s="4"/>
      <c r="BP320" s="8"/>
      <c r="BQ320" s="4"/>
      <c r="BR320" s="8"/>
      <c r="BS320" s="7"/>
      <c r="BT320" s="7"/>
      <c r="BU320" s="2" t="s">
        <v>106</v>
      </c>
      <c r="BV320" s="2" t="s">
        <v>95</v>
      </c>
      <c r="BW320" s="2" t="s">
        <v>1035</v>
      </c>
      <c r="BX320" s="2" t="s">
        <v>1588</v>
      </c>
      <c r="BY320" s="2" t="s">
        <v>109</v>
      </c>
      <c r="BZ320" s="2" t="s">
        <v>98</v>
      </c>
    </row>
    <row r="321">
      <c r="A321" s="2" t="s">
        <v>1589</v>
      </c>
      <c r="B321" s="2" t="s">
        <v>996</v>
      </c>
      <c r="C321" s="2" t="s">
        <v>88</v>
      </c>
      <c r="D321" s="2" t="s">
        <v>1552</v>
      </c>
      <c r="E321" s="2" t="s">
        <v>1590</v>
      </c>
      <c r="F321" s="2" t="s">
        <v>1570</v>
      </c>
      <c r="G321" s="2" t="s">
        <v>1570</v>
      </c>
      <c r="H321" s="2" t="s">
        <v>1570</v>
      </c>
      <c r="I321" s="2" t="s">
        <v>1591</v>
      </c>
      <c r="J321" s="2" t="s">
        <v>661</v>
      </c>
      <c r="K321" s="2" t="s">
        <v>1572</v>
      </c>
      <c r="L321" s="3">
        <v>225</v>
      </c>
      <c r="M321" s="3">
        <v>236.25</v>
      </c>
      <c r="N321" s="3">
        <v>459</v>
      </c>
      <c r="O321" s="2" t="s">
        <v>95</v>
      </c>
      <c r="P321" s="2" t="s">
        <v>177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590</v>
      </c>
      <c r="V321" s="2" t="s">
        <v>369</v>
      </c>
      <c r="W321" s="2" t="s">
        <v>242</v>
      </c>
      <c r="X321" s="2" t="s">
        <v>98</v>
      </c>
      <c r="Y321" s="2" t="s">
        <v>1568</v>
      </c>
      <c r="Z321" s="4">
        <v>93</v>
      </c>
      <c r="AA321" s="4">
        <f>=ROUNDDOWN({0},0)</f>
      </c>
      <c r="AB321" s="5"/>
      <c r="AC321" s="2" t="s">
        <v>98</v>
      </c>
      <c r="AD321" s="4"/>
      <c r="AE321" s="4"/>
      <c r="AF321" s="6">
        <v>76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98</v>
      </c>
      <c r="BM321" s="7"/>
      <c r="BN321" s="7"/>
      <c r="BO321" s="4"/>
      <c r="BP321" s="8"/>
      <c r="BQ321" s="4"/>
      <c r="BR321" s="8"/>
      <c r="BS321" s="7"/>
      <c r="BT321" s="7"/>
      <c r="BU321" s="2" t="s">
        <v>832</v>
      </c>
      <c r="BV321" s="2" t="s">
        <v>95</v>
      </c>
      <c r="BW321" s="2" t="s">
        <v>98</v>
      </c>
      <c r="BX321" s="2" t="s">
        <v>98</v>
      </c>
      <c r="BY321" s="2" t="s">
        <v>109</v>
      </c>
      <c r="BZ321" s="2" t="s">
        <v>98</v>
      </c>
    </row>
    <row r="322">
      <c r="A322" s="2" t="s">
        <v>1592</v>
      </c>
      <c r="B322" s="2" t="s">
        <v>996</v>
      </c>
      <c r="C322" s="2" t="s">
        <v>88</v>
      </c>
      <c r="D322" s="2" t="s">
        <v>1552</v>
      </c>
      <c r="E322" s="2" t="s">
        <v>1590</v>
      </c>
      <c r="F322" s="2" t="s">
        <v>1593</v>
      </c>
      <c r="G322" s="2" t="s">
        <v>1593</v>
      </c>
      <c r="H322" s="2" t="s">
        <v>1593</v>
      </c>
      <c r="I322" s="2" t="s">
        <v>1594</v>
      </c>
      <c r="J322" s="2" t="s">
        <v>1595</v>
      </c>
      <c r="K322" s="2" t="s">
        <v>737</v>
      </c>
      <c r="L322" s="3">
        <v>237.5</v>
      </c>
      <c r="M322" s="3">
        <v>249.38</v>
      </c>
      <c r="N322" s="3">
        <v>499</v>
      </c>
      <c r="O322" s="2" t="s">
        <v>95</v>
      </c>
      <c r="P322" s="2" t="s">
        <v>96</v>
      </c>
      <c r="Q322" s="2" t="s">
        <v>97</v>
      </c>
      <c r="R322" s="2" t="s">
        <v>98</v>
      </c>
      <c r="S322" s="2" t="s">
        <v>1596</v>
      </c>
      <c r="T322" s="2" t="s">
        <v>98</v>
      </c>
      <c r="U322" s="2" t="s">
        <v>590</v>
      </c>
      <c r="V322" s="2" t="s">
        <v>208</v>
      </c>
      <c r="W322" s="2" t="s">
        <v>242</v>
      </c>
      <c r="X322" s="2" t="s">
        <v>190</v>
      </c>
      <c r="Y322" s="2" t="s">
        <v>1110</v>
      </c>
      <c r="Z322" s="4">
        <v>313</v>
      </c>
      <c r="AA322" s="4">
        <f>=ROUNDDOWN(22.3571428571429,0)</f>
      </c>
      <c r="AB322" s="5">
        <v>14</v>
      </c>
      <c r="AC322" s="2" t="s">
        <v>1076</v>
      </c>
      <c r="AD322" s="4">
        <v>65</v>
      </c>
      <c r="AE322" s="4">
        <v>90</v>
      </c>
      <c r="AF322" s="6">
        <v>74</v>
      </c>
      <c r="AG322" s="6">
        <v>60</v>
      </c>
      <c r="AH322" s="7">
        <v>1</v>
      </c>
      <c r="AI322" s="4"/>
      <c r="AJ322" s="4">
        <f>=ROUNDDOWN({0},0)</f>
      </c>
      <c r="AK322" s="5"/>
      <c r="AL322" s="2" t="s">
        <v>1152</v>
      </c>
      <c r="AM322" s="4">
        <v>60</v>
      </c>
      <c r="AN322" s="4">
        <v>60</v>
      </c>
      <c r="AO322" s="7"/>
      <c r="AP322" s="4"/>
      <c r="AQ322" s="8"/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/>
      <c r="BJ322" s="4">
        <v>8</v>
      </c>
      <c r="BK322" s="8">
        <v>1750.02</v>
      </c>
      <c r="BL322" s="2" t="s">
        <v>1597</v>
      </c>
      <c r="BM322" s="7"/>
      <c r="BN322" s="7"/>
      <c r="BO322" s="4"/>
      <c r="BP322" s="8"/>
      <c r="BQ322" s="4"/>
      <c r="BR322" s="8"/>
      <c r="BS322" s="7"/>
      <c r="BT322" s="7"/>
      <c r="BU322" s="2" t="s">
        <v>106</v>
      </c>
      <c r="BV322" s="2" t="s">
        <v>95</v>
      </c>
      <c r="BW322" s="2" t="s">
        <v>168</v>
      </c>
      <c r="BX322" s="2" t="s">
        <v>1079</v>
      </c>
      <c r="BY322" s="2" t="s">
        <v>109</v>
      </c>
      <c r="BZ322" s="2" t="s">
        <v>98</v>
      </c>
    </row>
    <row r="323">
      <c r="A323" s="2" t="s">
        <v>1598</v>
      </c>
      <c r="B323" s="2" t="s">
        <v>996</v>
      </c>
      <c r="C323" s="2" t="s">
        <v>88</v>
      </c>
      <c r="D323" s="2" t="s">
        <v>1552</v>
      </c>
      <c r="E323" s="2" t="s">
        <v>1590</v>
      </c>
      <c r="F323" s="2" t="s">
        <v>1593</v>
      </c>
      <c r="G323" s="2" t="s">
        <v>1593</v>
      </c>
      <c r="H323" s="2" t="s">
        <v>1593</v>
      </c>
      <c r="I323" s="2" t="s">
        <v>1599</v>
      </c>
      <c r="J323" s="2" t="s">
        <v>1600</v>
      </c>
      <c r="K323" s="2" t="s">
        <v>737</v>
      </c>
      <c r="L323" s="3">
        <v>218.5</v>
      </c>
      <c r="M323" s="3">
        <v>229.42</v>
      </c>
      <c r="N323" s="3">
        <v>459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590</v>
      </c>
      <c r="V323" s="2" t="s">
        <v>369</v>
      </c>
      <c r="W323" s="2" t="s">
        <v>242</v>
      </c>
      <c r="X323" s="2" t="s">
        <v>190</v>
      </c>
      <c r="Y323" s="2" t="s">
        <v>1247</v>
      </c>
      <c r="Z323" s="4">
        <v>369</v>
      </c>
      <c r="AA323" s="4">
        <f>=ROUNDDOWN(46.125,0)</f>
      </c>
      <c r="AB323" s="5">
        <v>8</v>
      </c>
      <c r="AC323" s="2" t="s">
        <v>98</v>
      </c>
      <c r="AD323" s="4"/>
      <c r="AE323" s="4"/>
      <c r="AF323" s="6">
        <v>74</v>
      </c>
      <c r="AG323" s="6">
        <v>60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3</v>
      </c>
      <c r="BK323" s="8">
        <v>615.78</v>
      </c>
      <c r="BL323" s="2" t="s">
        <v>790</v>
      </c>
      <c r="BM323" s="7"/>
      <c r="BN323" s="7"/>
      <c r="BO323" s="4"/>
      <c r="BP323" s="8"/>
      <c r="BQ323" s="4"/>
      <c r="BR323" s="8"/>
      <c r="BS323" s="7"/>
      <c r="BT323" s="7"/>
      <c r="BU323" s="2" t="s">
        <v>106</v>
      </c>
      <c r="BV323" s="2" t="s">
        <v>95</v>
      </c>
      <c r="BW323" s="2" t="s">
        <v>682</v>
      </c>
      <c r="BX323" s="2" t="s">
        <v>1601</v>
      </c>
      <c r="BY323" s="2" t="s">
        <v>109</v>
      </c>
      <c r="BZ323" s="2" t="s">
        <v>98</v>
      </c>
    </row>
    <row r="324">
      <c r="A324" s="2" t="s">
        <v>1602</v>
      </c>
      <c r="B324" s="2" t="s">
        <v>996</v>
      </c>
      <c r="C324" s="2" t="s">
        <v>88</v>
      </c>
      <c r="D324" s="2" t="s">
        <v>1552</v>
      </c>
      <c r="E324" s="2" t="s">
        <v>1590</v>
      </c>
      <c r="F324" s="2" t="s">
        <v>1593</v>
      </c>
      <c r="G324" s="2" t="s">
        <v>1593</v>
      </c>
      <c r="H324" s="2" t="s">
        <v>1593</v>
      </c>
      <c r="I324" s="2" t="s">
        <v>1594</v>
      </c>
      <c r="J324" s="2" t="s">
        <v>1595</v>
      </c>
      <c r="K324" s="2" t="s">
        <v>367</v>
      </c>
      <c r="L324" s="3">
        <v>237.5</v>
      </c>
      <c r="M324" s="3">
        <v>249.38</v>
      </c>
      <c r="N324" s="3">
        <v>499</v>
      </c>
      <c r="O324" s="2" t="s">
        <v>95</v>
      </c>
      <c r="P324" s="2" t="s">
        <v>96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590</v>
      </c>
      <c r="V324" s="2" t="s">
        <v>369</v>
      </c>
      <c r="W324" s="2" t="s">
        <v>242</v>
      </c>
      <c r="X324" s="2" t="s">
        <v>190</v>
      </c>
      <c r="Y324" s="2" t="s">
        <v>1603</v>
      </c>
      <c r="Z324" s="4">
        <v>466</v>
      </c>
      <c r="AA324" s="4">
        <f>=ROUNDDOWN(24.5263157894737,0)</f>
      </c>
      <c r="AB324" s="5">
        <v>19</v>
      </c>
      <c r="AC324" s="2" t="s">
        <v>178</v>
      </c>
      <c r="AD324" s="4">
        <v>80</v>
      </c>
      <c r="AE324" s="4">
        <v>80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1152</v>
      </c>
      <c r="AM324" s="4">
        <v>80</v>
      </c>
      <c r="AN324" s="4">
        <v>80</v>
      </c>
      <c r="AO324" s="7"/>
      <c r="AP324" s="4"/>
      <c r="AQ324" s="8"/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/>
      <c r="BJ324" s="4">
        <v>7</v>
      </c>
      <c r="BK324" s="8">
        <v>1741.44</v>
      </c>
      <c r="BL324" s="2" t="s">
        <v>1422</v>
      </c>
      <c r="BM324" s="7"/>
      <c r="BN324" s="7"/>
      <c r="BO324" s="4"/>
      <c r="BP324" s="8"/>
      <c r="BQ324" s="4"/>
      <c r="BR324" s="8"/>
      <c r="BS324" s="7"/>
      <c r="BT324" s="7"/>
      <c r="BU324" s="2" t="s">
        <v>106</v>
      </c>
      <c r="BV324" s="2" t="s">
        <v>95</v>
      </c>
      <c r="BW324" s="2" t="s">
        <v>1604</v>
      </c>
      <c r="BX324" s="2" t="s">
        <v>917</v>
      </c>
      <c r="BY324" s="2" t="s">
        <v>109</v>
      </c>
      <c r="BZ324" s="2" t="s">
        <v>98</v>
      </c>
    </row>
    <row r="325">
      <c r="A325" s="2" t="s">
        <v>1605</v>
      </c>
      <c r="B325" s="2" t="s">
        <v>996</v>
      </c>
      <c r="C325" s="2" t="s">
        <v>88</v>
      </c>
      <c r="D325" s="2" t="s">
        <v>1552</v>
      </c>
      <c r="E325" s="2" t="s">
        <v>1590</v>
      </c>
      <c r="F325" s="2" t="s">
        <v>1593</v>
      </c>
      <c r="G325" s="2" t="s">
        <v>1593</v>
      </c>
      <c r="H325" s="2" t="s">
        <v>1593</v>
      </c>
      <c r="I325" s="2" t="s">
        <v>1599</v>
      </c>
      <c r="J325" s="2" t="s">
        <v>1600</v>
      </c>
      <c r="K325" s="2" t="s">
        <v>367</v>
      </c>
      <c r="L325" s="3">
        <v>218.5</v>
      </c>
      <c r="M325" s="3">
        <v>229.42</v>
      </c>
      <c r="N325" s="3">
        <v>459</v>
      </c>
      <c r="O325" s="2" t="s">
        <v>95</v>
      </c>
      <c r="P325" s="2" t="s">
        <v>140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590</v>
      </c>
      <c r="V325" s="2" t="s">
        <v>369</v>
      </c>
      <c r="W325" s="2" t="s">
        <v>242</v>
      </c>
      <c r="X325" s="2" t="s">
        <v>190</v>
      </c>
      <c r="Y325" s="2" t="s">
        <v>347</v>
      </c>
      <c r="Z325" s="4">
        <v>371</v>
      </c>
      <c r="AA325" s="4">
        <f>=ROUNDDOWN(65.0877192982456,0)</f>
      </c>
      <c r="AB325" s="5">
        <v>5.7</v>
      </c>
      <c r="AC325" s="2" t="s">
        <v>98</v>
      </c>
      <c r="AD325" s="4"/>
      <c r="AE325" s="4"/>
      <c r="AF325" s="6">
        <v>74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4</v>
      </c>
      <c r="BK325" s="8">
        <v>895.74</v>
      </c>
      <c r="BL325" s="2" t="s">
        <v>989</v>
      </c>
      <c r="BM325" s="7"/>
      <c r="BN325" s="7"/>
      <c r="BO325" s="4"/>
      <c r="BP325" s="8"/>
      <c r="BQ325" s="4"/>
      <c r="BR325" s="8"/>
      <c r="BS325" s="7"/>
      <c r="BT325" s="7"/>
      <c r="BU325" s="2" t="s">
        <v>832</v>
      </c>
      <c r="BV325" s="2" t="s">
        <v>95</v>
      </c>
      <c r="BW325" s="2" t="s">
        <v>98</v>
      </c>
      <c r="BX325" s="2" t="s">
        <v>98</v>
      </c>
      <c r="BY325" s="2" t="s">
        <v>109</v>
      </c>
      <c r="BZ325" s="2" t="s">
        <v>98</v>
      </c>
    </row>
    <row r="326">
      <c r="A326" s="2" t="s">
        <v>1606</v>
      </c>
      <c r="B326" s="2" t="s">
        <v>996</v>
      </c>
      <c r="C326" s="2" t="s">
        <v>88</v>
      </c>
      <c r="D326" s="2" t="s">
        <v>1607</v>
      </c>
      <c r="E326" s="2" t="s">
        <v>1608</v>
      </c>
      <c r="F326" s="2" t="s">
        <v>1609</v>
      </c>
      <c r="G326" s="2" t="s">
        <v>1609</v>
      </c>
      <c r="H326" s="2" t="s">
        <v>1609</v>
      </c>
      <c r="I326" s="2" t="s">
        <v>1610</v>
      </c>
      <c r="J326" s="2" t="s">
        <v>1221</v>
      </c>
      <c r="K326" s="2" t="s">
        <v>1611</v>
      </c>
      <c r="L326" s="3">
        <v>157.5</v>
      </c>
      <c r="M326" s="3">
        <v>165.38</v>
      </c>
      <c r="N326" s="3">
        <v>329</v>
      </c>
      <c r="O326" s="2" t="s">
        <v>95</v>
      </c>
      <c r="P326" s="2" t="s">
        <v>714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590</v>
      </c>
      <c r="V326" s="2" t="s">
        <v>369</v>
      </c>
      <c r="W326" s="2" t="s">
        <v>242</v>
      </c>
      <c r="X326" s="2" t="s">
        <v>190</v>
      </c>
      <c r="Y326" s="2" t="s">
        <v>1612</v>
      </c>
      <c r="Z326" s="4">
        <v>158</v>
      </c>
      <c r="AA326" s="4">
        <f>=ROUNDDOWN(79,0)</f>
      </c>
      <c r="AB326" s="5">
        <v>2</v>
      </c>
      <c r="AC326" s="2" t="s">
        <v>98</v>
      </c>
      <c r="AD326" s="4"/>
      <c r="AE326" s="4"/>
      <c r="AF326" s="6">
        <v>76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>
        <v>7</v>
      </c>
      <c r="BK326" s="8">
        <v>1157.59</v>
      </c>
      <c r="BL326" s="2" t="s">
        <v>525</v>
      </c>
      <c r="BM326" s="7"/>
      <c r="BN326" s="7"/>
      <c r="BO326" s="4"/>
      <c r="BP326" s="8"/>
      <c r="BQ326" s="4"/>
      <c r="BR326" s="8"/>
      <c r="BS326" s="7"/>
      <c r="BT326" s="7"/>
      <c r="BU326" s="2" t="s">
        <v>106</v>
      </c>
      <c r="BV326" s="2" t="s">
        <v>95</v>
      </c>
      <c r="BW326" s="2" t="s">
        <v>1020</v>
      </c>
      <c r="BX326" s="2" t="s">
        <v>98</v>
      </c>
      <c r="BY326" s="2" t="s">
        <v>109</v>
      </c>
      <c r="BZ326" s="2" t="s">
        <v>98</v>
      </c>
    </row>
    <row r="327">
      <c r="A327" s="2" t="s">
        <v>1613</v>
      </c>
      <c r="B327" s="2" t="s">
        <v>996</v>
      </c>
      <c r="C327" s="2" t="s">
        <v>88</v>
      </c>
      <c r="D327" s="2" t="s">
        <v>1607</v>
      </c>
      <c r="E327" s="2" t="s">
        <v>1608</v>
      </c>
      <c r="F327" s="2" t="s">
        <v>1609</v>
      </c>
      <c r="G327" s="2" t="s">
        <v>1609</v>
      </c>
      <c r="H327" s="2" t="s">
        <v>1609</v>
      </c>
      <c r="I327" s="2" t="s">
        <v>1614</v>
      </c>
      <c r="J327" s="2" t="s">
        <v>1615</v>
      </c>
      <c r="K327" s="2" t="s">
        <v>1611</v>
      </c>
      <c r="L327" s="3">
        <v>166.5</v>
      </c>
      <c r="M327" s="3">
        <v>174.83</v>
      </c>
      <c r="N327" s="3">
        <v>349</v>
      </c>
      <c r="O327" s="2" t="s">
        <v>95</v>
      </c>
      <c r="P327" s="2" t="s">
        <v>714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590</v>
      </c>
      <c r="V327" s="2" t="s">
        <v>369</v>
      </c>
      <c r="W327" s="2" t="s">
        <v>242</v>
      </c>
      <c r="X327" s="2" t="s">
        <v>190</v>
      </c>
      <c r="Y327" s="2" t="s">
        <v>1612</v>
      </c>
      <c r="Z327" s="4">
        <v>40</v>
      </c>
      <c r="AA327" s="4">
        <f>=ROUNDDOWN(20,0)</f>
      </c>
      <c r="AB327" s="5">
        <v>2</v>
      </c>
      <c r="AC327" s="2" t="s">
        <v>98</v>
      </c>
      <c r="AD327" s="4"/>
      <c r="AE327" s="4"/>
      <c r="AF327" s="6">
        <v>76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7</v>
      </c>
      <c r="BK327" s="8">
        <v>1223.81</v>
      </c>
      <c r="BL327" s="2" t="s">
        <v>525</v>
      </c>
      <c r="BM327" s="7"/>
      <c r="BN327" s="7"/>
      <c r="BO327" s="4"/>
      <c r="BP327" s="8"/>
      <c r="BQ327" s="4"/>
      <c r="BR327" s="8"/>
      <c r="BS327" s="7"/>
      <c r="BT327" s="7"/>
      <c r="BU327" s="2" t="s">
        <v>106</v>
      </c>
      <c r="BV327" s="2" t="s">
        <v>95</v>
      </c>
      <c r="BW327" s="2" t="s">
        <v>1020</v>
      </c>
      <c r="BX327" s="2" t="s">
        <v>98</v>
      </c>
      <c r="BY327" s="2" t="s">
        <v>109</v>
      </c>
      <c r="BZ327" s="2" t="s">
        <v>98</v>
      </c>
    </row>
    <row r="328">
      <c r="A328" s="2" t="s">
        <v>1616</v>
      </c>
      <c r="B328" s="2" t="s">
        <v>996</v>
      </c>
      <c r="C328" s="2" t="s">
        <v>88</v>
      </c>
      <c r="D328" s="2" t="s">
        <v>1607</v>
      </c>
      <c r="E328" s="2" t="s">
        <v>1608</v>
      </c>
      <c r="F328" s="2" t="s">
        <v>1609</v>
      </c>
      <c r="G328" s="2" t="s">
        <v>1609</v>
      </c>
      <c r="H328" s="2" t="s">
        <v>1609</v>
      </c>
      <c r="I328" s="2" t="s">
        <v>1617</v>
      </c>
      <c r="J328" s="2" t="s">
        <v>1618</v>
      </c>
      <c r="K328" s="2" t="s">
        <v>1611</v>
      </c>
      <c r="L328" s="3">
        <v>118.8</v>
      </c>
      <c r="M328" s="3">
        <v>124.74</v>
      </c>
      <c r="N328" s="3">
        <v>249</v>
      </c>
      <c r="O328" s="2" t="s">
        <v>95</v>
      </c>
      <c r="P328" s="2" t="s">
        <v>714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590</v>
      </c>
      <c r="V328" s="2" t="s">
        <v>369</v>
      </c>
      <c r="W328" s="2" t="s">
        <v>242</v>
      </c>
      <c r="X328" s="2" t="s">
        <v>190</v>
      </c>
      <c r="Y328" s="2" t="s">
        <v>1612</v>
      </c>
      <c r="Z328" s="4">
        <v>26</v>
      </c>
      <c r="AA328" s="4">
        <f>=ROUNDDOWN(65,0)</f>
      </c>
      <c r="AB328" s="5">
        <v>0.4</v>
      </c>
      <c r="AC328" s="2" t="s">
        <v>98</v>
      </c>
      <c r="AD328" s="4"/>
      <c r="AE328" s="4"/>
      <c r="AF328" s="6">
        <v>76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>
        <v>2</v>
      </c>
      <c r="BK328" s="8">
        <v>249.48</v>
      </c>
      <c r="BL328" s="2" t="s">
        <v>525</v>
      </c>
      <c r="BM328" s="7"/>
      <c r="BN328" s="7"/>
      <c r="BO328" s="4"/>
      <c r="BP328" s="8"/>
      <c r="BQ328" s="4"/>
      <c r="BR328" s="8"/>
      <c r="BS328" s="7"/>
      <c r="BT328" s="7"/>
      <c r="BU328" s="2" t="s">
        <v>106</v>
      </c>
      <c r="BV328" s="2" t="s">
        <v>95</v>
      </c>
      <c r="BW328" s="2" t="s">
        <v>1020</v>
      </c>
      <c r="BX328" s="2" t="s">
        <v>98</v>
      </c>
      <c r="BY328" s="2" t="s">
        <v>109</v>
      </c>
      <c r="BZ328" s="2" t="s">
        <v>98</v>
      </c>
    </row>
    <row r="329">
      <c r="A329" s="2" t="s">
        <v>1619</v>
      </c>
      <c r="B329" s="2" t="s">
        <v>996</v>
      </c>
      <c r="C329" s="2" t="s">
        <v>88</v>
      </c>
      <c r="D329" s="2" t="s">
        <v>1607</v>
      </c>
      <c r="E329" s="2" t="s">
        <v>1608</v>
      </c>
      <c r="F329" s="2" t="s">
        <v>1609</v>
      </c>
      <c r="G329" s="2" t="s">
        <v>1609</v>
      </c>
      <c r="H329" s="2" t="s">
        <v>1609</v>
      </c>
      <c r="I329" s="2" t="s">
        <v>1610</v>
      </c>
      <c r="J329" s="2" t="s">
        <v>1221</v>
      </c>
      <c r="K329" s="2" t="s">
        <v>1620</v>
      </c>
      <c r="L329" s="3">
        <v>157.5</v>
      </c>
      <c r="M329" s="3">
        <v>165.38</v>
      </c>
      <c r="N329" s="3">
        <v>329</v>
      </c>
      <c r="O329" s="2" t="s">
        <v>95</v>
      </c>
      <c r="P329" s="2" t="s">
        <v>714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590</v>
      </c>
      <c r="V329" s="2" t="s">
        <v>369</v>
      </c>
      <c r="W329" s="2" t="s">
        <v>242</v>
      </c>
      <c r="X329" s="2" t="s">
        <v>190</v>
      </c>
      <c r="Y329" s="2" t="s">
        <v>1621</v>
      </c>
      <c r="Z329" s="4">
        <v>94</v>
      </c>
      <c r="AA329" s="4">
        <f>=ROUNDDOWN(104.444444444444,0)</f>
      </c>
      <c r="AB329" s="5">
        <v>0.9</v>
      </c>
      <c r="AC329" s="2" t="s">
        <v>98</v>
      </c>
      <c r="AD329" s="4"/>
      <c r="AE329" s="4"/>
      <c r="AF329" s="6">
        <v>76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/>
      <c r="BK329" s="8"/>
      <c r="BL329" s="2" t="s">
        <v>98</v>
      </c>
      <c r="BM329" s="7"/>
      <c r="BN329" s="7"/>
      <c r="BO329" s="4"/>
      <c r="BP329" s="8"/>
      <c r="BQ329" s="4"/>
      <c r="BR329" s="8"/>
      <c r="BS329" s="7"/>
      <c r="BT329" s="7"/>
      <c r="BU329" s="2" t="s">
        <v>106</v>
      </c>
      <c r="BV329" s="2" t="s">
        <v>95</v>
      </c>
      <c r="BW329" s="2" t="s">
        <v>682</v>
      </c>
      <c r="BX329" s="2" t="s">
        <v>98</v>
      </c>
      <c r="BY329" s="2" t="s">
        <v>109</v>
      </c>
      <c r="BZ329" s="2" t="s">
        <v>98</v>
      </c>
    </row>
    <row r="330">
      <c r="A330" s="2" t="s">
        <v>1622</v>
      </c>
      <c r="B330" s="2" t="s">
        <v>996</v>
      </c>
      <c r="C330" s="2" t="s">
        <v>88</v>
      </c>
      <c r="D330" s="2" t="s">
        <v>1607</v>
      </c>
      <c r="E330" s="2" t="s">
        <v>1608</v>
      </c>
      <c r="F330" s="2" t="s">
        <v>1609</v>
      </c>
      <c r="G330" s="2" t="s">
        <v>1609</v>
      </c>
      <c r="H330" s="2" t="s">
        <v>1609</v>
      </c>
      <c r="I330" s="2" t="s">
        <v>1614</v>
      </c>
      <c r="J330" s="2" t="s">
        <v>1615</v>
      </c>
      <c r="K330" s="2" t="s">
        <v>1620</v>
      </c>
      <c r="L330" s="3">
        <v>166.5</v>
      </c>
      <c r="M330" s="3">
        <v>174.82</v>
      </c>
      <c r="N330" s="3">
        <v>349</v>
      </c>
      <c r="O330" s="2" t="s">
        <v>95</v>
      </c>
      <c r="P330" s="2" t="s">
        <v>714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590</v>
      </c>
      <c r="V330" s="2" t="s">
        <v>369</v>
      </c>
      <c r="W330" s="2" t="s">
        <v>242</v>
      </c>
      <c r="X330" s="2" t="s">
        <v>190</v>
      </c>
      <c r="Y330" s="2" t="s">
        <v>1621</v>
      </c>
      <c r="Z330" s="4">
        <v>63</v>
      </c>
      <c r="AA330" s="4">
        <f>=ROUNDDOWN(126,0)</f>
      </c>
      <c r="AB330" s="5">
        <v>0.5</v>
      </c>
      <c r="AC330" s="2" t="s">
        <v>98</v>
      </c>
      <c r="AD330" s="4"/>
      <c r="AE330" s="4"/>
      <c r="AF330" s="6">
        <v>76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/>
      <c r="BK330" s="8"/>
      <c r="BL330" s="2" t="s">
        <v>98</v>
      </c>
      <c r="BM330" s="7"/>
      <c r="BN330" s="7"/>
      <c r="BO330" s="4"/>
      <c r="BP330" s="8"/>
      <c r="BQ330" s="4"/>
      <c r="BR330" s="8"/>
      <c r="BS330" s="7"/>
      <c r="BT330" s="7"/>
      <c r="BU330" s="2" t="s">
        <v>106</v>
      </c>
      <c r="BV330" s="2" t="s">
        <v>95</v>
      </c>
      <c r="BW330" s="2" t="s">
        <v>682</v>
      </c>
      <c r="BX330" s="2" t="s">
        <v>1623</v>
      </c>
      <c r="BY330" s="2" t="s">
        <v>109</v>
      </c>
      <c r="BZ330" s="2" t="s">
        <v>98</v>
      </c>
    </row>
    <row r="331">
      <c r="A331" s="2" t="s">
        <v>1624</v>
      </c>
      <c r="B331" s="2" t="s">
        <v>996</v>
      </c>
      <c r="C331" s="2" t="s">
        <v>88</v>
      </c>
      <c r="D331" s="2" t="s">
        <v>1607</v>
      </c>
      <c r="E331" s="2" t="s">
        <v>1608</v>
      </c>
      <c r="F331" s="2" t="s">
        <v>1609</v>
      </c>
      <c r="G331" s="2" t="s">
        <v>1609</v>
      </c>
      <c r="H331" s="2" t="s">
        <v>1609</v>
      </c>
      <c r="I331" s="2" t="s">
        <v>1617</v>
      </c>
      <c r="J331" s="2" t="s">
        <v>1618</v>
      </c>
      <c r="K331" s="2" t="s">
        <v>1620</v>
      </c>
      <c r="L331" s="3">
        <v>118.8</v>
      </c>
      <c r="M331" s="3">
        <v>124.74</v>
      </c>
      <c r="N331" s="3">
        <v>249</v>
      </c>
      <c r="O331" s="2" t="s">
        <v>95</v>
      </c>
      <c r="P331" s="2" t="s">
        <v>714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590</v>
      </c>
      <c r="V331" s="2" t="s">
        <v>369</v>
      </c>
      <c r="W331" s="2" t="s">
        <v>242</v>
      </c>
      <c r="X331" s="2" t="s">
        <v>190</v>
      </c>
      <c r="Y331" s="2" t="s">
        <v>1621</v>
      </c>
      <c r="Z331" s="4">
        <v>30</v>
      </c>
      <c r="AA331" s="4">
        <f>=ROUNDDOWN(30,0)</f>
      </c>
      <c r="AB331" s="5">
        <v>1</v>
      </c>
      <c r="AC331" s="2" t="s">
        <v>1625</v>
      </c>
      <c r="AD331" s="4">
        <v>49</v>
      </c>
      <c r="AE331" s="4">
        <v>49</v>
      </c>
      <c r="AF331" s="6">
        <v>76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/>
      <c r="BK331" s="8"/>
      <c r="BL331" s="2" t="s">
        <v>98</v>
      </c>
      <c r="BM331" s="7"/>
      <c r="BN331" s="7"/>
      <c r="BO331" s="4"/>
      <c r="BP331" s="8"/>
      <c r="BQ331" s="4"/>
      <c r="BR331" s="8"/>
      <c r="BS331" s="7"/>
      <c r="BT331" s="7"/>
      <c r="BU331" s="2" t="s">
        <v>106</v>
      </c>
      <c r="BV331" s="2" t="s">
        <v>95</v>
      </c>
      <c r="BW331" s="2" t="s">
        <v>682</v>
      </c>
      <c r="BX331" s="2" t="s">
        <v>1626</v>
      </c>
      <c r="BY331" s="2" t="s">
        <v>109</v>
      </c>
      <c r="BZ331" s="2" t="s">
        <v>98</v>
      </c>
    </row>
    <row r="332">
      <c r="A332" s="2" t="s">
        <v>1627</v>
      </c>
      <c r="B332" s="2" t="s">
        <v>1628</v>
      </c>
      <c r="C332" s="2" t="s">
        <v>88</v>
      </c>
      <c r="D332" s="2" t="s">
        <v>1629</v>
      </c>
      <c r="E332" s="2" t="s">
        <v>1630</v>
      </c>
      <c r="F332" s="2" t="s">
        <v>1631</v>
      </c>
      <c r="G332" s="2" t="s">
        <v>1631</v>
      </c>
      <c r="H332" s="2" t="s">
        <v>1631</v>
      </c>
      <c r="I332" s="2" t="s">
        <v>1632</v>
      </c>
      <c r="J332" s="2" t="s">
        <v>661</v>
      </c>
      <c r="K332" s="2" t="s">
        <v>1633</v>
      </c>
      <c r="L332" s="3">
        <v>113.85</v>
      </c>
      <c r="M332" s="3">
        <v>119.54</v>
      </c>
      <c r="N332" s="3">
        <v>249.99</v>
      </c>
      <c r="O332" s="2" t="s">
        <v>95</v>
      </c>
      <c r="P332" s="2" t="s">
        <v>153</v>
      </c>
      <c r="Q332" s="2" t="s">
        <v>97</v>
      </c>
      <c r="R332" s="2" t="s">
        <v>98</v>
      </c>
      <c r="S332" s="2" t="s">
        <v>1634</v>
      </c>
      <c r="T332" s="2" t="s">
        <v>98</v>
      </c>
      <c r="U332" s="2" t="s">
        <v>98</v>
      </c>
      <c r="V332" s="2" t="s">
        <v>208</v>
      </c>
      <c r="W332" s="2" t="s">
        <v>377</v>
      </c>
      <c r="X332" s="2" t="s">
        <v>98</v>
      </c>
      <c r="Y332" s="2" t="s">
        <v>1635</v>
      </c>
      <c r="Z332" s="4">
        <v>234</v>
      </c>
      <c r="AA332" s="4">
        <f>=ROUNDDOWN(34.4117647058824,0)</f>
      </c>
      <c r="AB332" s="5">
        <v>6.8</v>
      </c>
      <c r="AC332" s="2" t="s">
        <v>98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/>
      <c r="AP332" s="4">
        <v>1</v>
      </c>
      <c r="AQ332" s="8">
        <v>144.19</v>
      </c>
      <c r="AR332" s="4"/>
      <c r="AS332" s="8"/>
      <c r="AT332" s="7"/>
      <c r="AU332" s="7"/>
      <c r="AV332" s="4">
        <v>1</v>
      </c>
      <c r="AW332" s="8">
        <v>144.19</v>
      </c>
      <c r="AX332" s="4"/>
      <c r="AY332" s="8"/>
      <c r="AZ332" s="7"/>
      <c r="BA332" s="7"/>
      <c r="BB332" s="7">
        <v>1</v>
      </c>
      <c r="BC332" s="4">
        <v>1</v>
      </c>
      <c r="BD332" s="8">
        <v>144.19</v>
      </c>
      <c r="BE332" s="4"/>
      <c r="BF332" s="8"/>
      <c r="BG332" s="7"/>
      <c r="BH332" s="7"/>
      <c r="BI332" s="7">
        <v>1</v>
      </c>
      <c r="BJ332" s="4">
        <v>7</v>
      </c>
      <c r="BK332" s="8">
        <v>1008.19</v>
      </c>
      <c r="BL332" s="2" t="s">
        <v>290</v>
      </c>
      <c r="BM332" s="7">
        <v>0.1429</v>
      </c>
      <c r="BN332" s="7">
        <v>0.143</v>
      </c>
      <c r="BO332" s="4">
        <v>1</v>
      </c>
      <c r="BP332" s="8">
        <v>144.19</v>
      </c>
      <c r="BQ332" s="4"/>
      <c r="BR332" s="8"/>
      <c r="BS332" s="7"/>
      <c r="BT332" s="7"/>
      <c r="BU332" s="2" t="s">
        <v>106</v>
      </c>
      <c r="BV332" s="2" t="s">
        <v>95</v>
      </c>
      <c r="BW332" s="2" t="s">
        <v>1636</v>
      </c>
      <c r="BX332" s="2" t="s">
        <v>1637</v>
      </c>
      <c r="BY332" s="2" t="s">
        <v>109</v>
      </c>
      <c r="BZ332" s="2" t="s">
        <v>98</v>
      </c>
    </row>
    <row r="333">
      <c r="A333" s="2" t="s">
        <v>1638</v>
      </c>
      <c r="B333" s="2" t="s">
        <v>1628</v>
      </c>
      <c r="C333" s="2" t="s">
        <v>88</v>
      </c>
      <c r="D333" s="2" t="s">
        <v>1629</v>
      </c>
      <c r="E333" s="2" t="s">
        <v>1630</v>
      </c>
      <c r="F333" s="2" t="s">
        <v>1639</v>
      </c>
      <c r="G333" s="2" t="s">
        <v>1639</v>
      </c>
      <c r="H333" s="2" t="s">
        <v>1639</v>
      </c>
      <c r="I333" s="2" t="s">
        <v>1640</v>
      </c>
      <c r="J333" s="2" t="s">
        <v>661</v>
      </c>
      <c r="K333" s="2" t="s">
        <v>1011</v>
      </c>
      <c r="L333" s="3">
        <v>45.25</v>
      </c>
      <c r="M333" s="3">
        <v>47.51</v>
      </c>
      <c r="N333" s="3">
        <v>99.99</v>
      </c>
      <c r="O333" s="2" t="s">
        <v>95</v>
      </c>
      <c r="P333" s="2" t="s">
        <v>140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590</v>
      </c>
      <c r="V333" s="2" t="s">
        <v>369</v>
      </c>
      <c r="W333" s="2" t="s">
        <v>242</v>
      </c>
      <c r="X333" s="2" t="s">
        <v>98</v>
      </c>
      <c r="Y333" s="2" t="s">
        <v>830</v>
      </c>
      <c r="Z333" s="4">
        <v>80</v>
      </c>
      <c r="AA333" s="4">
        <f>=ROUNDDOWN(21.6216216216216,0)</f>
      </c>
      <c r="AB333" s="5">
        <v>3.7</v>
      </c>
      <c r="AC333" s="2" t="s">
        <v>98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/>
      <c r="AP333" s="4">
        <v>2</v>
      </c>
      <c r="AQ333" s="8">
        <v>113.2</v>
      </c>
      <c r="AR333" s="4"/>
      <c r="AS333" s="8"/>
      <c r="AT333" s="7"/>
      <c r="AU333" s="7"/>
      <c r="AV333" s="4">
        <v>2</v>
      </c>
      <c r="AW333" s="8">
        <v>113.2</v>
      </c>
      <c r="AX333" s="4"/>
      <c r="AY333" s="8"/>
      <c r="AZ333" s="7"/>
      <c r="BA333" s="7"/>
      <c r="BB333" s="7">
        <v>1</v>
      </c>
      <c r="BC333" s="4">
        <v>2</v>
      </c>
      <c r="BD333" s="8">
        <v>113.2</v>
      </c>
      <c r="BE333" s="4"/>
      <c r="BF333" s="8"/>
      <c r="BG333" s="7"/>
      <c r="BH333" s="7"/>
      <c r="BI333" s="7">
        <v>1</v>
      </c>
      <c r="BJ333" s="4">
        <v>3</v>
      </c>
      <c r="BK333" s="8">
        <v>154</v>
      </c>
      <c r="BL333" s="2" t="s">
        <v>454</v>
      </c>
      <c r="BM333" s="7">
        <v>0.6667</v>
      </c>
      <c r="BN333" s="7">
        <v>0.7351</v>
      </c>
      <c r="BO333" s="4">
        <v>2</v>
      </c>
      <c r="BP333" s="8">
        <v>113.2</v>
      </c>
      <c r="BQ333" s="4"/>
      <c r="BR333" s="8"/>
      <c r="BS333" s="7"/>
      <c r="BT333" s="7"/>
      <c r="BU333" s="2" t="s">
        <v>106</v>
      </c>
      <c r="BV333" s="2" t="s">
        <v>95</v>
      </c>
      <c r="BW333" s="2" t="s">
        <v>144</v>
      </c>
      <c r="BX333" s="2" t="s">
        <v>1641</v>
      </c>
      <c r="BY333" s="2" t="s">
        <v>109</v>
      </c>
      <c r="BZ333" s="2" t="s">
        <v>98</v>
      </c>
    </row>
    <row r="334">
      <c r="A334" s="2" t="s">
        <v>1642</v>
      </c>
      <c r="B334" s="2" t="s">
        <v>1628</v>
      </c>
      <c r="C334" s="2" t="s">
        <v>88</v>
      </c>
      <c r="D334" s="2" t="s">
        <v>1629</v>
      </c>
      <c r="E334" s="2" t="s">
        <v>1630</v>
      </c>
      <c r="F334" s="2" t="s">
        <v>1643</v>
      </c>
      <c r="G334" s="2" t="s">
        <v>1643</v>
      </c>
      <c r="H334" s="2" t="s">
        <v>1643</v>
      </c>
      <c r="I334" s="2" t="s">
        <v>1644</v>
      </c>
      <c r="J334" s="2" t="s">
        <v>661</v>
      </c>
      <c r="K334" s="2" t="s">
        <v>1645</v>
      </c>
      <c r="L334" s="3">
        <v>38.7</v>
      </c>
      <c r="M334" s="3">
        <v>40.64</v>
      </c>
      <c r="N334" s="3">
        <v>89.99</v>
      </c>
      <c r="O334" s="2" t="s">
        <v>95</v>
      </c>
      <c r="P334" s="2" t="s">
        <v>140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590</v>
      </c>
      <c r="V334" s="2" t="s">
        <v>369</v>
      </c>
      <c r="W334" s="2" t="s">
        <v>384</v>
      </c>
      <c r="X334" s="2" t="s">
        <v>98</v>
      </c>
      <c r="Y334" s="2" t="s">
        <v>1646</v>
      </c>
      <c r="Z334" s="4">
        <v>39</v>
      </c>
      <c r="AA334" s="4">
        <f>=ROUNDDOWN(7.64705882352941,0)</f>
      </c>
      <c r="AB334" s="5">
        <v>5.1</v>
      </c>
      <c r="AC334" s="2" t="s">
        <v>342</v>
      </c>
      <c r="AD334" s="4">
        <v>100</v>
      </c>
      <c r="AE334" s="4">
        <v>100</v>
      </c>
      <c r="AF334" s="6">
        <v>63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/>
      <c r="AP334" s="4">
        <v>2</v>
      </c>
      <c r="AQ334" s="8">
        <v>101.14</v>
      </c>
      <c r="AR334" s="4"/>
      <c r="AS334" s="8"/>
      <c r="AT334" s="7"/>
      <c r="AU334" s="7"/>
      <c r="AV334" s="4">
        <v>2</v>
      </c>
      <c r="AW334" s="8">
        <v>101.14</v>
      </c>
      <c r="AX334" s="4"/>
      <c r="AY334" s="8"/>
      <c r="AZ334" s="7"/>
      <c r="BA334" s="7"/>
      <c r="BB334" s="7">
        <v>1</v>
      </c>
      <c r="BC334" s="4">
        <v>2</v>
      </c>
      <c r="BD334" s="8">
        <v>101.14</v>
      </c>
      <c r="BE334" s="4"/>
      <c r="BF334" s="8"/>
      <c r="BG334" s="7"/>
      <c r="BH334" s="7"/>
      <c r="BI334" s="7">
        <v>1</v>
      </c>
      <c r="BJ334" s="4">
        <v>3</v>
      </c>
      <c r="BK334" s="8">
        <v>148.55</v>
      </c>
      <c r="BL334" s="2" t="s">
        <v>1647</v>
      </c>
      <c r="BM334" s="7">
        <v>0.6667</v>
      </c>
      <c r="BN334" s="7">
        <v>0.6808</v>
      </c>
      <c r="BO334" s="4">
        <v>2</v>
      </c>
      <c r="BP334" s="8">
        <v>101.14</v>
      </c>
      <c r="BQ334" s="4"/>
      <c r="BR334" s="8"/>
      <c r="BS334" s="7"/>
      <c r="BT334" s="7"/>
      <c r="BU334" s="2" t="s">
        <v>106</v>
      </c>
      <c r="BV334" s="2" t="s">
        <v>95</v>
      </c>
      <c r="BW334" s="2" t="s">
        <v>697</v>
      </c>
      <c r="BX334" s="2" t="s">
        <v>1648</v>
      </c>
      <c r="BY334" s="2" t="s">
        <v>109</v>
      </c>
      <c r="BZ334" s="2" t="s">
        <v>98</v>
      </c>
    </row>
    <row r="335">
      <c r="A335" s="2" t="s">
        <v>1649</v>
      </c>
      <c r="B335" s="2" t="s">
        <v>1628</v>
      </c>
      <c r="C335" s="2" t="s">
        <v>88</v>
      </c>
      <c r="D335" s="2" t="s">
        <v>1629</v>
      </c>
      <c r="E335" s="2" t="s">
        <v>1630</v>
      </c>
      <c r="F335" s="2" t="s">
        <v>1650</v>
      </c>
      <c r="G335" s="2" t="s">
        <v>1650</v>
      </c>
      <c r="H335" s="2" t="s">
        <v>1650</v>
      </c>
      <c r="I335" s="2" t="s">
        <v>1651</v>
      </c>
      <c r="J335" s="2" t="s">
        <v>661</v>
      </c>
      <c r="K335" s="2" t="s">
        <v>1633</v>
      </c>
      <c r="L335" s="3">
        <v>43.2</v>
      </c>
      <c r="M335" s="3">
        <v>45.36</v>
      </c>
      <c r="N335" s="3">
        <v>99.99</v>
      </c>
      <c r="O335" s="2" t="s">
        <v>95</v>
      </c>
      <c r="P335" s="2" t="s">
        <v>96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590</v>
      </c>
      <c r="V335" s="2" t="s">
        <v>369</v>
      </c>
      <c r="W335" s="2" t="s">
        <v>377</v>
      </c>
      <c r="X335" s="2" t="s">
        <v>98</v>
      </c>
      <c r="Y335" s="2" t="s">
        <v>1646</v>
      </c>
      <c r="Z335" s="4">
        <v>50</v>
      </c>
      <c r="AA335" s="4">
        <f>=ROUNDDOWN(6.25,0)</f>
      </c>
      <c r="AB335" s="5">
        <v>8</v>
      </c>
      <c r="AC335" s="2" t="s">
        <v>342</v>
      </c>
      <c r="AD335" s="4">
        <v>160</v>
      </c>
      <c r="AE335" s="4">
        <v>160</v>
      </c>
      <c r="AF335" s="6">
        <v>63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/>
      <c r="AP335" s="4">
        <v>1</v>
      </c>
      <c r="AQ335" s="8">
        <v>56.45</v>
      </c>
      <c r="AR335" s="4"/>
      <c r="AS335" s="8"/>
      <c r="AT335" s="7"/>
      <c r="AU335" s="7"/>
      <c r="AV335" s="4">
        <v>1</v>
      </c>
      <c r="AW335" s="8">
        <v>56.45</v>
      </c>
      <c r="AX335" s="4"/>
      <c r="AY335" s="8"/>
      <c r="AZ335" s="7"/>
      <c r="BA335" s="7"/>
      <c r="BB335" s="7">
        <v>1</v>
      </c>
      <c r="BC335" s="4">
        <v>1</v>
      </c>
      <c r="BD335" s="8">
        <v>56.45</v>
      </c>
      <c r="BE335" s="4"/>
      <c r="BF335" s="8"/>
      <c r="BG335" s="7"/>
      <c r="BH335" s="7"/>
      <c r="BI335" s="7">
        <v>1</v>
      </c>
      <c r="BJ335" s="4">
        <v>5</v>
      </c>
      <c r="BK335" s="8">
        <v>284.77</v>
      </c>
      <c r="BL335" s="2" t="s">
        <v>1652</v>
      </c>
      <c r="BM335" s="7">
        <v>0.2</v>
      </c>
      <c r="BN335" s="7">
        <v>0.1982</v>
      </c>
      <c r="BO335" s="4">
        <v>1</v>
      </c>
      <c r="BP335" s="8">
        <v>56.45</v>
      </c>
      <c r="BQ335" s="4"/>
      <c r="BR335" s="8"/>
      <c r="BS335" s="7"/>
      <c r="BT335" s="7"/>
      <c r="BU335" s="2" t="s">
        <v>106</v>
      </c>
      <c r="BV335" s="2" t="s">
        <v>95</v>
      </c>
      <c r="BW335" s="2" t="s">
        <v>697</v>
      </c>
      <c r="BX335" s="2" t="s">
        <v>698</v>
      </c>
      <c r="BY335" s="2" t="s">
        <v>109</v>
      </c>
      <c r="BZ335" s="2" t="s">
        <v>98</v>
      </c>
    </row>
    <row r="336">
      <c r="A336" s="2" t="s">
        <v>1653</v>
      </c>
      <c r="B336" s="2" t="s">
        <v>1628</v>
      </c>
      <c r="C336" s="2" t="s">
        <v>88</v>
      </c>
      <c r="D336" s="2" t="s">
        <v>1629</v>
      </c>
      <c r="E336" s="2" t="s">
        <v>1630</v>
      </c>
      <c r="F336" s="2" t="s">
        <v>1654</v>
      </c>
      <c r="G336" s="2" t="s">
        <v>1654</v>
      </c>
      <c r="H336" s="2" t="s">
        <v>1654</v>
      </c>
      <c r="I336" s="2" t="s">
        <v>1655</v>
      </c>
      <c r="J336" s="2" t="s">
        <v>661</v>
      </c>
      <c r="K336" s="2" t="s">
        <v>395</v>
      </c>
      <c r="L336" s="3">
        <v>40.38</v>
      </c>
      <c r="M336" s="3">
        <v>42.4</v>
      </c>
      <c r="N336" s="3">
        <v>89.99</v>
      </c>
      <c r="O336" s="2" t="s">
        <v>95</v>
      </c>
      <c r="P336" s="2" t="s">
        <v>140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590</v>
      </c>
      <c r="V336" s="2" t="s">
        <v>369</v>
      </c>
      <c r="W336" s="2" t="s">
        <v>242</v>
      </c>
      <c r="X336" s="2" t="s">
        <v>98</v>
      </c>
      <c r="Y336" s="2" t="s">
        <v>830</v>
      </c>
      <c r="Z336" s="4">
        <v>24</v>
      </c>
      <c r="AA336" s="4">
        <f>=ROUNDDOWN(8,0)</f>
      </c>
      <c r="AB336" s="5">
        <v>3</v>
      </c>
      <c r="AC336" s="2" t="s">
        <v>98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/>
      <c r="AP336" s="4">
        <v>1</v>
      </c>
      <c r="AQ336" s="8">
        <v>50.82</v>
      </c>
      <c r="AR336" s="4"/>
      <c r="AS336" s="8"/>
      <c r="AT336" s="7"/>
      <c r="AU336" s="7"/>
      <c r="AV336" s="4">
        <v>1</v>
      </c>
      <c r="AW336" s="8">
        <v>50.82</v>
      </c>
      <c r="AX336" s="4"/>
      <c r="AY336" s="8"/>
      <c r="AZ336" s="7"/>
      <c r="BA336" s="7"/>
      <c r="BB336" s="7">
        <v>1</v>
      </c>
      <c r="BC336" s="4">
        <v>1</v>
      </c>
      <c r="BD336" s="8">
        <v>50.82</v>
      </c>
      <c r="BE336" s="4"/>
      <c r="BF336" s="8"/>
      <c r="BG336" s="7"/>
      <c r="BH336" s="7"/>
      <c r="BI336" s="7">
        <v>1</v>
      </c>
      <c r="BJ336" s="4">
        <v>7</v>
      </c>
      <c r="BK336" s="8">
        <v>320.29</v>
      </c>
      <c r="BL336" s="2" t="s">
        <v>1656</v>
      </c>
      <c r="BM336" s="7">
        <v>0.1429</v>
      </c>
      <c r="BN336" s="7">
        <v>0.1587</v>
      </c>
      <c r="BO336" s="4">
        <v>1</v>
      </c>
      <c r="BP336" s="8">
        <v>50.82</v>
      </c>
      <c r="BQ336" s="4"/>
      <c r="BR336" s="8"/>
      <c r="BS336" s="7"/>
      <c r="BT336" s="7"/>
      <c r="BU336" s="2" t="s">
        <v>106</v>
      </c>
      <c r="BV336" s="2" t="s">
        <v>95</v>
      </c>
      <c r="BW336" s="2" t="s">
        <v>144</v>
      </c>
      <c r="BX336" s="2" t="s">
        <v>1657</v>
      </c>
      <c r="BY336" s="2" t="s">
        <v>109</v>
      </c>
      <c r="BZ336" s="2" t="s">
        <v>98</v>
      </c>
    </row>
    <row r="337">
      <c r="A337" s="2" t="s">
        <v>1658</v>
      </c>
      <c r="B337" s="2" t="s">
        <v>1628</v>
      </c>
      <c r="C337" s="2" t="s">
        <v>88</v>
      </c>
      <c r="D337" s="2" t="s">
        <v>1629</v>
      </c>
      <c r="E337" s="2" t="s">
        <v>1630</v>
      </c>
      <c r="F337" s="2" t="s">
        <v>1659</v>
      </c>
      <c r="G337" s="2" t="s">
        <v>1659</v>
      </c>
      <c r="H337" s="2" t="s">
        <v>1659</v>
      </c>
      <c r="I337" s="2" t="s">
        <v>1660</v>
      </c>
      <c r="J337" s="2" t="s">
        <v>661</v>
      </c>
      <c r="K337" s="2" t="s">
        <v>1661</v>
      </c>
      <c r="L337" s="3">
        <v>33</v>
      </c>
      <c r="M337" s="3">
        <v>34.65</v>
      </c>
      <c r="N337" s="3">
        <v>69.99</v>
      </c>
      <c r="O337" s="2" t="s">
        <v>95</v>
      </c>
      <c r="P337" s="2" t="s">
        <v>140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590</v>
      </c>
      <c r="V337" s="2" t="s">
        <v>369</v>
      </c>
      <c r="W337" s="2" t="s">
        <v>242</v>
      </c>
      <c r="X337" s="2" t="s">
        <v>644</v>
      </c>
      <c r="Y337" s="2" t="s">
        <v>1662</v>
      </c>
      <c r="Z337" s="4">
        <v>88</v>
      </c>
      <c r="AA337" s="4">
        <f>=ROUNDDOWN(35.2,0)</f>
      </c>
      <c r="AB337" s="5">
        <v>2.5</v>
      </c>
      <c r="AC337" s="2" t="s">
        <v>98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/>
      <c r="AP337" s="4">
        <v>1</v>
      </c>
      <c r="AQ337" s="8">
        <v>38.81</v>
      </c>
      <c r="AR337" s="4"/>
      <c r="AS337" s="8"/>
      <c r="AT337" s="7"/>
      <c r="AU337" s="7"/>
      <c r="AV337" s="4">
        <v>1</v>
      </c>
      <c r="AW337" s="8">
        <v>38.81</v>
      </c>
      <c r="AX337" s="4"/>
      <c r="AY337" s="8"/>
      <c r="AZ337" s="7"/>
      <c r="BA337" s="7"/>
      <c r="BB337" s="7">
        <v>1</v>
      </c>
      <c r="BC337" s="4">
        <v>1</v>
      </c>
      <c r="BD337" s="8">
        <v>38.81</v>
      </c>
      <c r="BE337" s="4"/>
      <c r="BF337" s="8"/>
      <c r="BG337" s="7"/>
      <c r="BH337" s="7"/>
      <c r="BI337" s="7">
        <v>1</v>
      </c>
      <c r="BJ337" s="4">
        <v>4</v>
      </c>
      <c r="BK337" s="8">
        <v>151.07</v>
      </c>
      <c r="BL337" s="2" t="s">
        <v>1663</v>
      </c>
      <c r="BM337" s="7">
        <v>0.25</v>
      </c>
      <c r="BN337" s="7">
        <v>0.2569</v>
      </c>
      <c r="BO337" s="4">
        <v>1</v>
      </c>
      <c r="BP337" s="8">
        <v>38.81</v>
      </c>
      <c r="BQ337" s="4"/>
      <c r="BR337" s="8"/>
      <c r="BS337" s="7"/>
      <c r="BT337" s="7"/>
      <c r="BU337" s="2" t="s">
        <v>106</v>
      </c>
      <c r="BV337" s="2" t="s">
        <v>95</v>
      </c>
      <c r="BW337" s="2" t="s">
        <v>665</v>
      </c>
      <c r="BX337" s="2" t="s">
        <v>843</v>
      </c>
      <c r="BY337" s="2" t="s">
        <v>109</v>
      </c>
      <c r="BZ337" s="2" t="s">
        <v>98</v>
      </c>
    </row>
    <row r="338">
      <c r="A338" s="2" t="s">
        <v>1664</v>
      </c>
      <c r="B338" s="2" t="s">
        <v>1628</v>
      </c>
      <c r="C338" s="2" t="s">
        <v>88</v>
      </c>
      <c r="D338" s="2" t="s">
        <v>1629</v>
      </c>
      <c r="E338" s="2" t="s">
        <v>1630</v>
      </c>
      <c r="F338" s="2" t="s">
        <v>1665</v>
      </c>
      <c r="G338" s="2" t="s">
        <v>1665</v>
      </c>
      <c r="H338" s="2" t="s">
        <v>1665</v>
      </c>
      <c r="I338" s="2" t="s">
        <v>1666</v>
      </c>
      <c r="J338" s="2" t="s">
        <v>661</v>
      </c>
      <c r="K338" s="2" t="s">
        <v>484</v>
      </c>
      <c r="L338" s="3">
        <v>46.17</v>
      </c>
      <c r="M338" s="3">
        <v>48.48</v>
      </c>
      <c r="N338" s="3">
        <v>104.99</v>
      </c>
      <c r="O338" s="2" t="s">
        <v>95</v>
      </c>
      <c r="P338" s="2" t="s">
        <v>140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590</v>
      </c>
      <c r="V338" s="2" t="s">
        <v>369</v>
      </c>
      <c r="W338" s="2" t="s">
        <v>242</v>
      </c>
      <c r="X338" s="2" t="s">
        <v>98</v>
      </c>
      <c r="Y338" s="2" t="s">
        <v>1667</v>
      </c>
      <c r="Z338" s="4">
        <v>78</v>
      </c>
      <c r="AA338" s="4">
        <f>=ROUNDDOWN(39,0)</f>
      </c>
      <c r="AB338" s="5">
        <v>2</v>
      </c>
      <c r="AC338" s="2" t="s">
        <v>98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1</v>
      </c>
      <c r="BK338" s="8">
        <v>52.36</v>
      </c>
      <c r="BL338" s="2" t="s">
        <v>525</v>
      </c>
      <c r="BM338" s="7"/>
      <c r="BN338" s="7"/>
      <c r="BO338" s="4"/>
      <c r="BP338" s="8"/>
      <c r="BQ338" s="4"/>
      <c r="BR338" s="8"/>
      <c r="BS338" s="7"/>
      <c r="BT338" s="7"/>
      <c r="BU338" s="2" t="s">
        <v>106</v>
      </c>
      <c r="BV338" s="2" t="s">
        <v>95</v>
      </c>
      <c r="BW338" s="2" t="s">
        <v>144</v>
      </c>
      <c r="BX338" s="2" t="s">
        <v>1657</v>
      </c>
      <c r="BY338" s="2" t="s">
        <v>109</v>
      </c>
      <c r="BZ338" s="2" t="s">
        <v>98</v>
      </c>
    </row>
    <row r="339">
      <c r="A339" s="2" t="s">
        <v>1668</v>
      </c>
      <c r="B339" s="2" t="s">
        <v>1628</v>
      </c>
      <c r="C339" s="2" t="s">
        <v>88</v>
      </c>
      <c r="D339" s="2" t="s">
        <v>1629</v>
      </c>
      <c r="E339" s="2" t="s">
        <v>1630</v>
      </c>
      <c r="F339" s="2" t="s">
        <v>1669</v>
      </c>
      <c r="G339" s="2" t="s">
        <v>1669</v>
      </c>
      <c r="H339" s="2" t="s">
        <v>1669</v>
      </c>
      <c r="I339" s="2" t="s">
        <v>1670</v>
      </c>
      <c r="J339" s="2" t="s">
        <v>661</v>
      </c>
      <c r="K339" s="2" t="s">
        <v>1011</v>
      </c>
      <c r="L339" s="3">
        <v>24.5</v>
      </c>
      <c r="M339" s="3">
        <v>25.73</v>
      </c>
      <c r="N339" s="3">
        <v>49.99</v>
      </c>
      <c r="O339" s="2" t="s">
        <v>95</v>
      </c>
      <c r="P339" s="2" t="s">
        <v>177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590</v>
      </c>
      <c r="V339" s="2" t="s">
        <v>369</v>
      </c>
      <c r="W339" s="2" t="s">
        <v>190</v>
      </c>
      <c r="X339" s="2" t="s">
        <v>242</v>
      </c>
      <c r="Y339" s="2" t="s">
        <v>460</v>
      </c>
      <c r="Z339" s="4">
        <v>52</v>
      </c>
      <c r="AA339" s="4">
        <f>=ROUNDDOWN(26,0)</f>
      </c>
      <c r="AB339" s="5">
        <v>2</v>
      </c>
      <c r="AC339" s="2" t="s">
        <v>98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1</v>
      </c>
      <c r="BK339" s="8">
        <v>28.81</v>
      </c>
      <c r="BL339" s="2" t="s">
        <v>1348</v>
      </c>
      <c r="BM339" s="7"/>
      <c r="BN339" s="7"/>
      <c r="BO339" s="4"/>
      <c r="BP339" s="8"/>
      <c r="BQ339" s="4"/>
      <c r="BR339" s="8"/>
      <c r="BS339" s="7"/>
      <c r="BT339" s="7"/>
      <c r="BU339" s="2" t="s">
        <v>106</v>
      </c>
      <c r="BV339" s="2" t="s">
        <v>95</v>
      </c>
      <c r="BW339" s="2" t="s">
        <v>1671</v>
      </c>
      <c r="BX339" s="2" t="s">
        <v>1672</v>
      </c>
      <c r="BY339" s="2" t="s">
        <v>109</v>
      </c>
      <c r="BZ339" s="2" t="s">
        <v>98</v>
      </c>
    </row>
    <row r="340">
      <c r="A340" s="2" t="s">
        <v>1673</v>
      </c>
      <c r="B340" s="2" t="s">
        <v>1628</v>
      </c>
      <c r="C340" s="2" t="s">
        <v>88</v>
      </c>
      <c r="D340" s="2" t="s">
        <v>1629</v>
      </c>
      <c r="E340" s="2" t="s">
        <v>1630</v>
      </c>
      <c r="F340" s="2" t="s">
        <v>1674</v>
      </c>
      <c r="G340" s="2" t="s">
        <v>1675</v>
      </c>
      <c r="H340" s="2" t="s">
        <v>1674</v>
      </c>
      <c r="I340" s="2" t="s">
        <v>1676</v>
      </c>
      <c r="J340" s="2" t="s">
        <v>661</v>
      </c>
      <c r="K340" s="2" t="s">
        <v>395</v>
      </c>
      <c r="L340" s="3">
        <v>53</v>
      </c>
      <c r="M340" s="3">
        <v>55.65</v>
      </c>
      <c r="N340" s="3">
        <v>109.99</v>
      </c>
      <c r="O340" s="2" t="s">
        <v>95</v>
      </c>
      <c r="P340" s="2" t="s">
        <v>177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590</v>
      </c>
      <c r="V340" s="2" t="s">
        <v>369</v>
      </c>
      <c r="W340" s="2" t="s">
        <v>1677</v>
      </c>
      <c r="X340" s="2" t="s">
        <v>242</v>
      </c>
      <c r="Y340" s="2" t="s">
        <v>460</v>
      </c>
      <c r="Z340" s="4">
        <v>19</v>
      </c>
      <c r="AA340" s="4">
        <f>=ROUNDDOWN(6.33333333333333,0)</f>
      </c>
      <c r="AB340" s="5">
        <v>3</v>
      </c>
      <c r="AC340" s="2" t="s">
        <v>98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1</v>
      </c>
      <c r="BK340" s="8">
        <v>61.22</v>
      </c>
      <c r="BL340" s="2" t="s">
        <v>143</v>
      </c>
      <c r="BM340" s="7"/>
      <c r="BN340" s="7"/>
      <c r="BO340" s="4"/>
      <c r="BP340" s="8"/>
      <c r="BQ340" s="4"/>
      <c r="BR340" s="8"/>
      <c r="BS340" s="7"/>
      <c r="BT340" s="7"/>
      <c r="BU340" s="2" t="s">
        <v>832</v>
      </c>
      <c r="BV340" s="2" t="s">
        <v>95</v>
      </c>
      <c r="BW340" s="2" t="s">
        <v>98</v>
      </c>
      <c r="BX340" s="2" t="s">
        <v>98</v>
      </c>
      <c r="BY340" s="2" t="s">
        <v>109</v>
      </c>
      <c r="BZ340" s="2" t="s">
        <v>98</v>
      </c>
    </row>
    <row r="341">
      <c r="A341" s="2" t="s">
        <v>1678</v>
      </c>
      <c r="B341" s="2" t="s">
        <v>1628</v>
      </c>
      <c r="C341" s="2" t="s">
        <v>88</v>
      </c>
      <c r="D341" s="2" t="s">
        <v>1629</v>
      </c>
      <c r="E341" s="2" t="s">
        <v>1630</v>
      </c>
      <c r="F341" s="2" t="s">
        <v>1679</v>
      </c>
      <c r="G341" s="2" t="s">
        <v>1679</v>
      </c>
      <c r="H341" s="2" t="s">
        <v>1679</v>
      </c>
      <c r="I341" s="2" t="s">
        <v>1680</v>
      </c>
      <c r="J341" s="2" t="s">
        <v>661</v>
      </c>
      <c r="K341" s="2" t="s">
        <v>152</v>
      </c>
      <c r="L341" s="3">
        <v>50.14</v>
      </c>
      <c r="M341" s="3">
        <v>52.65</v>
      </c>
      <c r="N341" s="3">
        <v>119.99</v>
      </c>
      <c r="O341" s="2" t="s">
        <v>95</v>
      </c>
      <c r="P341" s="2" t="s">
        <v>714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590</v>
      </c>
      <c r="V341" s="2" t="s">
        <v>369</v>
      </c>
      <c r="W341" s="2" t="s">
        <v>377</v>
      </c>
      <c r="X341" s="2" t="s">
        <v>242</v>
      </c>
      <c r="Y341" s="2" t="s">
        <v>1681</v>
      </c>
      <c r="Z341" s="4">
        <v>42</v>
      </c>
      <c r="AA341" s="4">
        <f>=ROUNDDOWN(23.3333333333333,0)</f>
      </c>
      <c r="AB341" s="5">
        <v>1.8</v>
      </c>
      <c r="AC341" s="2" t="s">
        <v>98</v>
      </c>
      <c r="AD341" s="4"/>
      <c r="AE341" s="4"/>
      <c r="AF341" s="6">
        <v>63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98</v>
      </c>
      <c r="BM341" s="7"/>
      <c r="BN341" s="7"/>
      <c r="BO341" s="4"/>
      <c r="BP341" s="8"/>
      <c r="BQ341" s="4"/>
      <c r="BR341" s="8"/>
      <c r="BS341" s="7"/>
      <c r="BT341" s="7"/>
      <c r="BU341" s="2" t="s">
        <v>106</v>
      </c>
      <c r="BV341" s="2" t="s">
        <v>95</v>
      </c>
      <c r="BW341" s="2" t="s">
        <v>697</v>
      </c>
      <c r="BX341" s="2" t="s">
        <v>1682</v>
      </c>
      <c r="BY341" s="2" t="s">
        <v>109</v>
      </c>
      <c r="BZ341" s="2" t="s">
        <v>98</v>
      </c>
    </row>
    <row r="342">
      <c r="A342" s="2" t="s">
        <v>1683</v>
      </c>
      <c r="B342" s="2" t="s">
        <v>1628</v>
      </c>
      <c r="C342" s="2" t="s">
        <v>88</v>
      </c>
      <c r="D342" s="2" t="s">
        <v>1629</v>
      </c>
      <c r="E342" s="2" t="s">
        <v>1630</v>
      </c>
      <c r="F342" s="2" t="s">
        <v>1684</v>
      </c>
      <c r="G342" s="2" t="s">
        <v>1684</v>
      </c>
      <c r="H342" s="2" t="s">
        <v>1684</v>
      </c>
      <c r="I342" s="2" t="s">
        <v>1685</v>
      </c>
      <c r="J342" s="2" t="s">
        <v>661</v>
      </c>
      <c r="K342" s="2" t="s">
        <v>1661</v>
      </c>
      <c r="L342" s="3">
        <v>45</v>
      </c>
      <c r="M342" s="3">
        <v>47.25</v>
      </c>
      <c r="N342" s="3">
        <v>104.99</v>
      </c>
      <c r="O342" s="2" t="s">
        <v>95</v>
      </c>
      <c r="P342" s="2" t="s">
        <v>140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590</v>
      </c>
      <c r="V342" s="2" t="s">
        <v>369</v>
      </c>
      <c r="W342" s="2" t="s">
        <v>242</v>
      </c>
      <c r="X342" s="2" t="s">
        <v>644</v>
      </c>
      <c r="Y342" s="2" t="s">
        <v>1646</v>
      </c>
      <c r="Z342" s="4">
        <v>109</v>
      </c>
      <c r="AA342" s="4">
        <f>=ROUNDDOWN(33.030303030303,0)</f>
      </c>
      <c r="AB342" s="5">
        <v>3.3</v>
      </c>
      <c r="AC342" s="2" t="s">
        <v>98</v>
      </c>
      <c r="AD342" s="4"/>
      <c r="AE342" s="4"/>
      <c r="AF342" s="6">
        <v>63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2</v>
      </c>
      <c r="BK342" s="8">
        <v>122.92</v>
      </c>
      <c r="BL342" s="2" t="s">
        <v>1114</v>
      </c>
      <c r="BM342" s="7"/>
      <c r="BN342" s="7"/>
      <c r="BO342" s="4"/>
      <c r="BP342" s="8"/>
      <c r="BQ342" s="4"/>
      <c r="BR342" s="8"/>
      <c r="BS342" s="7"/>
      <c r="BT342" s="7"/>
      <c r="BU342" s="2" t="s">
        <v>106</v>
      </c>
      <c r="BV342" s="2" t="s">
        <v>95</v>
      </c>
      <c r="BW342" s="2" t="s">
        <v>697</v>
      </c>
      <c r="BX342" s="2" t="s">
        <v>1686</v>
      </c>
      <c r="BY342" s="2" t="s">
        <v>109</v>
      </c>
      <c r="BZ342" s="2" t="s">
        <v>98</v>
      </c>
    </row>
    <row r="343">
      <c r="A343" s="2" t="s">
        <v>1687</v>
      </c>
      <c r="B343" s="2" t="s">
        <v>1628</v>
      </c>
      <c r="C343" s="2" t="s">
        <v>88</v>
      </c>
      <c r="D343" s="2" t="s">
        <v>1629</v>
      </c>
      <c r="E343" s="2" t="s">
        <v>1630</v>
      </c>
      <c r="F343" s="2" t="s">
        <v>1688</v>
      </c>
      <c r="G343" s="2" t="s">
        <v>1688</v>
      </c>
      <c r="H343" s="2" t="s">
        <v>1688</v>
      </c>
      <c r="I343" s="2" t="s">
        <v>1640</v>
      </c>
      <c r="J343" s="2" t="s">
        <v>661</v>
      </c>
      <c r="K343" s="2" t="s">
        <v>152</v>
      </c>
      <c r="L343" s="3">
        <v>46.72</v>
      </c>
      <c r="M343" s="3">
        <v>49.06</v>
      </c>
      <c r="N343" s="3">
        <v>109.99</v>
      </c>
      <c r="O343" s="2" t="s">
        <v>95</v>
      </c>
      <c r="P343" s="2" t="s">
        <v>140</v>
      </c>
      <c r="Q343" s="2" t="s">
        <v>97</v>
      </c>
      <c r="R343" s="2" t="s">
        <v>98</v>
      </c>
      <c r="S343" s="2" t="s">
        <v>1689</v>
      </c>
      <c r="T343" s="2" t="s">
        <v>98</v>
      </c>
      <c r="U343" s="2" t="s">
        <v>98</v>
      </c>
      <c r="V343" s="2" t="s">
        <v>208</v>
      </c>
      <c r="W343" s="2" t="s">
        <v>242</v>
      </c>
      <c r="X343" s="2" t="s">
        <v>98</v>
      </c>
      <c r="Y343" s="2" t="s">
        <v>354</v>
      </c>
      <c r="Z343" s="4">
        <v>45</v>
      </c>
      <c r="AA343" s="4">
        <f>=ROUNDDOWN(11.25,0)</f>
      </c>
      <c r="AB343" s="5">
        <v>4</v>
      </c>
      <c r="AC343" s="2" t="s">
        <v>1212</v>
      </c>
      <c r="AD343" s="4">
        <v>120</v>
      </c>
      <c r="AE343" s="4">
        <v>120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1</v>
      </c>
      <c r="BK343" s="8">
        <v>57.54</v>
      </c>
      <c r="BL343" s="2" t="s">
        <v>143</v>
      </c>
      <c r="BM343" s="7"/>
      <c r="BN343" s="7"/>
      <c r="BO343" s="4"/>
      <c r="BP343" s="8"/>
      <c r="BQ343" s="4"/>
      <c r="BR343" s="8"/>
      <c r="BS343" s="7"/>
      <c r="BT343" s="7"/>
      <c r="BU343" s="2" t="s">
        <v>106</v>
      </c>
      <c r="BV343" s="2" t="s">
        <v>95</v>
      </c>
      <c r="BW343" s="2" t="s">
        <v>1636</v>
      </c>
      <c r="BX343" s="2" t="s">
        <v>1690</v>
      </c>
      <c r="BY343" s="2" t="s">
        <v>109</v>
      </c>
      <c r="BZ343" s="2" t="s">
        <v>98</v>
      </c>
    </row>
    <row r="344">
      <c r="A344" s="2" t="s">
        <v>1691</v>
      </c>
      <c r="B344" s="2" t="s">
        <v>1628</v>
      </c>
      <c r="C344" s="2" t="s">
        <v>88</v>
      </c>
      <c r="D344" s="2" t="s">
        <v>1629</v>
      </c>
      <c r="E344" s="2" t="s">
        <v>1630</v>
      </c>
      <c r="F344" s="2" t="s">
        <v>1692</v>
      </c>
      <c r="G344" s="2" t="s">
        <v>1692</v>
      </c>
      <c r="H344" s="2" t="s">
        <v>1692</v>
      </c>
      <c r="I344" s="2" t="s">
        <v>1693</v>
      </c>
      <c r="J344" s="2" t="s">
        <v>661</v>
      </c>
      <c r="K344" s="2" t="s">
        <v>1661</v>
      </c>
      <c r="L344" s="3">
        <v>52</v>
      </c>
      <c r="M344" s="3">
        <v>54.6</v>
      </c>
      <c r="N344" s="3">
        <v>109.99</v>
      </c>
      <c r="O344" s="2" t="s">
        <v>95</v>
      </c>
      <c r="P344" s="2" t="s">
        <v>177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590</v>
      </c>
      <c r="V344" s="2" t="s">
        <v>369</v>
      </c>
      <c r="W344" s="2" t="s">
        <v>242</v>
      </c>
      <c r="X344" s="2" t="s">
        <v>190</v>
      </c>
      <c r="Y344" s="2" t="s">
        <v>1694</v>
      </c>
      <c r="Z344" s="4">
        <v>59</v>
      </c>
      <c r="AA344" s="4">
        <f>=ROUNDDOWN(29.5,0)</f>
      </c>
      <c r="AB344" s="5">
        <v>2</v>
      </c>
      <c r="AC344" s="2" t="s">
        <v>98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98</v>
      </c>
      <c r="BM344" s="7"/>
      <c r="BN344" s="7"/>
      <c r="BO344" s="4"/>
      <c r="BP344" s="8"/>
      <c r="BQ344" s="4"/>
      <c r="BR344" s="8"/>
      <c r="BS344" s="7"/>
      <c r="BT344" s="7"/>
      <c r="BU344" s="2" t="s">
        <v>106</v>
      </c>
      <c r="BV344" s="2" t="s">
        <v>95</v>
      </c>
      <c r="BW344" s="2" t="s">
        <v>665</v>
      </c>
      <c r="BX344" s="2" t="s">
        <v>1695</v>
      </c>
      <c r="BY344" s="2" t="s">
        <v>109</v>
      </c>
      <c r="BZ344" s="2" t="s">
        <v>98</v>
      </c>
    </row>
    <row r="345">
      <c r="A345" s="2" t="s">
        <v>1696</v>
      </c>
      <c r="B345" s="2" t="s">
        <v>1628</v>
      </c>
      <c r="C345" s="2" t="s">
        <v>88</v>
      </c>
      <c r="D345" s="2" t="s">
        <v>1629</v>
      </c>
      <c r="E345" s="2" t="s">
        <v>1630</v>
      </c>
      <c r="F345" s="2" t="s">
        <v>1697</v>
      </c>
      <c r="G345" s="2" t="s">
        <v>1697</v>
      </c>
      <c r="H345" s="2" t="s">
        <v>1697</v>
      </c>
      <c r="I345" s="2" t="s">
        <v>1640</v>
      </c>
      <c r="J345" s="2" t="s">
        <v>661</v>
      </c>
      <c r="K345" s="2" t="s">
        <v>484</v>
      </c>
      <c r="L345" s="3">
        <v>44</v>
      </c>
      <c r="M345" s="3">
        <v>46.2</v>
      </c>
      <c r="N345" s="3">
        <v>89.99</v>
      </c>
      <c r="O345" s="2" t="s">
        <v>95</v>
      </c>
      <c r="P345" s="2" t="s">
        <v>177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590</v>
      </c>
      <c r="V345" s="2" t="s">
        <v>369</v>
      </c>
      <c r="W345" s="2" t="s">
        <v>1677</v>
      </c>
      <c r="X345" s="2" t="s">
        <v>242</v>
      </c>
      <c r="Y345" s="2" t="s">
        <v>1698</v>
      </c>
      <c r="Z345" s="4">
        <v>85</v>
      </c>
      <c r="AA345" s="4">
        <f>=ROUNDDOWN(85,0)</f>
      </c>
      <c r="AB345" s="5">
        <v>1</v>
      </c>
      <c r="AC345" s="2" t="s">
        <v>98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98</v>
      </c>
      <c r="BM345" s="7"/>
      <c r="BN345" s="7"/>
      <c r="BO345" s="4"/>
      <c r="BP345" s="8"/>
      <c r="BQ345" s="4"/>
      <c r="BR345" s="8"/>
      <c r="BS345" s="7"/>
      <c r="BT345" s="7"/>
      <c r="BU345" s="2" t="s">
        <v>832</v>
      </c>
      <c r="BV345" s="2" t="s">
        <v>95</v>
      </c>
      <c r="BW345" s="2" t="s">
        <v>98</v>
      </c>
      <c r="BX345" s="2" t="s">
        <v>98</v>
      </c>
      <c r="BY345" s="2" t="s">
        <v>109</v>
      </c>
      <c r="BZ345" s="2" t="s">
        <v>98</v>
      </c>
    </row>
    <row r="346">
      <c r="A346" s="2" t="s">
        <v>1699</v>
      </c>
      <c r="B346" s="2" t="s">
        <v>1628</v>
      </c>
      <c r="C346" s="2" t="s">
        <v>88</v>
      </c>
      <c r="D346" s="2" t="s">
        <v>1629</v>
      </c>
      <c r="E346" s="2" t="s">
        <v>1630</v>
      </c>
      <c r="F346" s="2" t="s">
        <v>1700</v>
      </c>
      <c r="G346" s="2" t="s">
        <v>1700</v>
      </c>
      <c r="H346" s="2" t="s">
        <v>1700</v>
      </c>
      <c r="I346" s="2" t="s">
        <v>1701</v>
      </c>
      <c r="J346" s="2" t="s">
        <v>661</v>
      </c>
      <c r="K346" s="2" t="s">
        <v>484</v>
      </c>
      <c r="L346" s="3">
        <v>39.5</v>
      </c>
      <c r="M346" s="3">
        <v>41.48</v>
      </c>
      <c r="N346" s="3">
        <v>89.99</v>
      </c>
      <c r="O346" s="2" t="s">
        <v>95</v>
      </c>
      <c r="P346" s="2" t="s">
        <v>140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590</v>
      </c>
      <c r="V346" s="2" t="s">
        <v>369</v>
      </c>
      <c r="W346" s="2" t="s">
        <v>242</v>
      </c>
      <c r="X346" s="2" t="s">
        <v>98</v>
      </c>
      <c r="Y346" s="2" t="s">
        <v>830</v>
      </c>
      <c r="Z346" s="4">
        <v>120</v>
      </c>
      <c r="AA346" s="4">
        <f>=ROUNDDOWN(70.5882352941177,0)</f>
      </c>
      <c r="AB346" s="5">
        <v>1.7</v>
      </c>
      <c r="AC346" s="2" t="s">
        <v>98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2</v>
      </c>
      <c r="BK346" s="8">
        <v>83.26</v>
      </c>
      <c r="BL346" s="2" t="s">
        <v>1702</v>
      </c>
      <c r="BM346" s="7"/>
      <c r="BN346" s="7"/>
      <c r="BO346" s="4"/>
      <c r="BP346" s="8"/>
      <c r="BQ346" s="4"/>
      <c r="BR346" s="8"/>
      <c r="BS346" s="7"/>
      <c r="BT346" s="7"/>
      <c r="BU346" s="2" t="s">
        <v>106</v>
      </c>
      <c r="BV346" s="2" t="s">
        <v>95</v>
      </c>
      <c r="BW346" s="2" t="s">
        <v>144</v>
      </c>
      <c r="BX346" s="2" t="s">
        <v>1703</v>
      </c>
      <c r="BY346" s="2" t="s">
        <v>109</v>
      </c>
      <c r="BZ346" s="2" t="s">
        <v>98</v>
      </c>
    </row>
    <row r="347">
      <c r="A347" s="2" t="s">
        <v>1704</v>
      </c>
      <c r="B347" s="2" t="s">
        <v>1628</v>
      </c>
      <c r="C347" s="2" t="s">
        <v>88</v>
      </c>
      <c r="D347" s="2" t="s">
        <v>1629</v>
      </c>
      <c r="E347" s="2" t="s">
        <v>1630</v>
      </c>
      <c r="F347" s="2" t="s">
        <v>1705</v>
      </c>
      <c r="G347" s="2" t="s">
        <v>1705</v>
      </c>
      <c r="H347" s="2" t="s">
        <v>1705</v>
      </c>
      <c r="I347" s="2" t="s">
        <v>1706</v>
      </c>
      <c r="J347" s="2" t="s">
        <v>661</v>
      </c>
      <c r="K347" s="2" t="s">
        <v>1707</v>
      </c>
      <c r="L347" s="3">
        <v>49</v>
      </c>
      <c r="M347" s="3">
        <v>51.45</v>
      </c>
      <c r="N347" s="3">
        <v>99.99</v>
      </c>
      <c r="O347" s="2" t="s">
        <v>95</v>
      </c>
      <c r="P347" s="2" t="s">
        <v>714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590</v>
      </c>
      <c r="V347" s="2" t="s">
        <v>369</v>
      </c>
      <c r="W347" s="2" t="s">
        <v>242</v>
      </c>
      <c r="X347" s="2" t="s">
        <v>190</v>
      </c>
      <c r="Y347" s="2" t="s">
        <v>1708</v>
      </c>
      <c r="Z347" s="4">
        <v>53</v>
      </c>
      <c r="AA347" s="4">
        <f>=ROUNDDOWN(132.5,0)</f>
      </c>
      <c r="AB347" s="5">
        <v>0.4</v>
      </c>
      <c r="AC347" s="2" t="s">
        <v>98</v>
      </c>
      <c r="AD347" s="4"/>
      <c r="AE347" s="4"/>
      <c r="AF347" s="6">
        <v>63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98</v>
      </c>
      <c r="BM347" s="7"/>
      <c r="BN347" s="7"/>
      <c r="BO347" s="4"/>
      <c r="BP347" s="8"/>
      <c r="BQ347" s="4"/>
      <c r="BR347" s="8"/>
      <c r="BS347" s="7"/>
      <c r="BT347" s="7"/>
      <c r="BU347" s="2" t="s">
        <v>106</v>
      </c>
      <c r="BV347" s="2" t="s">
        <v>95</v>
      </c>
      <c r="BW347" s="2" t="s">
        <v>665</v>
      </c>
      <c r="BX347" s="2" t="s">
        <v>361</v>
      </c>
      <c r="BY347" s="2" t="s">
        <v>109</v>
      </c>
      <c r="BZ347" s="2" t="s">
        <v>98</v>
      </c>
    </row>
    <row r="348">
      <c r="A348" s="2" t="s">
        <v>1709</v>
      </c>
      <c r="B348" s="2" t="s">
        <v>1628</v>
      </c>
      <c r="C348" s="2" t="s">
        <v>88</v>
      </c>
      <c r="D348" s="2" t="s">
        <v>1629</v>
      </c>
      <c r="E348" s="2" t="s">
        <v>1630</v>
      </c>
      <c r="F348" s="2" t="s">
        <v>1710</v>
      </c>
      <c r="G348" s="2" t="s">
        <v>1710</v>
      </c>
      <c r="H348" s="2" t="s">
        <v>1710</v>
      </c>
      <c r="I348" s="2" t="s">
        <v>1711</v>
      </c>
      <c r="J348" s="2" t="s">
        <v>661</v>
      </c>
      <c r="K348" s="2" t="s">
        <v>1712</v>
      </c>
      <c r="L348" s="3">
        <v>108.45</v>
      </c>
      <c r="M348" s="3">
        <v>113.87</v>
      </c>
      <c r="N348" s="3">
        <v>249.99</v>
      </c>
      <c r="O348" s="2" t="s">
        <v>95</v>
      </c>
      <c r="P348" s="2" t="s">
        <v>714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590</v>
      </c>
      <c r="V348" s="2" t="s">
        <v>369</v>
      </c>
      <c r="W348" s="2" t="s">
        <v>377</v>
      </c>
      <c r="X348" s="2" t="s">
        <v>98</v>
      </c>
      <c r="Y348" s="2" t="s">
        <v>1713</v>
      </c>
      <c r="Z348" s="4">
        <v>28</v>
      </c>
      <c r="AA348" s="4">
        <f>=ROUNDDOWN(28,0)</f>
      </c>
      <c r="AB348" s="5">
        <v>1</v>
      </c>
      <c r="AC348" s="2" t="s">
        <v>98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>
        <v>2</v>
      </c>
      <c r="BK348" s="8">
        <v>219.9</v>
      </c>
      <c r="BL348" s="2" t="s">
        <v>502</v>
      </c>
      <c r="BM348" s="7"/>
      <c r="BN348" s="7"/>
      <c r="BO348" s="4"/>
      <c r="BP348" s="8"/>
      <c r="BQ348" s="4"/>
      <c r="BR348" s="8"/>
      <c r="BS348" s="7"/>
      <c r="BT348" s="7"/>
      <c r="BU348" s="2" t="s">
        <v>106</v>
      </c>
      <c r="BV348" s="2" t="s">
        <v>95</v>
      </c>
      <c r="BW348" s="2" t="s">
        <v>144</v>
      </c>
      <c r="BX348" s="2" t="s">
        <v>1714</v>
      </c>
      <c r="BY348" s="2" t="s">
        <v>109</v>
      </c>
      <c r="BZ348" s="2" t="s">
        <v>98</v>
      </c>
    </row>
    <row r="349">
      <c r="A349" s="2" t="s">
        <v>1715</v>
      </c>
      <c r="B349" s="2" t="s">
        <v>1628</v>
      </c>
      <c r="C349" s="2" t="s">
        <v>88</v>
      </c>
      <c r="D349" s="2" t="s">
        <v>1629</v>
      </c>
      <c r="E349" s="2" t="s">
        <v>1630</v>
      </c>
      <c r="F349" s="2" t="s">
        <v>1716</v>
      </c>
      <c r="G349" s="2" t="s">
        <v>1716</v>
      </c>
      <c r="H349" s="2" t="s">
        <v>1716</v>
      </c>
      <c r="I349" s="2" t="s">
        <v>1717</v>
      </c>
      <c r="J349" s="2" t="s">
        <v>661</v>
      </c>
      <c r="K349" s="2" t="s">
        <v>631</v>
      </c>
      <c r="L349" s="3">
        <v>41.94</v>
      </c>
      <c r="M349" s="3">
        <v>44.04</v>
      </c>
      <c r="N349" s="3">
        <v>89.99</v>
      </c>
      <c r="O349" s="2" t="s">
        <v>95</v>
      </c>
      <c r="P349" s="2" t="s">
        <v>140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590</v>
      </c>
      <c r="V349" s="2" t="s">
        <v>369</v>
      </c>
      <c r="W349" s="2" t="s">
        <v>242</v>
      </c>
      <c r="X349" s="2" t="s">
        <v>674</v>
      </c>
      <c r="Y349" s="2" t="s">
        <v>1718</v>
      </c>
      <c r="Z349" s="4">
        <v>144</v>
      </c>
      <c r="AA349" s="4">
        <f>=ROUNDDOWN(45,0)</f>
      </c>
      <c r="AB349" s="5">
        <v>3.2</v>
      </c>
      <c r="AC349" s="2" t="s">
        <v>98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1</v>
      </c>
      <c r="BK349" s="8">
        <v>46.24</v>
      </c>
      <c r="BL349" s="2" t="s">
        <v>386</v>
      </c>
      <c r="BM349" s="7"/>
      <c r="BN349" s="7"/>
      <c r="BO349" s="4"/>
      <c r="BP349" s="8"/>
      <c r="BQ349" s="4"/>
      <c r="BR349" s="8"/>
      <c r="BS349" s="7"/>
      <c r="BT349" s="7"/>
      <c r="BU349" s="2" t="s">
        <v>106</v>
      </c>
      <c r="BV349" s="2" t="s">
        <v>95</v>
      </c>
      <c r="BW349" s="2" t="s">
        <v>144</v>
      </c>
      <c r="BX349" s="2" t="s">
        <v>1719</v>
      </c>
      <c r="BY349" s="2" t="s">
        <v>109</v>
      </c>
      <c r="BZ349" s="2" t="s">
        <v>98</v>
      </c>
    </row>
    <row r="350">
      <c r="A350" s="2" t="s">
        <v>1720</v>
      </c>
      <c r="B350" s="2" t="s">
        <v>1628</v>
      </c>
      <c r="C350" s="2" t="s">
        <v>88</v>
      </c>
      <c r="D350" s="2" t="s">
        <v>1629</v>
      </c>
      <c r="E350" s="2" t="s">
        <v>1630</v>
      </c>
      <c r="F350" s="2" t="s">
        <v>1721</v>
      </c>
      <c r="G350" s="2" t="s">
        <v>1721</v>
      </c>
      <c r="H350" s="2" t="s">
        <v>1721</v>
      </c>
      <c r="I350" s="2" t="s">
        <v>1722</v>
      </c>
      <c r="J350" s="2" t="s">
        <v>661</v>
      </c>
      <c r="K350" s="2" t="s">
        <v>1645</v>
      </c>
      <c r="L350" s="3">
        <v>48.75</v>
      </c>
      <c r="M350" s="3">
        <v>51.19</v>
      </c>
      <c r="N350" s="3">
        <v>99.99</v>
      </c>
      <c r="O350" s="2" t="s">
        <v>95</v>
      </c>
      <c r="P350" s="2" t="s">
        <v>140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590</v>
      </c>
      <c r="V350" s="2" t="s">
        <v>369</v>
      </c>
      <c r="W350" s="2" t="s">
        <v>242</v>
      </c>
      <c r="X350" s="2" t="s">
        <v>674</v>
      </c>
      <c r="Y350" s="2" t="s">
        <v>1723</v>
      </c>
      <c r="Z350" s="4">
        <v>97</v>
      </c>
      <c r="AA350" s="4">
        <f>=ROUNDDOWN(48.5,0)</f>
      </c>
      <c r="AB350" s="5">
        <v>2</v>
      </c>
      <c r="AC350" s="2" t="s">
        <v>98</v>
      </c>
      <c r="AD350" s="4"/>
      <c r="AE350" s="4"/>
      <c r="AF350" s="6">
        <v>63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98</v>
      </c>
      <c r="BM350" s="7"/>
      <c r="BN350" s="7"/>
      <c r="BO350" s="4"/>
      <c r="BP350" s="8"/>
      <c r="BQ350" s="4"/>
      <c r="BR350" s="8"/>
      <c r="BS350" s="7"/>
      <c r="BT350" s="7"/>
      <c r="BU350" s="2" t="s">
        <v>106</v>
      </c>
      <c r="BV350" s="2" t="s">
        <v>95</v>
      </c>
      <c r="BW350" s="2" t="s">
        <v>665</v>
      </c>
      <c r="BX350" s="2" t="s">
        <v>1007</v>
      </c>
      <c r="BY350" s="2" t="s">
        <v>109</v>
      </c>
      <c r="BZ350" s="2" t="s">
        <v>98</v>
      </c>
    </row>
    <row r="351">
      <c r="A351" s="2" t="s">
        <v>1724</v>
      </c>
      <c r="B351" s="2" t="s">
        <v>1628</v>
      </c>
      <c r="C351" s="2" t="s">
        <v>88</v>
      </c>
      <c r="D351" s="2" t="s">
        <v>1629</v>
      </c>
      <c r="E351" s="2" t="s">
        <v>1630</v>
      </c>
      <c r="F351" s="2" t="s">
        <v>1725</v>
      </c>
      <c r="G351" s="2" t="s">
        <v>1725</v>
      </c>
      <c r="H351" s="2" t="s">
        <v>1725</v>
      </c>
      <c r="I351" s="2" t="s">
        <v>1726</v>
      </c>
      <c r="J351" s="2" t="s">
        <v>661</v>
      </c>
      <c r="K351" s="2" t="s">
        <v>1633</v>
      </c>
      <c r="L351" s="3">
        <v>71.54</v>
      </c>
      <c r="M351" s="3">
        <v>75.12</v>
      </c>
      <c r="N351" s="3">
        <v>157.99</v>
      </c>
      <c r="O351" s="2" t="s">
        <v>95</v>
      </c>
      <c r="P351" s="2" t="s">
        <v>140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369</v>
      </c>
      <c r="W351" s="2" t="s">
        <v>242</v>
      </c>
      <c r="X351" s="2" t="s">
        <v>98</v>
      </c>
      <c r="Y351" s="2" t="s">
        <v>1457</v>
      </c>
      <c r="Z351" s="4">
        <v>23</v>
      </c>
      <c r="AA351" s="4">
        <f>=ROUNDDOWN(11.5,0)</f>
      </c>
      <c r="AB351" s="5">
        <v>2</v>
      </c>
      <c r="AC351" s="2" t="s">
        <v>98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98</v>
      </c>
      <c r="BM351" s="7"/>
      <c r="BN351" s="7"/>
      <c r="BO351" s="4"/>
      <c r="BP351" s="8"/>
      <c r="BQ351" s="4"/>
      <c r="BR351" s="8"/>
      <c r="BS351" s="7"/>
      <c r="BT351" s="7"/>
      <c r="BU351" s="2" t="s">
        <v>106</v>
      </c>
      <c r="BV351" s="2" t="s">
        <v>95</v>
      </c>
      <c r="BW351" s="2" t="s">
        <v>607</v>
      </c>
      <c r="BX351" s="2" t="s">
        <v>1155</v>
      </c>
      <c r="BY351" s="2" t="s">
        <v>109</v>
      </c>
      <c r="BZ351" s="2" t="s">
        <v>98</v>
      </c>
    </row>
    <row r="352">
      <c r="A352" s="2" t="s">
        <v>1727</v>
      </c>
      <c r="B352" s="2" t="s">
        <v>1628</v>
      </c>
      <c r="C352" s="2" t="s">
        <v>88</v>
      </c>
      <c r="D352" s="2" t="s">
        <v>1629</v>
      </c>
      <c r="E352" s="2" t="s">
        <v>1630</v>
      </c>
      <c r="F352" s="2" t="s">
        <v>1728</v>
      </c>
      <c r="G352" s="2" t="s">
        <v>1728</v>
      </c>
      <c r="H352" s="2" t="s">
        <v>1728</v>
      </c>
      <c r="I352" s="2" t="s">
        <v>1640</v>
      </c>
      <c r="J352" s="2" t="s">
        <v>661</v>
      </c>
      <c r="K352" s="2" t="s">
        <v>484</v>
      </c>
      <c r="L352" s="3">
        <v>64.06</v>
      </c>
      <c r="M352" s="3">
        <v>67.26</v>
      </c>
      <c r="N352" s="3">
        <v>139.99</v>
      </c>
      <c r="O352" s="2" t="s">
        <v>95</v>
      </c>
      <c r="P352" s="2" t="s">
        <v>140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98</v>
      </c>
      <c r="V352" s="2" t="s">
        <v>208</v>
      </c>
      <c r="W352" s="2" t="s">
        <v>377</v>
      </c>
      <c r="X352" s="2" t="s">
        <v>1729</v>
      </c>
      <c r="Y352" s="2" t="s">
        <v>1730</v>
      </c>
      <c r="Z352" s="4">
        <v>93</v>
      </c>
      <c r="AA352" s="4">
        <f>=ROUNDDOWN(31,0)</f>
      </c>
      <c r="AB352" s="5">
        <v>3</v>
      </c>
      <c r="AC352" s="2" t="s">
        <v>98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1</v>
      </c>
      <c r="BK352" s="8">
        <v>53.5</v>
      </c>
      <c r="BL352" s="2" t="s">
        <v>355</v>
      </c>
      <c r="BM352" s="7"/>
      <c r="BN352" s="7"/>
      <c r="BO352" s="4"/>
      <c r="BP352" s="8"/>
      <c r="BQ352" s="4"/>
      <c r="BR352" s="8"/>
      <c r="BS352" s="7"/>
      <c r="BT352" s="7"/>
      <c r="BU352" s="2" t="s">
        <v>106</v>
      </c>
      <c r="BV352" s="2" t="s">
        <v>95</v>
      </c>
      <c r="BW352" s="2" t="s">
        <v>144</v>
      </c>
      <c r="BX352" s="2" t="s">
        <v>1731</v>
      </c>
      <c r="BY352" s="2" t="s">
        <v>109</v>
      </c>
      <c r="BZ352" s="2" t="s">
        <v>98</v>
      </c>
    </row>
    <row r="353">
      <c r="A353" s="2" t="s">
        <v>1732</v>
      </c>
      <c r="B353" s="2" t="s">
        <v>1628</v>
      </c>
      <c r="C353" s="2" t="s">
        <v>88</v>
      </c>
      <c r="D353" s="2" t="s">
        <v>1629</v>
      </c>
      <c r="E353" s="2" t="s">
        <v>1630</v>
      </c>
      <c r="F353" s="2" t="s">
        <v>1733</v>
      </c>
      <c r="G353" s="2" t="s">
        <v>1733</v>
      </c>
      <c r="H353" s="2" t="s">
        <v>1733</v>
      </c>
      <c r="I353" s="2" t="s">
        <v>1734</v>
      </c>
      <c r="J353" s="2" t="s">
        <v>661</v>
      </c>
      <c r="K353" s="2" t="s">
        <v>1735</v>
      </c>
      <c r="L353" s="3">
        <v>45.36</v>
      </c>
      <c r="M353" s="3">
        <v>47.63</v>
      </c>
      <c r="N353" s="3">
        <v>104.99</v>
      </c>
      <c r="O353" s="2" t="s">
        <v>95</v>
      </c>
      <c r="P353" s="2" t="s">
        <v>714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590</v>
      </c>
      <c r="V353" s="2" t="s">
        <v>369</v>
      </c>
      <c r="W353" s="2" t="s">
        <v>729</v>
      </c>
      <c r="X353" s="2" t="s">
        <v>98</v>
      </c>
      <c r="Y353" s="2" t="s">
        <v>1736</v>
      </c>
      <c r="Z353" s="4">
        <v>90</v>
      </c>
      <c r="AA353" s="4">
        <f>=ROUNDDOWN(45,0)</f>
      </c>
      <c r="AB353" s="5">
        <v>2</v>
      </c>
      <c r="AC353" s="2" t="s">
        <v>98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98</v>
      </c>
      <c r="BM353" s="7"/>
      <c r="BN353" s="7"/>
      <c r="BO353" s="4"/>
      <c r="BP353" s="8"/>
      <c r="BQ353" s="4"/>
      <c r="BR353" s="8"/>
      <c r="BS353" s="7"/>
      <c r="BT353" s="7"/>
      <c r="BU353" s="2" t="s">
        <v>106</v>
      </c>
      <c r="BV353" s="2" t="s">
        <v>95</v>
      </c>
      <c r="BW353" s="2" t="s">
        <v>144</v>
      </c>
      <c r="BX353" s="2" t="s">
        <v>447</v>
      </c>
      <c r="BY353" s="2" t="s">
        <v>109</v>
      </c>
      <c r="BZ353" s="2" t="s">
        <v>98</v>
      </c>
    </row>
    <row r="354">
      <c r="A354" s="2" t="s">
        <v>1737</v>
      </c>
      <c r="B354" s="2" t="s">
        <v>1628</v>
      </c>
      <c r="C354" s="2" t="s">
        <v>88</v>
      </c>
      <c r="D354" s="2" t="s">
        <v>1629</v>
      </c>
      <c r="E354" s="2" t="s">
        <v>1630</v>
      </c>
      <c r="F354" s="2" t="s">
        <v>1738</v>
      </c>
      <c r="G354" s="2" t="s">
        <v>1738</v>
      </c>
      <c r="H354" s="2" t="s">
        <v>1738</v>
      </c>
      <c r="I354" s="2" t="s">
        <v>1739</v>
      </c>
      <c r="J354" s="2" t="s">
        <v>661</v>
      </c>
      <c r="K354" s="2" t="s">
        <v>1740</v>
      </c>
      <c r="L354" s="3">
        <v>55</v>
      </c>
      <c r="M354" s="3">
        <v>57.75</v>
      </c>
      <c r="N354" s="3">
        <v>114.99</v>
      </c>
      <c r="O354" s="2" t="s">
        <v>95</v>
      </c>
      <c r="P354" s="2" t="s">
        <v>140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590</v>
      </c>
      <c r="V354" s="2" t="s">
        <v>369</v>
      </c>
      <c r="W354" s="2" t="s">
        <v>190</v>
      </c>
      <c r="X354" s="2" t="s">
        <v>242</v>
      </c>
      <c r="Y354" s="2" t="s">
        <v>1662</v>
      </c>
      <c r="Z354" s="4">
        <v>111</v>
      </c>
      <c r="AA354" s="4">
        <f>=ROUNDDOWN(55.5,0)</f>
      </c>
      <c r="AB354" s="5">
        <v>2</v>
      </c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98</v>
      </c>
      <c r="BM354" s="7"/>
      <c r="BN354" s="7"/>
      <c r="BO354" s="4"/>
      <c r="BP354" s="8"/>
      <c r="BQ354" s="4"/>
      <c r="BR354" s="8"/>
      <c r="BS354" s="7"/>
      <c r="BT354" s="7"/>
      <c r="BU354" s="2" t="s">
        <v>106</v>
      </c>
      <c r="BV354" s="2" t="s">
        <v>95</v>
      </c>
      <c r="BW354" s="2" t="s">
        <v>665</v>
      </c>
      <c r="BX354" s="2" t="s">
        <v>1741</v>
      </c>
      <c r="BY354" s="2" t="s">
        <v>109</v>
      </c>
      <c r="BZ354" s="2" t="s">
        <v>98</v>
      </c>
    </row>
    <row r="355">
      <c r="A355" s="2" t="s">
        <v>1742</v>
      </c>
      <c r="B355" s="2" t="s">
        <v>1628</v>
      </c>
      <c r="C355" s="2" t="s">
        <v>88</v>
      </c>
      <c r="D355" s="2" t="s">
        <v>1629</v>
      </c>
      <c r="E355" s="2" t="s">
        <v>1630</v>
      </c>
      <c r="F355" s="2" t="s">
        <v>1743</v>
      </c>
      <c r="G355" s="2" t="s">
        <v>1743</v>
      </c>
      <c r="H355" s="2" t="s">
        <v>1743</v>
      </c>
      <c r="I355" s="2" t="s">
        <v>1744</v>
      </c>
      <c r="J355" s="2" t="s">
        <v>661</v>
      </c>
      <c r="K355" s="2" t="s">
        <v>1745</v>
      </c>
      <c r="L355" s="3">
        <v>78.14</v>
      </c>
      <c r="M355" s="3">
        <v>82.05</v>
      </c>
      <c r="N355" s="3">
        <v>179.99</v>
      </c>
      <c r="O355" s="2" t="s">
        <v>95</v>
      </c>
      <c r="P355" s="2" t="s">
        <v>140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590</v>
      </c>
      <c r="V355" s="2" t="s">
        <v>369</v>
      </c>
      <c r="W355" s="2" t="s">
        <v>98</v>
      </c>
      <c r="X355" s="2" t="s">
        <v>98</v>
      </c>
      <c r="Y355" s="2" t="s">
        <v>1746</v>
      </c>
      <c r="Z355" s="4">
        <v>125</v>
      </c>
      <c r="AA355" s="4">
        <f>=ROUNDDOWN(62.5,0)</f>
      </c>
      <c r="AB355" s="5">
        <v>2</v>
      </c>
      <c r="AC355" s="2" t="s">
        <v>473</v>
      </c>
      <c r="AD355" s="4">
        <v>50</v>
      </c>
      <c r="AE355" s="4">
        <v>50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98</v>
      </c>
      <c r="BM355" s="7"/>
      <c r="BN355" s="7"/>
      <c r="BO355" s="4"/>
      <c r="BP355" s="8"/>
      <c r="BQ355" s="4"/>
      <c r="BR355" s="8"/>
      <c r="BS355" s="7"/>
      <c r="BT355" s="7"/>
      <c r="BU355" s="2" t="s">
        <v>106</v>
      </c>
      <c r="BV355" s="2" t="s">
        <v>95</v>
      </c>
      <c r="BW355" s="2" t="s">
        <v>1747</v>
      </c>
      <c r="BX355" s="2" t="s">
        <v>247</v>
      </c>
      <c r="BY355" s="2" t="s">
        <v>109</v>
      </c>
      <c r="BZ355" s="2" t="s">
        <v>98</v>
      </c>
    </row>
    <row r="356">
      <c r="A356" s="2" t="s">
        <v>1748</v>
      </c>
      <c r="B356" s="2" t="s">
        <v>1628</v>
      </c>
      <c r="C356" s="2" t="s">
        <v>88</v>
      </c>
      <c r="D356" s="2" t="s">
        <v>1629</v>
      </c>
      <c r="E356" s="2" t="s">
        <v>1630</v>
      </c>
      <c r="F356" s="2" t="s">
        <v>1749</v>
      </c>
      <c r="G356" s="2" t="s">
        <v>1749</v>
      </c>
      <c r="H356" s="2" t="s">
        <v>1749</v>
      </c>
      <c r="I356" s="2" t="s">
        <v>1750</v>
      </c>
      <c r="J356" s="2" t="s">
        <v>661</v>
      </c>
      <c r="K356" s="2" t="s">
        <v>484</v>
      </c>
      <c r="L356" s="3">
        <v>14.85</v>
      </c>
      <c r="M356" s="3">
        <v>15.59</v>
      </c>
      <c r="N356" s="3">
        <v>34.99</v>
      </c>
      <c r="O356" s="2" t="s">
        <v>95</v>
      </c>
      <c r="P356" s="2" t="s">
        <v>128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590</v>
      </c>
      <c r="V356" s="2" t="s">
        <v>208</v>
      </c>
      <c r="W356" s="2" t="s">
        <v>242</v>
      </c>
      <c r="X356" s="2" t="s">
        <v>377</v>
      </c>
      <c r="Y356" s="2" t="s">
        <v>1751</v>
      </c>
      <c r="Z356" s="4">
        <v>49</v>
      </c>
      <c r="AA356" s="4">
        <f>=ROUNDDOWN(40.8333333333333,0)</f>
      </c>
      <c r="AB356" s="5">
        <v>1.2</v>
      </c>
      <c r="AC356" s="2" t="s">
        <v>98</v>
      </c>
      <c r="AD356" s="4"/>
      <c r="AE356" s="4"/>
      <c r="AF356" s="6">
        <v>63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6</v>
      </c>
      <c r="BK356" s="8">
        <v>96.08</v>
      </c>
      <c r="BL356" s="2" t="s">
        <v>1752</v>
      </c>
      <c r="BM356" s="7"/>
      <c r="BN356" s="7"/>
      <c r="BO356" s="4"/>
      <c r="BP356" s="8"/>
      <c r="BQ356" s="4"/>
      <c r="BR356" s="8"/>
      <c r="BS356" s="7"/>
      <c r="BT356" s="7"/>
      <c r="BU356" s="2" t="s">
        <v>106</v>
      </c>
      <c r="BV356" s="2" t="s">
        <v>95</v>
      </c>
      <c r="BW356" s="2" t="s">
        <v>697</v>
      </c>
      <c r="BX356" s="2" t="s">
        <v>809</v>
      </c>
      <c r="BY356" s="2" t="s">
        <v>109</v>
      </c>
      <c r="BZ356" s="2" t="s">
        <v>98</v>
      </c>
    </row>
    <row r="357">
      <c r="A357" s="2" t="s">
        <v>1753</v>
      </c>
      <c r="B357" s="2" t="s">
        <v>1628</v>
      </c>
      <c r="C357" s="2" t="s">
        <v>88</v>
      </c>
      <c r="D357" s="2" t="s">
        <v>1629</v>
      </c>
      <c r="E357" s="2" t="s">
        <v>1630</v>
      </c>
      <c r="F357" s="2" t="s">
        <v>1754</v>
      </c>
      <c r="G357" s="2" t="s">
        <v>1754</v>
      </c>
      <c r="H357" s="2" t="s">
        <v>1754</v>
      </c>
      <c r="I357" s="2" t="s">
        <v>1755</v>
      </c>
      <c r="J357" s="2" t="s">
        <v>661</v>
      </c>
      <c r="K357" s="2" t="s">
        <v>152</v>
      </c>
      <c r="L357" s="3">
        <v>72</v>
      </c>
      <c r="M357" s="3">
        <v>75.6</v>
      </c>
      <c r="N357" s="3">
        <v>149.99</v>
      </c>
      <c r="O357" s="2" t="s">
        <v>95</v>
      </c>
      <c r="P357" s="2" t="s">
        <v>140</v>
      </c>
      <c r="Q357" s="2" t="s">
        <v>97</v>
      </c>
      <c r="R357" s="2" t="s">
        <v>98</v>
      </c>
      <c r="S357" s="2" t="s">
        <v>1756</v>
      </c>
      <c r="T357" s="2" t="s">
        <v>98</v>
      </c>
      <c r="U357" s="2" t="s">
        <v>98</v>
      </c>
      <c r="V357" s="2" t="s">
        <v>208</v>
      </c>
      <c r="W357" s="2" t="s">
        <v>242</v>
      </c>
      <c r="X357" s="2" t="s">
        <v>98</v>
      </c>
      <c r="Y357" s="2" t="s">
        <v>354</v>
      </c>
      <c r="Z357" s="4">
        <v>136</v>
      </c>
      <c r="AA357" s="4">
        <f>=ROUNDDOWN(41.2121212121212,0)</f>
      </c>
      <c r="AB357" s="5">
        <v>3.3</v>
      </c>
      <c r="AC357" s="2" t="s">
        <v>98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5</v>
      </c>
      <c r="BK357" s="8">
        <v>415.04</v>
      </c>
      <c r="BL357" s="2" t="s">
        <v>1757</v>
      </c>
      <c r="BM357" s="7"/>
      <c r="BN357" s="7"/>
      <c r="BO357" s="4"/>
      <c r="BP357" s="8"/>
      <c r="BQ357" s="4"/>
      <c r="BR357" s="8"/>
      <c r="BS357" s="7"/>
      <c r="BT357" s="7"/>
      <c r="BU357" s="2" t="s">
        <v>106</v>
      </c>
      <c r="BV357" s="2" t="s">
        <v>95</v>
      </c>
      <c r="BW357" s="2" t="s">
        <v>1636</v>
      </c>
      <c r="BX357" s="2" t="s">
        <v>1758</v>
      </c>
      <c r="BY357" s="2" t="s">
        <v>109</v>
      </c>
      <c r="BZ357" s="2" t="s">
        <v>98</v>
      </c>
    </row>
    <row r="358">
      <c r="A358" s="2" t="s">
        <v>1759</v>
      </c>
      <c r="B358" s="2" t="s">
        <v>1628</v>
      </c>
      <c r="C358" s="2" t="s">
        <v>88</v>
      </c>
      <c r="D358" s="2" t="s">
        <v>1629</v>
      </c>
      <c r="E358" s="2" t="s">
        <v>1630</v>
      </c>
      <c r="F358" s="2" t="s">
        <v>1760</v>
      </c>
      <c r="G358" s="2" t="s">
        <v>1760</v>
      </c>
      <c r="H358" s="2" t="s">
        <v>1760</v>
      </c>
      <c r="I358" s="2" t="s">
        <v>1640</v>
      </c>
      <c r="J358" s="2" t="s">
        <v>661</v>
      </c>
      <c r="K358" s="2" t="s">
        <v>484</v>
      </c>
      <c r="L358" s="3">
        <v>39.2</v>
      </c>
      <c r="M358" s="3">
        <v>41.16</v>
      </c>
      <c r="N358" s="3">
        <v>79.99</v>
      </c>
      <c r="O358" s="2" t="s">
        <v>95</v>
      </c>
      <c r="P358" s="2" t="s">
        <v>177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590</v>
      </c>
      <c r="V358" s="2" t="s">
        <v>369</v>
      </c>
      <c r="W358" s="2" t="s">
        <v>190</v>
      </c>
      <c r="X358" s="2" t="s">
        <v>242</v>
      </c>
      <c r="Y358" s="2" t="s">
        <v>1761</v>
      </c>
      <c r="Z358" s="4">
        <v>44</v>
      </c>
      <c r="AA358" s="4">
        <f>=ROUNDDOWN(11,0)</f>
      </c>
      <c r="AB358" s="5">
        <v>4</v>
      </c>
      <c r="AC358" s="2" t="s">
        <v>342</v>
      </c>
      <c r="AD358" s="4">
        <v>100</v>
      </c>
      <c r="AE358" s="4">
        <v>100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1</v>
      </c>
      <c r="BK358" s="8">
        <v>46.1</v>
      </c>
      <c r="BL358" s="2" t="s">
        <v>1348</v>
      </c>
      <c r="BM358" s="7"/>
      <c r="BN358" s="7"/>
      <c r="BO358" s="4"/>
      <c r="BP358" s="8"/>
      <c r="BQ358" s="4"/>
      <c r="BR358" s="8"/>
      <c r="BS358" s="7"/>
      <c r="BT358" s="7"/>
      <c r="BU358" s="2" t="s">
        <v>832</v>
      </c>
      <c r="BV358" s="2" t="s">
        <v>95</v>
      </c>
      <c r="BW358" s="2" t="s">
        <v>98</v>
      </c>
      <c r="BX358" s="2" t="s">
        <v>98</v>
      </c>
      <c r="BY358" s="2" t="s">
        <v>109</v>
      </c>
      <c r="BZ358" s="2" t="s">
        <v>98</v>
      </c>
    </row>
    <row r="359">
      <c r="A359" s="2" t="s">
        <v>1762</v>
      </c>
      <c r="B359" s="2" t="s">
        <v>1628</v>
      </c>
      <c r="C359" s="2" t="s">
        <v>88</v>
      </c>
      <c r="D359" s="2" t="s">
        <v>1629</v>
      </c>
      <c r="E359" s="2" t="s">
        <v>1630</v>
      </c>
      <c r="F359" s="2" t="s">
        <v>1763</v>
      </c>
      <c r="G359" s="2" t="s">
        <v>1763</v>
      </c>
      <c r="H359" s="2" t="s">
        <v>1763</v>
      </c>
      <c r="I359" s="2" t="s">
        <v>1764</v>
      </c>
      <c r="J359" s="2" t="s">
        <v>661</v>
      </c>
      <c r="K359" s="2" t="s">
        <v>1765</v>
      </c>
      <c r="L359" s="3">
        <v>44.37</v>
      </c>
      <c r="M359" s="3">
        <v>46.59</v>
      </c>
      <c r="N359" s="3">
        <v>104.99</v>
      </c>
      <c r="O359" s="2" t="s">
        <v>95</v>
      </c>
      <c r="P359" s="2" t="s">
        <v>140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590</v>
      </c>
      <c r="V359" s="2" t="s">
        <v>369</v>
      </c>
      <c r="W359" s="2" t="s">
        <v>242</v>
      </c>
      <c r="X359" s="2" t="s">
        <v>384</v>
      </c>
      <c r="Y359" s="2" t="s">
        <v>1766</v>
      </c>
      <c r="Z359" s="4">
        <v>69</v>
      </c>
      <c r="AA359" s="4">
        <f>=ROUNDDOWN(26.5384615384615,0)</f>
      </c>
      <c r="AB359" s="5">
        <v>2.6</v>
      </c>
      <c r="AC359" s="2" t="s">
        <v>98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1</v>
      </c>
      <c r="BK359" s="8">
        <v>56.94</v>
      </c>
      <c r="BL359" s="2" t="s">
        <v>143</v>
      </c>
      <c r="BM359" s="7"/>
      <c r="BN359" s="7"/>
      <c r="BO359" s="4"/>
      <c r="BP359" s="8"/>
      <c r="BQ359" s="4"/>
      <c r="BR359" s="8"/>
      <c r="BS359" s="7"/>
      <c r="BT359" s="7"/>
      <c r="BU359" s="2" t="s">
        <v>106</v>
      </c>
      <c r="BV359" s="2" t="s">
        <v>95</v>
      </c>
      <c r="BW359" s="2" t="s">
        <v>144</v>
      </c>
      <c r="BX359" s="2" t="s">
        <v>1767</v>
      </c>
      <c r="BY359" s="2" t="s">
        <v>109</v>
      </c>
      <c r="BZ359" s="2" t="s">
        <v>98</v>
      </c>
    </row>
    <row r="360">
      <c r="A360" s="2" t="s">
        <v>1768</v>
      </c>
      <c r="B360" s="2" t="s">
        <v>1628</v>
      </c>
      <c r="C360" s="2" t="s">
        <v>88</v>
      </c>
      <c r="D360" s="2" t="s">
        <v>1629</v>
      </c>
      <c r="E360" s="2" t="s">
        <v>1630</v>
      </c>
      <c r="F360" s="2" t="s">
        <v>1769</v>
      </c>
      <c r="G360" s="2" t="s">
        <v>1769</v>
      </c>
      <c r="H360" s="2" t="s">
        <v>1769</v>
      </c>
      <c r="I360" s="2" t="s">
        <v>1770</v>
      </c>
      <c r="J360" s="2" t="s">
        <v>661</v>
      </c>
      <c r="K360" s="2" t="s">
        <v>484</v>
      </c>
      <c r="L360" s="3">
        <v>40.5</v>
      </c>
      <c r="M360" s="3">
        <v>42.53</v>
      </c>
      <c r="N360" s="3">
        <v>84.99</v>
      </c>
      <c r="O360" s="2" t="s">
        <v>95</v>
      </c>
      <c r="P360" s="2" t="s">
        <v>177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590</v>
      </c>
      <c r="V360" s="2" t="s">
        <v>369</v>
      </c>
      <c r="W360" s="2" t="s">
        <v>242</v>
      </c>
      <c r="X360" s="2" t="s">
        <v>190</v>
      </c>
      <c r="Y360" s="2" t="s">
        <v>1771</v>
      </c>
      <c r="Z360" s="4">
        <v>68</v>
      </c>
      <c r="AA360" s="4">
        <f>=ROUNDDOWN(68,0)</f>
      </c>
      <c r="AB360" s="5">
        <v>1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5</v>
      </c>
      <c r="BK360" s="8">
        <v>212.6</v>
      </c>
      <c r="BL360" s="2" t="s">
        <v>502</v>
      </c>
      <c r="BM360" s="7"/>
      <c r="BN360" s="7"/>
      <c r="BO360" s="4"/>
      <c r="BP360" s="8"/>
      <c r="BQ360" s="4"/>
      <c r="BR360" s="8"/>
      <c r="BS360" s="7"/>
      <c r="BT360" s="7"/>
      <c r="BU360" s="2" t="s">
        <v>832</v>
      </c>
      <c r="BV360" s="2" t="s">
        <v>95</v>
      </c>
      <c r="BW360" s="2" t="s">
        <v>98</v>
      </c>
      <c r="BX360" s="2" t="s">
        <v>98</v>
      </c>
      <c r="BY360" s="2" t="s">
        <v>109</v>
      </c>
      <c r="BZ360" s="2" t="s">
        <v>98</v>
      </c>
    </row>
    <row r="361">
      <c r="A361" s="2" t="s">
        <v>1772</v>
      </c>
      <c r="B361" s="2" t="s">
        <v>1628</v>
      </c>
      <c r="C361" s="2" t="s">
        <v>88</v>
      </c>
      <c r="D361" s="2" t="s">
        <v>1629</v>
      </c>
      <c r="E361" s="2" t="s">
        <v>1630</v>
      </c>
      <c r="F361" s="2" t="s">
        <v>1773</v>
      </c>
      <c r="G361" s="2" t="s">
        <v>1773</v>
      </c>
      <c r="H361" s="2" t="s">
        <v>1773</v>
      </c>
      <c r="I361" s="2" t="s">
        <v>1774</v>
      </c>
      <c r="J361" s="2" t="s">
        <v>661</v>
      </c>
      <c r="K361" s="2" t="s">
        <v>631</v>
      </c>
      <c r="L361" s="3">
        <v>38.4</v>
      </c>
      <c r="M361" s="3">
        <v>40.32</v>
      </c>
      <c r="N361" s="3">
        <v>79.99</v>
      </c>
      <c r="O361" s="2" t="s">
        <v>95</v>
      </c>
      <c r="P361" s="2" t="s">
        <v>177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590</v>
      </c>
      <c r="V361" s="2" t="s">
        <v>369</v>
      </c>
      <c r="W361" s="2" t="s">
        <v>1677</v>
      </c>
      <c r="X361" s="2" t="s">
        <v>242</v>
      </c>
      <c r="Y361" s="2" t="s">
        <v>1698</v>
      </c>
      <c r="Z361" s="4">
        <v>74</v>
      </c>
      <c r="AA361" s="4">
        <f>=ROUNDDOWN(37,0)</f>
      </c>
      <c r="AB361" s="5">
        <v>2</v>
      </c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/>
      <c r="BK361" s="8"/>
      <c r="BL361" s="2" t="s">
        <v>98</v>
      </c>
      <c r="BM361" s="7"/>
      <c r="BN361" s="7"/>
      <c r="BO361" s="4"/>
      <c r="BP361" s="8"/>
      <c r="BQ361" s="4"/>
      <c r="BR361" s="8"/>
      <c r="BS361" s="7"/>
      <c r="BT361" s="7"/>
      <c r="BU361" s="2" t="s">
        <v>106</v>
      </c>
      <c r="BV361" s="2" t="s">
        <v>95</v>
      </c>
      <c r="BW361" s="2" t="s">
        <v>457</v>
      </c>
      <c r="BX361" s="2" t="s">
        <v>1775</v>
      </c>
      <c r="BY361" s="2" t="s">
        <v>109</v>
      </c>
      <c r="BZ361" s="2" t="s">
        <v>98</v>
      </c>
    </row>
    <row r="362">
      <c r="A362" s="2" t="s">
        <v>1776</v>
      </c>
      <c r="B362" s="2" t="s">
        <v>1628</v>
      </c>
      <c r="C362" s="2" t="s">
        <v>88</v>
      </c>
      <c r="D362" s="2" t="s">
        <v>1777</v>
      </c>
      <c r="E362" s="2" t="s">
        <v>1778</v>
      </c>
      <c r="F362" s="2" t="s">
        <v>1725</v>
      </c>
      <c r="G362" s="2" t="s">
        <v>1725</v>
      </c>
      <c r="H362" s="2" t="s">
        <v>1725</v>
      </c>
      <c r="I362" s="2" t="s">
        <v>1779</v>
      </c>
      <c r="J362" s="2" t="s">
        <v>661</v>
      </c>
      <c r="K362" s="2" t="s">
        <v>1633</v>
      </c>
      <c r="L362" s="3">
        <v>129.06</v>
      </c>
      <c r="M362" s="3">
        <v>135.51</v>
      </c>
      <c r="N362" s="3">
        <v>284.99</v>
      </c>
      <c r="O362" s="2" t="s">
        <v>95</v>
      </c>
      <c r="P362" s="2" t="s">
        <v>140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98</v>
      </c>
      <c r="V362" s="2" t="s">
        <v>369</v>
      </c>
      <c r="W362" s="2" t="s">
        <v>377</v>
      </c>
      <c r="X362" s="2" t="s">
        <v>98</v>
      </c>
      <c r="Y362" s="2" t="s">
        <v>1457</v>
      </c>
      <c r="Z362" s="4">
        <v>48</v>
      </c>
      <c r="AA362" s="4">
        <f>=ROUNDDOWN(28.2352941176471,0)</f>
      </c>
      <c r="AB362" s="5">
        <v>1.7</v>
      </c>
      <c r="AC362" s="2" t="s">
        <v>98</v>
      </c>
      <c r="AD362" s="4"/>
      <c r="AE362" s="4"/>
      <c r="AF362" s="6">
        <v>63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/>
      <c r="AP362" s="4">
        <v>1</v>
      </c>
      <c r="AQ362" s="8">
        <v>157.83</v>
      </c>
      <c r="AR362" s="4"/>
      <c r="AS362" s="8"/>
      <c r="AT362" s="7"/>
      <c r="AU362" s="7"/>
      <c r="AV362" s="4">
        <v>1</v>
      </c>
      <c r="AW362" s="8">
        <v>157.83</v>
      </c>
      <c r="AX362" s="4"/>
      <c r="AY362" s="8"/>
      <c r="AZ362" s="7"/>
      <c r="BA362" s="7"/>
      <c r="BB362" s="7">
        <v>1</v>
      </c>
      <c r="BC362" s="4">
        <v>1</v>
      </c>
      <c r="BD362" s="8">
        <v>157.83</v>
      </c>
      <c r="BE362" s="4"/>
      <c r="BF362" s="8"/>
      <c r="BG362" s="7"/>
      <c r="BH362" s="7"/>
      <c r="BI362" s="7">
        <v>1</v>
      </c>
      <c r="BJ362" s="4">
        <v>2</v>
      </c>
      <c r="BK362" s="8">
        <v>293.34</v>
      </c>
      <c r="BL362" s="2" t="s">
        <v>1323</v>
      </c>
      <c r="BM362" s="7">
        <v>0.5</v>
      </c>
      <c r="BN362" s="7">
        <v>0.538</v>
      </c>
      <c r="BO362" s="4">
        <v>1</v>
      </c>
      <c r="BP362" s="8">
        <v>157.83</v>
      </c>
      <c r="BQ362" s="4"/>
      <c r="BR362" s="8"/>
      <c r="BS362" s="7"/>
      <c r="BT362" s="7"/>
      <c r="BU362" s="2" t="s">
        <v>106</v>
      </c>
      <c r="BV362" s="2" t="s">
        <v>95</v>
      </c>
      <c r="BW362" s="2" t="s">
        <v>1127</v>
      </c>
      <c r="BX362" s="2" t="s">
        <v>1780</v>
      </c>
      <c r="BY362" s="2" t="s">
        <v>109</v>
      </c>
      <c r="BZ362" s="2" t="s">
        <v>98</v>
      </c>
    </row>
    <row r="363">
      <c r="A363" s="2" t="s">
        <v>1781</v>
      </c>
      <c r="B363" s="2" t="s">
        <v>1628</v>
      </c>
      <c r="C363" s="2" t="s">
        <v>88</v>
      </c>
      <c r="D363" s="2" t="s">
        <v>1777</v>
      </c>
      <c r="E363" s="2" t="s">
        <v>1778</v>
      </c>
      <c r="F363" s="2" t="s">
        <v>1782</v>
      </c>
      <c r="G363" s="2" t="s">
        <v>1782</v>
      </c>
      <c r="H363" s="2" t="s">
        <v>1782</v>
      </c>
      <c r="I363" s="2" t="s">
        <v>1783</v>
      </c>
      <c r="J363" s="2" t="s">
        <v>661</v>
      </c>
      <c r="K363" s="2" t="s">
        <v>1661</v>
      </c>
      <c r="L363" s="3">
        <v>127.24</v>
      </c>
      <c r="M363" s="3">
        <v>133.6</v>
      </c>
      <c r="N363" s="3">
        <v>289.99</v>
      </c>
      <c r="O363" s="2" t="s">
        <v>95</v>
      </c>
      <c r="P363" s="2" t="s">
        <v>140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98</v>
      </c>
      <c r="V363" s="2" t="s">
        <v>208</v>
      </c>
      <c r="W363" s="2" t="s">
        <v>377</v>
      </c>
      <c r="X363" s="2" t="s">
        <v>98</v>
      </c>
      <c r="Y363" s="2" t="s">
        <v>1784</v>
      </c>
      <c r="Z363" s="4">
        <v>118</v>
      </c>
      <c r="AA363" s="4">
        <f>=ROUNDDOWN(84.2857142857143,0)</f>
      </c>
      <c r="AB363" s="5">
        <v>1.4</v>
      </c>
      <c r="AC363" s="2" t="s">
        <v>98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98</v>
      </c>
      <c r="BM363" s="7"/>
      <c r="BN363" s="7"/>
      <c r="BO363" s="4"/>
      <c r="BP363" s="8"/>
      <c r="BQ363" s="4"/>
      <c r="BR363" s="8"/>
      <c r="BS363" s="7"/>
      <c r="BT363" s="7"/>
      <c r="BU363" s="2" t="s">
        <v>106</v>
      </c>
      <c r="BV363" s="2" t="s">
        <v>95</v>
      </c>
      <c r="BW363" s="2" t="s">
        <v>1747</v>
      </c>
      <c r="BX363" s="2" t="s">
        <v>1785</v>
      </c>
      <c r="BY363" s="2" t="s">
        <v>109</v>
      </c>
      <c r="BZ363" s="2" t="s">
        <v>98</v>
      </c>
    </row>
    <row r="364">
      <c r="A364" s="2" t="s">
        <v>1786</v>
      </c>
      <c r="B364" s="2" t="s">
        <v>1628</v>
      </c>
      <c r="C364" s="2" t="s">
        <v>88</v>
      </c>
      <c r="D364" s="2" t="s">
        <v>1777</v>
      </c>
      <c r="E364" s="2" t="s">
        <v>1778</v>
      </c>
      <c r="F364" s="2" t="s">
        <v>127</v>
      </c>
      <c r="G364" s="2" t="s">
        <v>127</v>
      </c>
      <c r="H364" s="2" t="s">
        <v>127</v>
      </c>
      <c r="I364" s="2" t="s">
        <v>1787</v>
      </c>
      <c r="J364" s="2" t="s">
        <v>661</v>
      </c>
      <c r="K364" s="2" t="s">
        <v>1661</v>
      </c>
      <c r="L364" s="3">
        <v>86.4</v>
      </c>
      <c r="M364" s="3">
        <v>90.72</v>
      </c>
      <c r="N364" s="3">
        <v>179.99</v>
      </c>
      <c r="O364" s="2" t="s">
        <v>95</v>
      </c>
      <c r="P364" s="2" t="s">
        <v>140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590</v>
      </c>
      <c r="V364" s="2" t="s">
        <v>369</v>
      </c>
      <c r="W364" s="2" t="s">
        <v>377</v>
      </c>
      <c r="X364" s="2" t="s">
        <v>98</v>
      </c>
      <c r="Y364" s="2" t="s">
        <v>1788</v>
      </c>
      <c r="Z364" s="4">
        <v>45</v>
      </c>
      <c r="AA364" s="4">
        <f>=ROUNDDOWN(15,0)</f>
      </c>
      <c r="AB364" s="5">
        <v>3</v>
      </c>
      <c r="AC364" s="2" t="s">
        <v>98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2</v>
      </c>
      <c r="BK364" s="8">
        <v>195.96</v>
      </c>
      <c r="BL364" s="2" t="s">
        <v>1789</v>
      </c>
      <c r="BM364" s="7"/>
      <c r="BN364" s="7"/>
      <c r="BO364" s="4"/>
      <c r="BP364" s="8"/>
      <c r="BQ364" s="4"/>
      <c r="BR364" s="8"/>
      <c r="BS364" s="7"/>
      <c r="BT364" s="7"/>
      <c r="BU364" s="2" t="s">
        <v>106</v>
      </c>
      <c r="BV364" s="2" t="s">
        <v>95</v>
      </c>
      <c r="BW364" s="2" t="s">
        <v>607</v>
      </c>
      <c r="BX364" s="2" t="s">
        <v>627</v>
      </c>
      <c r="BY364" s="2" t="s">
        <v>109</v>
      </c>
      <c r="BZ364" s="2" t="s">
        <v>98</v>
      </c>
    </row>
    <row r="365">
      <c r="A365" s="2" t="s">
        <v>1790</v>
      </c>
      <c r="B365" s="2" t="s">
        <v>1628</v>
      </c>
      <c r="C365" s="2" t="s">
        <v>88</v>
      </c>
      <c r="D365" s="2" t="s">
        <v>1777</v>
      </c>
      <c r="E365" s="2" t="s">
        <v>1778</v>
      </c>
      <c r="F365" s="2" t="s">
        <v>1791</v>
      </c>
      <c r="G365" s="2" t="s">
        <v>1791</v>
      </c>
      <c r="H365" s="2" t="s">
        <v>1791</v>
      </c>
      <c r="I365" s="2" t="s">
        <v>1792</v>
      </c>
      <c r="J365" s="2" t="s">
        <v>661</v>
      </c>
      <c r="K365" s="2" t="s">
        <v>1793</v>
      </c>
      <c r="L365" s="3">
        <v>27.95</v>
      </c>
      <c r="M365" s="3">
        <v>29.35</v>
      </c>
      <c r="N365" s="3">
        <v>59.99</v>
      </c>
      <c r="O365" s="2" t="s">
        <v>161</v>
      </c>
      <c r="P365" s="2" t="s">
        <v>128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590</v>
      </c>
      <c r="V365" s="2" t="s">
        <v>369</v>
      </c>
      <c r="W365" s="2" t="s">
        <v>384</v>
      </c>
      <c r="X365" s="2" t="s">
        <v>98</v>
      </c>
      <c r="Y365" s="2" t="s">
        <v>833</v>
      </c>
      <c r="Z365" s="4"/>
      <c r="AA365" s="4">
        <f>=ROUNDDOWN({0},0)</f>
      </c>
      <c r="AB365" s="5">
        <v>1.7</v>
      </c>
      <c r="AC365" s="2" t="s">
        <v>98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10</v>
      </c>
      <c r="BK365" s="8">
        <v>269.19</v>
      </c>
      <c r="BL365" s="2" t="s">
        <v>1794</v>
      </c>
      <c r="BM365" s="7"/>
      <c r="BN365" s="7"/>
      <c r="BO365" s="4"/>
      <c r="BP365" s="8"/>
      <c r="BQ365" s="4"/>
      <c r="BR365" s="8"/>
      <c r="BS365" s="7"/>
      <c r="BT365" s="7"/>
      <c r="BU365" s="2" t="s">
        <v>106</v>
      </c>
      <c r="BV365" s="2" t="s">
        <v>95</v>
      </c>
      <c r="BW365" s="2" t="s">
        <v>144</v>
      </c>
      <c r="BX365" s="2" t="s">
        <v>1795</v>
      </c>
      <c r="BY365" s="2" t="s">
        <v>109</v>
      </c>
      <c r="BZ365" s="2" t="s">
        <v>98</v>
      </c>
    </row>
    <row r="366">
      <c r="A366" s="2" t="s">
        <v>1796</v>
      </c>
      <c r="B366" s="2" t="s">
        <v>1628</v>
      </c>
      <c r="C366" s="2" t="s">
        <v>88</v>
      </c>
      <c r="D366" s="2" t="s">
        <v>1777</v>
      </c>
      <c r="E366" s="2" t="s">
        <v>1778</v>
      </c>
      <c r="F366" s="2" t="s">
        <v>1797</v>
      </c>
      <c r="G366" s="2" t="s">
        <v>1797</v>
      </c>
      <c r="H366" s="2" t="s">
        <v>1797</v>
      </c>
      <c r="I366" s="2" t="s">
        <v>1798</v>
      </c>
      <c r="J366" s="2" t="s">
        <v>661</v>
      </c>
      <c r="K366" s="2" t="s">
        <v>1799</v>
      </c>
      <c r="L366" s="3">
        <v>86</v>
      </c>
      <c r="M366" s="3">
        <v>90.3</v>
      </c>
      <c r="N366" s="3">
        <v>179.99</v>
      </c>
      <c r="O366" s="2" t="s">
        <v>95</v>
      </c>
      <c r="P366" s="2" t="s">
        <v>177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590</v>
      </c>
      <c r="V366" s="2" t="s">
        <v>369</v>
      </c>
      <c r="W366" s="2" t="s">
        <v>384</v>
      </c>
      <c r="X366" s="2" t="s">
        <v>242</v>
      </c>
      <c r="Y366" s="2" t="s">
        <v>460</v>
      </c>
      <c r="Z366" s="4">
        <v>87</v>
      </c>
      <c r="AA366" s="4">
        <f>=ROUNDDOWN(87,0)</f>
      </c>
      <c r="AB366" s="5">
        <v>1</v>
      </c>
      <c r="AC366" s="2" t="s">
        <v>98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</v>
      </c>
      <c r="BK366" s="8">
        <v>198.66</v>
      </c>
      <c r="BL366" s="2" t="s">
        <v>143</v>
      </c>
      <c r="BM366" s="7"/>
      <c r="BN366" s="7"/>
      <c r="BO366" s="4"/>
      <c r="BP366" s="8"/>
      <c r="BQ366" s="4"/>
      <c r="BR366" s="8"/>
      <c r="BS366" s="7"/>
      <c r="BT366" s="7"/>
      <c r="BU366" s="2" t="s">
        <v>832</v>
      </c>
      <c r="BV366" s="2" t="s">
        <v>95</v>
      </c>
      <c r="BW366" s="2" t="s">
        <v>98</v>
      </c>
      <c r="BX366" s="2" t="s">
        <v>98</v>
      </c>
      <c r="BY366" s="2" t="s">
        <v>109</v>
      </c>
      <c r="BZ366" s="2" t="s">
        <v>98</v>
      </c>
    </row>
    <row r="367">
      <c r="A367" s="2" t="s">
        <v>1800</v>
      </c>
      <c r="B367" s="2" t="s">
        <v>1628</v>
      </c>
      <c r="C367" s="2" t="s">
        <v>88</v>
      </c>
      <c r="D367" s="2" t="s">
        <v>1777</v>
      </c>
      <c r="E367" s="2" t="s">
        <v>1778</v>
      </c>
      <c r="F367" s="2" t="s">
        <v>1801</v>
      </c>
      <c r="G367" s="2" t="s">
        <v>1801</v>
      </c>
      <c r="H367" s="2" t="s">
        <v>1801</v>
      </c>
      <c r="I367" s="2" t="s">
        <v>1802</v>
      </c>
      <c r="J367" s="2" t="s">
        <v>661</v>
      </c>
      <c r="K367" s="2" t="s">
        <v>1803</v>
      </c>
      <c r="L367" s="3">
        <v>27.14</v>
      </c>
      <c r="M367" s="3">
        <v>28.5</v>
      </c>
      <c r="N367" s="3">
        <v>59.99</v>
      </c>
      <c r="O367" s="2" t="s">
        <v>161</v>
      </c>
      <c r="P367" s="2" t="s">
        <v>128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590</v>
      </c>
      <c r="V367" s="2" t="s">
        <v>369</v>
      </c>
      <c r="W367" s="2" t="s">
        <v>377</v>
      </c>
      <c r="X367" s="2" t="s">
        <v>98</v>
      </c>
      <c r="Y367" s="2" t="s">
        <v>833</v>
      </c>
      <c r="Z367" s="4"/>
      <c r="AA367" s="4">
        <f>=ROUNDDOWN({0},0)</f>
      </c>
      <c r="AB367" s="5">
        <v>1.2</v>
      </c>
      <c r="AC367" s="2" t="s">
        <v>98</v>
      </c>
      <c r="AD367" s="4"/>
      <c r="AE367" s="4"/>
      <c r="AF367" s="6">
        <v>65</v>
      </c>
      <c r="AG367" s="6"/>
      <c r="AH367" s="7">
        <v>0.2857</v>
      </c>
      <c r="AI367" s="4"/>
      <c r="AJ367" s="4">
        <f>=ROUNDDOWN({0},0)</f>
      </c>
      <c r="AK367" s="5"/>
      <c r="AL367" s="2" t="s">
        <v>98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3</v>
      </c>
      <c r="BK367" s="8">
        <v>30.54</v>
      </c>
      <c r="BL367" s="2" t="s">
        <v>1348</v>
      </c>
      <c r="BM367" s="7"/>
      <c r="BN367" s="7"/>
      <c r="BO367" s="4"/>
      <c r="BP367" s="8"/>
      <c r="BQ367" s="4"/>
      <c r="BR367" s="8"/>
      <c r="BS367" s="7"/>
      <c r="BT367" s="7"/>
      <c r="BU367" s="2" t="s">
        <v>106</v>
      </c>
      <c r="BV367" s="2" t="s">
        <v>95</v>
      </c>
      <c r="BW367" s="2" t="s">
        <v>144</v>
      </c>
      <c r="BX367" s="2" t="s">
        <v>872</v>
      </c>
      <c r="BY367" s="2" t="s">
        <v>109</v>
      </c>
      <c r="BZ367" s="2" t="s">
        <v>98</v>
      </c>
    </row>
    <row r="368">
      <c r="A368" s="2" t="s">
        <v>1804</v>
      </c>
      <c r="B368" s="2" t="s">
        <v>1628</v>
      </c>
      <c r="C368" s="2" t="s">
        <v>88</v>
      </c>
      <c r="D368" s="2" t="s">
        <v>1777</v>
      </c>
      <c r="E368" s="2" t="s">
        <v>1778</v>
      </c>
      <c r="F368" s="2" t="s">
        <v>1805</v>
      </c>
      <c r="G368" s="2" t="s">
        <v>1805</v>
      </c>
      <c r="H368" s="2" t="s">
        <v>1805</v>
      </c>
      <c r="I368" s="2" t="s">
        <v>1806</v>
      </c>
      <c r="J368" s="2" t="s">
        <v>661</v>
      </c>
      <c r="K368" s="2" t="s">
        <v>1807</v>
      </c>
      <c r="L368" s="3">
        <v>39.25</v>
      </c>
      <c r="M368" s="3">
        <v>41.21</v>
      </c>
      <c r="N368" s="3">
        <v>79.99</v>
      </c>
      <c r="O368" s="2" t="s">
        <v>161</v>
      </c>
      <c r="P368" s="2" t="s">
        <v>128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590</v>
      </c>
      <c r="V368" s="2" t="s">
        <v>369</v>
      </c>
      <c r="W368" s="2" t="s">
        <v>190</v>
      </c>
      <c r="X368" s="2" t="s">
        <v>98</v>
      </c>
      <c r="Y368" s="2" t="s">
        <v>833</v>
      </c>
      <c r="Z368" s="4"/>
      <c r="AA368" s="4">
        <f>=ROUNDDOWN({0},0)</f>
      </c>
      <c r="AB368" s="5">
        <v>0.9</v>
      </c>
      <c r="AC368" s="2" t="s">
        <v>98</v>
      </c>
      <c r="AD368" s="4"/>
      <c r="AE368" s="4"/>
      <c r="AF368" s="6">
        <v>65</v>
      </c>
      <c r="AG368" s="6"/>
      <c r="AH368" s="7">
        <v>0</v>
      </c>
      <c r="AI368" s="4"/>
      <c r="AJ368" s="4">
        <f>=ROUNDDOWN({0},0)</f>
      </c>
      <c r="AK368" s="5"/>
      <c r="AL368" s="2" t="s">
        <v>98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/>
      <c r="BK368" s="8"/>
      <c r="BL368" s="2" t="s">
        <v>98</v>
      </c>
      <c r="BM368" s="7"/>
      <c r="BN368" s="7"/>
      <c r="BO368" s="4"/>
      <c r="BP368" s="8"/>
      <c r="BQ368" s="4"/>
      <c r="BR368" s="8"/>
      <c r="BS368" s="7"/>
      <c r="BT368" s="7"/>
      <c r="BU368" s="2" t="s">
        <v>106</v>
      </c>
      <c r="BV368" s="2" t="s">
        <v>95</v>
      </c>
      <c r="BW368" s="2" t="s">
        <v>144</v>
      </c>
      <c r="BX368" s="2" t="s">
        <v>535</v>
      </c>
      <c r="BY368" s="2" t="s">
        <v>109</v>
      </c>
      <c r="BZ368" s="2" t="s">
        <v>98</v>
      </c>
    </row>
    <row r="369">
      <c r="A369" s="2" t="s">
        <v>1808</v>
      </c>
      <c r="B369" s="2" t="s">
        <v>1628</v>
      </c>
      <c r="C369" s="2" t="s">
        <v>88</v>
      </c>
      <c r="D369" s="2" t="s">
        <v>1777</v>
      </c>
      <c r="E369" s="2" t="s">
        <v>1778</v>
      </c>
      <c r="F369" s="2" t="s">
        <v>1738</v>
      </c>
      <c r="G369" s="2" t="s">
        <v>1738</v>
      </c>
      <c r="H369" s="2" t="s">
        <v>1738</v>
      </c>
      <c r="I369" s="2" t="s">
        <v>1809</v>
      </c>
      <c r="J369" s="2" t="s">
        <v>661</v>
      </c>
      <c r="K369" s="2" t="s">
        <v>1740</v>
      </c>
      <c r="L369" s="3">
        <v>76</v>
      </c>
      <c r="M369" s="3">
        <v>79.8</v>
      </c>
      <c r="N369" s="3">
        <v>159.99</v>
      </c>
      <c r="O369" s="2" t="s">
        <v>95</v>
      </c>
      <c r="P369" s="2" t="s">
        <v>177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590</v>
      </c>
      <c r="V369" s="2" t="s">
        <v>369</v>
      </c>
      <c r="W369" s="2" t="s">
        <v>190</v>
      </c>
      <c r="X369" s="2" t="s">
        <v>242</v>
      </c>
      <c r="Y369" s="2" t="s">
        <v>843</v>
      </c>
      <c r="Z369" s="4">
        <v>64</v>
      </c>
      <c r="AA369" s="4">
        <f>=ROUNDDOWN(32,0)</f>
      </c>
      <c r="AB369" s="5">
        <v>2</v>
      </c>
      <c r="AC369" s="2" t="s">
        <v>98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3</v>
      </c>
      <c r="BK369" s="8">
        <v>255.36</v>
      </c>
      <c r="BL369" s="2" t="s">
        <v>989</v>
      </c>
      <c r="BM369" s="7"/>
      <c r="BN369" s="7"/>
      <c r="BO369" s="4"/>
      <c r="BP369" s="8"/>
      <c r="BQ369" s="4"/>
      <c r="BR369" s="8"/>
      <c r="BS369" s="7"/>
      <c r="BT369" s="7"/>
      <c r="BU369" s="2" t="s">
        <v>832</v>
      </c>
      <c r="BV369" s="2" t="s">
        <v>95</v>
      </c>
      <c r="BW369" s="2" t="s">
        <v>98</v>
      </c>
      <c r="BX369" s="2" t="s">
        <v>98</v>
      </c>
      <c r="BY369" s="2" t="s">
        <v>109</v>
      </c>
      <c r="BZ369" s="2" t="s">
        <v>98</v>
      </c>
    </row>
    <row r="370">
      <c r="A370" s="2" t="s">
        <v>1810</v>
      </c>
      <c r="B370" s="2" t="s">
        <v>1628</v>
      </c>
      <c r="C370" s="2" t="s">
        <v>88</v>
      </c>
      <c r="D370" s="2" t="s">
        <v>1777</v>
      </c>
      <c r="E370" s="2" t="s">
        <v>1778</v>
      </c>
      <c r="F370" s="2" t="s">
        <v>1811</v>
      </c>
      <c r="G370" s="2" t="s">
        <v>1811</v>
      </c>
      <c r="H370" s="2" t="s">
        <v>1811</v>
      </c>
      <c r="I370" s="2" t="s">
        <v>1812</v>
      </c>
      <c r="J370" s="2" t="s">
        <v>661</v>
      </c>
      <c r="K370" s="2" t="s">
        <v>1661</v>
      </c>
      <c r="L370" s="3">
        <v>89.35</v>
      </c>
      <c r="M370" s="3">
        <v>93.82</v>
      </c>
      <c r="N370" s="3">
        <v>199.99</v>
      </c>
      <c r="O370" s="2" t="s">
        <v>95</v>
      </c>
      <c r="P370" s="2" t="s">
        <v>714</v>
      </c>
      <c r="Q370" s="2" t="s">
        <v>97</v>
      </c>
      <c r="R370" s="2" t="s">
        <v>98</v>
      </c>
      <c r="S370" s="2" t="s">
        <v>1813</v>
      </c>
      <c r="T370" s="2" t="s">
        <v>98</v>
      </c>
      <c r="U370" s="2" t="s">
        <v>98</v>
      </c>
      <c r="V370" s="2" t="s">
        <v>208</v>
      </c>
      <c r="W370" s="2" t="s">
        <v>242</v>
      </c>
      <c r="X370" s="2" t="s">
        <v>98</v>
      </c>
      <c r="Y370" s="2" t="s">
        <v>354</v>
      </c>
      <c r="Z370" s="4">
        <v>109</v>
      </c>
      <c r="AA370" s="4">
        <f>=ROUNDDOWN(49.5454545454545,0)</f>
      </c>
      <c r="AB370" s="5">
        <v>2.2</v>
      </c>
      <c r="AC370" s="2" t="s">
        <v>98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>
        <v>1</v>
      </c>
      <c r="BK370" s="8">
        <v>101.32</v>
      </c>
      <c r="BL370" s="2" t="s">
        <v>525</v>
      </c>
      <c r="BM370" s="7"/>
      <c r="BN370" s="7"/>
      <c r="BO370" s="4"/>
      <c r="BP370" s="8"/>
      <c r="BQ370" s="4"/>
      <c r="BR370" s="8"/>
      <c r="BS370" s="7"/>
      <c r="BT370" s="7"/>
      <c r="BU370" s="2" t="s">
        <v>106</v>
      </c>
      <c r="BV370" s="2" t="s">
        <v>95</v>
      </c>
      <c r="BW370" s="2" t="s">
        <v>1636</v>
      </c>
      <c r="BX370" s="2" t="s">
        <v>1814</v>
      </c>
      <c r="BY370" s="2" t="s">
        <v>109</v>
      </c>
      <c r="BZ370" s="2" t="s">
        <v>98</v>
      </c>
    </row>
    <row r="371">
      <c r="A371" s="2" t="s">
        <v>1815</v>
      </c>
      <c r="B371" s="2" t="s">
        <v>1628</v>
      </c>
      <c r="C371" s="2" t="s">
        <v>88</v>
      </c>
      <c r="D371" s="2" t="s">
        <v>1777</v>
      </c>
      <c r="E371" s="2" t="s">
        <v>1778</v>
      </c>
      <c r="F371" s="2" t="s">
        <v>1811</v>
      </c>
      <c r="G371" s="2" t="s">
        <v>1811</v>
      </c>
      <c r="H371" s="2" t="s">
        <v>1811</v>
      </c>
      <c r="I371" s="2" t="s">
        <v>1812</v>
      </c>
      <c r="J371" s="2" t="s">
        <v>661</v>
      </c>
      <c r="K371" s="2" t="s">
        <v>722</v>
      </c>
      <c r="L371" s="3">
        <v>44.68</v>
      </c>
      <c r="M371" s="3">
        <v>46.91</v>
      </c>
      <c r="N371" s="3">
        <v>99.99</v>
      </c>
      <c r="O371" s="2" t="s">
        <v>95</v>
      </c>
      <c r="P371" s="2" t="s">
        <v>128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98</v>
      </c>
      <c r="V371" s="2" t="s">
        <v>208</v>
      </c>
      <c r="W371" s="2" t="s">
        <v>729</v>
      </c>
      <c r="X371" s="2" t="s">
        <v>98</v>
      </c>
      <c r="Y371" s="2" t="s">
        <v>1816</v>
      </c>
      <c r="Z371" s="4">
        <v>83</v>
      </c>
      <c r="AA371" s="4">
        <f>=ROUNDDOWN(37.7272727272727,0)</f>
      </c>
      <c r="AB371" s="5">
        <v>2.2</v>
      </c>
      <c r="AC371" s="2" t="s">
        <v>98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>
        <v>8</v>
      </c>
      <c r="BK371" s="8">
        <v>400.22</v>
      </c>
      <c r="BL371" s="2" t="s">
        <v>1817</v>
      </c>
      <c r="BM371" s="7"/>
      <c r="BN371" s="7"/>
      <c r="BO371" s="4"/>
      <c r="BP371" s="8"/>
      <c r="BQ371" s="4"/>
      <c r="BR371" s="8"/>
      <c r="BS371" s="7"/>
      <c r="BT371" s="7"/>
      <c r="BU371" s="2" t="s">
        <v>106</v>
      </c>
      <c r="BV371" s="2" t="s">
        <v>95</v>
      </c>
      <c r="BW371" s="2" t="s">
        <v>1747</v>
      </c>
      <c r="BX371" s="2" t="s">
        <v>1818</v>
      </c>
      <c r="BY371" s="2" t="s">
        <v>109</v>
      </c>
      <c r="BZ371" s="2" t="s">
        <v>98</v>
      </c>
    </row>
    <row r="372">
      <c r="A372" s="2" t="s">
        <v>1819</v>
      </c>
      <c r="B372" s="2" t="s">
        <v>1628</v>
      </c>
      <c r="C372" s="2" t="s">
        <v>88</v>
      </c>
      <c r="D372" s="2" t="s">
        <v>1820</v>
      </c>
      <c r="E372" s="2" t="s">
        <v>1821</v>
      </c>
      <c r="F372" s="2" t="s">
        <v>1822</v>
      </c>
      <c r="G372" s="2" t="s">
        <v>1822</v>
      </c>
      <c r="H372" s="2" t="s">
        <v>1822</v>
      </c>
      <c r="I372" s="2" t="s">
        <v>1823</v>
      </c>
      <c r="J372" s="2" t="s">
        <v>661</v>
      </c>
      <c r="K372" s="2" t="s">
        <v>367</v>
      </c>
      <c r="L372" s="3">
        <v>68.4</v>
      </c>
      <c r="M372" s="3">
        <v>71.82</v>
      </c>
      <c r="N372" s="3">
        <v>149.99</v>
      </c>
      <c r="O372" s="2" t="s">
        <v>95</v>
      </c>
      <c r="P372" s="2" t="s">
        <v>140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590</v>
      </c>
      <c r="V372" s="2" t="s">
        <v>369</v>
      </c>
      <c r="W372" s="2" t="s">
        <v>745</v>
      </c>
      <c r="X372" s="2" t="s">
        <v>190</v>
      </c>
      <c r="Y372" s="2" t="s">
        <v>1824</v>
      </c>
      <c r="Z372" s="4">
        <v>132</v>
      </c>
      <c r="AA372" s="4">
        <f>=ROUNDDOWN(26.9387755102041,0)</f>
      </c>
      <c r="AB372" s="5">
        <v>4.9</v>
      </c>
      <c r="AC372" s="2" t="s">
        <v>1212</v>
      </c>
      <c r="AD372" s="4">
        <v>100</v>
      </c>
      <c r="AE372" s="4">
        <v>100</v>
      </c>
      <c r="AF372" s="6">
        <v>63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/>
      <c r="AP372" s="4">
        <v>1</v>
      </c>
      <c r="AQ372" s="8">
        <v>84.67</v>
      </c>
      <c r="AR372" s="4"/>
      <c r="AS372" s="8"/>
      <c r="AT372" s="7"/>
      <c r="AU372" s="7"/>
      <c r="AV372" s="4">
        <v>1</v>
      </c>
      <c r="AW372" s="8">
        <v>84.67</v>
      </c>
      <c r="AX372" s="4"/>
      <c r="AY372" s="8"/>
      <c r="AZ372" s="7"/>
      <c r="BA372" s="7"/>
      <c r="BB372" s="7">
        <v>1</v>
      </c>
      <c r="BC372" s="4">
        <v>1</v>
      </c>
      <c r="BD372" s="8">
        <v>84.67</v>
      </c>
      <c r="BE372" s="4"/>
      <c r="BF372" s="8"/>
      <c r="BG372" s="7"/>
      <c r="BH372" s="7"/>
      <c r="BI372" s="7">
        <v>1</v>
      </c>
      <c r="BJ372" s="4">
        <v>4</v>
      </c>
      <c r="BK372" s="8">
        <v>298.63</v>
      </c>
      <c r="BL372" s="2" t="s">
        <v>1825</v>
      </c>
      <c r="BM372" s="7">
        <v>0.25</v>
      </c>
      <c r="BN372" s="7">
        <v>0.2835</v>
      </c>
      <c r="BO372" s="4">
        <v>1</v>
      </c>
      <c r="BP372" s="8">
        <v>84.67</v>
      </c>
      <c r="BQ372" s="4"/>
      <c r="BR372" s="8"/>
      <c r="BS372" s="7"/>
      <c r="BT372" s="7"/>
      <c r="BU372" s="2" t="s">
        <v>106</v>
      </c>
      <c r="BV372" s="2" t="s">
        <v>95</v>
      </c>
      <c r="BW372" s="2" t="s">
        <v>697</v>
      </c>
      <c r="BX372" s="2" t="s">
        <v>1826</v>
      </c>
      <c r="BY372" s="2" t="s">
        <v>109</v>
      </c>
      <c r="BZ372" s="2" t="s">
        <v>98</v>
      </c>
    </row>
    <row r="373">
      <c r="A373" s="2" t="s">
        <v>1827</v>
      </c>
      <c r="B373" s="2" t="s">
        <v>1628</v>
      </c>
      <c r="C373" s="2" t="s">
        <v>88</v>
      </c>
      <c r="D373" s="2" t="s">
        <v>1828</v>
      </c>
      <c r="E373" s="2" t="s">
        <v>1829</v>
      </c>
      <c r="F373" s="2" t="s">
        <v>1830</v>
      </c>
      <c r="G373" s="2" t="s">
        <v>1830</v>
      </c>
      <c r="H373" s="2" t="s">
        <v>1830</v>
      </c>
      <c r="I373" s="2" t="s">
        <v>1831</v>
      </c>
      <c r="J373" s="2" t="s">
        <v>661</v>
      </c>
      <c r="K373" s="2" t="s">
        <v>1832</v>
      </c>
      <c r="L373" s="3">
        <v>54.72</v>
      </c>
      <c r="M373" s="3">
        <v>57.46</v>
      </c>
      <c r="N373" s="3">
        <v>127.99</v>
      </c>
      <c r="O373" s="2" t="s">
        <v>206</v>
      </c>
      <c r="P373" s="2" t="s">
        <v>128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590</v>
      </c>
      <c r="V373" s="2" t="s">
        <v>369</v>
      </c>
      <c r="W373" s="2" t="s">
        <v>242</v>
      </c>
      <c r="X373" s="2" t="s">
        <v>384</v>
      </c>
      <c r="Y373" s="2" t="s">
        <v>1833</v>
      </c>
      <c r="Z373" s="4">
        <v>92</v>
      </c>
      <c r="AA373" s="4">
        <f>=ROUNDDOWN({0},0)</f>
      </c>
      <c r="AB373" s="5"/>
      <c r="AC373" s="2" t="s">
        <v>98</v>
      </c>
      <c r="AD373" s="4"/>
      <c r="AE373" s="4"/>
      <c r="AF373" s="6">
        <v>63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/>
      <c r="BK373" s="8"/>
      <c r="BL373" s="2" t="s">
        <v>98</v>
      </c>
      <c r="BM373" s="7"/>
      <c r="BN373" s="7"/>
      <c r="BO373" s="4"/>
      <c r="BP373" s="8"/>
      <c r="BQ373" s="4"/>
      <c r="BR373" s="8"/>
      <c r="BS373" s="7"/>
      <c r="BT373" s="7"/>
      <c r="BU373" s="2" t="s">
        <v>1370</v>
      </c>
      <c r="BV373" s="2" t="s">
        <v>95</v>
      </c>
      <c r="BW373" s="2" t="s">
        <v>98</v>
      </c>
      <c r="BX373" s="2" t="s">
        <v>98</v>
      </c>
      <c r="BY373" s="2" t="s">
        <v>109</v>
      </c>
      <c r="BZ373" s="2" t="s">
        <v>98</v>
      </c>
    </row>
    <row r="374">
      <c r="A374" s="2" t="s">
        <v>1834</v>
      </c>
      <c r="B374" s="2" t="s">
        <v>1628</v>
      </c>
      <c r="C374" s="2" t="s">
        <v>88</v>
      </c>
      <c r="D374" s="2" t="s">
        <v>1828</v>
      </c>
      <c r="E374" s="2" t="s">
        <v>1829</v>
      </c>
      <c r="F374" s="2" t="s">
        <v>1835</v>
      </c>
      <c r="G374" s="2" t="s">
        <v>1835</v>
      </c>
      <c r="H374" s="2" t="s">
        <v>1835</v>
      </c>
      <c r="I374" s="2" t="s">
        <v>1836</v>
      </c>
      <c r="J374" s="2" t="s">
        <v>1837</v>
      </c>
      <c r="K374" s="2" t="s">
        <v>1661</v>
      </c>
      <c r="L374" s="3">
        <v>31.95</v>
      </c>
      <c r="M374" s="3">
        <v>33.55</v>
      </c>
      <c r="N374" s="3">
        <v>74.99</v>
      </c>
      <c r="O374" s="2" t="s">
        <v>206</v>
      </c>
      <c r="P374" s="2" t="s">
        <v>128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98</v>
      </c>
      <c r="V374" s="2" t="s">
        <v>369</v>
      </c>
      <c r="W374" s="2" t="s">
        <v>242</v>
      </c>
      <c r="X374" s="2" t="s">
        <v>377</v>
      </c>
      <c r="Y374" s="2" t="s">
        <v>1824</v>
      </c>
      <c r="Z374" s="4">
        <v>58</v>
      </c>
      <c r="AA374" s="4">
        <f>=ROUNDDOWN(193.333333333333,0)</f>
      </c>
      <c r="AB374" s="5">
        <v>0.3</v>
      </c>
      <c r="AC374" s="2" t="s">
        <v>98</v>
      </c>
      <c r="AD374" s="4"/>
      <c r="AE374" s="4"/>
      <c r="AF374" s="6">
        <v>63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/>
      <c r="BK374" s="8"/>
      <c r="BL374" s="2" t="s">
        <v>98</v>
      </c>
      <c r="BM374" s="7"/>
      <c r="BN374" s="7"/>
      <c r="BO374" s="4"/>
      <c r="BP374" s="8"/>
      <c r="BQ374" s="4"/>
      <c r="BR374" s="8"/>
      <c r="BS374" s="7"/>
      <c r="BT374" s="7"/>
      <c r="BU374" s="2" t="s">
        <v>106</v>
      </c>
      <c r="BV374" s="2" t="s">
        <v>95</v>
      </c>
      <c r="BW374" s="2" t="s">
        <v>697</v>
      </c>
      <c r="BX374" s="2" t="s">
        <v>810</v>
      </c>
      <c r="BY374" s="2" t="s">
        <v>109</v>
      </c>
      <c r="BZ374" s="2" t="s">
        <v>98</v>
      </c>
    </row>
    <row r="375">
      <c r="A375" s="2" t="s">
        <v>1838</v>
      </c>
      <c r="B375" s="2" t="s">
        <v>1628</v>
      </c>
      <c r="C375" s="2" t="s">
        <v>88</v>
      </c>
      <c r="D375" s="2" t="s">
        <v>1828</v>
      </c>
      <c r="E375" s="2" t="s">
        <v>1829</v>
      </c>
      <c r="F375" s="2" t="s">
        <v>1839</v>
      </c>
      <c r="G375" s="2" t="s">
        <v>1839</v>
      </c>
      <c r="H375" s="2" t="s">
        <v>1839</v>
      </c>
      <c r="I375" s="2" t="s">
        <v>1840</v>
      </c>
      <c r="J375" s="2" t="s">
        <v>661</v>
      </c>
      <c r="K375" s="2" t="s">
        <v>1841</v>
      </c>
      <c r="L375" s="3">
        <v>51.84</v>
      </c>
      <c r="M375" s="3">
        <v>54.43</v>
      </c>
      <c r="N375" s="3">
        <v>119.99</v>
      </c>
      <c r="O375" s="2" t="s">
        <v>161</v>
      </c>
      <c r="P375" s="2" t="s">
        <v>128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590</v>
      </c>
      <c r="V375" s="2" t="s">
        <v>369</v>
      </c>
      <c r="W375" s="2" t="s">
        <v>242</v>
      </c>
      <c r="X375" s="2" t="s">
        <v>98</v>
      </c>
      <c r="Y375" s="2" t="s">
        <v>833</v>
      </c>
      <c r="Z375" s="4"/>
      <c r="AA375" s="4">
        <f>=ROUNDDOWN({0},0)</f>
      </c>
      <c r="AB375" s="5">
        <v>1.3</v>
      </c>
      <c r="AC375" s="2" t="s">
        <v>98</v>
      </c>
      <c r="AD375" s="4"/>
      <c r="AE375" s="4"/>
      <c r="AF375" s="6">
        <v>65</v>
      </c>
      <c r="AG375" s="6"/>
      <c r="AH375" s="7">
        <v>0.1429</v>
      </c>
      <c r="AI375" s="4"/>
      <c r="AJ375" s="4">
        <f>=ROUNDDOWN({0},0)</f>
      </c>
      <c r="AK375" s="5"/>
      <c r="AL375" s="2" t="s">
        <v>98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/>
      <c r="BK375" s="8"/>
      <c r="BL375" s="2" t="s">
        <v>98</v>
      </c>
      <c r="BM375" s="7"/>
      <c r="BN375" s="7"/>
      <c r="BO375" s="4"/>
      <c r="BP375" s="8"/>
      <c r="BQ375" s="4"/>
      <c r="BR375" s="8"/>
      <c r="BS375" s="7"/>
      <c r="BT375" s="7"/>
      <c r="BU375" s="2" t="s">
        <v>106</v>
      </c>
      <c r="BV375" s="2" t="s">
        <v>95</v>
      </c>
      <c r="BW375" s="2" t="s">
        <v>144</v>
      </c>
      <c r="BX375" s="2" t="s">
        <v>1842</v>
      </c>
      <c r="BY375" s="2" t="s">
        <v>109</v>
      </c>
      <c r="BZ375" s="2" t="s">
        <v>98</v>
      </c>
    </row>
    <row r="376">
      <c r="A376" s="2" t="s">
        <v>1843</v>
      </c>
      <c r="B376" s="2" t="s">
        <v>1628</v>
      </c>
      <c r="C376" s="2" t="s">
        <v>88</v>
      </c>
      <c r="D376" s="2" t="s">
        <v>1828</v>
      </c>
      <c r="E376" s="2" t="s">
        <v>1829</v>
      </c>
      <c r="F376" s="2" t="s">
        <v>1844</v>
      </c>
      <c r="G376" s="2" t="s">
        <v>1844</v>
      </c>
      <c r="H376" s="2" t="s">
        <v>1844</v>
      </c>
      <c r="I376" s="2" t="s">
        <v>1845</v>
      </c>
      <c r="J376" s="2" t="s">
        <v>661</v>
      </c>
      <c r="K376" s="2" t="s">
        <v>1846</v>
      </c>
      <c r="L376" s="3">
        <v>145</v>
      </c>
      <c r="M376" s="3">
        <v>152.25</v>
      </c>
      <c r="N376" s="3">
        <v>299</v>
      </c>
      <c r="O376" s="2" t="s">
        <v>95</v>
      </c>
      <c r="P376" s="2" t="s">
        <v>714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590</v>
      </c>
      <c r="V376" s="2" t="s">
        <v>369</v>
      </c>
      <c r="W376" s="2" t="s">
        <v>242</v>
      </c>
      <c r="X376" s="2" t="s">
        <v>384</v>
      </c>
      <c r="Y376" s="2" t="s">
        <v>1847</v>
      </c>
      <c r="Z376" s="4">
        <v>85</v>
      </c>
      <c r="AA376" s="4">
        <f>=ROUNDDOWN(85,0)</f>
      </c>
      <c r="AB376" s="5">
        <v>1</v>
      </c>
      <c r="AC376" s="2" t="s">
        <v>98</v>
      </c>
      <c r="AD376" s="4"/>
      <c r="AE376" s="4"/>
      <c r="AF376" s="6">
        <v>63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/>
      <c r="BK376" s="8"/>
      <c r="BL376" s="2" t="s">
        <v>98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95</v>
      </c>
      <c r="BW376" s="2" t="s">
        <v>665</v>
      </c>
      <c r="BX376" s="2" t="s">
        <v>98</v>
      </c>
      <c r="BY376" s="2" t="s">
        <v>109</v>
      </c>
      <c r="BZ376" s="2" t="s">
        <v>98</v>
      </c>
    </row>
    <row r="377">
      <c r="A377" s="2" t="s">
        <v>1848</v>
      </c>
      <c r="B377" s="2" t="s">
        <v>1628</v>
      </c>
      <c r="C377" s="2" t="s">
        <v>88</v>
      </c>
      <c r="D377" s="2" t="s">
        <v>1828</v>
      </c>
      <c r="E377" s="2" t="s">
        <v>1829</v>
      </c>
      <c r="F377" s="2" t="s">
        <v>1849</v>
      </c>
      <c r="G377" s="2" t="s">
        <v>1849</v>
      </c>
      <c r="H377" s="2" t="s">
        <v>1849</v>
      </c>
      <c r="I377" s="2" t="s">
        <v>1850</v>
      </c>
      <c r="J377" s="2" t="s">
        <v>661</v>
      </c>
      <c r="K377" s="2" t="s">
        <v>1851</v>
      </c>
      <c r="L377" s="3">
        <v>136</v>
      </c>
      <c r="M377" s="3">
        <v>142.8</v>
      </c>
      <c r="N377" s="3">
        <v>279.99</v>
      </c>
      <c r="O377" s="2" t="s">
        <v>95</v>
      </c>
      <c r="P377" s="2" t="s">
        <v>177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590</v>
      </c>
      <c r="V377" s="2" t="s">
        <v>369</v>
      </c>
      <c r="W377" s="2" t="s">
        <v>377</v>
      </c>
      <c r="X377" s="2" t="s">
        <v>242</v>
      </c>
      <c r="Y377" s="2" t="s">
        <v>1852</v>
      </c>
      <c r="Z377" s="4">
        <v>131</v>
      </c>
      <c r="AA377" s="4">
        <f>=ROUNDDOWN(65.5,0)</f>
      </c>
      <c r="AB377" s="5">
        <v>2</v>
      </c>
      <c r="AC377" s="2" t="s">
        <v>98</v>
      </c>
      <c r="AD377" s="4"/>
      <c r="AE377" s="4"/>
      <c r="AF377" s="6">
        <v>72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98</v>
      </c>
      <c r="BM377" s="7"/>
      <c r="BN377" s="7"/>
      <c r="BO377" s="4"/>
      <c r="BP377" s="8"/>
      <c r="BQ377" s="4"/>
      <c r="BR377" s="8"/>
      <c r="BS377" s="7"/>
      <c r="BT377" s="7"/>
      <c r="BU377" s="2" t="s">
        <v>832</v>
      </c>
      <c r="BV377" s="2" t="s">
        <v>95</v>
      </c>
      <c r="BW377" s="2" t="s">
        <v>98</v>
      </c>
      <c r="BX377" s="2" t="s">
        <v>98</v>
      </c>
      <c r="BY377" s="2" t="s">
        <v>109</v>
      </c>
      <c r="BZ377" s="2" t="s">
        <v>98</v>
      </c>
    </row>
    <row r="378">
      <c r="A378" s="2" t="s">
        <v>1853</v>
      </c>
      <c r="B378" s="2" t="s">
        <v>1628</v>
      </c>
      <c r="C378" s="2" t="s">
        <v>88</v>
      </c>
      <c r="D378" s="2" t="s">
        <v>1828</v>
      </c>
      <c r="E378" s="2" t="s">
        <v>1829</v>
      </c>
      <c r="F378" s="2" t="s">
        <v>1854</v>
      </c>
      <c r="G378" s="2" t="s">
        <v>1854</v>
      </c>
      <c r="H378" s="2" t="s">
        <v>1854</v>
      </c>
      <c r="I378" s="2" t="s">
        <v>1855</v>
      </c>
      <c r="J378" s="2" t="s">
        <v>661</v>
      </c>
      <c r="K378" s="2" t="s">
        <v>1856</v>
      </c>
      <c r="L378" s="3">
        <v>64.3</v>
      </c>
      <c r="M378" s="3">
        <v>67.52</v>
      </c>
      <c r="N378" s="3">
        <v>159.99</v>
      </c>
      <c r="O378" s="2" t="s">
        <v>161</v>
      </c>
      <c r="P378" s="2" t="s">
        <v>128</v>
      </c>
      <c r="Q378" s="2" t="s">
        <v>97</v>
      </c>
      <c r="R378" s="2" t="s">
        <v>98</v>
      </c>
      <c r="S378" s="2" t="s">
        <v>1857</v>
      </c>
      <c r="T378" s="2" t="s">
        <v>98</v>
      </c>
      <c r="U378" s="2" t="s">
        <v>98</v>
      </c>
      <c r="V378" s="2" t="s">
        <v>673</v>
      </c>
      <c r="W378" s="2" t="s">
        <v>242</v>
      </c>
      <c r="X378" s="2" t="s">
        <v>98</v>
      </c>
      <c r="Y378" s="2" t="s">
        <v>354</v>
      </c>
      <c r="Z378" s="4">
        <v>8</v>
      </c>
      <c r="AA378" s="4">
        <f>=ROUNDDOWN(5.71428571428571,0)</f>
      </c>
      <c r="AB378" s="5">
        <v>1.4</v>
      </c>
      <c r="AC378" s="2" t="s">
        <v>98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/>
      <c r="BK378" s="8"/>
      <c r="BL378" s="2" t="s">
        <v>98</v>
      </c>
      <c r="BM378" s="7"/>
      <c r="BN378" s="7"/>
      <c r="BO378" s="4"/>
      <c r="BP378" s="8"/>
      <c r="BQ378" s="4"/>
      <c r="BR378" s="8"/>
      <c r="BS378" s="7"/>
      <c r="BT378" s="7"/>
      <c r="BU378" s="2" t="s">
        <v>106</v>
      </c>
      <c r="BV378" s="2" t="s">
        <v>95</v>
      </c>
      <c r="BW378" s="2" t="s">
        <v>1636</v>
      </c>
      <c r="BX378" s="2" t="s">
        <v>1814</v>
      </c>
      <c r="BY378" s="2" t="s">
        <v>109</v>
      </c>
      <c r="BZ378" s="2" t="s">
        <v>98</v>
      </c>
    </row>
    <row r="379">
      <c r="A379" s="2" t="s">
        <v>1858</v>
      </c>
      <c r="B379" s="2" t="s">
        <v>1628</v>
      </c>
      <c r="C379" s="2" t="s">
        <v>88</v>
      </c>
      <c r="D379" s="2" t="s">
        <v>1828</v>
      </c>
      <c r="E379" s="2" t="s">
        <v>1829</v>
      </c>
      <c r="F379" s="2" t="s">
        <v>1854</v>
      </c>
      <c r="G379" s="2" t="s">
        <v>1854</v>
      </c>
      <c r="H379" s="2" t="s">
        <v>1854</v>
      </c>
      <c r="I379" s="2" t="s">
        <v>1855</v>
      </c>
      <c r="J379" s="2" t="s">
        <v>661</v>
      </c>
      <c r="K379" s="2" t="s">
        <v>1661</v>
      </c>
      <c r="L379" s="3">
        <v>64.3</v>
      </c>
      <c r="M379" s="3">
        <v>67.52</v>
      </c>
      <c r="N379" s="3">
        <v>159.99</v>
      </c>
      <c r="O379" s="2" t="s">
        <v>95</v>
      </c>
      <c r="P379" s="2" t="s">
        <v>128</v>
      </c>
      <c r="Q379" s="2" t="s">
        <v>97</v>
      </c>
      <c r="R379" s="2" t="s">
        <v>98</v>
      </c>
      <c r="S379" s="2" t="s">
        <v>1859</v>
      </c>
      <c r="T379" s="2" t="s">
        <v>98</v>
      </c>
      <c r="U379" s="2" t="s">
        <v>98</v>
      </c>
      <c r="V379" s="2" t="s">
        <v>673</v>
      </c>
      <c r="W379" s="2" t="s">
        <v>242</v>
      </c>
      <c r="X379" s="2" t="s">
        <v>98</v>
      </c>
      <c r="Y379" s="2" t="s">
        <v>354</v>
      </c>
      <c r="Z379" s="4">
        <v>122</v>
      </c>
      <c r="AA379" s="4">
        <f>=ROUNDDOWN(203.333333333333,0)</f>
      </c>
      <c r="AB379" s="5">
        <v>0.6</v>
      </c>
      <c r="AC379" s="2" t="s">
        <v>98</v>
      </c>
      <c r="AD379" s="4"/>
      <c r="AE379" s="4"/>
      <c r="AF379" s="6">
        <v>63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1</v>
      </c>
      <c r="BK379" s="8">
        <v>163.68</v>
      </c>
      <c r="BL379" s="2" t="s">
        <v>143</v>
      </c>
      <c r="BM379" s="7"/>
      <c r="BN379" s="7"/>
      <c r="BO379" s="4"/>
      <c r="BP379" s="8"/>
      <c r="BQ379" s="4"/>
      <c r="BR379" s="8"/>
      <c r="BS379" s="7"/>
      <c r="BT379" s="7"/>
      <c r="BU379" s="2" t="s">
        <v>106</v>
      </c>
      <c r="BV379" s="2" t="s">
        <v>95</v>
      </c>
      <c r="BW379" s="2" t="s">
        <v>1636</v>
      </c>
      <c r="BX379" s="2" t="s">
        <v>1860</v>
      </c>
      <c r="BY379" s="2" t="s">
        <v>109</v>
      </c>
      <c r="BZ379" s="2" t="s">
        <v>98</v>
      </c>
    </row>
    <row r="380">
      <c r="A380" s="2" t="s">
        <v>1861</v>
      </c>
      <c r="B380" s="2" t="s">
        <v>1628</v>
      </c>
      <c r="C380" s="2" t="s">
        <v>88</v>
      </c>
      <c r="D380" s="2" t="s">
        <v>1828</v>
      </c>
      <c r="E380" s="2" t="s">
        <v>1829</v>
      </c>
      <c r="F380" s="2" t="s">
        <v>1862</v>
      </c>
      <c r="G380" s="2" t="s">
        <v>1862</v>
      </c>
      <c r="H380" s="2" t="s">
        <v>1862</v>
      </c>
      <c r="I380" s="2" t="s">
        <v>1863</v>
      </c>
      <c r="J380" s="2" t="s">
        <v>661</v>
      </c>
      <c r="K380" s="2" t="s">
        <v>1864</v>
      </c>
      <c r="L380" s="3">
        <v>44.39</v>
      </c>
      <c r="M380" s="3">
        <v>46.61</v>
      </c>
      <c r="N380" s="3">
        <v>99.99</v>
      </c>
      <c r="O380" s="2" t="s">
        <v>206</v>
      </c>
      <c r="P380" s="2" t="s">
        <v>128</v>
      </c>
      <c r="Q380" s="2" t="s">
        <v>97</v>
      </c>
      <c r="R380" s="2" t="s">
        <v>98</v>
      </c>
      <c r="S380" s="2" t="s">
        <v>98</v>
      </c>
      <c r="T380" s="2" t="s">
        <v>98</v>
      </c>
      <c r="U380" s="2" t="s">
        <v>590</v>
      </c>
      <c r="V380" s="2" t="s">
        <v>369</v>
      </c>
      <c r="W380" s="2" t="s">
        <v>242</v>
      </c>
      <c r="X380" s="2" t="s">
        <v>1865</v>
      </c>
      <c r="Y380" s="2" t="s">
        <v>1824</v>
      </c>
      <c r="Z380" s="4">
        <v>85</v>
      </c>
      <c r="AA380" s="4">
        <f>=ROUNDDOWN({0},0)</f>
      </c>
      <c r="AB380" s="5"/>
      <c r="AC380" s="2" t="s">
        <v>98</v>
      </c>
      <c r="AD380" s="4"/>
      <c r="AE380" s="4"/>
      <c r="AF380" s="6">
        <v>63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/>
      <c r="BK380" s="8"/>
      <c r="BL380" s="2" t="s">
        <v>98</v>
      </c>
      <c r="BM380" s="7"/>
      <c r="BN380" s="7"/>
      <c r="BO380" s="4"/>
      <c r="BP380" s="8"/>
      <c r="BQ380" s="4"/>
      <c r="BR380" s="8"/>
      <c r="BS380" s="7"/>
      <c r="BT380" s="7"/>
      <c r="BU380" s="2" t="s">
        <v>106</v>
      </c>
      <c r="BV380" s="2" t="s">
        <v>95</v>
      </c>
      <c r="BW380" s="2" t="s">
        <v>697</v>
      </c>
      <c r="BX380" s="2" t="s">
        <v>1866</v>
      </c>
      <c r="BY380" s="2" t="s">
        <v>109</v>
      </c>
      <c r="BZ380" s="2" t="s">
        <v>98</v>
      </c>
    </row>
    <row r="381">
      <c r="A381" s="2" t="s">
        <v>1867</v>
      </c>
      <c r="B381" s="2" t="s">
        <v>1628</v>
      </c>
      <c r="C381" s="2" t="s">
        <v>88</v>
      </c>
      <c r="D381" s="2" t="s">
        <v>1828</v>
      </c>
      <c r="E381" s="2" t="s">
        <v>1829</v>
      </c>
      <c r="F381" s="2" t="s">
        <v>1868</v>
      </c>
      <c r="G381" s="2" t="s">
        <v>1868</v>
      </c>
      <c r="H381" s="2" t="s">
        <v>1868</v>
      </c>
      <c r="I381" s="2" t="s">
        <v>1869</v>
      </c>
      <c r="J381" s="2" t="s">
        <v>661</v>
      </c>
      <c r="K381" s="2" t="s">
        <v>1870</v>
      </c>
      <c r="L381" s="3">
        <v>51.75</v>
      </c>
      <c r="M381" s="3">
        <v>54.34</v>
      </c>
      <c r="N381" s="3">
        <v>117.99</v>
      </c>
      <c r="O381" s="2" t="s">
        <v>206</v>
      </c>
      <c r="P381" s="2" t="s">
        <v>128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98</v>
      </c>
      <c r="V381" s="2" t="s">
        <v>369</v>
      </c>
      <c r="W381" s="2" t="s">
        <v>384</v>
      </c>
      <c r="X381" s="2" t="s">
        <v>98</v>
      </c>
      <c r="Y381" s="2" t="s">
        <v>833</v>
      </c>
      <c r="Z381" s="4">
        <v>34</v>
      </c>
      <c r="AA381" s="4">
        <f>=ROUNDDOWN(22.6666666666667,0)</f>
      </c>
      <c r="AB381" s="5">
        <v>1.5</v>
      </c>
      <c r="AC381" s="2" t="s">
        <v>98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1</v>
      </c>
      <c r="BK381" s="8">
        <v>58.68</v>
      </c>
      <c r="BL381" s="2" t="s">
        <v>1871</v>
      </c>
      <c r="BM381" s="7"/>
      <c r="BN381" s="7"/>
      <c r="BO381" s="4"/>
      <c r="BP381" s="8"/>
      <c r="BQ381" s="4"/>
      <c r="BR381" s="8"/>
      <c r="BS381" s="7"/>
      <c r="BT381" s="7"/>
      <c r="BU381" s="2" t="s">
        <v>106</v>
      </c>
      <c r="BV381" s="2" t="s">
        <v>95</v>
      </c>
      <c r="BW381" s="2" t="s">
        <v>144</v>
      </c>
      <c r="BX381" s="2" t="s">
        <v>1767</v>
      </c>
      <c r="BY381" s="2" t="s">
        <v>109</v>
      </c>
      <c r="BZ381" s="2" t="s">
        <v>98</v>
      </c>
    </row>
    <row r="382">
      <c r="A382" s="2" t="s">
        <v>1872</v>
      </c>
      <c r="B382" s="2" t="s">
        <v>1628</v>
      </c>
      <c r="C382" s="2" t="s">
        <v>88</v>
      </c>
      <c r="D382" s="2" t="s">
        <v>1828</v>
      </c>
      <c r="E382" s="2" t="s">
        <v>1829</v>
      </c>
      <c r="F382" s="2" t="s">
        <v>1873</v>
      </c>
      <c r="G382" s="2" t="s">
        <v>1873</v>
      </c>
      <c r="H382" s="2" t="s">
        <v>1873</v>
      </c>
      <c r="I382" s="2" t="s">
        <v>1874</v>
      </c>
      <c r="J382" s="2" t="s">
        <v>661</v>
      </c>
      <c r="K382" s="2" t="s">
        <v>1875</v>
      </c>
      <c r="L382" s="3">
        <v>34.96</v>
      </c>
      <c r="M382" s="3">
        <v>36.71</v>
      </c>
      <c r="N382" s="3">
        <v>79.99</v>
      </c>
      <c r="O382" s="2" t="s">
        <v>206</v>
      </c>
      <c r="P382" s="2" t="s">
        <v>128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590</v>
      </c>
      <c r="V382" s="2" t="s">
        <v>369</v>
      </c>
      <c r="W382" s="2" t="s">
        <v>242</v>
      </c>
      <c r="X382" s="2" t="s">
        <v>384</v>
      </c>
      <c r="Y382" s="2" t="s">
        <v>1833</v>
      </c>
      <c r="Z382" s="4"/>
      <c r="AA382" s="4">
        <f>=ROUNDDOWN({0},0)</f>
      </c>
      <c r="AB382" s="5"/>
      <c r="AC382" s="2" t="s">
        <v>98</v>
      </c>
      <c r="AD382" s="4"/>
      <c r="AE382" s="4"/>
      <c r="AF382" s="6">
        <v>63</v>
      </c>
      <c r="AG382" s="6"/>
      <c r="AH382" s="7">
        <v>0.1429</v>
      </c>
      <c r="AI382" s="4"/>
      <c r="AJ382" s="4">
        <f>=ROUNDDOWN({0},0)</f>
      </c>
      <c r="AK382" s="5"/>
      <c r="AL382" s="2" t="s">
        <v>98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/>
      <c r="BK382" s="8"/>
      <c r="BL382" s="2" t="s">
        <v>98</v>
      </c>
      <c r="BM382" s="7"/>
      <c r="BN382" s="7"/>
      <c r="BO382" s="4"/>
      <c r="BP382" s="8"/>
      <c r="BQ382" s="4"/>
      <c r="BR382" s="8"/>
      <c r="BS382" s="7"/>
      <c r="BT382" s="7"/>
      <c r="BU382" s="2" t="s">
        <v>1370</v>
      </c>
      <c r="BV382" s="2" t="s">
        <v>95</v>
      </c>
      <c r="BW382" s="2" t="s">
        <v>98</v>
      </c>
      <c r="BX382" s="2" t="s">
        <v>98</v>
      </c>
      <c r="BY382" s="2" t="s">
        <v>109</v>
      </c>
      <c r="BZ382" s="2" t="s">
        <v>98</v>
      </c>
    </row>
    <row r="383">
      <c r="A383" s="2" t="s">
        <v>1876</v>
      </c>
      <c r="B383" s="2" t="s">
        <v>1628</v>
      </c>
      <c r="C383" s="2" t="s">
        <v>88</v>
      </c>
      <c r="D383" s="2" t="s">
        <v>1828</v>
      </c>
      <c r="E383" s="2" t="s">
        <v>1829</v>
      </c>
      <c r="F383" s="2" t="s">
        <v>1877</v>
      </c>
      <c r="G383" s="2" t="s">
        <v>1877</v>
      </c>
      <c r="H383" s="2" t="s">
        <v>1877</v>
      </c>
      <c r="I383" s="2" t="s">
        <v>1878</v>
      </c>
      <c r="J383" s="2" t="s">
        <v>661</v>
      </c>
      <c r="K383" s="2" t="s">
        <v>1879</v>
      </c>
      <c r="L383" s="3">
        <v>116.24</v>
      </c>
      <c r="M383" s="3">
        <v>122.05</v>
      </c>
      <c r="N383" s="3">
        <v>264.99</v>
      </c>
      <c r="O383" s="2" t="s">
        <v>95</v>
      </c>
      <c r="P383" s="2" t="s">
        <v>714</v>
      </c>
      <c r="Q383" s="2" t="s">
        <v>97</v>
      </c>
      <c r="R383" s="2" t="s">
        <v>98</v>
      </c>
      <c r="S383" s="2" t="s">
        <v>98</v>
      </c>
      <c r="T383" s="2" t="s">
        <v>98</v>
      </c>
      <c r="U383" s="2" t="s">
        <v>590</v>
      </c>
      <c r="V383" s="2" t="s">
        <v>369</v>
      </c>
      <c r="W383" s="2" t="s">
        <v>729</v>
      </c>
      <c r="X383" s="2" t="s">
        <v>98</v>
      </c>
      <c r="Y383" s="2" t="s">
        <v>1736</v>
      </c>
      <c r="Z383" s="4">
        <v>99</v>
      </c>
      <c r="AA383" s="4">
        <f>=ROUNDDOWN(47.1428571428571,0)</f>
      </c>
      <c r="AB383" s="5">
        <v>2.1</v>
      </c>
      <c r="AC383" s="2" t="s">
        <v>98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98</v>
      </c>
      <c r="BM383" s="7"/>
      <c r="BN383" s="7"/>
      <c r="BO383" s="4"/>
      <c r="BP383" s="8"/>
      <c r="BQ383" s="4"/>
      <c r="BR383" s="8"/>
      <c r="BS383" s="7"/>
      <c r="BT383" s="7"/>
      <c r="BU383" s="2" t="s">
        <v>106</v>
      </c>
      <c r="BV383" s="2" t="s">
        <v>95</v>
      </c>
      <c r="BW383" s="2" t="s">
        <v>144</v>
      </c>
      <c r="BX383" s="2" t="s">
        <v>1880</v>
      </c>
      <c r="BY383" s="2" t="s">
        <v>109</v>
      </c>
      <c r="BZ383" s="2" t="s">
        <v>98</v>
      </c>
    </row>
    <row r="384">
      <c r="A384" s="2" t="s">
        <v>1881</v>
      </c>
      <c r="B384" s="2" t="s">
        <v>1628</v>
      </c>
      <c r="C384" s="2" t="s">
        <v>88</v>
      </c>
      <c r="D384" s="2" t="s">
        <v>1828</v>
      </c>
      <c r="E384" s="2" t="s">
        <v>1829</v>
      </c>
      <c r="F384" s="2" t="s">
        <v>1882</v>
      </c>
      <c r="G384" s="2" t="s">
        <v>1882</v>
      </c>
      <c r="H384" s="2" t="s">
        <v>1882</v>
      </c>
      <c r="I384" s="2" t="s">
        <v>1883</v>
      </c>
      <c r="J384" s="2" t="s">
        <v>661</v>
      </c>
      <c r="K384" s="2" t="s">
        <v>1851</v>
      </c>
      <c r="L384" s="3">
        <v>30.66</v>
      </c>
      <c r="M384" s="3">
        <v>32.19</v>
      </c>
      <c r="N384" s="3">
        <v>69.99</v>
      </c>
      <c r="O384" s="2" t="s">
        <v>206</v>
      </c>
      <c r="P384" s="2" t="s">
        <v>128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590</v>
      </c>
      <c r="V384" s="2" t="s">
        <v>369</v>
      </c>
      <c r="W384" s="2" t="s">
        <v>242</v>
      </c>
      <c r="X384" s="2" t="s">
        <v>98</v>
      </c>
      <c r="Y384" s="2" t="s">
        <v>833</v>
      </c>
      <c r="Z384" s="4"/>
      <c r="AA384" s="4">
        <f>=ROUNDDOWN({0},0)</f>
      </c>
      <c r="AB384" s="5">
        <v>0.6</v>
      </c>
      <c r="AC384" s="2" t="s">
        <v>98</v>
      </c>
      <c r="AD384" s="4"/>
      <c r="AE384" s="4"/>
      <c r="AF384" s="6">
        <v>65</v>
      </c>
      <c r="AG384" s="6"/>
      <c r="AH384" s="7">
        <v>0.1429</v>
      </c>
      <c r="AI384" s="4"/>
      <c r="AJ384" s="4">
        <f>=ROUNDDOWN({0},0)</f>
      </c>
      <c r="AK384" s="5"/>
      <c r="AL384" s="2" t="s">
        <v>98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98</v>
      </c>
      <c r="BM384" s="7"/>
      <c r="BN384" s="7"/>
      <c r="BO384" s="4"/>
      <c r="BP384" s="8"/>
      <c r="BQ384" s="4"/>
      <c r="BR384" s="8"/>
      <c r="BS384" s="7"/>
      <c r="BT384" s="7"/>
      <c r="BU384" s="2" t="s">
        <v>106</v>
      </c>
      <c r="BV384" s="2" t="s">
        <v>95</v>
      </c>
      <c r="BW384" s="2" t="s">
        <v>144</v>
      </c>
      <c r="BX384" s="2" t="s">
        <v>1884</v>
      </c>
      <c r="BY384" s="2" t="s">
        <v>109</v>
      </c>
      <c r="BZ384" s="2" t="s">
        <v>98</v>
      </c>
    </row>
    <row r="385">
      <c r="A385" s="2" t="s">
        <v>1885</v>
      </c>
      <c r="B385" s="2" t="s">
        <v>1628</v>
      </c>
      <c r="C385" s="2" t="s">
        <v>88</v>
      </c>
      <c r="D385" s="2" t="s">
        <v>1828</v>
      </c>
      <c r="E385" s="2" t="s">
        <v>1829</v>
      </c>
      <c r="F385" s="2" t="s">
        <v>1886</v>
      </c>
      <c r="G385" s="2" t="s">
        <v>1886</v>
      </c>
      <c r="H385" s="2" t="s">
        <v>1886</v>
      </c>
      <c r="I385" s="2" t="s">
        <v>1887</v>
      </c>
      <c r="J385" s="2" t="s">
        <v>661</v>
      </c>
      <c r="K385" s="2" t="s">
        <v>1856</v>
      </c>
      <c r="L385" s="3">
        <v>133.84</v>
      </c>
      <c r="M385" s="3">
        <v>140.53</v>
      </c>
      <c r="N385" s="3">
        <v>304.99</v>
      </c>
      <c r="O385" s="2" t="s">
        <v>161</v>
      </c>
      <c r="P385" s="2" t="s">
        <v>128</v>
      </c>
      <c r="Q385" s="2" t="s">
        <v>97</v>
      </c>
      <c r="R385" s="2" t="s">
        <v>98</v>
      </c>
      <c r="S385" s="2" t="s">
        <v>1888</v>
      </c>
      <c r="T385" s="2" t="s">
        <v>98</v>
      </c>
      <c r="U385" s="2" t="s">
        <v>98</v>
      </c>
      <c r="V385" s="2" t="s">
        <v>673</v>
      </c>
      <c r="W385" s="2" t="s">
        <v>242</v>
      </c>
      <c r="X385" s="2" t="s">
        <v>98</v>
      </c>
      <c r="Y385" s="2" t="s">
        <v>354</v>
      </c>
      <c r="Z385" s="4">
        <v>17</v>
      </c>
      <c r="AA385" s="4">
        <f>=ROUNDDOWN(28.3333333333333,0)</f>
      </c>
      <c r="AB385" s="5">
        <v>0.6</v>
      </c>
      <c r="AC385" s="2" t="s">
        <v>98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/>
      <c r="BJ385" s="4"/>
      <c r="BK385" s="8"/>
      <c r="BL385" s="2" t="s">
        <v>98</v>
      </c>
      <c r="BM385" s="7"/>
      <c r="BN385" s="7"/>
      <c r="BO385" s="4"/>
      <c r="BP385" s="8"/>
      <c r="BQ385" s="4"/>
      <c r="BR385" s="8"/>
      <c r="BS385" s="7"/>
      <c r="BT385" s="7"/>
      <c r="BU385" s="2" t="s">
        <v>106</v>
      </c>
      <c r="BV385" s="2" t="s">
        <v>95</v>
      </c>
      <c r="BW385" s="2" t="s">
        <v>1636</v>
      </c>
      <c r="BX385" s="2" t="s">
        <v>1889</v>
      </c>
      <c r="BY385" s="2" t="s">
        <v>109</v>
      </c>
      <c r="BZ385" s="2" t="s">
        <v>98</v>
      </c>
    </row>
    <row r="386">
      <c r="A386" s="2" t="s">
        <v>1890</v>
      </c>
      <c r="B386" s="2" t="s">
        <v>1628</v>
      </c>
      <c r="C386" s="2" t="s">
        <v>88</v>
      </c>
      <c r="D386" s="2" t="s">
        <v>1828</v>
      </c>
      <c r="E386" s="2" t="s">
        <v>1829</v>
      </c>
      <c r="F386" s="2" t="s">
        <v>1886</v>
      </c>
      <c r="G386" s="2" t="s">
        <v>1886</v>
      </c>
      <c r="H386" s="2" t="s">
        <v>1886</v>
      </c>
      <c r="I386" s="2" t="s">
        <v>1887</v>
      </c>
      <c r="J386" s="2" t="s">
        <v>661</v>
      </c>
      <c r="K386" s="2" t="s">
        <v>1661</v>
      </c>
      <c r="L386" s="3">
        <v>267.67</v>
      </c>
      <c r="M386" s="3">
        <v>281.05</v>
      </c>
      <c r="N386" s="3">
        <v>609.99</v>
      </c>
      <c r="O386" s="2" t="s">
        <v>95</v>
      </c>
      <c r="P386" s="2" t="s">
        <v>140</v>
      </c>
      <c r="Q386" s="2" t="s">
        <v>97</v>
      </c>
      <c r="R386" s="2" t="s">
        <v>98</v>
      </c>
      <c r="S386" s="2" t="s">
        <v>1891</v>
      </c>
      <c r="T386" s="2" t="s">
        <v>98</v>
      </c>
      <c r="U386" s="2" t="s">
        <v>98</v>
      </c>
      <c r="V386" s="2" t="s">
        <v>673</v>
      </c>
      <c r="W386" s="2" t="s">
        <v>242</v>
      </c>
      <c r="X386" s="2" t="s">
        <v>98</v>
      </c>
      <c r="Y386" s="2" t="s">
        <v>1892</v>
      </c>
      <c r="Z386" s="4">
        <v>82</v>
      </c>
      <c r="AA386" s="4">
        <f>=ROUNDDOWN(136.666666666667,0)</f>
      </c>
      <c r="AB386" s="5">
        <v>0.6</v>
      </c>
      <c r="AC386" s="2" t="s">
        <v>98</v>
      </c>
      <c r="AD386" s="4"/>
      <c r="AE386" s="4"/>
      <c r="AF386" s="6">
        <v>63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>
        <v>2</v>
      </c>
      <c r="BK386" s="8">
        <v>600.48</v>
      </c>
      <c r="BL386" s="2" t="s">
        <v>1893</v>
      </c>
      <c r="BM386" s="7"/>
      <c r="BN386" s="7"/>
      <c r="BO386" s="4"/>
      <c r="BP386" s="8"/>
      <c r="BQ386" s="4"/>
      <c r="BR386" s="8"/>
      <c r="BS386" s="7"/>
      <c r="BT386" s="7"/>
      <c r="BU386" s="2" t="s">
        <v>106</v>
      </c>
      <c r="BV386" s="2" t="s">
        <v>95</v>
      </c>
      <c r="BW386" s="2" t="s">
        <v>1636</v>
      </c>
      <c r="BX386" s="2" t="s">
        <v>600</v>
      </c>
      <c r="BY386" s="2" t="s">
        <v>109</v>
      </c>
      <c r="BZ386" s="2" t="s">
        <v>98</v>
      </c>
    </row>
    <row r="387">
      <c r="A387" s="2" t="s">
        <v>1894</v>
      </c>
      <c r="B387" s="2" t="s">
        <v>1628</v>
      </c>
      <c r="C387" s="2" t="s">
        <v>88</v>
      </c>
      <c r="D387" s="2" t="s">
        <v>1828</v>
      </c>
      <c r="E387" s="2" t="s">
        <v>1829</v>
      </c>
      <c r="F387" s="2" t="s">
        <v>1886</v>
      </c>
      <c r="G387" s="2" t="s">
        <v>1886</v>
      </c>
      <c r="H387" s="2" t="s">
        <v>1886</v>
      </c>
      <c r="I387" s="2" t="s">
        <v>1887</v>
      </c>
      <c r="J387" s="2" t="s">
        <v>661</v>
      </c>
      <c r="K387" s="2" t="s">
        <v>722</v>
      </c>
      <c r="L387" s="3">
        <v>267.67</v>
      </c>
      <c r="M387" s="3">
        <v>281.05</v>
      </c>
      <c r="N387" s="3">
        <v>609.99</v>
      </c>
      <c r="O387" s="2" t="s">
        <v>95</v>
      </c>
      <c r="P387" s="2" t="s">
        <v>714</v>
      </c>
      <c r="Q387" s="2" t="s">
        <v>97</v>
      </c>
      <c r="R387" s="2" t="s">
        <v>98</v>
      </c>
      <c r="S387" s="2" t="s">
        <v>1888</v>
      </c>
      <c r="T387" s="2" t="s">
        <v>98</v>
      </c>
      <c r="U387" s="2" t="s">
        <v>98</v>
      </c>
      <c r="V387" s="2" t="s">
        <v>673</v>
      </c>
      <c r="W387" s="2" t="s">
        <v>729</v>
      </c>
      <c r="X387" s="2" t="s">
        <v>98</v>
      </c>
      <c r="Y387" s="2" t="s">
        <v>1395</v>
      </c>
      <c r="Z387" s="4">
        <v>70</v>
      </c>
      <c r="AA387" s="4">
        <f>=ROUNDDOWN(53.8461538461538,0)</f>
      </c>
      <c r="AB387" s="5">
        <v>1.3</v>
      </c>
      <c r="AC387" s="2" t="s">
        <v>98</v>
      </c>
      <c r="AD387" s="4"/>
      <c r="AE387" s="4"/>
      <c r="AF387" s="6">
        <v>63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1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/>
      <c r="BJ387" s="4"/>
      <c r="BK387" s="8"/>
      <c r="BL387" s="2" t="s">
        <v>98</v>
      </c>
      <c r="BM387" s="7"/>
      <c r="BN387" s="7"/>
      <c r="BO387" s="4"/>
      <c r="BP387" s="8"/>
      <c r="BQ387" s="4"/>
      <c r="BR387" s="8"/>
      <c r="BS387" s="7"/>
      <c r="BT387" s="7"/>
      <c r="BU387" s="2" t="s">
        <v>832</v>
      </c>
      <c r="BV387" s="2" t="s">
        <v>95</v>
      </c>
      <c r="BW387" s="2" t="s">
        <v>1747</v>
      </c>
      <c r="BX387" s="2" t="s">
        <v>1895</v>
      </c>
      <c r="BY387" s="2" t="s">
        <v>109</v>
      </c>
      <c r="BZ387" s="2" t="s">
        <v>98</v>
      </c>
    </row>
    <row r="388">
      <c r="A388" s="2" t="s">
        <v>1896</v>
      </c>
      <c r="B388" s="2" t="s">
        <v>1628</v>
      </c>
      <c r="C388" s="2" t="s">
        <v>88</v>
      </c>
      <c r="D388" s="2" t="s">
        <v>1828</v>
      </c>
      <c r="E388" s="2" t="s">
        <v>1829</v>
      </c>
      <c r="F388" s="2" t="s">
        <v>1897</v>
      </c>
      <c r="G388" s="2" t="s">
        <v>1897</v>
      </c>
      <c r="H388" s="2" t="s">
        <v>1897</v>
      </c>
      <c r="I388" s="2" t="s">
        <v>1898</v>
      </c>
      <c r="J388" s="2" t="s">
        <v>661</v>
      </c>
      <c r="K388" s="2" t="s">
        <v>722</v>
      </c>
      <c r="L388" s="3">
        <v>42.75</v>
      </c>
      <c r="M388" s="3">
        <v>44.89</v>
      </c>
      <c r="N388" s="3">
        <v>99.99</v>
      </c>
      <c r="O388" s="2" t="s">
        <v>206</v>
      </c>
      <c r="P388" s="2" t="s">
        <v>128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590</v>
      </c>
      <c r="V388" s="2" t="s">
        <v>369</v>
      </c>
      <c r="W388" s="2" t="s">
        <v>1201</v>
      </c>
      <c r="X388" s="2" t="s">
        <v>242</v>
      </c>
      <c r="Y388" s="2" t="s">
        <v>1833</v>
      </c>
      <c r="Z388" s="4">
        <v>67</v>
      </c>
      <c r="AA388" s="4">
        <f>=ROUNDDOWN(111.666666666667,0)</f>
      </c>
      <c r="AB388" s="5">
        <v>0.6</v>
      </c>
      <c r="AC388" s="2" t="s">
        <v>98</v>
      </c>
      <c r="AD388" s="4"/>
      <c r="AE388" s="4"/>
      <c r="AF388" s="6">
        <v>63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/>
      <c r="BK388" s="8"/>
      <c r="BL388" s="2" t="s">
        <v>98</v>
      </c>
      <c r="BM388" s="7"/>
      <c r="BN388" s="7"/>
      <c r="BO388" s="4"/>
      <c r="BP388" s="8"/>
      <c r="BQ388" s="4"/>
      <c r="BR388" s="8"/>
      <c r="BS388" s="7"/>
      <c r="BT388" s="7"/>
      <c r="BU388" s="2" t="s">
        <v>106</v>
      </c>
      <c r="BV388" s="2" t="s">
        <v>95</v>
      </c>
      <c r="BW388" s="2" t="s">
        <v>697</v>
      </c>
      <c r="BX388" s="2" t="s">
        <v>1899</v>
      </c>
      <c r="BY388" s="2" t="s">
        <v>109</v>
      </c>
      <c r="BZ388" s="2" t="s">
        <v>98</v>
      </c>
    </row>
    <row r="389">
      <c r="A389" s="2" t="s">
        <v>1900</v>
      </c>
      <c r="B389" s="2" t="s">
        <v>1628</v>
      </c>
      <c r="C389" s="2" t="s">
        <v>88</v>
      </c>
      <c r="D389" s="2" t="s">
        <v>1828</v>
      </c>
      <c r="E389" s="2" t="s">
        <v>1829</v>
      </c>
      <c r="F389" s="2" t="s">
        <v>1901</v>
      </c>
      <c r="G389" s="2" t="s">
        <v>1901</v>
      </c>
      <c r="H389" s="2" t="s">
        <v>1901</v>
      </c>
      <c r="I389" s="2" t="s">
        <v>1902</v>
      </c>
      <c r="J389" s="2" t="s">
        <v>661</v>
      </c>
      <c r="K389" s="2" t="s">
        <v>1266</v>
      </c>
      <c r="L389" s="3">
        <v>132</v>
      </c>
      <c r="M389" s="3">
        <v>138.6</v>
      </c>
      <c r="N389" s="3">
        <v>279.99</v>
      </c>
      <c r="O389" s="2" t="s">
        <v>95</v>
      </c>
      <c r="P389" s="2" t="s">
        <v>714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590</v>
      </c>
      <c r="V389" s="2" t="s">
        <v>369</v>
      </c>
      <c r="W389" s="2" t="s">
        <v>440</v>
      </c>
      <c r="X389" s="2" t="s">
        <v>190</v>
      </c>
      <c r="Y389" s="2" t="s">
        <v>1337</v>
      </c>
      <c r="Z389" s="4">
        <v>83</v>
      </c>
      <c r="AA389" s="4">
        <f>=ROUNDDOWN(83,0)</f>
      </c>
      <c r="AB389" s="5">
        <v>1</v>
      </c>
      <c r="AC389" s="2" t="s">
        <v>98</v>
      </c>
      <c r="AD389" s="4"/>
      <c r="AE389" s="4"/>
      <c r="AF389" s="6">
        <v>63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/>
      <c r="BK389" s="8"/>
      <c r="BL389" s="2" t="s">
        <v>98</v>
      </c>
      <c r="BM389" s="7"/>
      <c r="BN389" s="7"/>
      <c r="BO389" s="4"/>
      <c r="BP389" s="8"/>
      <c r="BQ389" s="4"/>
      <c r="BR389" s="8"/>
      <c r="BS389" s="7"/>
      <c r="BT389" s="7"/>
      <c r="BU389" s="2" t="s">
        <v>106</v>
      </c>
      <c r="BV389" s="2" t="s">
        <v>95</v>
      </c>
      <c r="BW389" s="2" t="s">
        <v>665</v>
      </c>
      <c r="BX389" s="2" t="s">
        <v>1364</v>
      </c>
      <c r="BY389" s="2" t="s">
        <v>109</v>
      </c>
      <c r="BZ389" s="2" t="s">
        <v>98</v>
      </c>
    </row>
    <row r="390">
      <c r="A390" s="2" t="s">
        <v>1903</v>
      </c>
      <c r="B390" s="2" t="s">
        <v>1628</v>
      </c>
      <c r="C390" s="2" t="s">
        <v>88</v>
      </c>
      <c r="D390" s="2" t="s">
        <v>1904</v>
      </c>
      <c r="E390" s="2" t="s">
        <v>1905</v>
      </c>
      <c r="F390" s="2" t="s">
        <v>1906</v>
      </c>
      <c r="G390" s="2" t="s">
        <v>1906</v>
      </c>
      <c r="H390" s="2" t="s">
        <v>1906</v>
      </c>
      <c r="I390" s="2" t="s">
        <v>1907</v>
      </c>
      <c r="J390" s="2" t="s">
        <v>661</v>
      </c>
      <c r="K390" s="2" t="s">
        <v>1586</v>
      </c>
      <c r="L390" s="3">
        <v>22.42</v>
      </c>
      <c r="M390" s="3">
        <v>23.54</v>
      </c>
      <c r="N390" s="3">
        <v>47.99</v>
      </c>
      <c r="O390" s="2" t="s">
        <v>206</v>
      </c>
      <c r="P390" s="2" t="s">
        <v>128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590</v>
      </c>
      <c r="V390" s="2" t="s">
        <v>369</v>
      </c>
      <c r="W390" s="2" t="s">
        <v>242</v>
      </c>
      <c r="X390" s="2" t="s">
        <v>98</v>
      </c>
      <c r="Y390" s="2" t="s">
        <v>1263</v>
      </c>
      <c r="Z390" s="4">
        <v>94</v>
      </c>
      <c r="AA390" s="4">
        <f>=ROUNDDOWN(85.4545454545455,0)</f>
      </c>
      <c r="AB390" s="5">
        <v>1.1</v>
      </c>
      <c r="AC390" s="2" t="s">
        <v>98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1</v>
      </c>
      <c r="BK390" s="8">
        <v>17.48</v>
      </c>
      <c r="BL390" s="2" t="s">
        <v>1348</v>
      </c>
      <c r="BM390" s="7"/>
      <c r="BN390" s="7"/>
      <c r="BO390" s="4"/>
      <c r="BP390" s="8"/>
      <c r="BQ390" s="4"/>
      <c r="BR390" s="8"/>
      <c r="BS390" s="7"/>
      <c r="BT390" s="7"/>
      <c r="BU390" s="2" t="s">
        <v>106</v>
      </c>
      <c r="BV390" s="2" t="s">
        <v>95</v>
      </c>
      <c r="BW390" s="2" t="s">
        <v>144</v>
      </c>
      <c r="BX390" s="2" t="s">
        <v>98</v>
      </c>
      <c r="BY390" s="2" t="s">
        <v>109</v>
      </c>
      <c r="BZ390" s="2" t="s">
        <v>98</v>
      </c>
    </row>
    <row r="391">
      <c r="A391" s="2" t="s">
        <v>1908</v>
      </c>
      <c r="B391" s="2" t="s">
        <v>1628</v>
      </c>
      <c r="C391" s="2" t="s">
        <v>88</v>
      </c>
      <c r="D391" s="2" t="s">
        <v>1904</v>
      </c>
      <c r="E391" s="2" t="s">
        <v>1905</v>
      </c>
      <c r="F391" s="2" t="s">
        <v>1909</v>
      </c>
      <c r="G391" s="2" t="s">
        <v>1909</v>
      </c>
      <c r="H391" s="2" t="s">
        <v>1909</v>
      </c>
      <c r="I391" s="2" t="s">
        <v>1910</v>
      </c>
      <c r="J391" s="2" t="s">
        <v>661</v>
      </c>
      <c r="K391" s="2" t="s">
        <v>367</v>
      </c>
      <c r="L391" s="3">
        <v>33.5</v>
      </c>
      <c r="M391" s="3">
        <v>35.18</v>
      </c>
      <c r="N391" s="3">
        <v>69.99</v>
      </c>
      <c r="O391" s="2" t="s">
        <v>206</v>
      </c>
      <c r="P391" s="2" t="s">
        <v>128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590</v>
      </c>
      <c r="V391" s="2" t="s">
        <v>369</v>
      </c>
      <c r="W391" s="2" t="s">
        <v>242</v>
      </c>
      <c r="X391" s="2" t="s">
        <v>548</v>
      </c>
      <c r="Y391" s="2" t="s">
        <v>1911</v>
      </c>
      <c r="Z391" s="4">
        <v>31</v>
      </c>
      <c r="AA391" s="4">
        <f>=ROUNDDOWN(51.6666666666667,0)</f>
      </c>
      <c r="AB391" s="5">
        <v>0.6</v>
      </c>
      <c r="AC391" s="2" t="s">
        <v>98</v>
      </c>
      <c r="AD391" s="4"/>
      <c r="AE391" s="4"/>
      <c r="AF391" s="6">
        <v>63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/>
      <c r="BK391" s="8"/>
      <c r="BL391" s="2" t="s">
        <v>98</v>
      </c>
      <c r="BM391" s="7"/>
      <c r="BN391" s="7"/>
      <c r="BO391" s="4"/>
      <c r="BP391" s="8"/>
      <c r="BQ391" s="4"/>
      <c r="BR391" s="8"/>
      <c r="BS391" s="7"/>
      <c r="BT391" s="7"/>
      <c r="BU391" s="2" t="s">
        <v>106</v>
      </c>
      <c r="BV391" s="2" t="s">
        <v>95</v>
      </c>
      <c r="BW391" s="2" t="s">
        <v>697</v>
      </c>
      <c r="BX391" s="2" t="s">
        <v>98</v>
      </c>
      <c r="BY391" s="2" t="s">
        <v>109</v>
      </c>
      <c r="BZ391" s="2" t="s">
        <v>98</v>
      </c>
    </row>
    <row r="392">
      <c r="A392" s="2" t="s">
        <v>1912</v>
      </c>
      <c r="B392" s="2" t="s">
        <v>1628</v>
      </c>
      <c r="C392" s="2" t="s">
        <v>88</v>
      </c>
      <c r="D392" s="2" t="s">
        <v>1904</v>
      </c>
      <c r="E392" s="2" t="s">
        <v>1905</v>
      </c>
      <c r="F392" s="2" t="s">
        <v>1913</v>
      </c>
      <c r="G392" s="2" t="s">
        <v>1913</v>
      </c>
      <c r="H392" s="2" t="s">
        <v>1913</v>
      </c>
      <c r="I392" s="2" t="s">
        <v>1914</v>
      </c>
      <c r="J392" s="2" t="s">
        <v>661</v>
      </c>
      <c r="K392" s="2" t="s">
        <v>367</v>
      </c>
      <c r="L392" s="3">
        <v>35.5</v>
      </c>
      <c r="M392" s="3">
        <v>37.28</v>
      </c>
      <c r="N392" s="3">
        <v>74.99</v>
      </c>
      <c r="O392" s="2" t="s">
        <v>206</v>
      </c>
      <c r="P392" s="2" t="s">
        <v>128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590</v>
      </c>
      <c r="V392" s="2" t="s">
        <v>369</v>
      </c>
      <c r="W392" s="2" t="s">
        <v>440</v>
      </c>
      <c r="X392" s="2" t="s">
        <v>548</v>
      </c>
      <c r="Y392" s="2" t="s">
        <v>1911</v>
      </c>
      <c r="Z392" s="4">
        <v>47</v>
      </c>
      <c r="AA392" s="4">
        <f>=ROUNDDOWN(78.3333333333333,0)</f>
      </c>
      <c r="AB392" s="5">
        <v>0.6</v>
      </c>
      <c r="AC392" s="2" t="s">
        <v>98</v>
      </c>
      <c r="AD392" s="4"/>
      <c r="AE392" s="4"/>
      <c r="AF392" s="6">
        <v>63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/>
      <c r="BK392" s="8"/>
      <c r="BL392" s="2" t="s">
        <v>98</v>
      </c>
      <c r="BM392" s="7"/>
      <c r="BN392" s="7"/>
      <c r="BO392" s="4"/>
      <c r="BP392" s="8"/>
      <c r="BQ392" s="4"/>
      <c r="BR392" s="8"/>
      <c r="BS392" s="7"/>
      <c r="BT392" s="7"/>
      <c r="BU392" s="2" t="s">
        <v>106</v>
      </c>
      <c r="BV392" s="2" t="s">
        <v>95</v>
      </c>
      <c r="BW392" s="2" t="s">
        <v>697</v>
      </c>
      <c r="BX392" s="2" t="s">
        <v>841</v>
      </c>
      <c r="BY392" s="2" t="s">
        <v>109</v>
      </c>
      <c r="BZ392" s="2" t="s">
        <v>98</v>
      </c>
    </row>
    <row r="393">
      <c r="A393" s="2" t="s">
        <v>1915</v>
      </c>
      <c r="B393" s="2" t="s">
        <v>1628</v>
      </c>
      <c r="C393" s="2" t="s">
        <v>88</v>
      </c>
      <c r="D393" s="2" t="s">
        <v>1904</v>
      </c>
      <c r="E393" s="2" t="s">
        <v>1905</v>
      </c>
      <c r="F393" s="2" t="s">
        <v>127</v>
      </c>
      <c r="G393" s="2" t="s">
        <v>127</v>
      </c>
      <c r="H393" s="2" t="s">
        <v>127</v>
      </c>
      <c r="I393" s="2" t="s">
        <v>1916</v>
      </c>
      <c r="J393" s="2" t="s">
        <v>1917</v>
      </c>
      <c r="K393" s="2" t="s">
        <v>1918</v>
      </c>
      <c r="L393" s="3">
        <v>47.52</v>
      </c>
      <c r="M393" s="3">
        <v>49.9</v>
      </c>
      <c r="N393" s="3">
        <v>109.99</v>
      </c>
      <c r="O393" s="2" t="s">
        <v>95</v>
      </c>
      <c r="P393" s="2" t="s">
        <v>140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590</v>
      </c>
      <c r="V393" s="2" t="s">
        <v>369</v>
      </c>
      <c r="W393" s="2" t="s">
        <v>377</v>
      </c>
      <c r="X393" s="2" t="s">
        <v>440</v>
      </c>
      <c r="Y393" s="2" t="s">
        <v>1919</v>
      </c>
      <c r="Z393" s="4">
        <v>55</v>
      </c>
      <c r="AA393" s="4">
        <f>=ROUNDDOWN(34.375,0)</f>
      </c>
      <c r="AB393" s="5">
        <v>1.6</v>
      </c>
      <c r="AC393" s="2" t="s">
        <v>98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>
        <v>3</v>
      </c>
      <c r="BK393" s="8">
        <v>167.23</v>
      </c>
      <c r="BL393" s="2" t="s">
        <v>494</v>
      </c>
      <c r="BM393" s="7"/>
      <c r="BN393" s="7"/>
      <c r="BO393" s="4"/>
      <c r="BP393" s="8"/>
      <c r="BQ393" s="4"/>
      <c r="BR393" s="8"/>
      <c r="BS393" s="7"/>
      <c r="BT393" s="7"/>
      <c r="BU393" s="2" t="s">
        <v>106</v>
      </c>
      <c r="BV393" s="2" t="s">
        <v>95</v>
      </c>
      <c r="BW393" s="2" t="s">
        <v>665</v>
      </c>
      <c r="BX393" s="2" t="s">
        <v>98</v>
      </c>
      <c r="BY393" s="2" t="s">
        <v>109</v>
      </c>
      <c r="BZ393" s="2" t="s">
        <v>98</v>
      </c>
    </row>
    <row r="394">
      <c r="A394" s="2" t="s">
        <v>1920</v>
      </c>
      <c r="B394" s="2" t="s">
        <v>1628</v>
      </c>
      <c r="C394" s="2" t="s">
        <v>88</v>
      </c>
      <c r="D394" s="2" t="s">
        <v>1904</v>
      </c>
      <c r="E394" s="2" t="s">
        <v>1905</v>
      </c>
      <c r="F394" s="2" t="s">
        <v>127</v>
      </c>
      <c r="G394" s="2" t="s">
        <v>127</v>
      </c>
      <c r="H394" s="2" t="s">
        <v>127</v>
      </c>
      <c r="I394" s="2" t="s">
        <v>1916</v>
      </c>
      <c r="J394" s="2" t="s">
        <v>1917</v>
      </c>
      <c r="K394" s="2" t="s">
        <v>1921</v>
      </c>
      <c r="L394" s="3">
        <v>47.52</v>
      </c>
      <c r="M394" s="3">
        <v>49.9</v>
      </c>
      <c r="N394" s="3">
        <v>109.99</v>
      </c>
      <c r="O394" s="2" t="s">
        <v>95</v>
      </c>
      <c r="P394" s="2" t="s">
        <v>140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590</v>
      </c>
      <c r="V394" s="2" t="s">
        <v>369</v>
      </c>
      <c r="W394" s="2" t="s">
        <v>377</v>
      </c>
      <c r="X394" s="2" t="s">
        <v>440</v>
      </c>
      <c r="Y394" s="2" t="s">
        <v>1842</v>
      </c>
      <c r="Z394" s="4">
        <v>171</v>
      </c>
      <c r="AA394" s="4">
        <f>=ROUNDDOWN(57,0)</f>
      </c>
      <c r="AB394" s="5">
        <v>3</v>
      </c>
      <c r="AC394" s="2" t="s">
        <v>98</v>
      </c>
      <c r="AD394" s="4"/>
      <c r="AE394" s="4"/>
      <c r="AF394" s="6">
        <v>63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4</v>
      </c>
      <c r="BK394" s="8">
        <v>231.17</v>
      </c>
      <c r="BL394" s="2" t="s">
        <v>1922</v>
      </c>
      <c r="BM394" s="7"/>
      <c r="BN394" s="7"/>
      <c r="BO394" s="4"/>
      <c r="BP394" s="8"/>
      <c r="BQ394" s="4"/>
      <c r="BR394" s="8"/>
      <c r="BS394" s="7"/>
      <c r="BT394" s="7"/>
      <c r="BU394" s="2" t="s">
        <v>106</v>
      </c>
      <c r="BV394" s="2" t="s">
        <v>95</v>
      </c>
      <c r="BW394" s="2" t="s">
        <v>697</v>
      </c>
      <c r="BX394" s="2" t="s">
        <v>913</v>
      </c>
      <c r="BY394" s="2" t="s">
        <v>109</v>
      </c>
      <c r="BZ394" s="2" t="s">
        <v>98</v>
      </c>
    </row>
    <row r="395">
      <c r="A395" s="2" t="s">
        <v>1923</v>
      </c>
      <c r="B395" s="2" t="s">
        <v>1628</v>
      </c>
      <c r="C395" s="2" t="s">
        <v>88</v>
      </c>
      <c r="D395" s="2" t="s">
        <v>1904</v>
      </c>
      <c r="E395" s="2" t="s">
        <v>1905</v>
      </c>
      <c r="F395" s="2" t="s">
        <v>127</v>
      </c>
      <c r="G395" s="2" t="s">
        <v>127</v>
      </c>
      <c r="H395" s="2" t="s">
        <v>127</v>
      </c>
      <c r="I395" s="2" t="s">
        <v>1916</v>
      </c>
      <c r="J395" s="2" t="s">
        <v>1924</v>
      </c>
      <c r="K395" s="2" t="s">
        <v>1846</v>
      </c>
      <c r="L395" s="3">
        <v>72</v>
      </c>
      <c r="M395" s="3">
        <v>75.6</v>
      </c>
      <c r="N395" s="3">
        <v>149.99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590</v>
      </c>
      <c r="V395" s="2" t="s">
        <v>369</v>
      </c>
      <c r="W395" s="2" t="s">
        <v>377</v>
      </c>
      <c r="X395" s="2" t="s">
        <v>440</v>
      </c>
      <c r="Y395" s="2" t="s">
        <v>1847</v>
      </c>
      <c r="Z395" s="4">
        <v>120</v>
      </c>
      <c r="AA395" s="4">
        <f>=ROUNDDOWN(10.9090909090909,0)</f>
      </c>
      <c r="AB395" s="5">
        <v>11</v>
      </c>
      <c r="AC395" s="2" t="s">
        <v>473</v>
      </c>
      <c r="AD395" s="4">
        <v>120</v>
      </c>
      <c r="AE395" s="4">
        <v>320</v>
      </c>
      <c r="AF395" s="6">
        <v>63</v>
      </c>
      <c r="AG395" s="6"/>
      <c r="AH395" s="7">
        <v>0</v>
      </c>
      <c r="AI395" s="4"/>
      <c r="AJ395" s="4">
        <f>=ROUNDDOWN({0},0)</f>
      </c>
      <c r="AK395" s="5"/>
      <c r="AL395" s="2" t="s">
        <v>98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98</v>
      </c>
      <c r="AW395" s="8" t="s">
        <v>98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/>
      <c r="BK395" s="8"/>
      <c r="BL395" s="2" t="s">
        <v>98</v>
      </c>
      <c r="BM395" s="7"/>
      <c r="BN395" s="7"/>
      <c r="BO395" s="4"/>
      <c r="BP395" s="8"/>
      <c r="BQ395" s="4"/>
      <c r="BR395" s="8"/>
      <c r="BS395" s="7"/>
      <c r="BT395" s="7"/>
      <c r="BU395" s="2" t="s">
        <v>106</v>
      </c>
      <c r="BV395" s="2" t="s">
        <v>95</v>
      </c>
      <c r="BW395" s="2" t="s">
        <v>665</v>
      </c>
      <c r="BX395" s="2" t="s">
        <v>1925</v>
      </c>
      <c r="BY395" s="2" t="s">
        <v>109</v>
      </c>
      <c r="BZ395" s="2" t="s">
        <v>98</v>
      </c>
    </row>
    <row r="396">
      <c r="A396" s="2" t="s">
        <v>1926</v>
      </c>
      <c r="B396" s="2" t="s">
        <v>1628</v>
      </c>
      <c r="C396" s="2" t="s">
        <v>88</v>
      </c>
      <c r="D396" s="2" t="s">
        <v>1904</v>
      </c>
      <c r="E396" s="2" t="s">
        <v>1905</v>
      </c>
      <c r="F396" s="2" t="s">
        <v>127</v>
      </c>
      <c r="G396" s="2" t="s">
        <v>127</v>
      </c>
      <c r="H396" s="2" t="s">
        <v>127</v>
      </c>
      <c r="I396" s="2" t="s">
        <v>1916</v>
      </c>
      <c r="J396" s="2" t="s">
        <v>1917</v>
      </c>
      <c r="K396" s="2" t="s">
        <v>1846</v>
      </c>
      <c r="L396" s="3">
        <v>47.52</v>
      </c>
      <c r="M396" s="3">
        <v>49.9</v>
      </c>
      <c r="N396" s="3">
        <v>109.99</v>
      </c>
      <c r="O396" s="2" t="s">
        <v>95</v>
      </c>
      <c r="P396" s="2" t="s">
        <v>153</v>
      </c>
      <c r="Q396" s="2" t="s">
        <v>97</v>
      </c>
      <c r="R396" s="2" t="s">
        <v>98</v>
      </c>
      <c r="S396" s="2" t="s">
        <v>1927</v>
      </c>
      <c r="T396" s="2" t="s">
        <v>98</v>
      </c>
      <c r="U396" s="2" t="s">
        <v>590</v>
      </c>
      <c r="V396" s="2" t="s">
        <v>208</v>
      </c>
      <c r="W396" s="2" t="s">
        <v>377</v>
      </c>
      <c r="X396" s="2" t="s">
        <v>440</v>
      </c>
      <c r="Y396" s="2" t="s">
        <v>1495</v>
      </c>
      <c r="Z396" s="4">
        <v>724</v>
      </c>
      <c r="AA396" s="4">
        <f>=ROUNDDOWN(16.4545454545455,0)</f>
      </c>
      <c r="AB396" s="5">
        <v>44</v>
      </c>
      <c r="AC396" s="2" t="s">
        <v>342</v>
      </c>
      <c r="AD396" s="4">
        <v>180</v>
      </c>
      <c r="AE396" s="4">
        <v>180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98</v>
      </c>
      <c r="AW396" s="8" t="s">
        <v>98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21</v>
      </c>
      <c r="BK396" s="8">
        <v>1174.63</v>
      </c>
      <c r="BL396" s="2" t="s">
        <v>1928</v>
      </c>
      <c r="BM396" s="7"/>
      <c r="BN396" s="7"/>
      <c r="BO396" s="4"/>
      <c r="BP396" s="8"/>
      <c r="BQ396" s="4"/>
      <c r="BR396" s="8"/>
      <c r="BS396" s="7"/>
      <c r="BT396" s="7"/>
      <c r="BU396" s="2" t="s">
        <v>106</v>
      </c>
      <c r="BV396" s="2" t="s">
        <v>95</v>
      </c>
      <c r="BW396" s="2" t="s">
        <v>1636</v>
      </c>
      <c r="BX396" s="2" t="s">
        <v>1929</v>
      </c>
      <c r="BY396" s="2" t="s">
        <v>109</v>
      </c>
      <c r="BZ396" s="2" t="s">
        <v>98</v>
      </c>
    </row>
    <row r="397">
      <c r="A397" s="2" t="s">
        <v>1930</v>
      </c>
      <c r="B397" s="2" t="s">
        <v>1628</v>
      </c>
      <c r="C397" s="2" t="s">
        <v>88</v>
      </c>
      <c r="D397" s="2" t="s">
        <v>1904</v>
      </c>
      <c r="E397" s="2" t="s">
        <v>1905</v>
      </c>
      <c r="F397" s="2" t="s">
        <v>127</v>
      </c>
      <c r="G397" s="2" t="s">
        <v>127</v>
      </c>
      <c r="H397" s="2" t="s">
        <v>127</v>
      </c>
      <c r="I397" s="2" t="s">
        <v>1916</v>
      </c>
      <c r="J397" s="2" t="s">
        <v>1917</v>
      </c>
      <c r="K397" s="2" t="s">
        <v>1931</v>
      </c>
      <c r="L397" s="3">
        <v>47.52</v>
      </c>
      <c r="M397" s="3">
        <v>49.9</v>
      </c>
      <c r="N397" s="3">
        <v>109.99</v>
      </c>
      <c r="O397" s="2" t="s">
        <v>95</v>
      </c>
      <c r="P397" s="2" t="s">
        <v>140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590</v>
      </c>
      <c r="V397" s="2" t="s">
        <v>369</v>
      </c>
      <c r="W397" s="2" t="s">
        <v>377</v>
      </c>
      <c r="X397" s="2" t="s">
        <v>440</v>
      </c>
      <c r="Y397" s="2" t="s">
        <v>1788</v>
      </c>
      <c r="Z397" s="4">
        <v>286</v>
      </c>
      <c r="AA397" s="4">
        <f>=ROUNDDOWN(44.6875,0)</f>
      </c>
      <c r="AB397" s="5">
        <v>6.4</v>
      </c>
      <c r="AC397" s="2" t="s">
        <v>98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6</v>
      </c>
      <c r="BK397" s="8">
        <v>325.42</v>
      </c>
      <c r="BL397" s="2" t="s">
        <v>1932</v>
      </c>
      <c r="BM397" s="7"/>
      <c r="BN397" s="7"/>
      <c r="BO397" s="4"/>
      <c r="BP397" s="8"/>
      <c r="BQ397" s="4"/>
      <c r="BR397" s="8"/>
      <c r="BS397" s="7"/>
      <c r="BT397" s="7"/>
      <c r="BU397" s="2" t="s">
        <v>106</v>
      </c>
      <c r="BV397" s="2" t="s">
        <v>95</v>
      </c>
      <c r="BW397" s="2" t="s">
        <v>607</v>
      </c>
      <c r="BX397" s="2" t="s">
        <v>372</v>
      </c>
      <c r="BY397" s="2" t="s">
        <v>109</v>
      </c>
      <c r="BZ397" s="2" t="s">
        <v>98</v>
      </c>
    </row>
    <row r="398">
      <c r="A398" s="2" t="s">
        <v>1933</v>
      </c>
      <c r="B398" s="2" t="s">
        <v>1628</v>
      </c>
      <c r="C398" s="2" t="s">
        <v>88</v>
      </c>
      <c r="D398" s="2" t="s">
        <v>1904</v>
      </c>
      <c r="E398" s="2" t="s">
        <v>1905</v>
      </c>
      <c r="F398" s="2" t="s">
        <v>1934</v>
      </c>
      <c r="G398" s="2" t="s">
        <v>1934</v>
      </c>
      <c r="H398" s="2" t="s">
        <v>1934</v>
      </c>
      <c r="I398" s="2" t="s">
        <v>1935</v>
      </c>
      <c r="J398" s="2" t="s">
        <v>661</v>
      </c>
      <c r="K398" s="2" t="s">
        <v>564</v>
      </c>
      <c r="L398" s="3">
        <v>18.18</v>
      </c>
      <c r="M398" s="3">
        <v>19.09</v>
      </c>
      <c r="N398" s="3">
        <v>39.99</v>
      </c>
      <c r="O398" s="2" t="s">
        <v>206</v>
      </c>
      <c r="P398" s="2" t="s">
        <v>128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590</v>
      </c>
      <c r="V398" s="2" t="s">
        <v>369</v>
      </c>
      <c r="W398" s="2" t="s">
        <v>242</v>
      </c>
      <c r="X398" s="2" t="s">
        <v>98</v>
      </c>
      <c r="Y398" s="2" t="s">
        <v>1263</v>
      </c>
      <c r="Z398" s="4">
        <v>100</v>
      </c>
      <c r="AA398" s="4">
        <f>=ROUNDDOWN(90.9090909090909,0)</f>
      </c>
      <c r="AB398" s="5">
        <v>1.1</v>
      </c>
      <c r="AC398" s="2" t="s">
        <v>98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/>
      <c r="BK398" s="8"/>
      <c r="BL398" s="2" t="s">
        <v>98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95</v>
      </c>
      <c r="BW398" s="2" t="s">
        <v>144</v>
      </c>
      <c r="BX398" s="2" t="s">
        <v>98</v>
      </c>
      <c r="BY398" s="2" t="s">
        <v>109</v>
      </c>
      <c r="BZ398" s="2" t="s">
        <v>98</v>
      </c>
    </row>
    <row r="399">
      <c r="A399" s="2" t="s">
        <v>1936</v>
      </c>
      <c r="B399" s="2" t="s">
        <v>1628</v>
      </c>
      <c r="C399" s="2" t="s">
        <v>88</v>
      </c>
      <c r="D399" s="2" t="s">
        <v>1904</v>
      </c>
      <c r="E399" s="2" t="s">
        <v>1905</v>
      </c>
      <c r="F399" s="2" t="s">
        <v>1937</v>
      </c>
      <c r="G399" s="2" t="s">
        <v>1937</v>
      </c>
      <c r="H399" s="2" t="s">
        <v>1937</v>
      </c>
      <c r="I399" s="2" t="s">
        <v>1938</v>
      </c>
      <c r="J399" s="2" t="s">
        <v>661</v>
      </c>
      <c r="K399" s="2" t="s">
        <v>1939</v>
      </c>
      <c r="L399" s="3">
        <v>24.8</v>
      </c>
      <c r="M399" s="3">
        <v>26.04</v>
      </c>
      <c r="N399" s="3">
        <v>49.99</v>
      </c>
      <c r="O399" s="2" t="s">
        <v>206</v>
      </c>
      <c r="P399" s="2" t="s">
        <v>128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590</v>
      </c>
      <c r="V399" s="2" t="s">
        <v>369</v>
      </c>
      <c r="W399" s="2" t="s">
        <v>242</v>
      </c>
      <c r="X399" s="2" t="s">
        <v>548</v>
      </c>
      <c r="Y399" s="2" t="s">
        <v>1911</v>
      </c>
      <c r="Z399" s="4">
        <v>82</v>
      </c>
      <c r="AA399" s="4">
        <f>=ROUNDDOWN({0},0)</f>
      </c>
      <c r="AB399" s="5"/>
      <c r="AC399" s="2" t="s">
        <v>98</v>
      </c>
      <c r="AD399" s="4"/>
      <c r="AE399" s="4"/>
      <c r="AF399" s="6">
        <v>63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/>
      <c r="BK399" s="8"/>
      <c r="BL399" s="2" t="s">
        <v>98</v>
      </c>
      <c r="BM399" s="7"/>
      <c r="BN399" s="7"/>
      <c r="BO399" s="4"/>
      <c r="BP399" s="8"/>
      <c r="BQ399" s="4"/>
      <c r="BR399" s="8"/>
      <c r="BS399" s="7"/>
      <c r="BT399" s="7"/>
      <c r="BU399" s="2" t="s">
        <v>106</v>
      </c>
      <c r="BV399" s="2" t="s">
        <v>95</v>
      </c>
      <c r="BW399" s="2" t="s">
        <v>697</v>
      </c>
      <c r="BX399" s="2" t="s">
        <v>98</v>
      </c>
      <c r="BY399" s="2" t="s">
        <v>109</v>
      </c>
      <c r="BZ399" s="2" t="s">
        <v>98</v>
      </c>
    </row>
    <row r="400">
      <c r="A400" s="2" t="s">
        <v>1940</v>
      </c>
      <c r="B400" s="2" t="s">
        <v>1628</v>
      </c>
      <c r="C400" s="2" t="s">
        <v>88</v>
      </c>
      <c r="D400" s="2" t="s">
        <v>1904</v>
      </c>
      <c r="E400" s="2" t="s">
        <v>1905</v>
      </c>
      <c r="F400" s="2" t="s">
        <v>1811</v>
      </c>
      <c r="G400" s="2" t="s">
        <v>1811</v>
      </c>
      <c r="H400" s="2" t="s">
        <v>1811</v>
      </c>
      <c r="I400" s="2" t="s">
        <v>1941</v>
      </c>
      <c r="J400" s="2" t="s">
        <v>661</v>
      </c>
      <c r="K400" s="2" t="s">
        <v>1942</v>
      </c>
      <c r="L400" s="3">
        <v>34.32</v>
      </c>
      <c r="M400" s="3">
        <v>36.04</v>
      </c>
      <c r="N400" s="3">
        <v>69.99</v>
      </c>
      <c r="O400" s="2" t="s">
        <v>206</v>
      </c>
      <c r="P400" s="2" t="s">
        <v>128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590</v>
      </c>
      <c r="V400" s="2" t="s">
        <v>369</v>
      </c>
      <c r="W400" s="2" t="s">
        <v>242</v>
      </c>
      <c r="X400" s="2" t="s">
        <v>98</v>
      </c>
      <c r="Y400" s="2" t="s">
        <v>1943</v>
      </c>
      <c r="Z400" s="4">
        <v>176</v>
      </c>
      <c r="AA400" s="4">
        <f>=ROUNDDOWN({0},0)</f>
      </c>
      <c r="AB400" s="5"/>
      <c r="AC400" s="2" t="s">
        <v>98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98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95</v>
      </c>
      <c r="BW400" s="2" t="s">
        <v>144</v>
      </c>
      <c r="BX400" s="2" t="s">
        <v>1944</v>
      </c>
      <c r="BY400" s="2" t="s">
        <v>109</v>
      </c>
      <c r="BZ400" s="2" t="s">
        <v>98</v>
      </c>
    </row>
    <row r="401">
      <c r="A401" s="2" t="s">
        <v>1945</v>
      </c>
      <c r="B401" s="2" t="s">
        <v>1628</v>
      </c>
      <c r="C401" s="2" t="s">
        <v>88</v>
      </c>
      <c r="D401" s="2" t="s">
        <v>1904</v>
      </c>
      <c r="E401" s="2" t="s">
        <v>1905</v>
      </c>
      <c r="F401" s="2" t="s">
        <v>1946</v>
      </c>
      <c r="G401" s="2" t="s">
        <v>1946</v>
      </c>
      <c r="H401" s="2" t="s">
        <v>1946</v>
      </c>
      <c r="I401" s="2" t="s">
        <v>1947</v>
      </c>
      <c r="J401" s="2" t="s">
        <v>661</v>
      </c>
      <c r="K401" s="2" t="s">
        <v>1948</v>
      </c>
      <c r="L401" s="3">
        <v>16.43</v>
      </c>
      <c r="M401" s="3">
        <v>17.25</v>
      </c>
      <c r="N401" s="3">
        <v>34.99</v>
      </c>
      <c r="O401" s="2" t="s">
        <v>206</v>
      </c>
      <c r="P401" s="2" t="s">
        <v>128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590</v>
      </c>
      <c r="V401" s="2" t="s">
        <v>369</v>
      </c>
      <c r="W401" s="2" t="s">
        <v>384</v>
      </c>
      <c r="X401" s="2" t="s">
        <v>98</v>
      </c>
      <c r="Y401" s="2" t="s">
        <v>1736</v>
      </c>
      <c r="Z401" s="4">
        <v>134</v>
      </c>
      <c r="AA401" s="4">
        <f>=ROUNDDOWN(95.7142857142857,0)</f>
      </c>
      <c r="AB401" s="5">
        <v>1.4</v>
      </c>
      <c r="AC401" s="2" t="s">
        <v>98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/>
      <c r="BK401" s="8"/>
      <c r="BL401" s="2" t="s">
        <v>98</v>
      </c>
      <c r="BM401" s="7"/>
      <c r="BN401" s="7"/>
      <c r="BO401" s="4"/>
      <c r="BP401" s="8"/>
      <c r="BQ401" s="4"/>
      <c r="BR401" s="8"/>
      <c r="BS401" s="7"/>
      <c r="BT401" s="7"/>
      <c r="BU401" s="2" t="s">
        <v>106</v>
      </c>
      <c r="BV401" s="2" t="s">
        <v>95</v>
      </c>
      <c r="BW401" s="2" t="s">
        <v>144</v>
      </c>
      <c r="BX401" s="2" t="s">
        <v>1949</v>
      </c>
      <c r="BY401" s="2" t="s">
        <v>109</v>
      </c>
      <c r="BZ401" s="2" t="s">
        <v>98</v>
      </c>
    </row>
    <row r="402">
      <c r="A402" s="2" t="s">
        <v>1950</v>
      </c>
      <c r="B402" s="2" t="s">
        <v>1628</v>
      </c>
      <c r="C402" s="2" t="s">
        <v>88</v>
      </c>
      <c r="D402" s="2" t="s">
        <v>1904</v>
      </c>
      <c r="E402" s="2" t="s">
        <v>1905</v>
      </c>
      <c r="F402" s="2" t="s">
        <v>1951</v>
      </c>
      <c r="G402" s="2" t="s">
        <v>1951</v>
      </c>
      <c r="H402" s="2" t="s">
        <v>1951</v>
      </c>
      <c r="I402" s="2" t="s">
        <v>1952</v>
      </c>
      <c r="J402" s="2" t="s">
        <v>661</v>
      </c>
      <c r="K402" s="2" t="s">
        <v>367</v>
      </c>
      <c r="L402" s="3">
        <v>40.5</v>
      </c>
      <c r="M402" s="3">
        <v>42.52</v>
      </c>
      <c r="N402" s="3">
        <v>94.99</v>
      </c>
      <c r="O402" s="2" t="s">
        <v>206</v>
      </c>
      <c r="P402" s="2" t="s">
        <v>128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590</v>
      </c>
      <c r="V402" s="2" t="s">
        <v>369</v>
      </c>
      <c r="W402" s="2" t="s">
        <v>242</v>
      </c>
      <c r="X402" s="2" t="s">
        <v>548</v>
      </c>
      <c r="Y402" s="2" t="s">
        <v>1911</v>
      </c>
      <c r="Z402" s="4">
        <v>74</v>
      </c>
      <c r="AA402" s="4">
        <f>=ROUNDDOWN(370,0)</f>
      </c>
      <c r="AB402" s="5">
        <v>0.2</v>
      </c>
      <c r="AC402" s="2" t="s">
        <v>98</v>
      </c>
      <c r="AD402" s="4"/>
      <c r="AE402" s="4"/>
      <c r="AF402" s="6">
        <v>63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98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95</v>
      </c>
      <c r="BW402" s="2" t="s">
        <v>697</v>
      </c>
      <c r="BX402" s="2" t="s">
        <v>807</v>
      </c>
      <c r="BY402" s="2" t="s">
        <v>109</v>
      </c>
      <c r="BZ402" s="2" t="s">
        <v>98</v>
      </c>
    </row>
    <row r="403">
      <c r="A403" s="2" t="s">
        <v>1953</v>
      </c>
      <c r="B403" s="2" t="s">
        <v>1628</v>
      </c>
      <c r="C403" s="2" t="s">
        <v>88</v>
      </c>
      <c r="D403" s="2" t="s">
        <v>1954</v>
      </c>
      <c r="E403" s="2" t="s">
        <v>1955</v>
      </c>
      <c r="F403" s="2" t="s">
        <v>1956</v>
      </c>
      <c r="G403" s="2" t="s">
        <v>1956</v>
      </c>
      <c r="H403" s="2" t="s">
        <v>1956</v>
      </c>
      <c r="I403" s="2" t="s">
        <v>1957</v>
      </c>
      <c r="J403" s="2" t="s">
        <v>661</v>
      </c>
      <c r="K403" s="2" t="s">
        <v>1958</v>
      </c>
      <c r="L403" s="3">
        <v>48</v>
      </c>
      <c r="M403" s="3">
        <v>50.4</v>
      </c>
      <c r="N403" s="3">
        <v>99.99</v>
      </c>
      <c r="O403" s="2" t="s">
        <v>95</v>
      </c>
      <c r="P403" s="2" t="s">
        <v>140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590</v>
      </c>
      <c r="V403" s="2" t="s">
        <v>369</v>
      </c>
      <c r="W403" s="2" t="s">
        <v>644</v>
      </c>
      <c r="X403" s="2" t="s">
        <v>98</v>
      </c>
      <c r="Y403" s="2" t="s">
        <v>1959</v>
      </c>
      <c r="Z403" s="4">
        <v>12</v>
      </c>
      <c r="AA403" s="4">
        <f>=ROUNDDOWN(5.45454545454545,0)</f>
      </c>
      <c r="AB403" s="5">
        <v>2.2</v>
      </c>
      <c r="AC403" s="2" t="s">
        <v>98</v>
      </c>
      <c r="AD403" s="4"/>
      <c r="AE403" s="4"/>
      <c r="AF403" s="6">
        <v>63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>
        <v>1</v>
      </c>
      <c r="BK403" s="8">
        <v>55.2</v>
      </c>
      <c r="BL403" s="2" t="s">
        <v>378</v>
      </c>
      <c r="BM403" s="7"/>
      <c r="BN403" s="7"/>
      <c r="BO403" s="4"/>
      <c r="BP403" s="8"/>
      <c r="BQ403" s="4"/>
      <c r="BR403" s="8"/>
      <c r="BS403" s="7"/>
      <c r="BT403" s="7"/>
      <c r="BU403" s="2" t="s">
        <v>106</v>
      </c>
      <c r="BV403" s="2" t="s">
        <v>95</v>
      </c>
      <c r="BW403" s="2" t="s">
        <v>665</v>
      </c>
      <c r="BX403" s="2" t="s">
        <v>1960</v>
      </c>
      <c r="BY403" s="2" t="s">
        <v>109</v>
      </c>
      <c r="BZ403" s="2" t="s">
        <v>98</v>
      </c>
    </row>
    <row r="404">
      <c r="A404" s="2" t="s">
        <v>1961</v>
      </c>
      <c r="B404" s="2" t="s">
        <v>1628</v>
      </c>
      <c r="C404" s="2" t="s">
        <v>88</v>
      </c>
      <c r="D404" s="2" t="s">
        <v>1954</v>
      </c>
      <c r="E404" s="2" t="s">
        <v>1955</v>
      </c>
      <c r="F404" s="2" t="s">
        <v>1738</v>
      </c>
      <c r="G404" s="2" t="s">
        <v>1738</v>
      </c>
      <c r="H404" s="2" t="s">
        <v>1738</v>
      </c>
      <c r="I404" s="2" t="s">
        <v>1962</v>
      </c>
      <c r="J404" s="2" t="s">
        <v>661</v>
      </c>
      <c r="K404" s="2" t="s">
        <v>1661</v>
      </c>
      <c r="L404" s="3">
        <v>51.3</v>
      </c>
      <c r="M404" s="3">
        <v>53.86</v>
      </c>
      <c r="N404" s="3">
        <v>119.99</v>
      </c>
      <c r="O404" s="2" t="s">
        <v>95</v>
      </c>
      <c r="P404" s="2" t="s">
        <v>153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590</v>
      </c>
      <c r="V404" s="2" t="s">
        <v>369</v>
      </c>
      <c r="W404" s="2" t="s">
        <v>190</v>
      </c>
      <c r="X404" s="2" t="s">
        <v>242</v>
      </c>
      <c r="Y404" s="2" t="s">
        <v>1646</v>
      </c>
      <c r="Z404" s="4">
        <v>451</v>
      </c>
      <c r="AA404" s="4">
        <f>=ROUNDDOWN(50.1111111111111,0)</f>
      </c>
      <c r="AB404" s="5">
        <v>9</v>
      </c>
      <c r="AC404" s="2" t="s">
        <v>98</v>
      </c>
      <c r="AD404" s="4"/>
      <c r="AE404" s="4"/>
      <c r="AF404" s="6">
        <v>63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5</v>
      </c>
      <c r="BK404" s="8">
        <v>297.6</v>
      </c>
      <c r="BL404" s="2" t="s">
        <v>1422</v>
      </c>
      <c r="BM404" s="7"/>
      <c r="BN404" s="7"/>
      <c r="BO404" s="4"/>
      <c r="BP404" s="8"/>
      <c r="BQ404" s="4"/>
      <c r="BR404" s="8"/>
      <c r="BS404" s="7"/>
      <c r="BT404" s="7"/>
      <c r="BU404" s="2" t="s">
        <v>106</v>
      </c>
      <c r="BV404" s="2" t="s">
        <v>95</v>
      </c>
      <c r="BW404" s="2" t="s">
        <v>697</v>
      </c>
      <c r="BX404" s="2" t="s">
        <v>1963</v>
      </c>
      <c r="BY404" s="2" t="s">
        <v>109</v>
      </c>
      <c r="BZ404" s="2" t="s">
        <v>98</v>
      </c>
    </row>
    <row r="405">
      <c r="A405" s="2" t="s">
        <v>1964</v>
      </c>
      <c r="B405" s="2" t="s">
        <v>1628</v>
      </c>
      <c r="C405" s="2" t="s">
        <v>88</v>
      </c>
      <c r="D405" s="2" t="s">
        <v>1954</v>
      </c>
      <c r="E405" s="2" t="s">
        <v>1955</v>
      </c>
      <c r="F405" s="2" t="s">
        <v>1965</v>
      </c>
      <c r="G405" s="2" t="s">
        <v>1965</v>
      </c>
      <c r="H405" s="2" t="s">
        <v>1965</v>
      </c>
      <c r="I405" s="2" t="s">
        <v>1966</v>
      </c>
      <c r="J405" s="2" t="s">
        <v>661</v>
      </c>
      <c r="K405" s="2" t="s">
        <v>1948</v>
      </c>
      <c r="L405" s="3">
        <v>45</v>
      </c>
      <c r="M405" s="3">
        <v>47.25</v>
      </c>
      <c r="N405" s="3">
        <v>94.99</v>
      </c>
      <c r="O405" s="2" t="s">
        <v>95</v>
      </c>
      <c r="P405" s="2" t="s">
        <v>177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590</v>
      </c>
      <c r="V405" s="2" t="s">
        <v>369</v>
      </c>
      <c r="W405" s="2" t="s">
        <v>1201</v>
      </c>
      <c r="X405" s="2" t="s">
        <v>644</v>
      </c>
      <c r="Y405" s="2" t="s">
        <v>1967</v>
      </c>
      <c r="Z405" s="4">
        <v>92</v>
      </c>
      <c r="AA405" s="4">
        <f>=ROUNDDOWN(92,0)</f>
      </c>
      <c r="AB405" s="5">
        <v>1</v>
      </c>
      <c r="AC405" s="2" t="s">
        <v>98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98</v>
      </c>
      <c r="BM405" s="7"/>
      <c r="BN405" s="7"/>
      <c r="BO405" s="4"/>
      <c r="BP405" s="8"/>
      <c r="BQ405" s="4"/>
      <c r="BR405" s="8"/>
      <c r="BS405" s="7"/>
      <c r="BT405" s="7"/>
      <c r="BU405" s="2" t="s">
        <v>832</v>
      </c>
      <c r="BV405" s="2" t="s">
        <v>95</v>
      </c>
      <c r="BW405" s="2" t="s">
        <v>98</v>
      </c>
      <c r="BX405" s="2" t="s">
        <v>98</v>
      </c>
      <c r="BY405" s="2" t="s">
        <v>109</v>
      </c>
      <c r="BZ405" s="2" t="s">
        <v>98</v>
      </c>
    </row>
    <row r="406">
      <c r="A406" s="2" t="s">
        <v>1968</v>
      </c>
      <c r="B406" s="2" t="s">
        <v>1969</v>
      </c>
      <c r="C406" s="2" t="s">
        <v>88</v>
      </c>
      <c r="D406" s="2" t="s">
        <v>1970</v>
      </c>
      <c r="E406" s="2" t="s">
        <v>1971</v>
      </c>
      <c r="F406" s="2" t="s">
        <v>743</v>
      </c>
      <c r="G406" s="2" t="s">
        <v>1972</v>
      </c>
      <c r="H406" s="2" t="s">
        <v>1973</v>
      </c>
      <c r="I406" s="2" t="s">
        <v>1974</v>
      </c>
      <c r="J406" s="2" t="s">
        <v>1975</v>
      </c>
      <c r="K406" s="2" t="s">
        <v>152</v>
      </c>
      <c r="L406" s="3">
        <v>26.65</v>
      </c>
      <c r="M406" s="3">
        <v>27.98</v>
      </c>
      <c r="N406" s="3">
        <v>59.99</v>
      </c>
      <c r="O406" s="2" t="s">
        <v>95</v>
      </c>
      <c r="P406" s="2" t="s">
        <v>128</v>
      </c>
      <c r="Q406" s="2" t="s">
        <v>97</v>
      </c>
      <c r="R406" s="2" t="s">
        <v>98</v>
      </c>
      <c r="S406" s="2" t="s">
        <v>1976</v>
      </c>
      <c r="T406" s="2" t="s">
        <v>130</v>
      </c>
      <c r="U406" s="2" t="s">
        <v>1977</v>
      </c>
      <c r="V406" s="2" t="s">
        <v>208</v>
      </c>
      <c r="W406" s="2" t="s">
        <v>163</v>
      </c>
      <c r="X406" s="2" t="s">
        <v>190</v>
      </c>
      <c r="Y406" s="2" t="s">
        <v>1978</v>
      </c>
      <c r="Z406" s="4">
        <v>140</v>
      </c>
      <c r="AA406" s="4">
        <f>=ROUNDDOWN(15.5555555555556,0)</f>
      </c>
      <c r="AB406" s="5">
        <v>9</v>
      </c>
      <c r="AC406" s="2" t="s">
        <v>98</v>
      </c>
      <c r="AD406" s="4"/>
      <c r="AE406" s="4"/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/>
      <c r="AP406" s="4">
        <v>3</v>
      </c>
      <c r="AQ406" s="8">
        <v>90.66</v>
      </c>
      <c r="AR406" s="4"/>
      <c r="AS406" s="8"/>
      <c r="AT406" s="7"/>
      <c r="AU406" s="7"/>
      <c r="AV406" s="4">
        <v>3</v>
      </c>
      <c r="AW406" s="8">
        <v>90.66</v>
      </c>
      <c r="AX406" s="4"/>
      <c r="AY406" s="8"/>
      <c r="AZ406" s="7"/>
      <c r="BA406" s="7"/>
      <c r="BB406" s="7">
        <v>1</v>
      </c>
      <c r="BC406" s="4">
        <v>10</v>
      </c>
      <c r="BD406" s="8">
        <v>302.2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>
        <v>0.3</v>
      </c>
      <c r="BJ406" s="4">
        <v>6</v>
      </c>
      <c r="BK406" s="8">
        <v>176.84</v>
      </c>
      <c r="BL406" s="2" t="s">
        <v>398</v>
      </c>
      <c r="BM406" s="7">
        <v>0.5</v>
      </c>
      <c r="BN406" s="7">
        <v>0.5127</v>
      </c>
      <c r="BO406" s="4">
        <v>3</v>
      </c>
      <c r="BP406" s="8">
        <v>90.66</v>
      </c>
      <c r="BQ406" s="4"/>
      <c r="BR406" s="8"/>
      <c r="BS406" s="7"/>
      <c r="BT406" s="7"/>
      <c r="BU406" s="2" t="s">
        <v>106</v>
      </c>
      <c r="BV406" s="2" t="s">
        <v>95</v>
      </c>
      <c r="BW406" s="2" t="s">
        <v>1978</v>
      </c>
      <c r="BX406" s="2" t="s">
        <v>1979</v>
      </c>
      <c r="BY406" s="2" t="s">
        <v>109</v>
      </c>
      <c r="BZ406" s="2" t="s">
        <v>98</v>
      </c>
    </row>
    <row r="407">
      <c r="A407" s="2" t="s">
        <v>1980</v>
      </c>
      <c r="B407" s="2" t="s">
        <v>1969</v>
      </c>
      <c r="C407" s="2" t="s">
        <v>88</v>
      </c>
      <c r="D407" s="2" t="s">
        <v>1970</v>
      </c>
      <c r="E407" s="2" t="s">
        <v>1971</v>
      </c>
      <c r="F407" s="2" t="s">
        <v>743</v>
      </c>
      <c r="G407" s="2" t="s">
        <v>1972</v>
      </c>
      <c r="H407" s="2" t="s">
        <v>1973</v>
      </c>
      <c r="I407" s="2" t="s">
        <v>1974</v>
      </c>
      <c r="J407" s="2" t="s">
        <v>1975</v>
      </c>
      <c r="K407" s="2" t="s">
        <v>94</v>
      </c>
      <c r="L407" s="3">
        <v>26.65</v>
      </c>
      <c r="M407" s="3">
        <v>27.98</v>
      </c>
      <c r="N407" s="3">
        <v>59.99</v>
      </c>
      <c r="O407" s="2" t="s">
        <v>95</v>
      </c>
      <c r="P407" s="2" t="s">
        <v>128</v>
      </c>
      <c r="Q407" s="2" t="s">
        <v>97</v>
      </c>
      <c r="R407" s="2" t="s">
        <v>98</v>
      </c>
      <c r="S407" s="2" t="s">
        <v>1981</v>
      </c>
      <c r="T407" s="2" t="s">
        <v>130</v>
      </c>
      <c r="U407" s="2" t="s">
        <v>1977</v>
      </c>
      <c r="V407" s="2" t="s">
        <v>208</v>
      </c>
      <c r="W407" s="2" t="s">
        <v>163</v>
      </c>
      <c r="X407" s="2" t="s">
        <v>190</v>
      </c>
      <c r="Y407" s="2" t="s">
        <v>1978</v>
      </c>
      <c r="Z407" s="4"/>
      <c r="AA407" s="4">
        <f>=ROUNDDOWN({0},0)</f>
      </c>
      <c r="AB407" s="5">
        <v>7</v>
      </c>
      <c r="AC407" s="2" t="s">
        <v>98</v>
      </c>
      <c r="AD407" s="4"/>
      <c r="AE407" s="4"/>
      <c r="AF407" s="6">
        <v>67</v>
      </c>
      <c r="AG407" s="6"/>
      <c r="AH407" s="7">
        <v>0.8571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/>
      <c r="AP407" s="4">
        <v>3</v>
      </c>
      <c r="AQ407" s="8">
        <v>90.66</v>
      </c>
      <c r="AR407" s="4"/>
      <c r="AS407" s="8"/>
      <c r="AT407" s="7"/>
      <c r="AU407" s="7"/>
      <c r="AV407" s="4">
        <v>3</v>
      </c>
      <c r="AW407" s="8">
        <v>90.66</v>
      </c>
      <c r="AX407" s="4"/>
      <c r="AY407" s="8"/>
      <c r="AZ407" s="7"/>
      <c r="BA407" s="7"/>
      <c r="BB407" s="7">
        <v>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0.3</v>
      </c>
      <c r="BJ407" s="4">
        <v>9</v>
      </c>
      <c r="BK407" s="8">
        <v>223.82</v>
      </c>
      <c r="BL407" s="2" t="s">
        <v>1982</v>
      </c>
      <c r="BM407" s="7">
        <v>0.3333</v>
      </c>
      <c r="BN407" s="7">
        <v>0.4051</v>
      </c>
      <c r="BO407" s="4">
        <v>3</v>
      </c>
      <c r="BP407" s="8">
        <v>90.66</v>
      </c>
      <c r="BQ407" s="4"/>
      <c r="BR407" s="8"/>
      <c r="BS407" s="7"/>
      <c r="BT407" s="7"/>
      <c r="BU407" s="2" t="s">
        <v>106</v>
      </c>
      <c r="BV407" s="2" t="s">
        <v>95</v>
      </c>
      <c r="BW407" s="2" t="s">
        <v>1978</v>
      </c>
      <c r="BX407" s="2" t="s">
        <v>1236</v>
      </c>
      <c r="BY407" s="2" t="s">
        <v>109</v>
      </c>
      <c r="BZ407" s="2" t="s">
        <v>98</v>
      </c>
    </row>
    <row r="408">
      <c r="A408" s="2" t="s">
        <v>1983</v>
      </c>
      <c r="B408" s="2" t="s">
        <v>1969</v>
      </c>
      <c r="C408" s="2" t="s">
        <v>88</v>
      </c>
      <c r="D408" s="2" t="s">
        <v>1970</v>
      </c>
      <c r="E408" s="2" t="s">
        <v>1971</v>
      </c>
      <c r="F408" s="2" t="s">
        <v>743</v>
      </c>
      <c r="G408" s="2" t="s">
        <v>1972</v>
      </c>
      <c r="H408" s="2" t="s">
        <v>1973</v>
      </c>
      <c r="I408" s="2" t="s">
        <v>1974</v>
      </c>
      <c r="J408" s="2" t="s">
        <v>1975</v>
      </c>
      <c r="K408" s="2" t="s">
        <v>115</v>
      </c>
      <c r="L408" s="3">
        <v>26.65</v>
      </c>
      <c r="M408" s="3">
        <v>27.98</v>
      </c>
      <c r="N408" s="3">
        <v>59.99</v>
      </c>
      <c r="O408" s="2" t="s">
        <v>95</v>
      </c>
      <c r="P408" s="2" t="s">
        <v>128</v>
      </c>
      <c r="Q408" s="2" t="s">
        <v>97</v>
      </c>
      <c r="R408" s="2" t="s">
        <v>98</v>
      </c>
      <c r="S408" s="2" t="s">
        <v>1984</v>
      </c>
      <c r="T408" s="2" t="s">
        <v>130</v>
      </c>
      <c r="U408" s="2" t="s">
        <v>1977</v>
      </c>
      <c r="V408" s="2" t="s">
        <v>208</v>
      </c>
      <c r="W408" s="2" t="s">
        <v>163</v>
      </c>
      <c r="X408" s="2" t="s">
        <v>190</v>
      </c>
      <c r="Y408" s="2" t="s">
        <v>1978</v>
      </c>
      <c r="Z408" s="4">
        <v>48</v>
      </c>
      <c r="AA408" s="4">
        <f>=ROUNDDOWN(4.8,0)</f>
      </c>
      <c r="AB408" s="5">
        <v>10</v>
      </c>
      <c r="AC408" s="2" t="s">
        <v>98</v>
      </c>
      <c r="AD408" s="4"/>
      <c r="AE408" s="4"/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/>
      <c r="AP408" s="4">
        <v>2</v>
      </c>
      <c r="AQ408" s="8">
        <v>60.44</v>
      </c>
      <c r="AR408" s="4"/>
      <c r="AS408" s="8"/>
      <c r="AT408" s="7"/>
      <c r="AU408" s="7"/>
      <c r="AV408" s="4">
        <v>2</v>
      </c>
      <c r="AW408" s="8">
        <v>60.44</v>
      </c>
      <c r="AX408" s="4"/>
      <c r="AY408" s="8"/>
      <c r="AZ408" s="7"/>
      <c r="BA408" s="7"/>
      <c r="BB408" s="7">
        <v>1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>
        <v>0.2</v>
      </c>
      <c r="BJ408" s="4">
        <v>16</v>
      </c>
      <c r="BK408" s="8">
        <v>412.04</v>
      </c>
      <c r="BL408" s="2" t="s">
        <v>1985</v>
      </c>
      <c r="BM408" s="7">
        <v>0.125</v>
      </c>
      <c r="BN408" s="7">
        <v>0.1467</v>
      </c>
      <c r="BO408" s="4">
        <v>2</v>
      </c>
      <c r="BP408" s="8">
        <v>60.44</v>
      </c>
      <c r="BQ408" s="4"/>
      <c r="BR408" s="8"/>
      <c r="BS408" s="7"/>
      <c r="BT408" s="7"/>
      <c r="BU408" s="2" t="s">
        <v>106</v>
      </c>
      <c r="BV408" s="2" t="s">
        <v>95</v>
      </c>
      <c r="BW408" s="2" t="s">
        <v>1986</v>
      </c>
      <c r="BX408" s="2" t="s">
        <v>1987</v>
      </c>
      <c r="BY408" s="2" t="s">
        <v>109</v>
      </c>
      <c r="BZ408" s="2" t="s">
        <v>98</v>
      </c>
    </row>
    <row r="409">
      <c r="A409" s="2" t="s">
        <v>1988</v>
      </c>
      <c r="B409" s="2" t="s">
        <v>1969</v>
      </c>
      <c r="C409" s="2" t="s">
        <v>88</v>
      </c>
      <c r="D409" s="2" t="s">
        <v>1970</v>
      </c>
      <c r="E409" s="2" t="s">
        <v>1971</v>
      </c>
      <c r="F409" s="2" t="s">
        <v>743</v>
      </c>
      <c r="G409" s="2" t="s">
        <v>1972</v>
      </c>
      <c r="H409" s="2" t="s">
        <v>1973</v>
      </c>
      <c r="I409" s="2" t="s">
        <v>1974</v>
      </c>
      <c r="J409" s="2" t="s">
        <v>1975</v>
      </c>
      <c r="K409" s="2" t="s">
        <v>1150</v>
      </c>
      <c r="L409" s="3">
        <v>26.65</v>
      </c>
      <c r="M409" s="3">
        <v>27.98</v>
      </c>
      <c r="N409" s="3">
        <v>59.99</v>
      </c>
      <c r="O409" s="2" t="s">
        <v>206</v>
      </c>
      <c r="P409" s="2" t="s">
        <v>128</v>
      </c>
      <c r="Q409" s="2" t="s">
        <v>97</v>
      </c>
      <c r="R409" s="2" t="s">
        <v>98</v>
      </c>
      <c r="S409" s="2" t="s">
        <v>1989</v>
      </c>
      <c r="T409" s="2" t="s">
        <v>130</v>
      </c>
      <c r="U409" s="2" t="s">
        <v>1977</v>
      </c>
      <c r="V409" s="2" t="s">
        <v>208</v>
      </c>
      <c r="W409" s="2" t="s">
        <v>163</v>
      </c>
      <c r="X409" s="2" t="s">
        <v>190</v>
      </c>
      <c r="Y409" s="2" t="s">
        <v>1978</v>
      </c>
      <c r="Z409" s="4">
        <v>155</v>
      </c>
      <c r="AA409" s="4">
        <f>=ROUNDDOWN(25.8333333333333,0)</f>
      </c>
      <c r="AB409" s="5">
        <v>6</v>
      </c>
      <c r="AC409" s="2" t="s">
        <v>98</v>
      </c>
      <c r="AD409" s="4"/>
      <c r="AE409" s="4"/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/>
      <c r="AP409" s="4">
        <v>1</v>
      </c>
      <c r="AQ409" s="8">
        <v>30.22</v>
      </c>
      <c r="AR409" s="4"/>
      <c r="AS409" s="8"/>
      <c r="AT409" s="7"/>
      <c r="AU409" s="7"/>
      <c r="AV409" s="4">
        <v>1</v>
      </c>
      <c r="AW409" s="8">
        <v>30.22</v>
      </c>
      <c r="AX409" s="4"/>
      <c r="AY409" s="8"/>
      <c r="AZ409" s="7"/>
      <c r="BA409" s="7"/>
      <c r="BB409" s="7">
        <v>1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>
        <v>0.1</v>
      </c>
      <c r="BJ409" s="4">
        <v>10</v>
      </c>
      <c r="BK409" s="8">
        <v>195.73</v>
      </c>
      <c r="BL409" s="2" t="s">
        <v>1990</v>
      </c>
      <c r="BM409" s="7">
        <v>0.1</v>
      </c>
      <c r="BN409" s="7">
        <v>0.1544</v>
      </c>
      <c r="BO409" s="4">
        <v>1</v>
      </c>
      <c r="BP409" s="8">
        <v>30.22</v>
      </c>
      <c r="BQ409" s="4"/>
      <c r="BR409" s="8"/>
      <c r="BS409" s="7"/>
      <c r="BT409" s="7"/>
      <c r="BU409" s="2" t="s">
        <v>106</v>
      </c>
      <c r="BV409" s="2" t="s">
        <v>95</v>
      </c>
      <c r="BW409" s="2" t="s">
        <v>1978</v>
      </c>
      <c r="BX409" s="2" t="s">
        <v>1991</v>
      </c>
      <c r="BY409" s="2" t="s">
        <v>109</v>
      </c>
      <c r="BZ409" s="2" t="s">
        <v>98</v>
      </c>
    </row>
    <row r="410">
      <c r="A410" s="2" t="s">
        <v>1992</v>
      </c>
      <c r="B410" s="2" t="s">
        <v>1969</v>
      </c>
      <c r="C410" s="2" t="s">
        <v>88</v>
      </c>
      <c r="D410" s="2" t="s">
        <v>1970</v>
      </c>
      <c r="E410" s="2" t="s">
        <v>1971</v>
      </c>
      <c r="F410" s="2" t="s">
        <v>743</v>
      </c>
      <c r="G410" s="2" t="s">
        <v>1972</v>
      </c>
      <c r="H410" s="2" t="s">
        <v>1973</v>
      </c>
      <c r="I410" s="2" t="s">
        <v>1974</v>
      </c>
      <c r="J410" s="2" t="s">
        <v>1975</v>
      </c>
      <c r="K410" s="2" t="s">
        <v>631</v>
      </c>
      <c r="L410" s="3">
        <v>26.65</v>
      </c>
      <c r="M410" s="3">
        <v>27.98</v>
      </c>
      <c r="N410" s="3">
        <v>59.99</v>
      </c>
      <c r="O410" s="2" t="s">
        <v>95</v>
      </c>
      <c r="P410" s="2" t="s">
        <v>128</v>
      </c>
      <c r="Q410" s="2" t="s">
        <v>97</v>
      </c>
      <c r="R410" s="2" t="s">
        <v>98</v>
      </c>
      <c r="S410" s="2" t="s">
        <v>1993</v>
      </c>
      <c r="T410" s="2" t="s">
        <v>130</v>
      </c>
      <c r="U410" s="2" t="s">
        <v>1977</v>
      </c>
      <c r="V410" s="2" t="s">
        <v>208</v>
      </c>
      <c r="W410" s="2" t="s">
        <v>163</v>
      </c>
      <c r="X410" s="2" t="s">
        <v>190</v>
      </c>
      <c r="Y410" s="2" t="s">
        <v>1978</v>
      </c>
      <c r="Z410" s="4">
        <v>166</v>
      </c>
      <c r="AA410" s="4">
        <f>=ROUNDDOWN(18.4444444444444,0)</f>
      </c>
      <c r="AB410" s="5">
        <v>9</v>
      </c>
      <c r="AC410" s="2" t="s">
        <v>98</v>
      </c>
      <c r="AD410" s="4"/>
      <c r="AE410" s="4"/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/>
      <c r="AP410" s="4">
        <v>1</v>
      </c>
      <c r="AQ410" s="8">
        <v>30.22</v>
      </c>
      <c r="AR410" s="4"/>
      <c r="AS410" s="8"/>
      <c r="AT410" s="7"/>
      <c r="AU410" s="7"/>
      <c r="AV410" s="4">
        <v>1</v>
      </c>
      <c r="AW410" s="8">
        <v>30.22</v>
      </c>
      <c r="AX410" s="4"/>
      <c r="AY410" s="8"/>
      <c r="AZ410" s="7"/>
      <c r="BA410" s="7"/>
      <c r="BB410" s="7">
        <v>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0.1</v>
      </c>
      <c r="BJ410" s="4">
        <v>4</v>
      </c>
      <c r="BK410" s="8">
        <v>89.98</v>
      </c>
      <c r="BL410" s="2" t="s">
        <v>1990</v>
      </c>
      <c r="BM410" s="7">
        <v>0.25</v>
      </c>
      <c r="BN410" s="7">
        <v>0.3359</v>
      </c>
      <c r="BO410" s="4">
        <v>1</v>
      </c>
      <c r="BP410" s="8">
        <v>30.22</v>
      </c>
      <c r="BQ410" s="4"/>
      <c r="BR410" s="8"/>
      <c r="BS410" s="7"/>
      <c r="BT410" s="7"/>
      <c r="BU410" s="2" t="s">
        <v>106</v>
      </c>
      <c r="BV410" s="2" t="s">
        <v>95</v>
      </c>
      <c r="BW410" s="2" t="s">
        <v>1978</v>
      </c>
      <c r="BX410" s="2" t="s">
        <v>1185</v>
      </c>
      <c r="BY410" s="2" t="s">
        <v>109</v>
      </c>
      <c r="BZ410" s="2" t="s">
        <v>98</v>
      </c>
    </row>
    <row r="411">
      <c r="A411" s="2" t="s">
        <v>1994</v>
      </c>
      <c r="B411" s="2" t="s">
        <v>1995</v>
      </c>
      <c r="C411" s="2" t="s">
        <v>88</v>
      </c>
      <c r="D411" s="2" t="s">
        <v>1996</v>
      </c>
      <c r="E411" s="2" t="s">
        <v>1997</v>
      </c>
      <c r="F411" s="2" t="s">
        <v>237</v>
      </c>
      <c r="G411" s="2" t="s">
        <v>237</v>
      </c>
      <c r="H411" s="2" t="s">
        <v>237</v>
      </c>
      <c r="I411" s="2" t="s">
        <v>1998</v>
      </c>
      <c r="J411" s="2" t="s">
        <v>1999</v>
      </c>
      <c r="K411" s="2" t="s">
        <v>239</v>
      </c>
      <c r="L411" s="3">
        <v>21.12</v>
      </c>
      <c r="M411" s="3">
        <v>22.18</v>
      </c>
      <c r="N411" s="3">
        <v>47.99</v>
      </c>
      <c r="O411" s="2" t="s">
        <v>95</v>
      </c>
      <c r="P411" s="2" t="s">
        <v>140</v>
      </c>
      <c r="Q411" s="2" t="s">
        <v>97</v>
      </c>
      <c r="R411" s="2" t="s">
        <v>98</v>
      </c>
      <c r="S411" s="2" t="s">
        <v>240</v>
      </c>
      <c r="T411" s="2" t="s">
        <v>130</v>
      </c>
      <c r="U411" s="2" t="s">
        <v>590</v>
      </c>
      <c r="V411" s="2" t="s">
        <v>103</v>
      </c>
      <c r="W411" s="2" t="s">
        <v>242</v>
      </c>
      <c r="X411" s="2" t="s">
        <v>2000</v>
      </c>
      <c r="Y411" s="2" t="s">
        <v>2001</v>
      </c>
      <c r="Z411" s="4">
        <v>789</v>
      </c>
      <c r="AA411" s="4">
        <f>=ROUNDDOWN(34.304347826087,0)</f>
      </c>
      <c r="AB411" s="5">
        <v>23</v>
      </c>
      <c r="AC411" s="2" t="s">
        <v>118</v>
      </c>
      <c r="AD411" s="4">
        <v>180</v>
      </c>
      <c r="AE411" s="4">
        <v>180</v>
      </c>
      <c r="AF411" s="6">
        <v>64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/>
      <c r="AP411" s="4">
        <v>5</v>
      </c>
      <c r="AQ411" s="8">
        <v>110.9</v>
      </c>
      <c r="AR411" s="4"/>
      <c r="AS411" s="8"/>
      <c r="AT411" s="7"/>
      <c r="AU411" s="7"/>
      <c r="AV411" s="4">
        <v>5</v>
      </c>
      <c r="AW411" s="8">
        <v>110.9</v>
      </c>
      <c r="AX411" s="4"/>
      <c r="AY411" s="8"/>
      <c r="AZ411" s="7"/>
      <c r="BA411" s="7"/>
      <c r="BB411" s="7">
        <v>1</v>
      </c>
      <c r="BC411" s="4">
        <v>5</v>
      </c>
      <c r="BD411" s="8">
        <v>110.9</v>
      </c>
      <c r="BE411" s="4"/>
      <c r="BF411" s="8"/>
      <c r="BG411" s="7"/>
      <c r="BH411" s="7"/>
      <c r="BI411" s="7">
        <v>1</v>
      </c>
      <c r="BJ411" s="4">
        <v>79</v>
      </c>
      <c r="BK411" s="8">
        <v>2009.06</v>
      </c>
      <c r="BL411" s="2" t="s">
        <v>2002</v>
      </c>
      <c r="BM411" s="7">
        <v>0.0633</v>
      </c>
      <c r="BN411" s="7">
        <v>0.0552</v>
      </c>
      <c r="BO411" s="4">
        <v>5</v>
      </c>
      <c r="BP411" s="8">
        <v>110.9</v>
      </c>
      <c r="BQ411" s="4"/>
      <c r="BR411" s="8"/>
      <c r="BS411" s="7"/>
      <c r="BT411" s="7"/>
      <c r="BU411" s="2" t="s">
        <v>106</v>
      </c>
      <c r="BV411" s="2" t="s">
        <v>95</v>
      </c>
      <c r="BW411" s="2" t="s">
        <v>519</v>
      </c>
      <c r="BX411" s="2" t="s">
        <v>2003</v>
      </c>
      <c r="BY411" s="2" t="s">
        <v>109</v>
      </c>
      <c r="BZ411" s="2" t="s">
        <v>98</v>
      </c>
    </row>
    <row r="412">
      <c r="A412" s="2" t="s">
        <v>2004</v>
      </c>
      <c r="B412" s="2" t="s">
        <v>1995</v>
      </c>
      <c r="C412" s="2" t="s">
        <v>88</v>
      </c>
      <c r="D412" s="2" t="s">
        <v>1996</v>
      </c>
      <c r="E412" s="2" t="s">
        <v>1997</v>
      </c>
      <c r="F412" s="2" t="s">
        <v>91</v>
      </c>
      <c r="G412" s="2" t="s">
        <v>91</v>
      </c>
      <c r="H412" s="2" t="s">
        <v>91</v>
      </c>
      <c r="I412" s="2" t="s">
        <v>2005</v>
      </c>
      <c r="J412" s="2" t="s">
        <v>1999</v>
      </c>
      <c r="K412" s="2" t="s">
        <v>115</v>
      </c>
      <c r="L412" s="3">
        <v>22.5</v>
      </c>
      <c r="M412" s="3">
        <v>23.62</v>
      </c>
      <c r="N412" s="3">
        <v>49.99</v>
      </c>
      <c r="O412" s="2" t="s">
        <v>95</v>
      </c>
      <c r="P412" s="2" t="s">
        <v>96</v>
      </c>
      <c r="Q412" s="2" t="s">
        <v>97</v>
      </c>
      <c r="R412" s="2" t="s">
        <v>98</v>
      </c>
      <c r="S412" s="2" t="s">
        <v>116</v>
      </c>
      <c r="T412" s="2" t="s">
        <v>130</v>
      </c>
      <c r="U412" s="2" t="s">
        <v>590</v>
      </c>
      <c r="V412" s="2" t="s">
        <v>103</v>
      </c>
      <c r="W412" s="2" t="s">
        <v>163</v>
      </c>
      <c r="X412" s="2" t="s">
        <v>2000</v>
      </c>
      <c r="Y412" s="2" t="s">
        <v>2006</v>
      </c>
      <c r="Z412" s="4">
        <v>329</v>
      </c>
      <c r="AA412" s="4">
        <f>=ROUNDDOWN(13.7083333333333,0)</f>
      </c>
      <c r="AB412" s="5">
        <v>24</v>
      </c>
      <c r="AC412" s="2" t="s">
        <v>2007</v>
      </c>
      <c r="AD412" s="4">
        <v>300</v>
      </c>
      <c r="AE412" s="4">
        <v>300</v>
      </c>
      <c r="AF412" s="6">
        <v>68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/>
      <c r="AP412" s="4">
        <v>2</v>
      </c>
      <c r="AQ412" s="8">
        <v>48.82</v>
      </c>
      <c r="AR412" s="4"/>
      <c r="AS412" s="8"/>
      <c r="AT412" s="7"/>
      <c r="AU412" s="7"/>
      <c r="AV412" s="4">
        <v>2</v>
      </c>
      <c r="AW412" s="8">
        <v>48.82</v>
      </c>
      <c r="AX412" s="4"/>
      <c r="AY412" s="8"/>
      <c r="AZ412" s="7"/>
      <c r="BA412" s="7"/>
      <c r="BB412" s="7">
        <v>1</v>
      </c>
      <c r="BC412" s="4">
        <v>2</v>
      </c>
      <c r="BD412" s="8">
        <v>48.82</v>
      </c>
      <c r="BE412" s="4"/>
      <c r="BF412" s="8"/>
      <c r="BG412" s="7"/>
      <c r="BH412" s="7"/>
      <c r="BI412" s="7">
        <v>1</v>
      </c>
      <c r="BJ412" s="4">
        <v>14</v>
      </c>
      <c r="BK412" s="8">
        <v>395.71</v>
      </c>
      <c r="BL412" s="2" t="s">
        <v>2008</v>
      </c>
      <c r="BM412" s="7">
        <v>0.1429</v>
      </c>
      <c r="BN412" s="7">
        <v>0.1234</v>
      </c>
      <c r="BO412" s="4">
        <v>2</v>
      </c>
      <c r="BP412" s="8">
        <v>48.82</v>
      </c>
      <c r="BQ412" s="4"/>
      <c r="BR412" s="8"/>
      <c r="BS412" s="7"/>
      <c r="BT412" s="7"/>
      <c r="BU412" s="2" t="s">
        <v>106</v>
      </c>
      <c r="BV412" s="2" t="s">
        <v>95</v>
      </c>
      <c r="BW412" s="2" t="s">
        <v>1558</v>
      </c>
      <c r="BX412" s="2" t="s">
        <v>2009</v>
      </c>
      <c r="BY412" s="2" t="s">
        <v>109</v>
      </c>
      <c r="BZ412" s="2" t="s">
        <v>98</v>
      </c>
    </row>
    <row r="413">
      <c r="A413" s="2" t="s">
        <v>2010</v>
      </c>
      <c r="B413" s="2" t="s">
        <v>1995</v>
      </c>
      <c r="C413" s="2" t="s">
        <v>88</v>
      </c>
      <c r="D413" s="2" t="s">
        <v>1996</v>
      </c>
      <c r="E413" s="2" t="s">
        <v>1997</v>
      </c>
      <c r="F413" s="2" t="s">
        <v>2011</v>
      </c>
      <c r="G413" s="2" t="s">
        <v>2012</v>
      </c>
      <c r="H413" s="2" t="s">
        <v>2013</v>
      </c>
      <c r="I413" s="2" t="s">
        <v>2014</v>
      </c>
      <c r="J413" s="2" t="s">
        <v>2015</v>
      </c>
      <c r="K413" s="2" t="s">
        <v>2016</v>
      </c>
      <c r="L413" s="3">
        <v>25.6</v>
      </c>
      <c r="M413" s="3">
        <v>26.88</v>
      </c>
      <c r="N413" s="3">
        <v>59.99</v>
      </c>
      <c r="O413" s="2" t="s">
        <v>95</v>
      </c>
      <c r="P413" s="2" t="s">
        <v>177</v>
      </c>
      <c r="Q413" s="2" t="s">
        <v>97</v>
      </c>
      <c r="R413" s="2" t="s">
        <v>98</v>
      </c>
      <c r="S413" s="2" t="s">
        <v>2017</v>
      </c>
      <c r="T413" s="2" t="s">
        <v>98</v>
      </c>
      <c r="U413" s="2" t="s">
        <v>662</v>
      </c>
      <c r="V413" s="2" t="s">
        <v>131</v>
      </c>
      <c r="W413" s="2" t="s">
        <v>98</v>
      </c>
      <c r="X413" s="2" t="s">
        <v>98</v>
      </c>
      <c r="Y413" s="2" t="s">
        <v>2018</v>
      </c>
      <c r="Z413" s="4">
        <v>1422</v>
      </c>
      <c r="AA413" s="4">
        <f>=ROUNDDOWN(71.1,0)</f>
      </c>
      <c r="AB413" s="5">
        <v>20</v>
      </c>
      <c r="AC413" s="2" t="s">
        <v>98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98</v>
      </c>
      <c r="AW413" s="8" t="s">
        <v>98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>
        <v>4</v>
      </c>
      <c r="BK413" s="8">
        <v>117.76</v>
      </c>
      <c r="BL413" s="2" t="s">
        <v>378</v>
      </c>
      <c r="BM413" s="7"/>
      <c r="BN413" s="7"/>
      <c r="BO413" s="4"/>
      <c r="BP413" s="8"/>
      <c r="BQ413" s="4"/>
      <c r="BR413" s="8"/>
      <c r="BS413" s="7"/>
      <c r="BT413" s="7"/>
      <c r="BU413" s="2" t="s">
        <v>832</v>
      </c>
      <c r="BV413" s="2" t="s">
        <v>95</v>
      </c>
      <c r="BW413" s="2" t="s">
        <v>98</v>
      </c>
      <c r="BX413" s="2" t="s">
        <v>98</v>
      </c>
      <c r="BY413" s="2" t="s">
        <v>109</v>
      </c>
      <c r="BZ413" s="2" t="s">
        <v>98</v>
      </c>
    </row>
    <row r="414">
      <c r="A414" s="2" t="s">
        <v>2019</v>
      </c>
      <c r="B414" s="2" t="s">
        <v>1995</v>
      </c>
      <c r="C414" s="2" t="s">
        <v>88</v>
      </c>
      <c r="D414" s="2" t="s">
        <v>1996</v>
      </c>
      <c r="E414" s="2" t="s">
        <v>1997</v>
      </c>
      <c r="F414" s="2" t="s">
        <v>2011</v>
      </c>
      <c r="G414" s="2" t="s">
        <v>2012</v>
      </c>
      <c r="H414" s="2" t="s">
        <v>2013</v>
      </c>
      <c r="I414" s="2" t="s">
        <v>2014</v>
      </c>
      <c r="J414" s="2" t="s">
        <v>2020</v>
      </c>
      <c r="K414" s="2" t="s">
        <v>2016</v>
      </c>
      <c r="L414" s="3">
        <v>29.45</v>
      </c>
      <c r="M414" s="3">
        <v>30.92</v>
      </c>
      <c r="N414" s="3">
        <v>64.99</v>
      </c>
      <c r="O414" s="2" t="s">
        <v>95</v>
      </c>
      <c r="P414" s="2" t="s">
        <v>177</v>
      </c>
      <c r="Q414" s="2" t="s">
        <v>97</v>
      </c>
      <c r="R414" s="2" t="s">
        <v>98</v>
      </c>
      <c r="S414" s="2" t="s">
        <v>2017</v>
      </c>
      <c r="T414" s="2" t="s">
        <v>98</v>
      </c>
      <c r="U414" s="2" t="s">
        <v>662</v>
      </c>
      <c r="V414" s="2" t="s">
        <v>131</v>
      </c>
      <c r="W414" s="2" t="s">
        <v>98</v>
      </c>
      <c r="X414" s="2" t="s">
        <v>98</v>
      </c>
      <c r="Y414" s="2" t="s">
        <v>2018</v>
      </c>
      <c r="Z414" s="4">
        <v>772</v>
      </c>
      <c r="AA414" s="4">
        <f>=ROUNDDOWN(77.2,0)</f>
      </c>
      <c r="AB414" s="5">
        <v>10</v>
      </c>
      <c r="AC414" s="2" t="s">
        <v>98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98</v>
      </c>
      <c r="AW414" s="8" t="s">
        <v>98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/>
      <c r="BK414" s="8"/>
      <c r="BL414" s="2" t="s">
        <v>98</v>
      </c>
      <c r="BM414" s="7"/>
      <c r="BN414" s="7"/>
      <c r="BO414" s="4"/>
      <c r="BP414" s="8"/>
      <c r="BQ414" s="4"/>
      <c r="BR414" s="8"/>
      <c r="BS414" s="7"/>
      <c r="BT414" s="7"/>
      <c r="BU414" s="2" t="s">
        <v>832</v>
      </c>
      <c r="BV414" s="2" t="s">
        <v>95</v>
      </c>
      <c r="BW414" s="2" t="s">
        <v>98</v>
      </c>
      <c r="BX414" s="2" t="s">
        <v>98</v>
      </c>
      <c r="BY414" s="2" t="s">
        <v>109</v>
      </c>
      <c r="BZ414" s="2" t="s">
        <v>98</v>
      </c>
    </row>
    <row r="415">
      <c r="A415" s="2" t="s">
        <v>2021</v>
      </c>
      <c r="B415" s="2" t="s">
        <v>1995</v>
      </c>
      <c r="C415" s="2" t="s">
        <v>88</v>
      </c>
      <c r="D415" s="2" t="s">
        <v>1996</v>
      </c>
      <c r="E415" s="2" t="s">
        <v>1997</v>
      </c>
      <c r="F415" s="2" t="s">
        <v>150</v>
      </c>
      <c r="G415" s="2" t="s">
        <v>150</v>
      </c>
      <c r="H415" s="2" t="s">
        <v>150</v>
      </c>
      <c r="I415" s="2" t="s">
        <v>2022</v>
      </c>
      <c r="J415" s="2" t="s">
        <v>1999</v>
      </c>
      <c r="K415" s="2" t="s">
        <v>160</v>
      </c>
      <c r="L415" s="3">
        <v>24.75</v>
      </c>
      <c r="M415" s="3">
        <v>25.99</v>
      </c>
      <c r="N415" s="3">
        <v>59.99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2023</v>
      </c>
      <c r="T415" s="2" t="s">
        <v>130</v>
      </c>
      <c r="U415" s="2" t="s">
        <v>590</v>
      </c>
      <c r="V415" s="2" t="s">
        <v>102</v>
      </c>
      <c r="W415" s="2" t="s">
        <v>384</v>
      </c>
      <c r="X415" s="2" t="s">
        <v>2000</v>
      </c>
      <c r="Y415" s="2" t="s">
        <v>2024</v>
      </c>
      <c r="Z415" s="4">
        <v>1087</v>
      </c>
      <c r="AA415" s="4">
        <f>=ROUNDDOWN(21.74,0)</f>
      </c>
      <c r="AB415" s="5">
        <v>50</v>
      </c>
      <c r="AC415" s="2" t="s">
        <v>1095</v>
      </c>
      <c r="AD415" s="4">
        <v>400</v>
      </c>
      <c r="AE415" s="4">
        <v>800</v>
      </c>
      <c r="AF415" s="6">
        <v>69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>
        <v>30</v>
      </c>
      <c r="BK415" s="8">
        <v>859</v>
      </c>
      <c r="BL415" s="2" t="s">
        <v>2025</v>
      </c>
      <c r="BM415" s="7"/>
      <c r="BN415" s="7"/>
      <c r="BO415" s="4"/>
      <c r="BP415" s="8"/>
      <c r="BQ415" s="4"/>
      <c r="BR415" s="8"/>
      <c r="BS415" s="7"/>
      <c r="BT415" s="7"/>
      <c r="BU415" s="2" t="s">
        <v>832</v>
      </c>
      <c r="BV415" s="2" t="s">
        <v>95</v>
      </c>
      <c r="BW415" s="2" t="s">
        <v>2026</v>
      </c>
      <c r="BX415" s="2" t="s">
        <v>98</v>
      </c>
      <c r="BY415" s="2" t="s">
        <v>109</v>
      </c>
      <c r="BZ415" s="2" t="s">
        <v>98</v>
      </c>
    </row>
    <row r="416">
      <c r="A416" s="2" t="s">
        <v>2027</v>
      </c>
      <c r="B416" s="2" t="s">
        <v>1995</v>
      </c>
      <c r="C416" s="2" t="s">
        <v>88</v>
      </c>
      <c r="D416" s="2" t="s">
        <v>1996</v>
      </c>
      <c r="E416" s="2" t="s">
        <v>1997</v>
      </c>
      <c r="F416" s="2" t="s">
        <v>150</v>
      </c>
      <c r="G416" s="2" t="s">
        <v>150</v>
      </c>
      <c r="H416" s="2" t="s">
        <v>150</v>
      </c>
      <c r="I416" s="2" t="s">
        <v>2022</v>
      </c>
      <c r="J416" s="2" t="s">
        <v>2028</v>
      </c>
      <c r="K416" s="2" t="s">
        <v>139</v>
      </c>
      <c r="L416" s="3">
        <v>28</v>
      </c>
      <c r="M416" s="3">
        <v>29.4</v>
      </c>
      <c r="N416" s="3">
        <v>64.99</v>
      </c>
      <c r="O416" s="2" t="s">
        <v>95</v>
      </c>
      <c r="P416" s="2" t="s">
        <v>140</v>
      </c>
      <c r="Q416" s="2" t="s">
        <v>97</v>
      </c>
      <c r="R416" s="2" t="s">
        <v>98</v>
      </c>
      <c r="S416" s="2" t="s">
        <v>851</v>
      </c>
      <c r="T416" s="2" t="s">
        <v>130</v>
      </c>
      <c r="U416" s="2" t="s">
        <v>590</v>
      </c>
      <c r="V416" s="2" t="s">
        <v>102</v>
      </c>
      <c r="W416" s="2" t="s">
        <v>384</v>
      </c>
      <c r="X416" s="2" t="s">
        <v>2000</v>
      </c>
      <c r="Y416" s="2" t="s">
        <v>2029</v>
      </c>
      <c r="Z416" s="4">
        <v>549</v>
      </c>
      <c r="AA416" s="4">
        <f>=ROUNDDOWN(30.5,0)</f>
      </c>
      <c r="AB416" s="5">
        <v>18</v>
      </c>
      <c r="AC416" s="2" t="s">
        <v>2007</v>
      </c>
      <c r="AD416" s="4">
        <v>160</v>
      </c>
      <c r="AE416" s="4">
        <v>160</v>
      </c>
      <c r="AF416" s="6">
        <v>69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13</v>
      </c>
      <c r="BK416" s="8">
        <v>391.37</v>
      </c>
      <c r="BL416" s="2" t="s">
        <v>2030</v>
      </c>
      <c r="BM416" s="7"/>
      <c r="BN416" s="7"/>
      <c r="BO416" s="4"/>
      <c r="BP416" s="8"/>
      <c r="BQ416" s="4"/>
      <c r="BR416" s="8"/>
      <c r="BS416" s="7"/>
      <c r="BT416" s="7"/>
      <c r="BU416" s="2" t="s">
        <v>832</v>
      </c>
      <c r="BV416" s="2" t="s">
        <v>95</v>
      </c>
      <c r="BW416" s="2" t="s">
        <v>98</v>
      </c>
      <c r="BX416" s="2" t="s">
        <v>98</v>
      </c>
      <c r="BY416" s="2" t="s">
        <v>109</v>
      </c>
      <c r="BZ416" s="2" t="s">
        <v>98</v>
      </c>
    </row>
    <row r="417">
      <c r="A417" s="2" t="s">
        <v>2031</v>
      </c>
      <c r="B417" s="2" t="s">
        <v>1995</v>
      </c>
      <c r="C417" s="2" t="s">
        <v>88</v>
      </c>
      <c r="D417" s="2" t="s">
        <v>1996</v>
      </c>
      <c r="E417" s="2" t="s">
        <v>1997</v>
      </c>
      <c r="F417" s="2" t="s">
        <v>150</v>
      </c>
      <c r="G417" s="2" t="s">
        <v>150</v>
      </c>
      <c r="H417" s="2" t="s">
        <v>150</v>
      </c>
      <c r="I417" s="2" t="s">
        <v>2022</v>
      </c>
      <c r="J417" s="2" t="s">
        <v>1999</v>
      </c>
      <c r="K417" s="2" t="s">
        <v>694</v>
      </c>
      <c r="L417" s="3">
        <v>24.75</v>
      </c>
      <c r="M417" s="3">
        <v>25.99</v>
      </c>
      <c r="N417" s="3">
        <v>59.99</v>
      </c>
      <c r="O417" s="2" t="s">
        <v>95</v>
      </c>
      <c r="P417" s="2" t="s">
        <v>177</v>
      </c>
      <c r="Q417" s="2" t="s">
        <v>97</v>
      </c>
      <c r="R417" s="2" t="s">
        <v>98</v>
      </c>
      <c r="S417" s="2" t="s">
        <v>98</v>
      </c>
      <c r="T417" s="2" t="s">
        <v>130</v>
      </c>
      <c r="U417" s="2" t="s">
        <v>590</v>
      </c>
      <c r="V417" s="2" t="s">
        <v>102</v>
      </c>
      <c r="W417" s="2" t="s">
        <v>352</v>
      </c>
      <c r="X417" s="2" t="s">
        <v>2000</v>
      </c>
      <c r="Y417" s="2" t="s">
        <v>98</v>
      </c>
      <c r="Z417" s="4"/>
      <c r="AA417" s="4">
        <f>=ROUNDDOWN({0},0)</f>
      </c>
      <c r="AB417" s="5"/>
      <c r="AC417" s="2" t="s">
        <v>1076</v>
      </c>
      <c r="AD417" s="4">
        <v>960</v>
      </c>
      <c r="AE417" s="4">
        <v>1920</v>
      </c>
      <c r="AF417" s="6">
        <v>69</v>
      </c>
      <c r="AG417" s="6"/>
      <c r="AH417" s="7"/>
      <c r="AI417" s="4"/>
      <c r="AJ417" s="4">
        <f>=ROUNDDOWN({0},0)</f>
      </c>
      <c r="AK417" s="5"/>
      <c r="AL417" s="2" t="s">
        <v>98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98</v>
      </c>
      <c r="AW417" s="8" t="s">
        <v>98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/>
      <c r="BK417" s="8"/>
      <c r="BL417" s="2" t="s">
        <v>98</v>
      </c>
      <c r="BM417" s="7"/>
      <c r="BN417" s="7"/>
      <c r="BO417" s="4"/>
      <c r="BP417" s="8"/>
      <c r="BQ417" s="4"/>
      <c r="BR417" s="8"/>
      <c r="BS417" s="7"/>
      <c r="BT417" s="7"/>
      <c r="BU417" s="2" t="s">
        <v>179</v>
      </c>
      <c r="BV417" s="2" t="s">
        <v>95</v>
      </c>
      <c r="BW417" s="2" t="s">
        <v>98</v>
      </c>
      <c r="BX417" s="2" t="s">
        <v>98</v>
      </c>
      <c r="BY417" s="2" t="s">
        <v>109</v>
      </c>
      <c r="BZ417" s="2" t="s">
        <v>98</v>
      </c>
    </row>
    <row r="418">
      <c r="A418" s="2" t="s">
        <v>2032</v>
      </c>
      <c r="B418" s="2" t="s">
        <v>1995</v>
      </c>
      <c r="C418" s="2" t="s">
        <v>88</v>
      </c>
      <c r="D418" s="2" t="s">
        <v>1996</v>
      </c>
      <c r="E418" s="2" t="s">
        <v>1997</v>
      </c>
      <c r="F418" s="2" t="s">
        <v>150</v>
      </c>
      <c r="G418" s="2" t="s">
        <v>150</v>
      </c>
      <c r="H418" s="2" t="s">
        <v>150</v>
      </c>
      <c r="I418" s="2" t="s">
        <v>2022</v>
      </c>
      <c r="J418" s="2" t="s">
        <v>2028</v>
      </c>
      <c r="K418" s="2" t="s">
        <v>694</v>
      </c>
      <c r="L418" s="3">
        <v>28</v>
      </c>
      <c r="M418" s="3">
        <v>29.4</v>
      </c>
      <c r="N418" s="3">
        <v>64.99</v>
      </c>
      <c r="O418" s="2" t="s">
        <v>95</v>
      </c>
      <c r="P418" s="2" t="s">
        <v>177</v>
      </c>
      <c r="Q418" s="2" t="s">
        <v>97</v>
      </c>
      <c r="R418" s="2" t="s">
        <v>98</v>
      </c>
      <c r="S418" s="2" t="s">
        <v>98</v>
      </c>
      <c r="T418" s="2" t="s">
        <v>130</v>
      </c>
      <c r="U418" s="2" t="s">
        <v>590</v>
      </c>
      <c r="V418" s="2" t="s">
        <v>102</v>
      </c>
      <c r="W418" s="2" t="s">
        <v>352</v>
      </c>
      <c r="X418" s="2" t="s">
        <v>2000</v>
      </c>
      <c r="Y418" s="2" t="s">
        <v>98</v>
      </c>
      <c r="Z418" s="4"/>
      <c r="AA418" s="4">
        <f>=ROUNDDOWN({0},0)</f>
      </c>
      <c r="AB418" s="5"/>
      <c r="AC418" s="2" t="s">
        <v>1076</v>
      </c>
      <c r="AD418" s="4">
        <v>768</v>
      </c>
      <c r="AE418" s="4">
        <v>1536</v>
      </c>
      <c r="AF418" s="6">
        <v>69</v>
      </c>
      <c r="AG418" s="6"/>
      <c r="AH418" s="7"/>
      <c r="AI418" s="4"/>
      <c r="AJ418" s="4">
        <f>=ROUNDDOWN({0},0)</f>
      </c>
      <c r="AK418" s="5"/>
      <c r="AL418" s="2" t="s">
        <v>98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98</v>
      </c>
      <c r="AW418" s="8" t="s">
        <v>98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/>
      <c r="BK418" s="8"/>
      <c r="BL418" s="2" t="s">
        <v>98</v>
      </c>
      <c r="BM418" s="7"/>
      <c r="BN418" s="7"/>
      <c r="BO418" s="4"/>
      <c r="BP418" s="8"/>
      <c r="BQ418" s="4"/>
      <c r="BR418" s="8"/>
      <c r="BS418" s="7"/>
      <c r="BT418" s="7"/>
      <c r="BU418" s="2" t="s">
        <v>179</v>
      </c>
      <c r="BV418" s="2" t="s">
        <v>95</v>
      </c>
      <c r="BW418" s="2" t="s">
        <v>98</v>
      </c>
      <c r="BX418" s="2" t="s">
        <v>98</v>
      </c>
      <c r="BY418" s="2" t="s">
        <v>109</v>
      </c>
      <c r="BZ418" s="2" t="s">
        <v>98</v>
      </c>
    </row>
    <row r="419">
      <c r="A419" s="2" t="s">
        <v>2033</v>
      </c>
      <c r="B419" s="2" t="s">
        <v>1995</v>
      </c>
      <c r="C419" s="2" t="s">
        <v>88</v>
      </c>
      <c r="D419" s="2" t="s">
        <v>1996</v>
      </c>
      <c r="E419" s="2" t="s">
        <v>1997</v>
      </c>
      <c r="F419" s="2" t="s">
        <v>150</v>
      </c>
      <c r="G419" s="2" t="s">
        <v>150</v>
      </c>
      <c r="H419" s="2" t="s">
        <v>150</v>
      </c>
      <c r="I419" s="2" t="s">
        <v>2022</v>
      </c>
      <c r="J419" s="2" t="s">
        <v>2034</v>
      </c>
      <c r="K419" s="2" t="s">
        <v>694</v>
      </c>
      <c r="L419" s="3">
        <v>30</v>
      </c>
      <c r="M419" s="3">
        <v>31.5</v>
      </c>
      <c r="N419" s="3">
        <v>69.99</v>
      </c>
      <c r="O419" s="2" t="s">
        <v>95</v>
      </c>
      <c r="P419" s="2" t="s">
        <v>177</v>
      </c>
      <c r="Q419" s="2" t="s">
        <v>97</v>
      </c>
      <c r="R419" s="2" t="s">
        <v>98</v>
      </c>
      <c r="S419" s="2" t="s">
        <v>98</v>
      </c>
      <c r="T419" s="2" t="s">
        <v>130</v>
      </c>
      <c r="U419" s="2" t="s">
        <v>590</v>
      </c>
      <c r="V419" s="2" t="s">
        <v>102</v>
      </c>
      <c r="W419" s="2" t="s">
        <v>352</v>
      </c>
      <c r="X419" s="2" t="s">
        <v>2000</v>
      </c>
      <c r="Y419" s="2" t="s">
        <v>98</v>
      </c>
      <c r="Z419" s="4"/>
      <c r="AA419" s="4">
        <f>=ROUNDDOWN({0},0)</f>
      </c>
      <c r="AB419" s="5"/>
      <c r="AC419" s="2" t="s">
        <v>98</v>
      </c>
      <c r="AD419" s="4"/>
      <c r="AE419" s="4"/>
      <c r="AF419" s="6"/>
      <c r="AG419" s="6"/>
      <c r="AH419" s="7"/>
      <c r="AI419" s="4"/>
      <c r="AJ419" s="4">
        <f>=ROUNDDOWN({0},0)</f>
      </c>
      <c r="AK419" s="5"/>
      <c r="AL419" s="2" t="s">
        <v>98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98</v>
      </c>
      <c r="AW419" s="8" t="s">
        <v>98</v>
      </c>
      <c r="AX419" s="4" t="s">
        <v>98</v>
      </c>
      <c r="AY419" s="8" t="s">
        <v>98</v>
      </c>
      <c r="AZ419" s="7" t="s">
        <v>98</v>
      </c>
      <c r="BA419" s="7" t="s">
        <v>98</v>
      </c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/>
      <c r="BK419" s="8"/>
      <c r="BL419" s="2" t="s">
        <v>98</v>
      </c>
      <c r="BM419" s="7"/>
      <c r="BN419" s="7"/>
      <c r="BO419" s="4"/>
      <c r="BP419" s="8"/>
      <c r="BQ419" s="4"/>
      <c r="BR419" s="8"/>
      <c r="BS419" s="7"/>
      <c r="BT419" s="7"/>
      <c r="BU419" s="2" t="s">
        <v>179</v>
      </c>
      <c r="BV419" s="2" t="s">
        <v>95</v>
      </c>
      <c r="BW419" s="2" t="s">
        <v>98</v>
      </c>
      <c r="BX419" s="2" t="s">
        <v>98</v>
      </c>
      <c r="BY419" s="2" t="s">
        <v>109</v>
      </c>
      <c r="BZ419" s="2" t="s">
        <v>98</v>
      </c>
    </row>
    <row r="420">
      <c r="A420" s="2" t="s">
        <v>2035</v>
      </c>
      <c r="B420" s="2" t="s">
        <v>1995</v>
      </c>
      <c r="C420" s="2" t="s">
        <v>88</v>
      </c>
      <c r="D420" s="2" t="s">
        <v>1996</v>
      </c>
      <c r="E420" s="2" t="s">
        <v>1997</v>
      </c>
      <c r="F420" s="2" t="s">
        <v>150</v>
      </c>
      <c r="G420" s="2" t="s">
        <v>150</v>
      </c>
      <c r="H420" s="2" t="s">
        <v>150</v>
      </c>
      <c r="I420" s="2" t="s">
        <v>2022</v>
      </c>
      <c r="J420" s="2" t="s">
        <v>2028</v>
      </c>
      <c r="K420" s="2" t="s">
        <v>152</v>
      </c>
      <c r="L420" s="3">
        <v>28</v>
      </c>
      <c r="M420" s="3">
        <v>29.4</v>
      </c>
      <c r="N420" s="3">
        <v>64.99</v>
      </c>
      <c r="O420" s="2" t="s">
        <v>95</v>
      </c>
      <c r="P420" s="2" t="s">
        <v>845</v>
      </c>
      <c r="Q420" s="2" t="s">
        <v>97</v>
      </c>
      <c r="R420" s="2" t="s">
        <v>98</v>
      </c>
      <c r="S420" s="2" t="s">
        <v>846</v>
      </c>
      <c r="T420" s="2" t="s">
        <v>130</v>
      </c>
      <c r="U420" s="2" t="s">
        <v>590</v>
      </c>
      <c r="V420" s="2" t="s">
        <v>102</v>
      </c>
      <c r="W420" s="2" t="s">
        <v>384</v>
      </c>
      <c r="X420" s="2" t="s">
        <v>2000</v>
      </c>
      <c r="Y420" s="2" t="s">
        <v>2036</v>
      </c>
      <c r="Z420" s="4">
        <v>5975</v>
      </c>
      <c r="AA420" s="4">
        <f>=ROUNDDOWN(23.2490272373541,0)</f>
      </c>
      <c r="AB420" s="5">
        <v>257</v>
      </c>
      <c r="AC420" s="2" t="s">
        <v>1095</v>
      </c>
      <c r="AD420" s="4">
        <v>1000</v>
      </c>
      <c r="AE420" s="4">
        <v>2900</v>
      </c>
      <c r="AF420" s="6">
        <v>69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98</v>
      </c>
      <c r="AW420" s="8" t="s">
        <v>98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228</v>
      </c>
      <c r="BK420" s="8">
        <v>6955.27</v>
      </c>
      <c r="BL420" s="2" t="s">
        <v>2037</v>
      </c>
      <c r="BM420" s="7"/>
      <c r="BN420" s="7"/>
      <c r="BO420" s="4"/>
      <c r="BP420" s="8"/>
      <c r="BQ420" s="4"/>
      <c r="BR420" s="8"/>
      <c r="BS420" s="7"/>
      <c r="BT420" s="7"/>
      <c r="BU420" s="2" t="s">
        <v>832</v>
      </c>
      <c r="BV420" s="2" t="s">
        <v>95</v>
      </c>
      <c r="BW420" s="2" t="s">
        <v>98</v>
      </c>
      <c r="BX420" s="2" t="s">
        <v>98</v>
      </c>
      <c r="BY420" s="2" t="s">
        <v>109</v>
      </c>
      <c r="BZ420" s="2" t="s">
        <v>98</v>
      </c>
    </row>
    <row r="421">
      <c r="A421" s="2" t="s">
        <v>2038</v>
      </c>
      <c r="B421" s="2" t="s">
        <v>1995</v>
      </c>
      <c r="C421" s="2" t="s">
        <v>88</v>
      </c>
      <c r="D421" s="2" t="s">
        <v>1996</v>
      </c>
      <c r="E421" s="2" t="s">
        <v>1997</v>
      </c>
      <c r="F421" s="2" t="s">
        <v>150</v>
      </c>
      <c r="G421" s="2" t="s">
        <v>150</v>
      </c>
      <c r="H421" s="2" t="s">
        <v>150</v>
      </c>
      <c r="I421" s="2" t="s">
        <v>2022</v>
      </c>
      <c r="J421" s="2" t="s">
        <v>2034</v>
      </c>
      <c r="K421" s="2" t="s">
        <v>152</v>
      </c>
      <c r="L421" s="3">
        <v>30</v>
      </c>
      <c r="M421" s="3">
        <v>31.5</v>
      </c>
      <c r="N421" s="3">
        <v>69.99</v>
      </c>
      <c r="O421" s="2" t="s">
        <v>95</v>
      </c>
      <c r="P421" s="2" t="s">
        <v>177</v>
      </c>
      <c r="Q421" s="2" t="s">
        <v>97</v>
      </c>
      <c r="R421" s="2" t="s">
        <v>98</v>
      </c>
      <c r="S421" s="2" t="s">
        <v>98</v>
      </c>
      <c r="T421" s="2" t="s">
        <v>130</v>
      </c>
      <c r="U421" s="2" t="s">
        <v>590</v>
      </c>
      <c r="V421" s="2" t="s">
        <v>102</v>
      </c>
      <c r="W421" s="2" t="s">
        <v>384</v>
      </c>
      <c r="X421" s="2" t="s">
        <v>2039</v>
      </c>
      <c r="Y421" s="2" t="s">
        <v>2040</v>
      </c>
      <c r="Z421" s="4">
        <v>3</v>
      </c>
      <c r="AA421" s="4">
        <f>=ROUNDDOWN(0.0260869565217391,0)</f>
      </c>
      <c r="AB421" s="5">
        <v>115</v>
      </c>
      <c r="AC421" s="2" t="s">
        <v>2041</v>
      </c>
      <c r="AD421" s="4">
        <v>1600</v>
      </c>
      <c r="AE421" s="4">
        <v>3700</v>
      </c>
      <c r="AF421" s="6">
        <v>69</v>
      </c>
      <c r="AG421" s="6"/>
      <c r="AH421" s="7">
        <v>0</v>
      </c>
      <c r="AI421" s="4"/>
      <c r="AJ421" s="4">
        <f>=ROUNDDOWN({0},0)</f>
      </c>
      <c r="AK421" s="5"/>
      <c r="AL421" s="2" t="s">
        <v>98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98</v>
      </c>
      <c r="AW421" s="8" t="s">
        <v>98</v>
      </c>
      <c r="AX421" s="4" t="s">
        <v>98</v>
      </c>
      <c r="AY421" s="8" t="s">
        <v>98</v>
      </c>
      <c r="AZ421" s="7" t="s">
        <v>98</v>
      </c>
      <c r="BA421" s="7" t="s">
        <v>98</v>
      </c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>
        <v>48</v>
      </c>
      <c r="BK421" s="8">
        <v>1584</v>
      </c>
      <c r="BL421" s="2" t="s">
        <v>378</v>
      </c>
      <c r="BM421" s="7"/>
      <c r="BN421" s="7"/>
      <c r="BO421" s="4"/>
      <c r="BP421" s="8"/>
      <c r="BQ421" s="4"/>
      <c r="BR421" s="8"/>
      <c r="BS421" s="7"/>
      <c r="BT421" s="7"/>
      <c r="BU421" s="2" t="s">
        <v>179</v>
      </c>
      <c r="BV421" s="2" t="s">
        <v>95</v>
      </c>
      <c r="BW421" s="2" t="s">
        <v>98</v>
      </c>
      <c r="BX421" s="2" t="s">
        <v>98</v>
      </c>
      <c r="BY421" s="2" t="s">
        <v>109</v>
      </c>
      <c r="BZ421" s="2" t="s">
        <v>98</v>
      </c>
    </row>
    <row r="422">
      <c r="A422" s="2" t="s">
        <v>2042</v>
      </c>
      <c r="B422" s="2" t="s">
        <v>1995</v>
      </c>
      <c r="C422" s="2" t="s">
        <v>88</v>
      </c>
      <c r="D422" s="2" t="s">
        <v>1996</v>
      </c>
      <c r="E422" s="2" t="s">
        <v>1997</v>
      </c>
      <c r="F422" s="2" t="s">
        <v>150</v>
      </c>
      <c r="G422" s="2" t="s">
        <v>150</v>
      </c>
      <c r="H422" s="2" t="s">
        <v>150</v>
      </c>
      <c r="I422" s="2" t="s">
        <v>2022</v>
      </c>
      <c r="J422" s="2" t="s">
        <v>1999</v>
      </c>
      <c r="K422" s="2" t="s">
        <v>839</v>
      </c>
      <c r="L422" s="3">
        <v>24.75</v>
      </c>
      <c r="M422" s="3">
        <v>25.99</v>
      </c>
      <c r="N422" s="3">
        <v>59.99</v>
      </c>
      <c r="O422" s="2" t="s">
        <v>95</v>
      </c>
      <c r="P422" s="2" t="s">
        <v>153</v>
      </c>
      <c r="Q422" s="2" t="s">
        <v>97</v>
      </c>
      <c r="R422" s="2" t="s">
        <v>98</v>
      </c>
      <c r="S422" s="2" t="s">
        <v>840</v>
      </c>
      <c r="T422" s="2" t="s">
        <v>130</v>
      </c>
      <c r="U422" s="2" t="s">
        <v>590</v>
      </c>
      <c r="V422" s="2" t="s">
        <v>102</v>
      </c>
      <c r="W422" s="2" t="s">
        <v>384</v>
      </c>
      <c r="X422" s="2" t="s">
        <v>2000</v>
      </c>
      <c r="Y422" s="2" t="s">
        <v>2029</v>
      </c>
      <c r="Z422" s="4">
        <v>1231</v>
      </c>
      <c r="AA422" s="4">
        <f>=ROUNDDOWN(12.6907216494845,0)</f>
      </c>
      <c r="AB422" s="5">
        <v>97</v>
      </c>
      <c r="AC422" s="2" t="s">
        <v>1095</v>
      </c>
      <c r="AD422" s="4">
        <v>420</v>
      </c>
      <c r="AE422" s="4">
        <v>1740</v>
      </c>
      <c r="AF422" s="6">
        <v>69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/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/>
      <c r="BJ422" s="4">
        <v>57</v>
      </c>
      <c r="BK422" s="8">
        <v>1808.39</v>
      </c>
      <c r="BL422" s="2" t="s">
        <v>2043</v>
      </c>
      <c r="BM422" s="7"/>
      <c r="BN422" s="7"/>
      <c r="BO422" s="4"/>
      <c r="BP422" s="8"/>
      <c r="BQ422" s="4"/>
      <c r="BR422" s="8"/>
      <c r="BS422" s="7"/>
      <c r="BT422" s="7"/>
      <c r="BU422" s="2" t="s">
        <v>832</v>
      </c>
      <c r="BV422" s="2" t="s">
        <v>95</v>
      </c>
      <c r="BW422" s="2" t="s">
        <v>98</v>
      </c>
      <c r="BX422" s="2" t="s">
        <v>98</v>
      </c>
      <c r="BY422" s="2" t="s">
        <v>109</v>
      </c>
      <c r="BZ422" s="2" t="s">
        <v>98</v>
      </c>
    </row>
    <row r="423">
      <c r="A423" s="2" t="s">
        <v>2044</v>
      </c>
      <c r="B423" s="2" t="s">
        <v>1995</v>
      </c>
      <c r="C423" s="2" t="s">
        <v>88</v>
      </c>
      <c r="D423" s="2" t="s">
        <v>1996</v>
      </c>
      <c r="E423" s="2" t="s">
        <v>1997</v>
      </c>
      <c r="F423" s="2" t="s">
        <v>150</v>
      </c>
      <c r="G423" s="2" t="s">
        <v>150</v>
      </c>
      <c r="H423" s="2" t="s">
        <v>150</v>
      </c>
      <c r="I423" s="2" t="s">
        <v>2022</v>
      </c>
      <c r="J423" s="2" t="s">
        <v>2028</v>
      </c>
      <c r="K423" s="2" t="s">
        <v>839</v>
      </c>
      <c r="L423" s="3">
        <v>28</v>
      </c>
      <c r="M423" s="3">
        <v>29.4</v>
      </c>
      <c r="N423" s="3">
        <v>64.99</v>
      </c>
      <c r="O423" s="2" t="s">
        <v>95</v>
      </c>
      <c r="P423" s="2" t="s">
        <v>96</v>
      </c>
      <c r="Q423" s="2" t="s">
        <v>97</v>
      </c>
      <c r="R423" s="2" t="s">
        <v>98</v>
      </c>
      <c r="S423" s="2" t="s">
        <v>840</v>
      </c>
      <c r="T423" s="2" t="s">
        <v>130</v>
      </c>
      <c r="U423" s="2" t="s">
        <v>590</v>
      </c>
      <c r="V423" s="2" t="s">
        <v>102</v>
      </c>
      <c r="W423" s="2" t="s">
        <v>384</v>
      </c>
      <c r="X423" s="2" t="s">
        <v>2000</v>
      </c>
      <c r="Y423" s="2" t="s">
        <v>2029</v>
      </c>
      <c r="Z423" s="4">
        <v>680</v>
      </c>
      <c r="AA423" s="4">
        <f>=ROUNDDOWN(15.4545454545455,0)</f>
      </c>
      <c r="AB423" s="5">
        <v>44</v>
      </c>
      <c r="AC423" s="2" t="s">
        <v>1095</v>
      </c>
      <c r="AD423" s="4">
        <v>200</v>
      </c>
      <c r="AE423" s="4">
        <v>500</v>
      </c>
      <c r="AF423" s="6">
        <v>69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98</v>
      </c>
      <c r="AW423" s="8" t="s">
        <v>98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/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/>
      <c r="BJ423" s="4">
        <v>32</v>
      </c>
      <c r="BK423" s="8">
        <v>871.13</v>
      </c>
      <c r="BL423" s="2" t="s">
        <v>2045</v>
      </c>
      <c r="BM423" s="7"/>
      <c r="BN423" s="7"/>
      <c r="BO423" s="4"/>
      <c r="BP423" s="8"/>
      <c r="BQ423" s="4"/>
      <c r="BR423" s="8"/>
      <c r="BS423" s="7"/>
      <c r="BT423" s="7"/>
      <c r="BU423" s="2" t="s">
        <v>832</v>
      </c>
      <c r="BV423" s="2" t="s">
        <v>95</v>
      </c>
      <c r="BW423" s="2" t="s">
        <v>98</v>
      </c>
      <c r="BX423" s="2" t="s">
        <v>98</v>
      </c>
      <c r="BY423" s="2" t="s">
        <v>109</v>
      </c>
      <c r="BZ423" s="2" t="s">
        <v>98</v>
      </c>
    </row>
    <row r="424">
      <c r="A424" s="2" t="s">
        <v>2046</v>
      </c>
      <c r="B424" s="2" t="s">
        <v>1995</v>
      </c>
      <c r="C424" s="2" t="s">
        <v>88</v>
      </c>
      <c r="D424" s="2" t="s">
        <v>1996</v>
      </c>
      <c r="E424" s="2" t="s">
        <v>1997</v>
      </c>
      <c r="F424" s="2" t="s">
        <v>150</v>
      </c>
      <c r="G424" s="2" t="s">
        <v>150</v>
      </c>
      <c r="H424" s="2" t="s">
        <v>150</v>
      </c>
      <c r="I424" s="2" t="s">
        <v>2022</v>
      </c>
      <c r="J424" s="2" t="s">
        <v>2034</v>
      </c>
      <c r="K424" s="2" t="s">
        <v>839</v>
      </c>
      <c r="L424" s="3">
        <v>30</v>
      </c>
      <c r="M424" s="3">
        <v>31.5</v>
      </c>
      <c r="N424" s="3">
        <v>69.99</v>
      </c>
      <c r="O424" s="2" t="s">
        <v>95</v>
      </c>
      <c r="P424" s="2" t="s">
        <v>177</v>
      </c>
      <c r="Q424" s="2" t="s">
        <v>97</v>
      </c>
      <c r="R424" s="2" t="s">
        <v>98</v>
      </c>
      <c r="S424" s="2" t="s">
        <v>98</v>
      </c>
      <c r="T424" s="2" t="s">
        <v>130</v>
      </c>
      <c r="U424" s="2" t="s">
        <v>590</v>
      </c>
      <c r="V424" s="2" t="s">
        <v>102</v>
      </c>
      <c r="W424" s="2" t="s">
        <v>384</v>
      </c>
      <c r="X424" s="2" t="s">
        <v>2039</v>
      </c>
      <c r="Y424" s="2" t="s">
        <v>2040</v>
      </c>
      <c r="Z424" s="4">
        <v>286</v>
      </c>
      <c r="AA424" s="4">
        <f>=ROUNDDOWN(9.53333333333333,0)</f>
      </c>
      <c r="AB424" s="5">
        <v>30</v>
      </c>
      <c r="AC424" s="2" t="s">
        <v>2047</v>
      </c>
      <c r="AD424" s="4">
        <v>360</v>
      </c>
      <c r="AE424" s="4">
        <v>980</v>
      </c>
      <c r="AF424" s="6">
        <v>69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/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/>
      <c r="BJ424" s="4">
        <v>9</v>
      </c>
      <c r="BK424" s="8">
        <v>299.28</v>
      </c>
      <c r="BL424" s="2" t="s">
        <v>494</v>
      </c>
      <c r="BM424" s="7"/>
      <c r="BN424" s="7"/>
      <c r="BO424" s="4"/>
      <c r="BP424" s="8"/>
      <c r="BQ424" s="4"/>
      <c r="BR424" s="8"/>
      <c r="BS424" s="7"/>
      <c r="BT424" s="7"/>
      <c r="BU424" s="2" t="s">
        <v>179</v>
      </c>
      <c r="BV424" s="2" t="s">
        <v>95</v>
      </c>
      <c r="BW424" s="2" t="s">
        <v>98</v>
      </c>
      <c r="BX424" s="2" t="s">
        <v>98</v>
      </c>
      <c r="BY424" s="2" t="s">
        <v>109</v>
      </c>
      <c r="BZ424" s="2" t="s">
        <v>98</v>
      </c>
    </row>
    <row r="425">
      <c r="A425" s="16" t="s">
        <v>2048</v>
      </c>
      <c r="B425" s="9" t="s">
        <v>98</v>
      </c>
      <c r="C425" s="9" t="s">
        <v>98</v>
      </c>
      <c r="D425" s="9" t="s">
        <v>98</v>
      </c>
      <c r="E425" s="9" t="s">
        <v>98</v>
      </c>
      <c r="F425" s="9" t="s">
        <v>98</v>
      </c>
      <c r="G425" s="9" t="s">
        <v>98</v>
      </c>
      <c r="H425" s="9" t="s">
        <v>98</v>
      </c>
      <c r="I425" s="9" t="s">
        <v>98</v>
      </c>
      <c r="J425" s="9" t="s">
        <v>98</v>
      </c>
      <c r="K425" s="9" t="s">
        <v>98</v>
      </c>
      <c r="L425" s="10"/>
      <c r="M425" s="10"/>
      <c r="N425" s="10"/>
      <c r="O425" s="9" t="s">
        <v>98</v>
      </c>
      <c r="P425" s="9" t="s">
        <v>98</v>
      </c>
      <c r="Q425" s="9" t="s">
        <v>98</v>
      </c>
      <c r="R425" s="9" t="s">
        <v>98</v>
      </c>
      <c r="S425" s="9" t="s">
        <v>98</v>
      </c>
      <c r="T425" s="9" t="s">
        <v>98</v>
      </c>
      <c r="U425" s="9" t="s">
        <v>98</v>
      </c>
      <c r="V425" s="9" t="s">
        <v>98</v>
      </c>
      <c r="W425" s="9" t="s">
        <v>98</v>
      </c>
      <c r="X425" s="9" t="s">
        <v>98</v>
      </c>
      <c r="Y425" s="9" t="s">
        <v>98</v>
      </c>
      <c r="Z425" s="11">
        <v>113664</v>
      </c>
      <c r="AA425" s="11">
        <f>=ROUNDDOWN({0},0)</f>
      </c>
      <c r="AB425" s="12">
        <v>3845.7</v>
      </c>
      <c r="AC425" s="9" t="s">
        <v>98</v>
      </c>
      <c r="AD425" s="11"/>
      <c r="AE425" s="11">
        <v>50460</v>
      </c>
      <c r="AF425" s="13"/>
      <c r="AG425" s="13"/>
      <c r="AH425" s="14"/>
      <c r="AI425" s="11"/>
      <c r="AJ425" s="11">
        <f>=ROUNDDOWN({0},0)</f>
      </c>
      <c r="AK425" s="12">
        <v>28</v>
      </c>
      <c r="AL425" s="9" t="s">
        <v>98</v>
      </c>
      <c r="AM425" s="11"/>
      <c r="AN425" s="11">
        <v>1170</v>
      </c>
      <c r="AO425" s="14"/>
      <c r="AP425" s="11">
        <v>245</v>
      </c>
      <c r="AQ425" s="15">
        <v>11803.75</v>
      </c>
      <c r="AR425" s="11"/>
      <c r="AS425" s="15"/>
      <c r="AT425" s="14"/>
      <c r="AU425" s="14"/>
      <c r="AV425" s="11">
        <v>245</v>
      </c>
      <c r="AW425" s="15">
        <v>11803.75</v>
      </c>
      <c r="AX425" s="11"/>
      <c r="AY425" s="15"/>
      <c r="AZ425" s="14"/>
      <c r="BA425" s="14"/>
      <c r="BB425" s="14"/>
      <c r="BC425" s="11">
        <v>245</v>
      </c>
      <c r="BD425" s="15">
        <v>11803.75</v>
      </c>
      <c r="BE425" s="11"/>
      <c r="BF425" s="15"/>
      <c r="BG425" s="14"/>
      <c r="BH425" s="14"/>
      <c r="BI425" s="14"/>
      <c r="BJ425" s="11"/>
      <c r="BK425" s="15"/>
      <c r="BL425" s="9" t="s">
        <v>98</v>
      </c>
      <c r="BM425" s="14"/>
      <c r="BN425" s="14"/>
      <c r="BO425" s="11">
        <v>245</v>
      </c>
      <c r="BP425" s="15">
        <v>11803.75</v>
      </c>
      <c r="BQ425" s="11"/>
      <c r="BR425" s="15"/>
      <c r="BS425" s="14"/>
      <c r="BT425" s="14"/>
      <c r="BU425" s="9" t="s">
        <v>98</v>
      </c>
      <c r="BV425" s="9" t="s">
        <v>98</v>
      </c>
      <c r="BW425" s="9" t="s">
        <v>98</v>
      </c>
      <c r="BX425" s="9" t="s">
        <v>98</v>
      </c>
      <c r="BY425" s="9" t="s">
        <v>98</v>
      </c>
      <c r="BZ42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3"/>
    <mergeCell ref="BD6:BD13"/>
    <mergeCell ref="BE6:BE13"/>
    <mergeCell ref="BF6:BF13"/>
    <mergeCell ref="BG6:BG13"/>
    <mergeCell ref="BH6:BH13"/>
    <mergeCell ref="BC14:BC18"/>
    <mergeCell ref="BD14:BD18"/>
    <mergeCell ref="BE14:BE18"/>
    <mergeCell ref="BF14:BF18"/>
    <mergeCell ref="BG14:BG18"/>
    <mergeCell ref="BH14:BH18"/>
    <mergeCell ref="BC19:BC26"/>
    <mergeCell ref="BD19:BD26"/>
    <mergeCell ref="BE19:BE26"/>
    <mergeCell ref="BF19:BF26"/>
    <mergeCell ref="BG19:BG26"/>
    <mergeCell ref="BH19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0"/>
    <mergeCell ref="BD58:BD60"/>
    <mergeCell ref="BE58:BE60"/>
    <mergeCell ref="BF58:BF60"/>
    <mergeCell ref="BG58:BG60"/>
    <mergeCell ref="BH58:BH60"/>
    <mergeCell ref="BC61:BC64"/>
    <mergeCell ref="BD61:BD64"/>
    <mergeCell ref="BE61:BE64"/>
    <mergeCell ref="BF61:BF64"/>
    <mergeCell ref="BG61:BG64"/>
    <mergeCell ref="BH61:BH64"/>
    <mergeCell ref="BC66:BC73"/>
    <mergeCell ref="BD66:BD73"/>
    <mergeCell ref="BE66:BE73"/>
    <mergeCell ref="BF66:BF73"/>
    <mergeCell ref="BG66:BG73"/>
    <mergeCell ref="BH66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4:BC97"/>
    <mergeCell ref="BD94:BD97"/>
    <mergeCell ref="BE94:BE97"/>
    <mergeCell ref="BF94:BF97"/>
    <mergeCell ref="BG94:BG97"/>
    <mergeCell ref="BH94:BH97"/>
    <mergeCell ref="BC99:BC104"/>
    <mergeCell ref="BD99:BD104"/>
    <mergeCell ref="BE99:BE104"/>
    <mergeCell ref="BF99:BF104"/>
    <mergeCell ref="BG99:BG104"/>
    <mergeCell ref="BH99:BH104"/>
    <mergeCell ref="BC107:BC108"/>
    <mergeCell ref="BD107:BD108"/>
    <mergeCell ref="BE107:BE108"/>
    <mergeCell ref="BF107:BF108"/>
    <mergeCell ref="BG107:BG108"/>
    <mergeCell ref="BH107:BH108"/>
    <mergeCell ref="BC109:BC111"/>
    <mergeCell ref="BD109:BD111"/>
    <mergeCell ref="BE109:BE111"/>
    <mergeCell ref="BF109:BF111"/>
    <mergeCell ref="BG109:BG111"/>
    <mergeCell ref="BH109:BH111"/>
    <mergeCell ref="BC112:BC113"/>
    <mergeCell ref="BD112:BD113"/>
    <mergeCell ref="BE112:BE113"/>
    <mergeCell ref="BF112:BF113"/>
    <mergeCell ref="BG112:BG113"/>
    <mergeCell ref="BH112:BH113"/>
    <mergeCell ref="BC143:BC148"/>
    <mergeCell ref="BD143:BD148"/>
    <mergeCell ref="BE143:BE148"/>
    <mergeCell ref="BF143:BF148"/>
    <mergeCell ref="BG143:BG148"/>
    <mergeCell ref="BH143:BH148"/>
    <mergeCell ref="BC149:BC151"/>
    <mergeCell ref="BD149:BD151"/>
    <mergeCell ref="BE149:BE151"/>
    <mergeCell ref="BF149:BF151"/>
    <mergeCell ref="BG149:BG151"/>
    <mergeCell ref="BH149:BH151"/>
    <mergeCell ref="BC152:BC153"/>
    <mergeCell ref="BD152:BD153"/>
    <mergeCell ref="BE152:BE153"/>
    <mergeCell ref="BF152:BF153"/>
    <mergeCell ref="BG152:BG153"/>
    <mergeCell ref="BH152:BH153"/>
    <mergeCell ref="BC156:BC167"/>
    <mergeCell ref="BD156:BD167"/>
    <mergeCell ref="BE156:BE167"/>
    <mergeCell ref="BF156:BF167"/>
    <mergeCell ref="BG156:BG167"/>
    <mergeCell ref="BH156:BH167"/>
    <mergeCell ref="BC168:BC173"/>
    <mergeCell ref="BD168:BD173"/>
    <mergeCell ref="BE168:BE173"/>
    <mergeCell ref="BF168:BF173"/>
    <mergeCell ref="BG168:BG173"/>
    <mergeCell ref="BH168:BH173"/>
    <mergeCell ref="BC174:BC178"/>
    <mergeCell ref="BD174:BD178"/>
    <mergeCell ref="BE174:BE178"/>
    <mergeCell ref="BF174:BF178"/>
    <mergeCell ref="BG174:BG178"/>
    <mergeCell ref="BH174:BH178"/>
    <mergeCell ref="BC179:BC196"/>
    <mergeCell ref="BD179:BD196"/>
    <mergeCell ref="BE179:BE196"/>
    <mergeCell ref="BF179:BF196"/>
    <mergeCell ref="BG179:BG196"/>
    <mergeCell ref="BH179:BH196"/>
    <mergeCell ref="BC197:BC200"/>
    <mergeCell ref="BD197:BD200"/>
    <mergeCell ref="BE197:BE200"/>
    <mergeCell ref="BF197:BF200"/>
    <mergeCell ref="BG197:BG200"/>
    <mergeCell ref="BH197:BH200"/>
    <mergeCell ref="BC206:BC211"/>
    <mergeCell ref="BD206:BD211"/>
    <mergeCell ref="BE206:BE211"/>
    <mergeCell ref="BF206:BF211"/>
    <mergeCell ref="BG206:BG211"/>
    <mergeCell ref="BH206:BH211"/>
    <mergeCell ref="BC212:BC217"/>
    <mergeCell ref="BD212:BD217"/>
    <mergeCell ref="BE212:BE217"/>
    <mergeCell ref="BF212:BF217"/>
    <mergeCell ref="BG212:BG217"/>
    <mergeCell ref="BH212:BH217"/>
    <mergeCell ref="BC219:BC221"/>
    <mergeCell ref="BD219:BD221"/>
    <mergeCell ref="BE219:BE221"/>
    <mergeCell ref="BF219:BF221"/>
    <mergeCell ref="BG219:BG221"/>
    <mergeCell ref="BH219:BH221"/>
    <mergeCell ref="BC226:BC231"/>
    <mergeCell ref="BD226:BD231"/>
    <mergeCell ref="BE226:BE231"/>
    <mergeCell ref="BF226:BF231"/>
    <mergeCell ref="BG226:BG231"/>
    <mergeCell ref="BH226:BH231"/>
    <mergeCell ref="BC232:BC236"/>
    <mergeCell ref="BD232:BD236"/>
    <mergeCell ref="BE232:BE236"/>
    <mergeCell ref="BF232:BF236"/>
    <mergeCell ref="BG232:BG236"/>
    <mergeCell ref="BH232:BH236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50:BC251"/>
    <mergeCell ref="BD250:BD251"/>
    <mergeCell ref="BE250:BE251"/>
    <mergeCell ref="BF250:BF251"/>
    <mergeCell ref="BG250:BG251"/>
    <mergeCell ref="BH250:BH251"/>
    <mergeCell ref="BC254:BC256"/>
    <mergeCell ref="BD254:BD256"/>
    <mergeCell ref="BE254:BE256"/>
    <mergeCell ref="BF254:BF256"/>
    <mergeCell ref="BG254:BG256"/>
    <mergeCell ref="BH254:BH256"/>
    <mergeCell ref="BC257:BC258"/>
    <mergeCell ref="BD257:BD258"/>
    <mergeCell ref="BE257:BE258"/>
    <mergeCell ref="BF257:BF258"/>
    <mergeCell ref="BG257:BG258"/>
    <mergeCell ref="BH257:BH258"/>
    <mergeCell ref="BC260:BC261"/>
    <mergeCell ref="BD260:BD261"/>
    <mergeCell ref="BE260:BE261"/>
    <mergeCell ref="BF260:BF261"/>
    <mergeCell ref="BG260:BG261"/>
    <mergeCell ref="BH260:BH261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70:BC271"/>
    <mergeCell ref="BD270:BD271"/>
    <mergeCell ref="BE270:BE271"/>
    <mergeCell ref="BF270:BF271"/>
    <mergeCell ref="BG270:BG271"/>
    <mergeCell ref="BH270:BH271"/>
    <mergeCell ref="BC284:BC286"/>
    <mergeCell ref="BD284:BD286"/>
    <mergeCell ref="BE284:BE286"/>
    <mergeCell ref="BF284:BF286"/>
    <mergeCell ref="BG284:BG286"/>
    <mergeCell ref="BH284:BH286"/>
    <mergeCell ref="BC289:BC290"/>
    <mergeCell ref="BD289:BD290"/>
    <mergeCell ref="BE289:BE290"/>
    <mergeCell ref="BF289:BF290"/>
    <mergeCell ref="BG289:BG290"/>
    <mergeCell ref="BH289:BH290"/>
    <mergeCell ref="BC296:BC298"/>
    <mergeCell ref="BD296:BD298"/>
    <mergeCell ref="BE296:BE298"/>
    <mergeCell ref="BF296:BF298"/>
    <mergeCell ref="BG296:BG298"/>
    <mergeCell ref="BH296:BH298"/>
    <mergeCell ref="BC299:BC300"/>
    <mergeCell ref="BD299:BD300"/>
    <mergeCell ref="BE299:BE300"/>
    <mergeCell ref="BF299:BF300"/>
    <mergeCell ref="BG299:BG300"/>
    <mergeCell ref="BH299:BH300"/>
    <mergeCell ref="BC302:BC304"/>
    <mergeCell ref="BD302:BD304"/>
    <mergeCell ref="BE302:BE304"/>
    <mergeCell ref="BF302:BF304"/>
    <mergeCell ref="BG302:BG304"/>
    <mergeCell ref="BH302:BH304"/>
    <mergeCell ref="BC310:BC311"/>
    <mergeCell ref="BD310:BD311"/>
    <mergeCell ref="BE310:BE311"/>
    <mergeCell ref="BF310:BF311"/>
    <mergeCell ref="BG310:BG311"/>
    <mergeCell ref="BH310:BH311"/>
    <mergeCell ref="BC322:BC325"/>
    <mergeCell ref="BD322:BD325"/>
    <mergeCell ref="BE322:BE325"/>
    <mergeCell ref="BF322:BF325"/>
    <mergeCell ref="BG322:BG325"/>
    <mergeCell ref="BH322:BH325"/>
    <mergeCell ref="BC326:BC331"/>
    <mergeCell ref="BD326:BD331"/>
    <mergeCell ref="BE326:BE331"/>
    <mergeCell ref="BF326:BF331"/>
    <mergeCell ref="BG326:BG331"/>
    <mergeCell ref="BH326:BH331"/>
    <mergeCell ref="BC370:BC371"/>
    <mergeCell ref="BD370:BD371"/>
    <mergeCell ref="BE370:BE371"/>
    <mergeCell ref="BF370:BF371"/>
    <mergeCell ref="BG370:BG371"/>
    <mergeCell ref="BH370:BH371"/>
    <mergeCell ref="BC378:BC379"/>
    <mergeCell ref="BD378:BD379"/>
    <mergeCell ref="BE378:BE379"/>
    <mergeCell ref="BF378:BF379"/>
    <mergeCell ref="BG378:BG379"/>
    <mergeCell ref="BH378:BH379"/>
    <mergeCell ref="BC385:BC387"/>
    <mergeCell ref="BD385:BD387"/>
    <mergeCell ref="BE385:BE387"/>
    <mergeCell ref="BF385:BF387"/>
    <mergeCell ref="BG385:BG387"/>
    <mergeCell ref="BH385:BH387"/>
    <mergeCell ref="BC393:BC397"/>
    <mergeCell ref="BD393:BD397"/>
    <mergeCell ref="BE393:BE397"/>
    <mergeCell ref="BF393:BF397"/>
    <mergeCell ref="BG393:BG397"/>
    <mergeCell ref="BH393:BH397"/>
    <mergeCell ref="BC406:BC410"/>
    <mergeCell ref="BD406:BD410"/>
    <mergeCell ref="BE406:BE410"/>
    <mergeCell ref="BF406:BF410"/>
    <mergeCell ref="BG406:BG410"/>
    <mergeCell ref="BH406:BH410"/>
    <mergeCell ref="BC413:BC414"/>
    <mergeCell ref="BD413:BD414"/>
    <mergeCell ref="BE413:BE414"/>
    <mergeCell ref="BF413:BF414"/>
    <mergeCell ref="BG413:BG414"/>
    <mergeCell ref="BH413:BH414"/>
    <mergeCell ref="BC415:BC424"/>
    <mergeCell ref="BD415:BD424"/>
    <mergeCell ref="BE415:BE424"/>
    <mergeCell ref="BF415:BF424"/>
    <mergeCell ref="BG415:BG424"/>
    <mergeCell ref="BH415:BH42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AV94:AV95"/>
    <mergeCell ref="AW94:AW95"/>
    <mergeCell ref="AX94:AX95"/>
    <mergeCell ref="AY94:AY95"/>
    <mergeCell ref="AZ94:AZ95"/>
    <mergeCell ref="BA94:BA95"/>
    <mergeCell ref="AV96:AV97"/>
    <mergeCell ref="AW96:AW97"/>
    <mergeCell ref="AX96:AX97"/>
    <mergeCell ref="AY96:AY97"/>
    <mergeCell ref="AZ96:AZ97"/>
    <mergeCell ref="BA96:BA97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9:AV110"/>
    <mergeCell ref="AW109:AW110"/>
    <mergeCell ref="AX109:AX110"/>
    <mergeCell ref="AY109:AY110"/>
    <mergeCell ref="AZ109:AZ110"/>
    <mergeCell ref="BA109:BA110"/>
    <mergeCell ref="AV112:AV113"/>
    <mergeCell ref="AW112:AW113"/>
    <mergeCell ref="AX112:AX113"/>
    <mergeCell ref="AY112:AY113"/>
    <mergeCell ref="AZ112:AZ113"/>
    <mergeCell ref="BA112:BA113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7"/>
    <mergeCell ref="AW165:AW167"/>
    <mergeCell ref="AX165:AX167"/>
    <mergeCell ref="AY165:AY167"/>
    <mergeCell ref="AZ165:AZ167"/>
    <mergeCell ref="BA165:BA167"/>
    <mergeCell ref="BI165:BI167"/>
    <mergeCell ref="AV179:AV181"/>
    <mergeCell ref="AW179:AW181"/>
    <mergeCell ref="AX179:AX181"/>
    <mergeCell ref="AY179:AY181"/>
    <mergeCell ref="AZ179:AZ181"/>
    <mergeCell ref="BA179:BA181"/>
    <mergeCell ref="BI179:BI181"/>
    <mergeCell ref="AV182:AV184"/>
    <mergeCell ref="AW182:AW184"/>
    <mergeCell ref="AX182:AX184"/>
    <mergeCell ref="AY182:AY184"/>
    <mergeCell ref="AZ182:AZ184"/>
    <mergeCell ref="BA182:BA184"/>
    <mergeCell ref="BI182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6"/>
    <mergeCell ref="AW194:AW196"/>
    <mergeCell ref="AX194:AX196"/>
    <mergeCell ref="AY194:AY196"/>
    <mergeCell ref="AZ194:AZ196"/>
    <mergeCell ref="BA194:BA196"/>
    <mergeCell ref="BI194:BI196"/>
    <mergeCell ref="AV206:AV207"/>
    <mergeCell ref="AW206:AW207"/>
    <mergeCell ref="AX206:AX207"/>
    <mergeCell ref="AY206:AY207"/>
    <mergeCell ref="AZ206:AZ207"/>
    <mergeCell ref="BA206:BA207"/>
    <mergeCell ref="AV208:AV209"/>
    <mergeCell ref="AW208:AW209"/>
    <mergeCell ref="AX208:AX209"/>
    <mergeCell ref="AY208:AY209"/>
    <mergeCell ref="AZ208:AZ209"/>
    <mergeCell ref="BA208:BA209"/>
    <mergeCell ref="AV210:AV211"/>
    <mergeCell ref="AW210:AW211"/>
    <mergeCell ref="AX210:AX211"/>
    <mergeCell ref="AY210:AY211"/>
    <mergeCell ref="AZ210:AZ211"/>
    <mergeCell ref="BA210:BA211"/>
    <mergeCell ref="AV285:AV286"/>
    <mergeCell ref="AW285:AW286"/>
    <mergeCell ref="AX285:AX286"/>
    <mergeCell ref="AY285:AY286"/>
    <mergeCell ref="AZ285:AZ286"/>
    <mergeCell ref="BA285:BA286"/>
    <mergeCell ref="AV322:AV323"/>
    <mergeCell ref="AW322:AW323"/>
    <mergeCell ref="AX322:AX323"/>
    <mergeCell ref="AY322:AY323"/>
    <mergeCell ref="AZ322:AZ323"/>
    <mergeCell ref="BA322:BA323"/>
    <mergeCell ref="AV324:AV325"/>
    <mergeCell ref="AW324:AW325"/>
    <mergeCell ref="AX324:AX325"/>
    <mergeCell ref="AY324:AY325"/>
    <mergeCell ref="AZ324:AZ325"/>
    <mergeCell ref="BA324:BA325"/>
    <mergeCell ref="AV326:AV328"/>
    <mergeCell ref="AW326:AW328"/>
    <mergeCell ref="AX326:AX328"/>
    <mergeCell ref="AY326:AY328"/>
    <mergeCell ref="AZ326:AZ328"/>
    <mergeCell ref="BA326:BA328"/>
    <mergeCell ref="AV329:AV331"/>
    <mergeCell ref="AW329:AW331"/>
    <mergeCell ref="AX329:AX331"/>
    <mergeCell ref="AY329:AY331"/>
    <mergeCell ref="AZ329:AZ331"/>
    <mergeCell ref="BA329:BA331"/>
    <mergeCell ref="AV395:AV396"/>
    <mergeCell ref="AW395:AW396"/>
    <mergeCell ref="AX395:AX396"/>
    <mergeCell ref="AY395:AY396"/>
    <mergeCell ref="AZ395:AZ396"/>
    <mergeCell ref="BA395:BA396"/>
    <mergeCell ref="AV413:AV414"/>
    <mergeCell ref="AW413:AW414"/>
    <mergeCell ref="AX413:AX414"/>
    <mergeCell ref="AY413:AY414"/>
    <mergeCell ref="AZ413:AZ414"/>
    <mergeCell ref="BA413:BA414"/>
    <mergeCell ref="AV417:AV419"/>
    <mergeCell ref="AW417:AW419"/>
    <mergeCell ref="AX417:AX419"/>
    <mergeCell ref="AY417:AY419"/>
    <mergeCell ref="AZ417:AZ419"/>
    <mergeCell ref="BA417:BA419"/>
    <mergeCell ref="AV420:AV421"/>
    <mergeCell ref="AW420:AW421"/>
    <mergeCell ref="AX420:AX421"/>
    <mergeCell ref="AY420:AY421"/>
    <mergeCell ref="AZ420:AZ421"/>
    <mergeCell ref="BA420:BA421"/>
    <mergeCell ref="AV422:AV424"/>
    <mergeCell ref="AW422:AW424"/>
    <mergeCell ref="AX422:AX424"/>
    <mergeCell ref="AY422:AY424"/>
    <mergeCell ref="AZ422:AZ424"/>
    <mergeCell ref="BA422:BA4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2049</v>
      </c>
      <c r="D2" s="0" t="s">
        <v>2050</v>
      </c>
      <c r="E2" s="0" t="s">
        <v>2051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2052</v>
      </c>
      <c r="J4" s="1" t="s">
        <v>2053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2054</v>
      </c>
      <c r="P4" s="1" t="s">
        <v>2055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2056</v>
      </c>
      <c r="F5" s="1" t="s">
        <v>2057</v>
      </c>
      <c r="G5" s="1" t="s">
        <v>2056</v>
      </c>
      <c r="H5" s="1" t="s">
        <v>2057</v>
      </c>
      <c r="I5" s="1" t="s">
        <v>2052</v>
      </c>
      <c r="J5" s="1" t="s">
        <v>2053</v>
      </c>
      <c r="K5" s="1" t="s">
        <v>2058</v>
      </c>
      <c r="L5" s="1" t="s">
        <v>2059</v>
      </c>
      <c r="M5" s="1" t="s">
        <v>2058</v>
      </c>
      <c r="N5" s="1" t="s">
        <v>2059</v>
      </c>
      <c r="O5" s="1" t="s">
        <v>2054</v>
      </c>
      <c r="P5" s="1" t="s">
        <v>2055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44</v>
      </c>
      <c r="F6" s="8">
        <v>3484.85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40</v>
      </c>
      <c r="L6" s="8">
        <v>3160.33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392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</v>
      </c>
      <c r="L7" s="8">
        <v>324.52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405</v>
      </c>
      <c r="D8" s="2" t="s">
        <v>406</v>
      </c>
      <c r="E8" s="4">
        <v>29</v>
      </c>
      <c r="F8" s="8">
        <v>1881.03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29</v>
      </c>
      <c r="L8" s="8">
        <v>1881.03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405</v>
      </c>
      <c r="D9" s="2" t="s">
        <v>537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/>
      <c r="L9" s="8"/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545</v>
      </c>
      <c r="D10" s="2" t="s">
        <v>546</v>
      </c>
      <c r="E10" s="4">
        <v>3</v>
      </c>
      <c r="F10" s="8">
        <v>248.51</v>
      </c>
      <c r="G10" s="4"/>
      <c r="H10" s="8"/>
      <c r="I10" s="7"/>
      <c r="J10" s="7"/>
      <c r="K10" s="4">
        <v>3</v>
      </c>
      <c r="L10" s="8">
        <v>248.51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584</v>
      </c>
      <c r="D11" s="2" t="s">
        <v>585</v>
      </c>
      <c r="E11" s="4">
        <v>3</v>
      </c>
      <c r="F11" s="8">
        <v>40.91</v>
      </c>
      <c r="G11" s="4"/>
      <c r="H11" s="8"/>
      <c r="I11" s="7"/>
      <c r="J11" s="7"/>
      <c r="K11" s="4">
        <v>3</v>
      </c>
      <c r="L11" s="8">
        <v>40.91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635</v>
      </c>
      <c r="D12" s="2" t="s">
        <v>636</v>
      </c>
      <c r="E12" s="4">
        <v>2</v>
      </c>
      <c r="F12" s="8">
        <v>32</v>
      </c>
      <c r="G12" s="4"/>
      <c r="H12" s="8"/>
      <c r="I12" s="7"/>
      <c r="J12" s="7"/>
      <c r="K12" s="4">
        <v>2</v>
      </c>
      <c r="L12" s="8">
        <v>32</v>
      </c>
      <c r="M12" s="4"/>
      <c r="N12" s="8"/>
      <c r="O12" s="7"/>
      <c r="P12" s="7"/>
    </row>
    <row r="13">
      <c r="A13" s="2" t="s">
        <v>656</v>
      </c>
      <c r="B13" s="2" t="s">
        <v>88</v>
      </c>
      <c r="C13" s="2" t="s">
        <v>657</v>
      </c>
      <c r="D13" s="2" t="s">
        <v>658</v>
      </c>
      <c r="E13" s="4">
        <v>2</v>
      </c>
      <c r="F13" s="8">
        <v>111.98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2</v>
      </c>
      <c r="L13" s="8">
        <v>111.98</v>
      </c>
      <c r="M13" s="4"/>
      <c r="N13" s="8"/>
      <c r="O13" s="7"/>
      <c r="P13" s="7"/>
    </row>
    <row r="14">
      <c r="A14" s="2" t="s">
        <v>656</v>
      </c>
      <c r="B14" s="2" t="s">
        <v>88</v>
      </c>
      <c r="C14" s="2" t="s">
        <v>657</v>
      </c>
      <c r="D14" s="2" t="s">
        <v>691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/>
      <c r="L14" s="8"/>
      <c r="M14" s="4"/>
      <c r="N14" s="8"/>
      <c r="O14" s="7"/>
      <c r="P14" s="7"/>
    </row>
    <row r="15">
      <c r="A15" s="2" t="s">
        <v>656</v>
      </c>
      <c r="B15" s="2" t="s">
        <v>88</v>
      </c>
      <c r="C15" s="2" t="s">
        <v>741</v>
      </c>
      <c r="D15" s="2" t="s">
        <v>742</v>
      </c>
      <c r="E15" s="4">
        <v>1</v>
      </c>
      <c r="F15" s="8">
        <v>72.79</v>
      </c>
      <c r="G15" s="4"/>
      <c r="H15" s="8"/>
      <c r="I15" s="7"/>
      <c r="J15" s="7"/>
      <c r="K15" s="4">
        <v>1</v>
      </c>
      <c r="L15" s="8">
        <v>72.79</v>
      </c>
      <c r="M15" s="4"/>
      <c r="N15" s="8"/>
      <c r="O15" s="7"/>
      <c r="P15" s="7"/>
    </row>
    <row r="16">
      <c r="A16" s="2" t="s">
        <v>656</v>
      </c>
      <c r="B16" s="2" t="s">
        <v>88</v>
      </c>
      <c r="C16" s="2" t="s">
        <v>751</v>
      </c>
      <c r="D16" s="2" t="s">
        <v>752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/>
      <c r="L16" s="8"/>
      <c r="M16" s="4"/>
      <c r="N16" s="8"/>
      <c r="O16" s="7"/>
      <c r="P16" s="7"/>
    </row>
    <row r="17">
      <c r="A17" s="2" t="s">
        <v>656</v>
      </c>
      <c r="B17" s="2" t="s">
        <v>88</v>
      </c>
      <c r="C17" s="2" t="s">
        <v>751</v>
      </c>
      <c r="D17" s="2" t="s">
        <v>658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/>
      <c r="L17" s="8"/>
      <c r="M17" s="4"/>
      <c r="N17" s="8"/>
      <c r="O17" s="7"/>
      <c r="P17" s="7"/>
    </row>
    <row r="18">
      <c r="A18" s="2" t="s">
        <v>656</v>
      </c>
      <c r="B18" s="2" t="s">
        <v>88</v>
      </c>
      <c r="C18" s="2" t="s">
        <v>751</v>
      </c>
      <c r="D18" s="2" t="s">
        <v>768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/>
      <c r="N18" s="8"/>
      <c r="O18" s="7"/>
      <c r="P18" s="7"/>
    </row>
    <row r="19">
      <c r="A19" s="2" t="s">
        <v>656</v>
      </c>
      <c r="B19" s="2" t="s">
        <v>88</v>
      </c>
      <c r="C19" s="2" t="s">
        <v>793</v>
      </c>
      <c r="D19" s="2" t="s">
        <v>658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800</v>
      </c>
      <c r="B20" s="2" t="s">
        <v>88</v>
      </c>
      <c r="C20" s="2" t="s">
        <v>801</v>
      </c>
      <c r="D20" s="2" t="s">
        <v>802</v>
      </c>
      <c r="E20" s="4">
        <v>34</v>
      </c>
      <c r="F20" s="8">
        <v>638.14</v>
      </c>
      <c r="G20" s="4"/>
      <c r="H20" s="8"/>
      <c r="I20" s="7"/>
      <c r="J20" s="7"/>
      <c r="K20" s="4">
        <v>34</v>
      </c>
      <c r="L20" s="8">
        <v>638.14</v>
      </c>
      <c r="M20" s="4"/>
      <c r="N20" s="8"/>
      <c r="O20" s="7"/>
      <c r="P20" s="7"/>
    </row>
    <row r="21">
      <c r="A21" s="2" t="s">
        <v>800</v>
      </c>
      <c r="B21" s="2" t="s">
        <v>88</v>
      </c>
      <c r="C21" s="2" t="s">
        <v>835</v>
      </c>
      <c r="D21" s="2" t="s">
        <v>836</v>
      </c>
      <c r="E21" s="4">
        <v>26</v>
      </c>
      <c r="F21" s="8">
        <v>623.88</v>
      </c>
      <c r="G21" s="4"/>
      <c r="H21" s="8"/>
      <c r="I21" s="7"/>
      <c r="J21" s="7"/>
      <c r="K21" s="4">
        <v>26</v>
      </c>
      <c r="L21" s="8">
        <v>623.88</v>
      </c>
      <c r="M21" s="4"/>
      <c r="N21" s="8"/>
      <c r="O21" s="7"/>
      <c r="P21" s="7"/>
    </row>
    <row r="22">
      <c r="A22" s="2" t="s">
        <v>877</v>
      </c>
      <c r="B22" s="2" t="s">
        <v>88</v>
      </c>
      <c r="C22" s="2" t="s">
        <v>878</v>
      </c>
      <c r="D22" s="2" t="s">
        <v>879</v>
      </c>
      <c r="E22" s="4">
        <v>20</v>
      </c>
      <c r="F22" s="8">
        <v>868.24</v>
      </c>
      <c r="G22" s="4"/>
      <c r="H22" s="8"/>
      <c r="I22" s="7"/>
      <c r="J22" s="7"/>
      <c r="K22" s="4">
        <v>20</v>
      </c>
      <c r="L22" s="8">
        <v>868.24</v>
      </c>
      <c r="M22" s="4"/>
      <c r="N22" s="8"/>
      <c r="O22" s="7"/>
      <c r="P22" s="7"/>
    </row>
    <row r="23">
      <c r="A23" s="2" t="s">
        <v>877</v>
      </c>
      <c r="B23" s="2" t="s">
        <v>88</v>
      </c>
      <c r="C23" s="2" t="s">
        <v>919</v>
      </c>
      <c r="D23" s="2" t="s">
        <v>920</v>
      </c>
      <c r="E23" s="4">
        <v>40</v>
      </c>
      <c r="F23" s="8">
        <v>827.66</v>
      </c>
      <c r="G23" s="4"/>
      <c r="H23" s="8"/>
      <c r="I23" s="7"/>
      <c r="J23" s="7"/>
      <c r="K23" s="4">
        <v>40</v>
      </c>
      <c r="L23" s="8">
        <v>827.66</v>
      </c>
      <c r="M23" s="4"/>
      <c r="N23" s="8"/>
      <c r="O23" s="7"/>
      <c r="P23" s="7"/>
    </row>
    <row r="24">
      <c r="A24" s="2" t="s">
        <v>877</v>
      </c>
      <c r="B24" s="2" t="s">
        <v>88</v>
      </c>
      <c r="C24" s="2" t="s">
        <v>959</v>
      </c>
      <c r="D24" s="2" t="s">
        <v>960</v>
      </c>
      <c r="E24" s="4">
        <v>5</v>
      </c>
      <c r="F24" s="8">
        <v>67.82</v>
      </c>
      <c r="G24" s="4"/>
      <c r="H24" s="8"/>
      <c r="I24" s="7"/>
      <c r="J24" s="7"/>
      <c r="K24" s="4">
        <v>5</v>
      </c>
      <c r="L24" s="8">
        <v>67.82</v>
      </c>
      <c r="M24" s="4"/>
      <c r="N24" s="8"/>
      <c r="O24" s="7"/>
      <c r="P24" s="7"/>
    </row>
    <row r="25">
      <c r="A25" s="2" t="s">
        <v>996</v>
      </c>
      <c r="B25" s="2" t="s">
        <v>88</v>
      </c>
      <c r="C25" s="2" t="s">
        <v>997</v>
      </c>
      <c r="D25" s="2" t="s">
        <v>998</v>
      </c>
      <c r="E25" s="4">
        <v>3</v>
      </c>
      <c r="F25" s="8">
        <v>418.99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2</v>
      </c>
      <c r="L25" s="8">
        <v>275.18</v>
      </c>
      <c r="M25" s="4"/>
      <c r="N25" s="8"/>
      <c r="O25" s="7"/>
      <c r="P25" s="7"/>
    </row>
    <row r="26">
      <c r="A26" s="2" t="s">
        <v>996</v>
      </c>
      <c r="B26" s="2" t="s">
        <v>88</v>
      </c>
      <c r="C26" s="2" t="s">
        <v>997</v>
      </c>
      <c r="D26" s="2" t="s">
        <v>1029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1</v>
      </c>
      <c r="L26" s="8">
        <v>143.81</v>
      </c>
      <c r="M26" s="4"/>
      <c r="N26" s="8"/>
      <c r="O26" s="7"/>
      <c r="P26" s="7"/>
    </row>
    <row r="27">
      <c r="A27" s="2" t="s">
        <v>996</v>
      </c>
      <c r="B27" s="2" t="s">
        <v>88</v>
      </c>
      <c r="C27" s="2" t="s">
        <v>1070</v>
      </c>
      <c r="D27" s="2" t="s">
        <v>1071</v>
      </c>
      <c r="E27" s="4">
        <v>2</v>
      </c>
      <c r="F27" s="8">
        <v>379.84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2</v>
      </c>
      <c r="L27" s="8">
        <v>379.84</v>
      </c>
      <c r="M27" s="4"/>
      <c r="N27" s="8"/>
      <c r="O27" s="7"/>
      <c r="P27" s="7"/>
    </row>
    <row r="28">
      <c r="A28" s="2" t="s">
        <v>996</v>
      </c>
      <c r="B28" s="2" t="s">
        <v>88</v>
      </c>
      <c r="C28" s="2" t="s">
        <v>1070</v>
      </c>
      <c r="D28" s="2" t="s">
        <v>1221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996</v>
      </c>
      <c r="B29" s="2" t="s">
        <v>88</v>
      </c>
      <c r="C29" s="2" t="s">
        <v>1238</v>
      </c>
      <c r="D29" s="2" t="s">
        <v>1239</v>
      </c>
      <c r="E29" s="4">
        <v>1</v>
      </c>
      <c r="F29" s="8">
        <v>348.06</v>
      </c>
      <c r="G29" s="4"/>
      <c r="H29" s="8"/>
      <c r="I29" s="7"/>
      <c r="J29" s="7"/>
      <c r="K29" s="4">
        <v>1</v>
      </c>
      <c r="L29" s="8">
        <v>348.06</v>
      </c>
      <c r="M29" s="4"/>
      <c r="N29" s="8"/>
      <c r="O29" s="7"/>
      <c r="P29" s="7"/>
    </row>
    <row r="30">
      <c r="A30" s="2" t="s">
        <v>996</v>
      </c>
      <c r="B30" s="2" t="s">
        <v>88</v>
      </c>
      <c r="C30" s="2" t="s">
        <v>1280</v>
      </c>
      <c r="D30" s="2" t="s">
        <v>1281</v>
      </c>
      <c r="E30" s="4">
        <v>1</v>
      </c>
      <c r="F30" s="8">
        <v>251.37</v>
      </c>
      <c r="G30" s="4"/>
      <c r="H30" s="8"/>
      <c r="I30" s="7"/>
      <c r="J30" s="7"/>
      <c r="K30" s="4">
        <v>1</v>
      </c>
      <c r="L30" s="8">
        <v>251.37</v>
      </c>
      <c r="M30" s="4"/>
      <c r="N30" s="8"/>
      <c r="O30" s="7"/>
      <c r="P30" s="7"/>
    </row>
    <row r="31">
      <c r="A31" s="2" t="s">
        <v>996</v>
      </c>
      <c r="B31" s="2" t="s">
        <v>88</v>
      </c>
      <c r="C31" s="2" t="s">
        <v>1304</v>
      </c>
      <c r="D31" s="2" t="s">
        <v>1029</v>
      </c>
      <c r="E31" s="4">
        <v>1</v>
      </c>
      <c r="F31" s="8">
        <v>164.59</v>
      </c>
      <c r="G31" s="4"/>
      <c r="H31" s="8"/>
      <c r="I31" s="7"/>
      <c r="J31" s="7"/>
      <c r="K31" s="4">
        <v>1</v>
      </c>
      <c r="L31" s="8">
        <v>164.59</v>
      </c>
      <c r="M31" s="4"/>
      <c r="N31" s="8"/>
      <c r="O31" s="7"/>
      <c r="P31" s="7"/>
    </row>
    <row r="32">
      <c r="A32" s="2" t="s">
        <v>996</v>
      </c>
      <c r="B32" s="2" t="s">
        <v>88</v>
      </c>
      <c r="C32" s="2" t="s">
        <v>1318</v>
      </c>
      <c r="D32" s="2" t="s">
        <v>1319</v>
      </c>
      <c r="E32" s="4">
        <v>1</v>
      </c>
      <c r="F32" s="8">
        <v>134.06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1</v>
      </c>
      <c r="L32" s="8">
        <v>134.06</v>
      </c>
      <c r="M32" s="4"/>
      <c r="N32" s="8"/>
      <c r="O32" s="7"/>
      <c r="P32" s="7"/>
    </row>
    <row r="33">
      <c r="A33" s="2" t="s">
        <v>996</v>
      </c>
      <c r="B33" s="2" t="s">
        <v>88</v>
      </c>
      <c r="C33" s="2" t="s">
        <v>1318</v>
      </c>
      <c r="D33" s="2" t="s">
        <v>1379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996</v>
      </c>
      <c r="B34" s="2" t="s">
        <v>88</v>
      </c>
      <c r="C34" s="2" t="s">
        <v>1318</v>
      </c>
      <c r="D34" s="2" t="s">
        <v>1391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996</v>
      </c>
      <c r="B35" s="2" t="s">
        <v>88</v>
      </c>
      <c r="C35" s="2" t="s">
        <v>1318</v>
      </c>
      <c r="D35" s="2" t="s">
        <v>1397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996</v>
      </c>
      <c r="B36" s="2" t="s">
        <v>88</v>
      </c>
      <c r="C36" s="2" t="s">
        <v>1418</v>
      </c>
      <c r="D36" s="2" t="s">
        <v>1419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996</v>
      </c>
      <c r="B37" s="2" t="s">
        <v>88</v>
      </c>
      <c r="C37" s="2" t="s">
        <v>1424</v>
      </c>
      <c r="D37" s="2" t="s">
        <v>1425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996</v>
      </c>
      <c r="B38" s="2" t="s">
        <v>88</v>
      </c>
      <c r="C38" s="2" t="s">
        <v>1429</v>
      </c>
      <c r="D38" s="2" t="s">
        <v>1430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996</v>
      </c>
      <c r="B39" s="2" t="s">
        <v>88</v>
      </c>
      <c r="C39" s="2" t="s">
        <v>1447</v>
      </c>
      <c r="D39" s="2" t="s">
        <v>1448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996</v>
      </c>
      <c r="B40" s="2" t="s">
        <v>88</v>
      </c>
      <c r="C40" s="2" t="s">
        <v>1520</v>
      </c>
      <c r="D40" s="2" t="s">
        <v>1521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996</v>
      </c>
      <c r="B41" s="2" t="s">
        <v>88</v>
      </c>
      <c r="C41" s="2" t="s">
        <v>1526</v>
      </c>
      <c r="D41" s="2" t="s">
        <v>1527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996</v>
      </c>
      <c r="B42" s="2" t="s">
        <v>88</v>
      </c>
      <c r="C42" s="2" t="s">
        <v>1532</v>
      </c>
      <c r="D42" s="2" t="s">
        <v>1533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996</v>
      </c>
      <c r="B43" s="2" t="s">
        <v>88</v>
      </c>
      <c r="C43" s="2" t="s">
        <v>1552</v>
      </c>
      <c r="D43" s="2" t="s">
        <v>1553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996</v>
      </c>
      <c r="B44" s="2" t="s">
        <v>88</v>
      </c>
      <c r="C44" s="2" t="s">
        <v>1552</v>
      </c>
      <c r="D44" s="2" t="s">
        <v>1590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996</v>
      </c>
      <c r="B45" s="2" t="s">
        <v>88</v>
      </c>
      <c r="C45" s="2" t="s">
        <v>1607</v>
      </c>
      <c r="D45" s="2" t="s">
        <v>1608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1628</v>
      </c>
      <c r="B46" s="2" t="s">
        <v>88</v>
      </c>
      <c r="C46" s="2" t="s">
        <v>1629</v>
      </c>
      <c r="D46" s="2" t="s">
        <v>1630</v>
      </c>
      <c r="E46" s="4">
        <v>8</v>
      </c>
      <c r="F46" s="8">
        <v>504.61</v>
      </c>
      <c r="G46" s="4"/>
      <c r="H46" s="8"/>
      <c r="I46" s="7"/>
      <c r="J46" s="7"/>
      <c r="K46" s="4">
        <v>8</v>
      </c>
      <c r="L46" s="8">
        <v>504.61</v>
      </c>
      <c r="M46" s="4"/>
      <c r="N46" s="8"/>
      <c r="O46" s="7"/>
      <c r="P46" s="7"/>
    </row>
    <row r="47">
      <c r="A47" s="2" t="s">
        <v>1628</v>
      </c>
      <c r="B47" s="2" t="s">
        <v>88</v>
      </c>
      <c r="C47" s="2" t="s">
        <v>1777</v>
      </c>
      <c r="D47" s="2" t="s">
        <v>1778</v>
      </c>
      <c r="E47" s="4">
        <v>1</v>
      </c>
      <c r="F47" s="8">
        <v>157.83</v>
      </c>
      <c r="G47" s="4"/>
      <c r="H47" s="8"/>
      <c r="I47" s="7"/>
      <c r="J47" s="7"/>
      <c r="K47" s="4">
        <v>1</v>
      </c>
      <c r="L47" s="8">
        <v>157.83</v>
      </c>
      <c r="M47" s="4"/>
      <c r="N47" s="8"/>
      <c r="O47" s="7"/>
      <c r="P47" s="7"/>
    </row>
    <row r="48">
      <c r="A48" s="2" t="s">
        <v>1628</v>
      </c>
      <c r="B48" s="2" t="s">
        <v>88</v>
      </c>
      <c r="C48" s="2" t="s">
        <v>1820</v>
      </c>
      <c r="D48" s="2" t="s">
        <v>1821</v>
      </c>
      <c r="E48" s="4">
        <v>1</v>
      </c>
      <c r="F48" s="8">
        <v>84.67</v>
      </c>
      <c r="G48" s="4"/>
      <c r="H48" s="8"/>
      <c r="I48" s="7"/>
      <c r="J48" s="7"/>
      <c r="K48" s="4">
        <v>1</v>
      </c>
      <c r="L48" s="8">
        <v>84.67</v>
      </c>
      <c r="M48" s="4"/>
      <c r="N48" s="8"/>
      <c r="O48" s="7"/>
      <c r="P48" s="7"/>
    </row>
    <row r="49">
      <c r="A49" s="2" t="s">
        <v>1628</v>
      </c>
      <c r="B49" s="2" t="s">
        <v>88</v>
      </c>
      <c r="C49" s="2" t="s">
        <v>1828</v>
      </c>
      <c r="D49" s="2" t="s">
        <v>1829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1628</v>
      </c>
      <c r="B50" s="2" t="s">
        <v>88</v>
      </c>
      <c r="C50" s="2" t="s">
        <v>1904</v>
      </c>
      <c r="D50" s="2" t="s">
        <v>1905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1628</v>
      </c>
      <c r="B51" s="2" t="s">
        <v>88</v>
      </c>
      <c r="C51" s="2" t="s">
        <v>1954</v>
      </c>
      <c r="D51" s="2" t="s">
        <v>1955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1969</v>
      </c>
      <c r="B52" s="2" t="s">
        <v>88</v>
      </c>
      <c r="C52" s="2" t="s">
        <v>1970</v>
      </c>
      <c r="D52" s="2" t="s">
        <v>1971</v>
      </c>
      <c r="E52" s="4">
        <v>10</v>
      </c>
      <c r="F52" s="8">
        <v>302.2</v>
      </c>
      <c r="G52" s="4"/>
      <c r="H52" s="8"/>
      <c r="I52" s="7"/>
      <c r="J52" s="7"/>
      <c r="K52" s="4">
        <v>10</v>
      </c>
      <c r="L52" s="8">
        <v>302.2</v>
      </c>
      <c r="M52" s="4"/>
      <c r="N52" s="8"/>
      <c r="O52" s="7"/>
      <c r="P52" s="7"/>
    </row>
    <row r="53">
      <c r="A53" s="2" t="s">
        <v>1995</v>
      </c>
      <c r="B53" s="2" t="s">
        <v>88</v>
      </c>
      <c r="C53" s="2" t="s">
        <v>1996</v>
      </c>
      <c r="D53" s="2" t="s">
        <v>1997</v>
      </c>
      <c r="E53" s="4">
        <v>7</v>
      </c>
      <c r="F53" s="8">
        <v>159.72</v>
      </c>
      <c r="G53" s="4"/>
      <c r="H53" s="8"/>
      <c r="I53" s="7"/>
      <c r="J53" s="7"/>
      <c r="K53" s="4">
        <v>7</v>
      </c>
      <c r="L53" s="8">
        <v>159.72</v>
      </c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4"/>
    <mergeCell ref="F13:F14"/>
    <mergeCell ref="G13:G14"/>
    <mergeCell ref="H13:H14"/>
    <mergeCell ref="I13:I14"/>
    <mergeCell ref="J13:J14"/>
    <mergeCell ref="E16:E18"/>
    <mergeCell ref="F16:F18"/>
    <mergeCell ref="G16:G18"/>
    <mergeCell ref="H16:H18"/>
    <mergeCell ref="I16:I18"/>
    <mergeCell ref="J16:J18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2:E35"/>
    <mergeCell ref="F32:F35"/>
    <mergeCell ref="G32:G35"/>
    <mergeCell ref="H32:H35"/>
    <mergeCell ref="I32:I35"/>
    <mergeCell ref="J32:J35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2049</v>
      </c>
      <c r="D2" s="0" t="s">
        <v>2050</v>
      </c>
      <c r="E2" s="0" t="s">
        <v>2051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2052</v>
      </c>
      <c r="I4" s="1" t="s">
        <v>2053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2054</v>
      </c>
      <c r="O4" s="1" t="s">
        <v>2055</v>
      </c>
    </row>
    <row r="5">
      <c r="A5" s="1" t="s">
        <v>52</v>
      </c>
      <c r="B5" s="1" t="s">
        <v>54</v>
      </c>
      <c r="C5" s="1" t="s">
        <v>55</v>
      </c>
      <c r="D5" s="1" t="s">
        <v>2056</v>
      </c>
      <c r="E5" s="1" t="s">
        <v>2057</v>
      </c>
      <c r="F5" s="1" t="s">
        <v>2056</v>
      </c>
      <c r="G5" s="1" t="s">
        <v>2057</v>
      </c>
      <c r="H5" s="1" t="s">
        <v>2052</v>
      </c>
      <c r="I5" s="1" t="s">
        <v>2053</v>
      </c>
      <c r="J5" s="1" t="s">
        <v>2058</v>
      </c>
      <c r="K5" s="1" t="s">
        <v>2059</v>
      </c>
      <c r="L5" s="1" t="s">
        <v>2058</v>
      </c>
      <c r="M5" s="1" t="s">
        <v>2059</v>
      </c>
      <c r="N5" s="1" t="s">
        <v>2054</v>
      </c>
      <c r="O5" s="1" t="s">
        <v>2055</v>
      </c>
    </row>
    <row r="6">
      <c r="A6" s="2" t="s">
        <v>87</v>
      </c>
      <c r="B6" s="2" t="s">
        <v>89</v>
      </c>
      <c r="C6" s="2" t="s">
        <v>90</v>
      </c>
      <c r="D6" s="4">
        <v>44</v>
      </c>
      <c r="E6" s="8">
        <v>3484.85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40</v>
      </c>
      <c r="K6" s="8">
        <v>3160.33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392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4</v>
      </c>
      <c r="K7" s="8">
        <v>324.52</v>
      </c>
      <c r="L7" s="4"/>
      <c r="M7" s="8"/>
      <c r="N7" s="7"/>
      <c r="O7" s="7"/>
    </row>
    <row r="8">
      <c r="A8" s="2" t="s">
        <v>87</v>
      </c>
      <c r="B8" s="2" t="s">
        <v>405</v>
      </c>
      <c r="C8" s="2" t="s">
        <v>406</v>
      </c>
      <c r="D8" s="4">
        <v>29</v>
      </c>
      <c r="E8" s="8">
        <v>1881.03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29</v>
      </c>
      <c r="K8" s="8">
        <v>1881.03</v>
      </c>
      <c r="L8" s="4"/>
      <c r="M8" s="8"/>
      <c r="N8" s="7"/>
      <c r="O8" s="7"/>
    </row>
    <row r="9">
      <c r="A9" s="2" t="s">
        <v>87</v>
      </c>
      <c r="B9" s="2" t="s">
        <v>405</v>
      </c>
      <c r="C9" s="2" t="s">
        <v>537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545</v>
      </c>
      <c r="C10" s="2" t="s">
        <v>546</v>
      </c>
      <c r="D10" s="4">
        <v>3</v>
      </c>
      <c r="E10" s="8">
        <v>248.51</v>
      </c>
      <c r="F10" s="4"/>
      <c r="G10" s="8"/>
      <c r="H10" s="7"/>
      <c r="I10" s="7"/>
      <c r="J10" s="4">
        <v>3</v>
      </c>
      <c r="K10" s="8">
        <v>248.51</v>
      </c>
      <c r="L10" s="4"/>
      <c r="M10" s="8"/>
      <c r="N10" s="7"/>
      <c r="O10" s="7"/>
    </row>
    <row r="11">
      <c r="A11" s="2" t="s">
        <v>87</v>
      </c>
      <c r="B11" s="2" t="s">
        <v>584</v>
      </c>
      <c r="C11" s="2" t="s">
        <v>585</v>
      </c>
      <c r="D11" s="4">
        <v>3</v>
      </c>
      <c r="E11" s="8">
        <v>40.91</v>
      </c>
      <c r="F11" s="4"/>
      <c r="G11" s="8"/>
      <c r="H11" s="7"/>
      <c r="I11" s="7"/>
      <c r="J11" s="4">
        <v>3</v>
      </c>
      <c r="K11" s="8">
        <v>40.91</v>
      </c>
      <c r="L11" s="4"/>
      <c r="M11" s="8"/>
      <c r="N11" s="7"/>
      <c r="O11" s="7"/>
    </row>
    <row r="12">
      <c r="A12" s="2" t="s">
        <v>87</v>
      </c>
      <c r="B12" s="2" t="s">
        <v>635</v>
      </c>
      <c r="C12" s="2" t="s">
        <v>636</v>
      </c>
      <c r="D12" s="4">
        <v>2</v>
      </c>
      <c r="E12" s="8">
        <v>32</v>
      </c>
      <c r="F12" s="4"/>
      <c r="G12" s="8"/>
      <c r="H12" s="7"/>
      <c r="I12" s="7"/>
      <c r="J12" s="4">
        <v>2</v>
      </c>
      <c r="K12" s="8">
        <v>32</v>
      </c>
      <c r="L12" s="4"/>
      <c r="M12" s="8"/>
      <c r="N12" s="7"/>
      <c r="O12" s="7"/>
    </row>
    <row r="13">
      <c r="A13" s="2" t="s">
        <v>656</v>
      </c>
      <c r="B13" s="2" t="s">
        <v>657</v>
      </c>
      <c r="C13" s="2" t="s">
        <v>658</v>
      </c>
      <c r="D13" s="4">
        <v>2</v>
      </c>
      <c r="E13" s="8">
        <v>111.98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2</v>
      </c>
      <c r="K13" s="8">
        <v>111.98</v>
      </c>
      <c r="L13" s="4"/>
      <c r="M13" s="8"/>
      <c r="N13" s="7"/>
      <c r="O13" s="7"/>
    </row>
    <row r="14">
      <c r="A14" s="2" t="s">
        <v>656</v>
      </c>
      <c r="B14" s="2" t="s">
        <v>657</v>
      </c>
      <c r="C14" s="2" t="s">
        <v>691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/>
      <c r="M14" s="8"/>
      <c r="N14" s="7"/>
      <c r="O14" s="7"/>
    </row>
    <row r="15">
      <c r="A15" s="2" t="s">
        <v>656</v>
      </c>
      <c r="B15" s="2" t="s">
        <v>741</v>
      </c>
      <c r="C15" s="2" t="s">
        <v>742</v>
      </c>
      <c r="D15" s="4">
        <v>1</v>
      </c>
      <c r="E15" s="8">
        <v>72.79</v>
      </c>
      <c r="F15" s="4"/>
      <c r="G15" s="8"/>
      <c r="H15" s="7"/>
      <c r="I15" s="7"/>
      <c r="J15" s="4">
        <v>1</v>
      </c>
      <c r="K15" s="8">
        <v>72.79</v>
      </c>
      <c r="L15" s="4"/>
      <c r="M15" s="8"/>
      <c r="N15" s="7"/>
      <c r="O15" s="7"/>
    </row>
    <row r="16">
      <c r="A16" s="2" t="s">
        <v>656</v>
      </c>
      <c r="B16" s="2" t="s">
        <v>751</v>
      </c>
      <c r="C16" s="2" t="s">
        <v>752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/>
      <c r="K16" s="8"/>
      <c r="L16" s="4"/>
      <c r="M16" s="8"/>
      <c r="N16" s="7"/>
      <c r="O16" s="7"/>
    </row>
    <row r="17">
      <c r="A17" s="2" t="s">
        <v>656</v>
      </c>
      <c r="B17" s="2" t="s">
        <v>751</v>
      </c>
      <c r="C17" s="2" t="s">
        <v>658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/>
      <c r="K17" s="8"/>
      <c r="L17" s="4"/>
      <c r="M17" s="8"/>
      <c r="N17" s="7"/>
      <c r="O17" s="7"/>
    </row>
    <row r="18">
      <c r="A18" s="2" t="s">
        <v>656</v>
      </c>
      <c r="B18" s="2" t="s">
        <v>751</v>
      </c>
      <c r="C18" s="2" t="s">
        <v>768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/>
      <c r="K18" s="8"/>
      <c r="L18" s="4"/>
      <c r="M18" s="8"/>
      <c r="N18" s="7"/>
      <c r="O18" s="7"/>
    </row>
    <row r="19">
      <c r="A19" s="2" t="s">
        <v>656</v>
      </c>
      <c r="B19" s="2" t="s">
        <v>793</v>
      </c>
      <c r="C19" s="2" t="s">
        <v>658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800</v>
      </c>
      <c r="B20" s="2" t="s">
        <v>801</v>
      </c>
      <c r="C20" s="2" t="s">
        <v>802</v>
      </c>
      <c r="D20" s="4">
        <v>34</v>
      </c>
      <c r="E20" s="8">
        <v>638.14</v>
      </c>
      <c r="F20" s="4"/>
      <c r="G20" s="8"/>
      <c r="H20" s="7"/>
      <c r="I20" s="7"/>
      <c r="J20" s="4">
        <v>34</v>
      </c>
      <c r="K20" s="8">
        <v>638.14</v>
      </c>
      <c r="L20" s="4"/>
      <c r="M20" s="8"/>
      <c r="N20" s="7"/>
      <c r="O20" s="7"/>
    </row>
    <row r="21">
      <c r="A21" s="2" t="s">
        <v>800</v>
      </c>
      <c r="B21" s="2" t="s">
        <v>835</v>
      </c>
      <c r="C21" s="2" t="s">
        <v>836</v>
      </c>
      <c r="D21" s="4">
        <v>26</v>
      </c>
      <c r="E21" s="8">
        <v>623.88</v>
      </c>
      <c r="F21" s="4"/>
      <c r="G21" s="8"/>
      <c r="H21" s="7"/>
      <c r="I21" s="7"/>
      <c r="J21" s="4">
        <v>26</v>
      </c>
      <c r="K21" s="8">
        <v>623.88</v>
      </c>
      <c r="L21" s="4"/>
      <c r="M21" s="8"/>
      <c r="N21" s="7"/>
      <c r="O21" s="7"/>
    </row>
    <row r="22">
      <c r="A22" s="2" t="s">
        <v>877</v>
      </c>
      <c r="B22" s="2" t="s">
        <v>878</v>
      </c>
      <c r="C22" s="2" t="s">
        <v>879</v>
      </c>
      <c r="D22" s="4">
        <v>20</v>
      </c>
      <c r="E22" s="8">
        <v>868.24</v>
      </c>
      <c r="F22" s="4"/>
      <c r="G22" s="8"/>
      <c r="H22" s="7"/>
      <c r="I22" s="7"/>
      <c r="J22" s="4">
        <v>20</v>
      </c>
      <c r="K22" s="8">
        <v>868.24</v>
      </c>
      <c r="L22" s="4"/>
      <c r="M22" s="8"/>
      <c r="N22" s="7"/>
      <c r="O22" s="7"/>
    </row>
    <row r="23">
      <c r="A23" s="2" t="s">
        <v>877</v>
      </c>
      <c r="B23" s="2" t="s">
        <v>919</v>
      </c>
      <c r="C23" s="2" t="s">
        <v>920</v>
      </c>
      <c r="D23" s="4">
        <v>40</v>
      </c>
      <c r="E23" s="8">
        <v>827.66</v>
      </c>
      <c r="F23" s="4"/>
      <c r="G23" s="8"/>
      <c r="H23" s="7"/>
      <c r="I23" s="7"/>
      <c r="J23" s="4">
        <v>40</v>
      </c>
      <c r="K23" s="8">
        <v>827.66</v>
      </c>
      <c r="L23" s="4"/>
      <c r="M23" s="8"/>
      <c r="N23" s="7"/>
      <c r="O23" s="7"/>
    </row>
    <row r="24">
      <c r="A24" s="2" t="s">
        <v>877</v>
      </c>
      <c r="B24" s="2" t="s">
        <v>959</v>
      </c>
      <c r="C24" s="2" t="s">
        <v>960</v>
      </c>
      <c r="D24" s="4">
        <v>5</v>
      </c>
      <c r="E24" s="8">
        <v>67.82</v>
      </c>
      <c r="F24" s="4"/>
      <c r="G24" s="8"/>
      <c r="H24" s="7"/>
      <c r="I24" s="7"/>
      <c r="J24" s="4">
        <v>5</v>
      </c>
      <c r="K24" s="8">
        <v>67.82</v>
      </c>
      <c r="L24" s="4"/>
      <c r="M24" s="8"/>
      <c r="N24" s="7"/>
      <c r="O24" s="7"/>
    </row>
    <row r="25">
      <c r="A25" s="2" t="s">
        <v>996</v>
      </c>
      <c r="B25" s="2" t="s">
        <v>997</v>
      </c>
      <c r="C25" s="2" t="s">
        <v>998</v>
      </c>
      <c r="D25" s="4">
        <v>3</v>
      </c>
      <c r="E25" s="8">
        <v>418.99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2</v>
      </c>
      <c r="K25" s="8">
        <v>275.18</v>
      </c>
      <c r="L25" s="4"/>
      <c r="M25" s="8"/>
      <c r="N25" s="7"/>
      <c r="O25" s="7"/>
    </row>
    <row r="26">
      <c r="A26" s="2" t="s">
        <v>996</v>
      </c>
      <c r="B26" s="2" t="s">
        <v>997</v>
      </c>
      <c r="C26" s="2" t="s">
        <v>1029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1</v>
      </c>
      <c r="K26" s="8">
        <v>143.81</v>
      </c>
      <c r="L26" s="4"/>
      <c r="M26" s="8"/>
      <c r="N26" s="7"/>
      <c r="O26" s="7"/>
    </row>
    <row r="27">
      <c r="A27" s="2" t="s">
        <v>996</v>
      </c>
      <c r="B27" s="2" t="s">
        <v>1070</v>
      </c>
      <c r="C27" s="2" t="s">
        <v>1071</v>
      </c>
      <c r="D27" s="4">
        <v>2</v>
      </c>
      <c r="E27" s="8">
        <v>379.84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2</v>
      </c>
      <c r="K27" s="8">
        <v>379.84</v>
      </c>
      <c r="L27" s="4"/>
      <c r="M27" s="8"/>
      <c r="N27" s="7"/>
      <c r="O27" s="7"/>
    </row>
    <row r="28">
      <c r="A28" s="2" t="s">
        <v>996</v>
      </c>
      <c r="B28" s="2" t="s">
        <v>1070</v>
      </c>
      <c r="C28" s="2" t="s">
        <v>1221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/>
      <c r="K28" s="8"/>
      <c r="L28" s="4"/>
      <c r="M28" s="8"/>
      <c r="N28" s="7"/>
      <c r="O28" s="7"/>
    </row>
    <row r="29">
      <c r="A29" s="2" t="s">
        <v>996</v>
      </c>
      <c r="B29" s="2" t="s">
        <v>1238</v>
      </c>
      <c r="C29" s="2" t="s">
        <v>1239</v>
      </c>
      <c r="D29" s="4">
        <v>1</v>
      </c>
      <c r="E29" s="8">
        <v>348.06</v>
      </c>
      <c r="F29" s="4"/>
      <c r="G29" s="8"/>
      <c r="H29" s="7"/>
      <c r="I29" s="7"/>
      <c r="J29" s="4">
        <v>1</v>
      </c>
      <c r="K29" s="8">
        <v>348.06</v>
      </c>
      <c r="L29" s="4"/>
      <c r="M29" s="8"/>
      <c r="N29" s="7"/>
      <c r="O29" s="7"/>
    </row>
    <row r="30">
      <c r="A30" s="2" t="s">
        <v>996</v>
      </c>
      <c r="B30" s="2" t="s">
        <v>1280</v>
      </c>
      <c r="C30" s="2" t="s">
        <v>1281</v>
      </c>
      <c r="D30" s="4">
        <v>1</v>
      </c>
      <c r="E30" s="8">
        <v>251.37</v>
      </c>
      <c r="F30" s="4"/>
      <c r="G30" s="8"/>
      <c r="H30" s="7"/>
      <c r="I30" s="7"/>
      <c r="J30" s="4">
        <v>1</v>
      </c>
      <c r="K30" s="8">
        <v>251.37</v>
      </c>
      <c r="L30" s="4"/>
      <c r="M30" s="8"/>
      <c r="N30" s="7"/>
      <c r="O30" s="7"/>
    </row>
    <row r="31">
      <c r="A31" s="2" t="s">
        <v>996</v>
      </c>
      <c r="B31" s="2" t="s">
        <v>1304</v>
      </c>
      <c r="C31" s="2" t="s">
        <v>1029</v>
      </c>
      <c r="D31" s="4">
        <v>1</v>
      </c>
      <c r="E31" s="8">
        <v>164.59</v>
      </c>
      <c r="F31" s="4"/>
      <c r="G31" s="8"/>
      <c r="H31" s="7"/>
      <c r="I31" s="7"/>
      <c r="J31" s="4">
        <v>1</v>
      </c>
      <c r="K31" s="8">
        <v>164.59</v>
      </c>
      <c r="L31" s="4"/>
      <c r="M31" s="8"/>
      <c r="N31" s="7"/>
      <c r="O31" s="7"/>
    </row>
    <row r="32">
      <c r="A32" s="2" t="s">
        <v>996</v>
      </c>
      <c r="B32" s="2" t="s">
        <v>1318</v>
      </c>
      <c r="C32" s="2" t="s">
        <v>1319</v>
      </c>
      <c r="D32" s="4">
        <v>1</v>
      </c>
      <c r="E32" s="8">
        <v>134.06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1</v>
      </c>
      <c r="K32" s="8">
        <v>134.06</v>
      </c>
      <c r="L32" s="4"/>
      <c r="M32" s="8"/>
      <c r="N32" s="7"/>
      <c r="O32" s="7"/>
    </row>
    <row r="33">
      <c r="A33" s="2" t="s">
        <v>996</v>
      </c>
      <c r="B33" s="2" t="s">
        <v>1318</v>
      </c>
      <c r="C33" s="2" t="s">
        <v>1379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/>
      <c r="K33" s="8"/>
      <c r="L33" s="4"/>
      <c r="M33" s="8"/>
      <c r="N33" s="7"/>
      <c r="O33" s="7"/>
    </row>
    <row r="34">
      <c r="A34" s="2" t="s">
        <v>996</v>
      </c>
      <c r="B34" s="2" t="s">
        <v>1318</v>
      </c>
      <c r="C34" s="2" t="s">
        <v>1391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/>
      <c r="K34" s="8"/>
      <c r="L34" s="4"/>
      <c r="M34" s="8"/>
      <c r="N34" s="7"/>
      <c r="O34" s="7"/>
    </row>
    <row r="35">
      <c r="A35" s="2" t="s">
        <v>996</v>
      </c>
      <c r="B35" s="2" t="s">
        <v>1318</v>
      </c>
      <c r="C35" s="2" t="s">
        <v>1397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/>
      <c r="K35" s="8"/>
      <c r="L35" s="4"/>
      <c r="M35" s="8"/>
      <c r="N35" s="7"/>
      <c r="O35" s="7"/>
    </row>
    <row r="36">
      <c r="A36" s="2" t="s">
        <v>996</v>
      </c>
      <c r="B36" s="2" t="s">
        <v>1418</v>
      </c>
      <c r="C36" s="2" t="s">
        <v>1419</v>
      </c>
      <c r="D36" s="4"/>
      <c r="E36" s="8"/>
      <c r="F36" s="4"/>
      <c r="G36" s="8"/>
      <c r="H36" s="7"/>
      <c r="I36" s="7"/>
      <c r="J36" s="4"/>
      <c r="K36" s="8"/>
      <c r="L36" s="4"/>
      <c r="M36" s="8"/>
      <c r="N36" s="7"/>
      <c r="O36" s="7"/>
    </row>
    <row r="37">
      <c r="A37" s="2" t="s">
        <v>996</v>
      </c>
      <c r="B37" s="2" t="s">
        <v>1424</v>
      </c>
      <c r="C37" s="2" t="s">
        <v>1425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996</v>
      </c>
      <c r="B38" s="2" t="s">
        <v>1429</v>
      </c>
      <c r="C38" s="2" t="s">
        <v>1430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996</v>
      </c>
      <c r="B39" s="2" t="s">
        <v>1447</v>
      </c>
      <c r="C39" s="2" t="s">
        <v>1448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996</v>
      </c>
      <c r="B40" s="2" t="s">
        <v>1520</v>
      </c>
      <c r="C40" s="2" t="s">
        <v>1521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996</v>
      </c>
      <c r="B41" s="2" t="s">
        <v>1526</v>
      </c>
      <c r="C41" s="2" t="s">
        <v>1527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996</v>
      </c>
      <c r="B42" s="2" t="s">
        <v>1532</v>
      </c>
      <c r="C42" s="2" t="s">
        <v>1533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996</v>
      </c>
      <c r="B43" s="2" t="s">
        <v>1552</v>
      </c>
      <c r="C43" s="2" t="s">
        <v>1553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/>
      <c r="K43" s="8"/>
      <c r="L43" s="4"/>
      <c r="M43" s="8"/>
      <c r="N43" s="7"/>
      <c r="O43" s="7"/>
    </row>
    <row r="44">
      <c r="A44" s="2" t="s">
        <v>996</v>
      </c>
      <c r="B44" s="2" t="s">
        <v>1552</v>
      </c>
      <c r="C44" s="2" t="s">
        <v>1590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/>
      <c r="M44" s="8"/>
      <c r="N44" s="7"/>
      <c r="O44" s="7"/>
    </row>
    <row r="45">
      <c r="A45" s="2" t="s">
        <v>996</v>
      </c>
      <c r="B45" s="2" t="s">
        <v>1607</v>
      </c>
      <c r="C45" s="2" t="s">
        <v>1608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1628</v>
      </c>
      <c r="B46" s="2" t="s">
        <v>1629</v>
      </c>
      <c r="C46" s="2" t="s">
        <v>1630</v>
      </c>
      <c r="D46" s="4">
        <v>8</v>
      </c>
      <c r="E46" s="8">
        <v>504.61</v>
      </c>
      <c r="F46" s="4"/>
      <c r="G46" s="8"/>
      <c r="H46" s="7"/>
      <c r="I46" s="7"/>
      <c r="J46" s="4">
        <v>8</v>
      </c>
      <c r="K46" s="8">
        <v>504.61</v>
      </c>
      <c r="L46" s="4"/>
      <c r="M46" s="8"/>
      <c r="N46" s="7"/>
      <c r="O46" s="7"/>
    </row>
    <row r="47">
      <c r="A47" s="2" t="s">
        <v>1628</v>
      </c>
      <c r="B47" s="2" t="s">
        <v>1777</v>
      </c>
      <c r="C47" s="2" t="s">
        <v>1778</v>
      </c>
      <c r="D47" s="4">
        <v>1</v>
      </c>
      <c r="E47" s="8">
        <v>157.83</v>
      </c>
      <c r="F47" s="4"/>
      <c r="G47" s="8"/>
      <c r="H47" s="7"/>
      <c r="I47" s="7"/>
      <c r="J47" s="4">
        <v>1</v>
      </c>
      <c r="K47" s="8">
        <v>157.83</v>
      </c>
      <c r="L47" s="4"/>
      <c r="M47" s="8"/>
      <c r="N47" s="7"/>
      <c r="O47" s="7"/>
    </row>
    <row r="48">
      <c r="A48" s="2" t="s">
        <v>1628</v>
      </c>
      <c r="B48" s="2" t="s">
        <v>1820</v>
      </c>
      <c r="C48" s="2" t="s">
        <v>1821</v>
      </c>
      <c r="D48" s="4">
        <v>1</v>
      </c>
      <c r="E48" s="8">
        <v>84.67</v>
      </c>
      <c r="F48" s="4"/>
      <c r="G48" s="8"/>
      <c r="H48" s="7"/>
      <c r="I48" s="7"/>
      <c r="J48" s="4">
        <v>1</v>
      </c>
      <c r="K48" s="8">
        <v>84.67</v>
      </c>
      <c r="L48" s="4"/>
      <c r="M48" s="8"/>
      <c r="N48" s="7"/>
      <c r="O48" s="7"/>
    </row>
    <row r="49">
      <c r="A49" s="2" t="s">
        <v>1628</v>
      </c>
      <c r="B49" s="2" t="s">
        <v>1828</v>
      </c>
      <c r="C49" s="2" t="s">
        <v>1829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1628</v>
      </c>
      <c r="B50" s="2" t="s">
        <v>1904</v>
      </c>
      <c r="C50" s="2" t="s">
        <v>1905</v>
      </c>
      <c r="D50" s="4"/>
      <c r="E50" s="8"/>
      <c r="F50" s="4"/>
      <c r="G50" s="8"/>
      <c r="H50" s="7"/>
      <c r="I50" s="7"/>
      <c r="J50" s="4"/>
      <c r="K50" s="8"/>
      <c r="L50" s="4"/>
      <c r="M50" s="8"/>
      <c r="N50" s="7"/>
      <c r="O50" s="7"/>
    </row>
    <row r="51">
      <c r="A51" s="2" t="s">
        <v>1628</v>
      </c>
      <c r="B51" s="2" t="s">
        <v>1954</v>
      </c>
      <c r="C51" s="2" t="s">
        <v>1955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1969</v>
      </c>
      <c r="B52" s="2" t="s">
        <v>1970</v>
      </c>
      <c r="C52" s="2" t="s">
        <v>1971</v>
      </c>
      <c r="D52" s="4">
        <v>10</v>
      </c>
      <c r="E52" s="8">
        <v>302.2</v>
      </c>
      <c r="F52" s="4"/>
      <c r="G52" s="8"/>
      <c r="H52" s="7"/>
      <c r="I52" s="7"/>
      <c r="J52" s="4">
        <v>10</v>
      </c>
      <c r="K52" s="8">
        <v>302.2</v>
      </c>
      <c r="L52" s="4"/>
      <c r="M52" s="8"/>
      <c r="N52" s="7"/>
      <c r="O52" s="7"/>
    </row>
    <row r="53">
      <c r="A53" s="2" t="s">
        <v>1995</v>
      </c>
      <c r="B53" s="2" t="s">
        <v>1996</v>
      </c>
      <c r="C53" s="2" t="s">
        <v>1997</v>
      </c>
      <c r="D53" s="4">
        <v>7</v>
      </c>
      <c r="E53" s="8">
        <v>159.72</v>
      </c>
      <c r="F53" s="4"/>
      <c r="G53" s="8"/>
      <c r="H53" s="7"/>
      <c r="I53" s="7"/>
      <c r="J53" s="4">
        <v>7</v>
      </c>
      <c r="K53" s="8">
        <v>159.72</v>
      </c>
      <c r="L53" s="4"/>
      <c r="M53" s="8"/>
      <c r="N53" s="7"/>
      <c r="O5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3:D14"/>
    <mergeCell ref="E13:E14"/>
    <mergeCell ref="F13:F14"/>
    <mergeCell ref="G13:G14"/>
    <mergeCell ref="H13:H14"/>
    <mergeCell ref="I13:I14"/>
    <mergeCell ref="D16:D18"/>
    <mergeCell ref="E16:E18"/>
    <mergeCell ref="F16:F18"/>
    <mergeCell ref="G16:G18"/>
    <mergeCell ref="H16:H18"/>
    <mergeCell ref="I16:I18"/>
    <mergeCell ref="D25:D26"/>
    <mergeCell ref="E25:E26"/>
    <mergeCell ref="F25:F26"/>
    <mergeCell ref="G25:G26"/>
    <mergeCell ref="H25:H26"/>
    <mergeCell ref="I25:I26"/>
    <mergeCell ref="D27:D28"/>
    <mergeCell ref="E27:E28"/>
    <mergeCell ref="F27:F28"/>
    <mergeCell ref="G27:G28"/>
    <mergeCell ref="H27:H28"/>
    <mergeCell ref="I27:I28"/>
    <mergeCell ref="D32:D35"/>
    <mergeCell ref="E32:E35"/>
    <mergeCell ref="F32:F35"/>
    <mergeCell ref="G32:G35"/>
    <mergeCell ref="H32:H35"/>
    <mergeCell ref="I32:I35"/>
    <mergeCell ref="D43:D44"/>
    <mergeCell ref="E43:E44"/>
    <mergeCell ref="F43:F44"/>
    <mergeCell ref="G43:G44"/>
    <mergeCell ref="H43:H44"/>
    <mergeCell ref="I43:I44"/>
  </mergeCells>
  <headerFooter/>
</worksheet>
</file>