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<sst xmlns="http://schemas.openxmlformats.org/spreadsheetml/2006/main" count="3913" uniqueCount="3913">
  <si>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</si>
  <si>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</si>
  <si>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</si>
  <si>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</si>
  <si>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</si>
  <si>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</si>
  <si>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</si>
  <si>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</si>
  <si>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</si>
  <si>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</si>
  <si>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</si>
  <si>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</si>
  <si>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</si>
  <si>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</si>
  <si>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</si>
  <si>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</si>
  <si>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CSNSTORES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</si>
  <si>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</si>
  <si>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</si>
  <si>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</si>
  <si>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</si>
  <si>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</si>
  <si>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</si>
  <si>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</si>
  <si>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</si>
  <si>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</si>
  <si>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</si>
  <si>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</si>
  <si>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</si>
  <si>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</si>
  <si>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</si>
  <si>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</si>
  <si>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</si>
  <si>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</si>
  <si>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</si>
  <si>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</si>
  <si>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</si>
  <si>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</si>
  <si>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</si>
  <si>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</si>
  <si>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</si>
  <si>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</si>
  <si>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</si>
  <si>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</si>
  <si>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</si>
  <si>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</si>
  <si>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</si>
  <si>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</si>
  <si>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</si>
  <si>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</si>
  <si>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</si>
  <si>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</si>
  <si>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</si>
  <si>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</si>
  <si>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</si>
  <si>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</si>
  <si>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</si>
  <si>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</si>
  <si>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01/04</t>
  </si>
  <si>
    <t>01/11</t>
  </si>
  <si>
    <t>01/18</t>
  </si>
  <si>
    <t>01/25</t>
  </si>
  <si>
    <t>02/01</t>
  </si>
  <si>
    <t>02/08</t>
  </si>
  <si>
    <t>02/15</t>
  </si>
  <si>
    <t>02/22</t>
  </si>
  <si>
    <t>03/01</t>
  </si>
  <si>
    <t>03/08</t>
  </si>
  <si>
    <t>03/15</t>
  </si>
  <si>
    <t>03/22</t>
  </si>
  <si>
    <t>03/29</t>
  </si>
  <si>
    <t>04/05</t>
  </si>
  <si>
    <t>04/12</t>
  </si>
  <si>
    <t>04/19</t>
  </si>
  <si>
    <t>04/26</t>
  </si>
  <si>
    <t>05/03</t>
  </si>
  <si>
    <t>05/10</t>
  </si>
  <si>
    <t>05/17</t>
  </si>
  <si>
    <t>05/24</t>
  </si>
  <si>
    <t>05/31</t>
  </si>
  <si>
    <t>06/07</t>
  </si>
  <si>
    <t>06/14</t>
  </si>
  <si>
    <t>06/21</t>
  </si>
  <si>
    <t>06/28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</si>
  <si>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</si>
  <si>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</si>
  <si>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</si>
  <si>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</si>
  <si>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</si>
  <si>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</si>
  <si>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</si>
  <si>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</si>
  <si>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</si>
  <si>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</si>
  <si>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</si>
  <si>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</si>
  <si>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</si>
  <si>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</si>
  <si>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</si>
  <si>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</si>
  <si>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</si>
  <si>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</si>
  <si>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</si>
  <si>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</si>
  <si>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</si>
  <si>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</si>
  <si>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</si>
  <si>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</si>
  <si>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</si>
  <si>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</si>
  <si>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</si>
  <si>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</si>
  <si>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</si>
  <si>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</si>
  <si>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</si>
  <si>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</si>
  <si>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</si>
  <si>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</si>
  <si>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</si>
  <si>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</si>
  <si>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</si>
  <si>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</si>
  <si>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</si>
  <si>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</si>
  <si>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</si>
  <si>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</si>
  <si>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</si>
  <si>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</si>
  <si>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</si>
  <si>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</si>
  <si>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</si>
  <si>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</si>
  <si>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</si>
  <si>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</si>
  <si>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12/10/2024</t>
  </si>
  <si>
    <t>01/02/2025</t>
  </si>
  <si>
    <t>01/05/2025</t>
  </si>
  <si>
    <t>01/13/2025</t>
  </si>
  <si>
    <t>01/16/2025</t>
  </si>
  <si>
    <t>01/18/2025</t>
  </si>
  <si>
    <t>01/19/2025</t>
  </si>
  <si>
    <t>01/20/2025</t>
  </si>
  <si>
    <t>01/23/2025</t>
  </si>
  <si>
    <t>01/24/2025</t>
  </si>
  <si>
    <t>01/27/2025</t>
  </si>
  <si>
    <t>01/28/2025</t>
  </si>
  <si>
    <t>01/31/2025</t>
  </si>
  <si>
    <t>02/02/2025</t>
  </si>
  <si>
    <t>02/03/2025</t>
  </si>
  <si>
    <t>02/04/2025</t>
  </si>
  <si>
    <t>02/05/2025</t>
  </si>
  <si>
    <t>02/06/2025</t>
  </si>
  <si>
    <t>02/08/2025</t>
  </si>
  <si>
    <t>02/10/2025</t>
  </si>
  <si>
    <t>02/11/2025</t>
  </si>
  <si>
    <t>02/14/2025</t>
  </si>
  <si>
    <t>02/15/2025</t>
  </si>
  <si>
    <t>02/24/2025</t>
  </si>
  <si>
    <t>02/26/2025</t>
  </si>
  <si>
    <t>03/02/2025</t>
  </si>
  <si>
    <t>03/05/2025</t>
  </si>
  <si>
    <t>03/06/2025</t>
  </si>
  <si>
    <t>03/10/2025</t>
  </si>
  <si>
    <t>03/11/2025</t>
  </si>
  <si>
    <t>03/12/2025</t>
  </si>
  <si>
    <t>03/19/2025</t>
  </si>
  <si>
    <t>03/20/2025</t>
  </si>
  <si>
    <t>03/21/2025</t>
  </si>
  <si>
    <t>03/24/2025</t>
  </si>
  <si>
    <t>03/28/2025</t>
  </si>
  <si>
    <t>04/01/2025</t>
  </si>
  <si>
    <t>04/02/2025</t>
  </si>
  <si>
    <t>04/08/2025</t>
  </si>
  <si>
    <t>04/09/2025</t>
  </si>
  <si>
    <t>04/11/2025</t>
  </si>
  <si>
    <t>04/16/2025</t>
  </si>
  <si>
    <t>04/18/2025</t>
  </si>
  <si>
    <t>04/19/2025</t>
  </si>
  <si>
    <t>04/23/2025</t>
  </si>
  <si>
    <t>04/29/2025</t>
  </si>
  <si>
    <t>04/30/2025</t>
  </si>
  <si>
    <t>05/07/2025</t>
  </si>
  <si>
    <t>05/14/2025</t>
  </si>
  <si>
    <t>05/15/2025</t>
  </si>
  <si>
    <t>05/21/2025</t>
  </si>
  <si>
    <t>Inventory</t>
  </si>
  <si>
    <t>WOS</t>
  </si>
  <si>
    <t>BASI16-0381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</si>
  <si>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</si>
  <si>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</si>
  <si>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</si>
  <si>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</si>
  <si>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</si>
  <si>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</si>
  <si>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Twin</t>
  </si>
  <si>
    <t>Blue</t>
  </si>
  <si>
    <t>Active</t>
  </si>
  <si>
    <t>B</t>
  </si>
  <si>
    <t>NO</t>
  </si>
  <si>
    <t/>
  </si>
  <si>
    <t>PF002105</t>
  </si>
  <si>
    <t>Foam</t>
  </si>
  <si>
    <t>Solid</t>
  </si>
  <si>
    <t>Casual</t>
  </si>
  <si>
    <t>4/2/2017</t>
  </si>
  <si>
    <t>4/30/2025</t>
  </si>
  <si>
    <t>AAFESDS,AMAZON,AMAZONDS,BLK01,JCPENNEY01,KOHLDSN,MACY02,OLLIIX,OVERSTOCK01,TGTDVS</t>
  </si>
  <si>
    <t>ANEW1143</t>
  </si>
  <si>
    <t>Tier 3</t>
  </si>
  <si>
    <t>Setup</t>
  </si>
  <si>
    <t>7/30/2016</t>
  </si>
  <si>
    <t>3/21/2017</t>
  </si>
  <si>
    <t>No</t>
  </si>
  <si>
    <t>BASI16-0416</t>
  </si>
  <si>
    <t>Twin XL</t>
  </si>
  <si>
    <t>AAFESDS,JCPENNEY01,KOHLDSN,MACY02,OVERSTOCK01,TGTDVS,WALMARTDS</t>
  </si>
  <si>
    <t>10/29/2016</t>
  </si>
  <si>
    <t>6/30/2017</t>
  </si>
  <si>
    <t>BASI16-0383</t>
  </si>
  <si>
    <t>Queen</t>
  </si>
  <si>
    <t>AMAZON,BLK01,DESINC,HSNDS,JCPENNEY01,KOHLDSN,MACY02,OLLIIX,OVERSTOCK01,TGTDVS,WALMARTDS,ZOLA</t>
  </si>
  <si>
    <t>10/30/2017</t>
  </si>
  <si>
    <t>BASI16-0384</t>
  </si>
  <si>
    <t>King</t>
  </si>
  <si>
    <t>BLK01,JCPENNEY01,KOHLDSN,MACY02,OVERSTOCK01,TGTDVS,ZOLA</t>
  </si>
  <si>
    <t>5/17/2017</t>
  </si>
  <si>
    <t>MPS10-100</t>
  </si>
  <si>
    <t>Madison Park Signature</t>
  </si>
  <si>
    <t>COMFORTER (SET)</t>
  </si>
  <si>
    <t>Down Alternative Comforter Filler</t>
  </si>
  <si>
    <t>1000 Thread Count Cotton Blend</t>
  </si>
  <si>
    <t>Diamond Quilting Down Alternative Comforter</t>
  </si>
  <si>
    <t>Full/Queen</t>
  </si>
  <si>
    <t>White</t>
  </si>
  <si>
    <t>PF002112</t>
  </si>
  <si>
    <t>CVC</t>
  </si>
  <si>
    <t>3/12/2025</t>
  </si>
  <si>
    <t>BDIS1212</t>
  </si>
  <si>
    <t>8/23/2016</t>
  </si>
  <si>
    <t>9/9/2016</t>
  </si>
  <si>
    <t>MPS10-101</t>
  </si>
  <si>
    <t>King/Cal King</t>
  </si>
  <si>
    <t>BLK01,JCPENNEY01,KOHLDSN,MACY02,OLLIIX,OVERSTOCK01,TGTDVS,ZOLA</t>
  </si>
  <si>
    <t>11/4/2016</t>
  </si>
  <si>
    <t>MP20-4847</t>
  </si>
  <si>
    <t>SHET</t>
  </si>
  <si>
    <t>Madison Park</t>
  </si>
  <si>
    <t>SHEET/SHEET SET</t>
  </si>
  <si>
    <t>Sheet/Sheet Set</t>
  </si>
  <si>
    <t>1500 Thread Count</t>
  </si>
  <si>
    <t>Cotton Blend 4 PC Sheet Set</t>
  </si>
  <si>
    <t>Cal King</t>
  </si>
  <si>
    <t>Ivory</t>
  </si>
  <si>
    <t>PF002378</t>
  </si>
  <si>
    <t>4</t>
  </si>
  <si>
    <t>Glam/Luxury</t>
  </si>
  <si>
    <t>9/2/2017</t>
  </si>
  <si>
    <t>3/10/2025</t>
  </si>
  <si>
    <t>BEALLSDS,BLK01,JCPENNEY01,KOHLDSN,LOWESDS,MACY02,OVERSTOCK01,TGTDVS</t>
  </si>
  <si>
    <t>ALTH2202</t>
  </si>
  <si>
    <t>Tier 2</t>
  </si>
  <si>
    <t>8/30/2017</t>
  </si>
  <si>
    <t>10/15/2018</t>
  </si>
  <si>
    <t>MP21-4844</t>
  </si>
  <si>
    <t>PILLOWCASE</t>
  </si>
  <si>
    <t>Pillowcase</t>
  </si>
  <si>
    <t>Cotton Blend 2 PC Pillowcases</t>
  </si>
  <si>
    <t>PF002377</t>
  </si>
  <si>
    <t>BLK01,JCPENNEY01,KOHLDSN,MACY02,OLLIIX,OVERSTOCK01,TGTDVS</t>
  </si>
  <si>
    <t>ALTH2201</t>
  </si>
  <si>
    <t>6/8/2018</t>
  </si>
  <si>
    <t>BASI16-0386</t>
  </si>
  <si>
    <t>2" Gel Memory Foam with 3M Cover</t>
  </si>
  <si>
    <t>Mattress Topper</t>
  </si>
  <si>
    <t>PF002107</t>
  </si>
  <si>
    <t>JCPENNEY01,KOHLDSN,TGTDVS,ZOLA</t>
  </si>
  <si>
    <t>ANEW2840</t>
  </si>
  <si>
    <t>9/17/2018</t>
  </si>
  <si>
    <t>BASI16-0555</t>
  </si>
  <si>
    <t>2" Memory Foam Mattress Topper</t>
  </si>
  <si>
    <t>1</t>
  </si>
  <si>
    <t>9/25/2018</t>
  </si>
  <si>
    <t>JCPENNEY01,KOHLDSN,MACY02</t>
  </si>
  <si>
    <t>6/11/2019</t>
  </si>
  <si>
    <t>BASI16-0387</t>
  </si>
  <si>
    <t>Full</t>
  </si>
  <si>
    <t>AAFESDS,JCPENNEY01,KOHLDSN,MACY02,OLLIIX,OVERSTOCK01,ZOLA</t>
  </si>
  <si>
    <t>2/21/2017</t>
  </si>
  <si>
    <t>BASI16-0388</t>
  </si>
  <si>
    <t>JCPENNEY01,KOHLDSN,MACY02,OLLIIX,OVERSTOCK01,TGTDVS,ZOLA</t>
  </si>
  <si>
    <t>3/6/2017</t>
  </si>
  <si>
    <t>BASI16-0389</t>
  </si>
  <si>
    <t>JCPENNEY01,KOHLDSN,MACY02,OLLIIX,TGTDVS</t>
  </si>
  <si>
    <t>2/22/2017</t>
  </si>
  <si>
    <t>MPE20-1015</t>
  </si>
  <si>
    <t>Madison Park Essentials</t>
  </si>
  <si>
    <t>200 Thread Count Printed Cotton</t>
  </si>
  <si>
    <t>Sheet Set</t>
  </si>
  <si>
    <t>Grey Stripe</t>
  </si>
  <si>
    <t>PP001858;PF005943</t>
  </si>
  <si>
    <t>Cotton</t>
  </si>
  <si>
    <t>Striped</t>
  </si>
  <si>
    <t>3/22/2023</t>
  </si>
  <si>
    <t>3/28/2025</t>
  </si>
  <si>
    <t>AMAZON,AMAZONDS,JCPENNEY01,KOHLDSN,MACY02,OVERSTOCK01,TGTDVS</t>
  </si>
  <si>
    <t>RBSE3565</t>
  </si>
  <si>
    <t>4/18/2023</t>
  </si>
  <si>
    <t>7/31/2023</t>
  </si>
  <si>
    <t>BASI16-0417</t>
  </si>
  <si>
    <t>3" Gel Memory Foam</t>
  </si>
  <si>
    <t>All Season Reversible Hypoallergenic Cooling Mattress Topper</t>
  </si>
  <si>
    <t>PF002106</t>
  </si>
  <si>
    <t>AMAZON,BEALLSDS,BIGLOTSDS,BLK01,KOHLDSN,MACY02,OVERSTOCK01,TGTDVS</t>
  </si>
  <si>
    <t>ANEW1127</t>
  </si>
  <si>
    <t>11/15/2016</t>
  </si>
  <si>
    <t>BASI16-0418</t>
  </si>
  <si>
    <t>AMAZON,BIGLOTSDS,BLK01,KOHLDSN,MACY02,OLLIIX,OVERSTOCK01,TGTDVS,ZOLA</t>
  </si>
  <si>
    <t>12/12/2016</t>
  </si>
  <si>
    <t>BASI16-0419</t>
  </si>
  <si>
    <t>AMAZON,BLK01,HSNDS,KOHLDSN,MACY02,OVERSTOCK01,TGTDVS,WALMARTDS,ZOLA</t>
  </si>
  <si>
    <t>8/24/2016</t>
  </si>
  <si>
    <t>BASI16-0420</t>
  </si>
  <si>
    <t>BIGLOTSDS,BLK01,HSNDS,KOHLDSN,MACY02,OVERSTOCK01,TGTDVS,WALMARTDS,ZOLA</t>
  </si>
  <si>
    <t>12/5/2016</t>
  </si>
  <si>
    <t>BASI16-0391</t>
  </si>
  <si>
    <t>3" Gel Memory Foam with 3M Cover</t>
  </si>
  <si>
    <t>PF002108</t>
  </si>
  <si>
    <t>AMAZON,JCPENNEY01,KOHLDSN,MACY02,OVERSTOCK01,TGTDVS</t>
  </si>
  <si>
    <t>ANEW2841</t>
  </si>
  <si>
    <t>3/13/2017</t>
  </si>
  <si>
    <t>BASI16-0468</t>
  </si>
  <si>
    <t>AAFESDS,AMAZONDS,JCPENNEY01,KOHLDSN,OLLIIX,OVERSTOCK01,TGTDVS</t>
  </si>
  <si>
    <t>2/11/2017</t>
  </si>
  <si>
    <t>6/29/2018</t>
  </si>
  <si>
    <t>BASI16-0392</t>
  </si>
  <si>
    <t>AAFESDS,AMAZON,JCPENNEY01,KOHLDSN,MACY02,OLLIIX,OVERSTOCK01,TGTDVS</t>
  </si>
  <si>
    <t>3/14/2017</t>
  </si>
  <si>
    <t>BASI16-0394</t>
  </si>
  <si>
    <t>AAFESDS,AMAZON,AMAZONDS,JCPENNEY01,KOHLDSN,MACY02,OLLIIX,OVERSTOCK01,TGTDVS,ZOLA</t>
  </si>
  <si>
    <t>6/5/2017</t>
  </si>
  <si>
    <t>BASI16-0476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</si>
  <si>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</si>
  <si>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</si>
  <si>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</si>
  <si>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</si>
  <si>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HDDS,JCPENNEY01,KOHLDSN,TGTDVS</t>
  </si>
  <si>
    <t>ANEW1130</t>
  </si>
  <si>
    <t>12/4/2016</t>
  </si>
  <si>
    <t>6/23/2017</t>
  </si>
  <si>
    <t>BASI16-0477</t>
  </si>
  <si>
    <t>HDDS,JCPENNEY01,KOHLDSN,MACY02,OLLIIX,OVERSTOCK01,TGTDVS</t>
  </si>
  <si>
    <t>1/30/2017</t>
  </si>
  <si>
    <t>BASI16-0478</t>
  </si>
  <si>
    <t>AAFESDS,AMAZON,BLK01,HDDS,JCPENNEY01,KOHLDSN,MACY02,OLLIIX,TGTDVS,ZOLA</t>
  </si>
  <si>
    <t>BASI16-0479</t>
  </si>
  <si>
    <t>AAFESDS,JCPENNEY01,KOHLDSN,MACY02,OLLIIX,TGTDVS,ZOLA</t>
  </si>
  <si>
    <t>4/24/2017</t>
  </si>
  <si>
    <t>MP20-8251</t>
  </si>
  <si>
    <t>300 Thread Count Organic Cotton</t>
  </si>
  <si>
    <t>Deep Pocket Sheet Set</t>
  </si>
  <si>
    <t>Aqua</t>
  </si>
  <si>
    <t>PP001890;PF006024</t>
  </si>
  <si>
    <t>8/26/2023</t>
  </si>
  <si>
    <t>AMAZON,AMAZONDS,BEALLSDS,HDDS,JCPENNEY01,KOHLDSN,NRTPORT,OLLIIX,OVERSTOCK01,TGTDVS</t>
  </si>
  <si>
    <t>NCWA2546</t>
  </si>
  <si>
    <t>10/31/2023</t>
  </si>
  <si>
    <t>5/6/2024</t>
  </si>
  <si>
    <t>MP20-8252</t>
  </si>
  <si>
    <t>AMAZON,AMAZONDS,BEALLSDS,HDDS,KOHLDSN,OVERSTOCK01,TGTDVS</t>
  </si>
  <si>
    <t>11/26/2023</t>
  </si>
  <si>
    <t>MP20-8248</t>
  </si>
  <si>
    <t>Grey</t>
  </si>
  <si>
    <t>PP001890;PF006022</t>
  </si>
  <si>
    <t>AMAZON,AMAZONDS,DESINC,HDDS,JCPENNEY01,KOHLDSN,OVERSTOCK01,TGTDVS</t>
  </si>
  <si>
    <t>1/15/2024</t>
  </si>
  <si>
    <t>MP20-8253</t>
  </si>
  <si>
    <t>PP001890;PF006025</t>
  </si>
  <si>
    <t>2/24/2025</t>
  </si>
  <si>
    <t>AMAZON,AMAZONDS,JCPENNEY01,KOHLDSN,OLLIIX,OVERSTOCK01,TGTDVS</t>
  </si>
  <si>
    <t>MP20-8254</t>
  </si>
  <si>
    <t>AMAZON,AMAZONDS,KOHLDSN,OLLIIX,OVERSTOCK01,TGTDVS</t>
  </si>
  <si>
    <t>1/2/2024</t>
  </si>
  <si>
    <t>MP20-2447</t>
  </si>
  <si>
    <t>3M Microcell</t>
  </si>
  <si>
    <t>Luxurious Brushed Microfiber Deep Pocket Sheet Set</t>
  </si>
  <si>
    <t>PF001786</t>
  </si>
  <si>
    <t>Microfiber</t>
  </si>
  <si>
    <t>1/20/2025</t>
  </si>
  <si>
    <t>JCPENNEY01,KOHLDSN,WALMARTDS</t>
  </si>
  <si>
    <t>CHLH5539</t>
  </si>
  <si>
    <t>10/6/2016</t>
  </si>
  <si>
    <t>MP20-1186</t>
  </si>
  <si>
    <t>BLK01,HDDS,HSNDS,JCPENNEY01,KOHLDSN,MACY02,OLLIIX,OVERSTOCK01</t>
  </si>
  <si>
    <t>8/12/2015</t>
  </si>
  <si>
    <t>MP20-1187</t>
  </si>
  <si>
    <t>BLK01,HDDS,HOUZZ,HSNDS,JCPENNEY01,KOHLDSN,MACY02,OLLIIX,OVERSTOCK01,ZOLA</t>
  </si>
  <si>
    <t>8/19/2015</t>
  </si>
  <si>
    <t>MP20-1188</t>
  </si>
  <si>
    <t>5/14/2025</t>
  </si>
  <si>
    <t>BLK01,HDDS,HSNDS,JCPENNEY01,KOHLDSN,MACY02,OVERSTOCK01,TGTDVS,WALMARTDS,ZOLA</t>
  </si>
  <si>
    <t>6/12/2015</t>
  </si>
  <si>
    <t>MP20-1189</t>
  </si>
  <si>
    <t>HDDS,JCPENNEY01,KOHLDSN,MACY02,OVERSTOCK01,ZOLA</t>
  </si>
  <si>
    <t>7/10/2015</t>
  </si>
  <si>
    <t>MP20-4388</t>
  </si>
  <si>
    <t>Blush</t>
  </si>
  <si>
    <t>PF001792</t>
  </si>
  <si>
    <t>AMAZONDS,HDDS,HSNDS,JCPENNEY01,KOHLDSN,MACY02,OVERSTOCK01,WALMARTDS</t>
  </si>
  <si>
    <t>4/6/2017</t>
  </si>
  <si>
    <t>11/7/2017</t>
  </si>
  <si>
    <t>MP20-4389</t>
  </si>
  <si>
    <t>JCPENNEY01,KOHLDSN,MACY02,OVERSTOCK01,WALMARTDS</t>
  </si>
  <si>
    <t>7/7/2017</t>
  </si>
  <si>
    <t>MP20-4391</t>
  </si>
  <si>
    <t>AMAZON,BLK01,HDDS,HSNDS,JCPENNEY01,KOHLDSN,MACY02,OLLIIX,OVERSTOCK01,WALMARTDS,ZOLA</t>
  </si>
  <si>
    <t>7/12/2017</t>
  </si>
  <si>
    <t>MP20-4393</t>
  </si>
  <si>
    <t>AMAZON,HDDS,JCPENNEY01,KOHLDSN,MACY02,WALMARTDS</t>
  </si>
  <si>
    <t>3/27/2018</t>
  </si>
  <si>
    <t>MP20-2383</t>
  </si>
  <si>
    <t>PF001789</t>
  </si>
  <si>
    <t>HDDS,JCPENNEY01,KOHLDSN,MACY02,OLLIIX</t>
  </si>
  <si>
    <t>7/3/2017</t>
  </si>
  <si>
    <t>MP20-2443</t>
  </si>
  <si>
    <t>BLK01,HDDS,JCPENNEY01,KOHLDSN,MACY02</t>
  </si>
  <si>
    <t>MP20-1180</t>
  </si>
  <si>
    <t>PF001785</t>
  </si>
  <si>
    <t>7/14/2015</t>
  </si>
  <si>
    <t>MP20-2446</t>
  </si>
  <si>
    <t>HDDS,JCPENNEY01,KOHLDSN,MACY02</t>
  </si>
  <si>
    <t>6/23/2016</t>
  </si>
  <si>
    <t>MP20-1181</t>
  </si>
  <si>
    <t>BLK01,HSNDS,JCPENNEY01,KOHLDSN,MACY02,OVERSTOCK01,TGTDVS,WALMARTDS</t>
  </si>
  <si>
    <t>8/10/2015</t>
  </si>
  <si>
    <t>MP20-1184</t>
  </si>
  <si>
    <t>BLK01,HSNDS,JCPENNEY01,KOHLDSN,MACY02,OLLIIX</t>
  </si>
  <si>
    <t>10/12/2015</t>
  </si>
  <si>
    <t>MP20-1190</t>
  </si>
  <si>
    <t>Khaki</t>
  </si>
  <si>
    <t>PF001787</t>
  </si>
  <si>
    <t>BEALLSDS,HDDS,JCPENNEY01,KOHLDSN,MACY02,OVERSTOCK01,TGTDVS</t>
  </si>
  <si>
    <t>MP20-1191</t>
  </si>
  <si>
    <t>BLK01,JCPENNEY01,KOHLDSN,MACY02,OLLIIX,TGTDVS,WALMARTDS</t>
  </si>
  <si>
    <t>2/29/2016</t>
  </si>
  <si>
    <t>MP20-1193</t>
  </si>
  <si>
    <t>BEALLSDS,BLK01,HSNDS,JCPENNEY01,KOHLDSN,MACY02,TGTDVS</t>
  </si>
  <si>
    <t>8/14/2015</t>
  </si>
  <si>
    <t>MP20-1194</t>
  </si>
  <si>
    <t>BLK01,HDDS,JCPENNEY01,KOHLDSN,MACY02,TGTDVS</t>
  </si>
  <si>
    <t>MP20-2388</t>
  </si>
  <si>
    <t>Seafoam</t>
  </si>
  <si>
    <t>PF001791</t>
  </si>
  <si>
    <t>AMAZON,AMAZONDS,BEALLSDS,HDDS,JCPENNEY01,KOHLDSN,MACY02</t>
  </si>
  <si>
    <t>8/3/2016</t>
  </si>
  <si>
    <t>MP20-2444</t>
  </si>
  <si>
    <t>AMAZON,BLK01,HDDS,HSNDS,JCPENNEY01,KOHLDSN,MACY02,OVERSTOCK01</t>
  </si>
  <si>
    <t>9/26/2017</t>
  </si>
  <si>
    <t>MP20-2389</t>
  </si>
  <si>
    <t>AMAZON,BEALLSDS,BLK01,HSNDS,JCPENNEY01,KOHLDSN,MACY02,NRTPORT,OLLIIX</t>
  </si>
  <si>
    <t>MP20-2392</t>
  </si>
  <si>
    <t>AMAZON,AMAZONDS,JCPENNEY01,KOHLDSN,ZOLA</t>
  </si>
  <si>
    <t>12/11/2017</t>
  </si>
  <si>
    <t>MP20-1175</t>
  </si>
  <si>
    <t>PF001784</t>
  </si>
  <si>
    <t>BLK01,HDDS,JCPENNEY01,KOHLDSN,MACY02,OLLIIX,TGTDVS</t>
  </si>
  <si>
    <t>4/24/2015</t>
  </si>
  <si>
    <t>MP20-2445</t>
  </si>
  <si>
    <t>MP20-1176</t>
  </si>
  <si>
    <t>BLK01,JCPENNEY01,KOHLDSN,MACY02,OLLIIX,OVERSTOCK01</t>
  </si>
  <si>
    <t>6/1/2015</t>
  </si>
  <si>
    <t>MP20-1177</t>
  </si>
  <si>
    <t>BLK01,HDDS,HSNDS,JCPENNEY01,KOHLDSN,MACY02,OLLIIX,OVERSTOCK01,TGTDVS</t>
  </si>
  <si>
    <t>MP20-1178</t>
  </si>
  <si>
    <t>BLK01,HSNDS,JCPENNEY01,KOHLDSN,MACY02,NRTPORT,OLLIIX,OVERSTOCK01,TGTDVS</t>
  </si>
  <si>
    <t>3/10/2015</t>
  </si>
  <si>
    <t>MP20-1179</t>
  </si>
  <si>
    <t>BLK01,HSNDS,JCPENNEY01,KOHLDSN,MACY02,OLLIIX,OVERSTOCK01,TGTDVS</t>
  </si>
  <si>
    <t>8/26/2016</t>
  </si>
  <si>
    <t>BASI16-0454</t>
  </si>
  <si>
    <t>4" Gel Memory Foam with 3M Cover</t>
  </si>
  <si>
    <t>4" Memory Foam Mattress Topper</t>
  </si>
  <si>
    <t>PF002109</t>
  </si>
  <si>
    <t>AMAZON,JCPENNEY01,KOHLDSN,MACY02,OLLIIX,OVERSTOCK01,TGTDVS</t>
  </si>
  <si>
    <t>ANEW1128</t>
  </si>
  <si>
    <t>9/21/2016</t>
  </si>
  <si>
    <t>10/31/2016</t>
  </si>
  <si>
    <t>MPS10-506</t>
  </si>
  <si>
    <t>Comforter (Set)</t>
  </si>
  <si>
    <t>500 Thread Count Luxury Collection</t>
  </si>
  <si>
    <t>100% Cotton Sateen Embroidered Comforter Set</t>
  </si>
  <si>
    <t>White/Grey</t>
  </si>
  <si>
    <t>PP001867;PF005968</t>
  </si>
  <si>
    <t>5</t>
  </si>
  <si>
    <t>Other</t>
  </si>
  <si>
    <t>6/12/2023</t>
  </si>
  <si>
    <t>AMAZON,JCPENNEY01,KOHLDSN,MACY02</t>
  </si>
  <si>
    <t>NCWB1242</t>
  </si>
  <si>
    <t>6/22/2023</t>
  </si>
  <si>
    <t>9/19/2023</t>
  </si>
  <si>
    <t>SHET20-512</t>
  </si>
  <si>
    <t>600 Thread Count</t>
  </si>
  <si>
    <t>Pima Cotton Sheet Set</t>
  </si>
  <si>
    <t>Gold</t>
  </si>
  <si>
    <t>PF001747</t>
  </si>
  <si>
    <t>BIGLOTSDS,BLK01,JCPENNEY01,KOHLDSN,MACY02,OLLIIX,OVERSTOCK01</t>
  </si>
  <si>
    <t>CHMB1017</t>
  </si>
  <si>
    <t>6/15/2015</t>
  </si>
  <si>
    <t>MP20-7167</t>
  </si>
  <si>
    <t>Split King</t>
  </si>
  <si>
    <t>7</t>
  </si>
  <si>
    <t>Modern/Contemporary</t>
  </si>
  <si>
    <t>4/8/2020</t>
  </si>
  <si>
    <t>BIGLOTSDS,BLK01,HDDS,JCPENNEY01,KOHLDSN,MACY02,OVERSTOCK01</t>
  </si>
  <si>
    <t>4/9/2020</t>
  </si>
  <si>
    <t>4/15/2020</t>
  </si>
  <si>
    <t>MP20-5055</t>
  </si>
  <si>
    <t>Light Grey</t>
  </si>
  <si>
    <t>B+</t>
  </si>
  <si>
    <t>PF001729</t>
  </si>
  <si>
    <t>9/15/2017</t>
  </si>
  <si>
    <t>DESINC,HDDS,JCPENNEY01,KIRKLANDDS,KOHLDSN,MACY02,OLLIIX,OVERSTOCK01</t>
  </si>
  <si>
    <t>9/18/2017</t>
  </si>
  <si>
    <t>2/20/2018</t>
  </si>
  <si>
    <t>MP20-5056</t>
  </si>
  <si>
    <t>BIGLOTSDS,BLK01,JCPENNEY01,KOHLDSN,MACY02,OVERSTOCK01</t>
  </si>
  <si>
    <t>12/8/2017</t>
  </si>
  <si>
    <t>MP20-7996</t>
  </si>
  <si>
    <t>Sand</t>
  </si>
  <si>
    <t>PF005752</t>
  </si>
  <si>
    <t>Traditional</t>
  </si>
  <si>
    <t>7/19/2022</t>
  </si>
  <si>
    <t>DESINC,JCPENNEY01,KOHLDSN,MACY02,NRTPORT,OLLIIX,OVERSTOCK01</t>
  </si>
  <si>
    <t>8/5/2022</t>
  </si>
  <si>
    <t>8/15/2022</t>
  </si>
  <si>
    <t>MP20-7997</t>
  </si>
  <si>
    <t>JCPENNEY01,KOHLDSN,MACY02,OLLIIX,OVERSTOCK01,TGTDVS</t>
  </si>
  <si>
    <t>1/17/2023</t>
  </si>
  <si>
    <t>PC20-142</t>
  </si>
  <si>
    <t>PF001742</t>
  </si>
  <si>
    <t>BLK01,JCPENNEY01,KOHLDSN,MACY02,NRTPORT,OLLIIX,OVERSTOCK01,ZOLA</t>
  </si>
  <si>
    <t>4/1/2015</t>
  </si>
  <si>
    <t>MPH20-0018</t>
  </si>
  <si>
    <t>800 Thread Count</t>
  </si>
  <si>
    <t>Cotton Blend Sateen Sheet Set</t>
  </si>
  <si>
    <t>Teal</t>
  </si>
  <si>
    <t>PF004074</t>
  </si>
  <si>
    <t>6</t>
  </si>
  <si>
    <t>11/27/2017</t>
  </si>
  <si>
    <t>3/24/2025</t>
  </si>
  <si>
    <t>BLK01,FINGERHUTDS,JCPENNEY01,KOHLDSN,MACY02,OVERSTOCK01,WALMARTDS</t>
  </si>
  <si>
    <t>DBYC3044</t>
  </si>
  <si>
    <t>2/2/2018</t>
  </si>
  <si>
    <t>3/19/2018</t>
  </si>
  <si>
    <t>MP95G-0286</t>
  </si>
  <si>
    <t>ART</t>
  </si>
  <si>
    <t>FRAMED GRAPHICS</t>
  </si>
  <si>
    <t>Framed Graphics</t>
  </si>
  <si>
    <t>Abstract Reveal</t>
  </si>
  <si>
    <t>Framed Glass and Gallery Matted Wall Art</t>
  </si>
  <si>
    <t>See below</t>
  </si>
  <si>
    <t>Neutral</t>
  </si>
  <si>
    <t>PP001665</t>
  </si>
  <si>
    <t>Abstract</t>
  </si>
  <si>
    <t>6/2/2021</t>
  </si>
  <si>
    <t>2/26/2025</t>
  </si>
  <si>
    <t>AMAZON,AMAZONDS,AMERSIGNDS,DESINC,KIRKLANDDS,KOHLDSN,OLLIIX,TGTDVS</t>
  </si>
  <si>
    <t>NCWA2047</t>
  </si>
  <si>
    <t>7/29/2021</t>
  </si>
  <si>
    <t>8/10/2021</t>
  </si>
  <si>
    <t>5DS73-0236</t>
  </si>
  <si>
    <t>TOWL</t>
  </si>
  <si>
    <t>510 Design</t>
  </si>
  <si>
    <t>BATH TOWEL</t>
  </si>
  <si>
    <t>Bath Towel</t>
  </si>
  <si>
    <t>Aegean</t>
  </si>
  <si>
    <t>100% Turkish Cotton 6 Piece Towel Set</t>
  </si>
  <si>
    <t>6-Piece</t>
  </si>
  <si>
    <t>PP001568;PF005268</t>
  </si>
  <si>
    <t>11/28/2020</t>
  </si>
  <si>
    <t>BIGLOTSDS,BLK01,FINGERHUTDS,JCPENNEY01,KIRKLANDDS,KOHLDSN,MACY02,OLLIIX,OVERSTOCK01,TGTDVS</t>
  </si>
  <si>
    <t>NGIN1089</t>
  </si>
  <si>
    <t>12/3/2020</t>
  </si>
  <si>
    <t>3/8/2021</t>
  </si>
  <si>
    <t>5DS73-0233</t>
  </si>
  <si>
    <t>Charcoal</t>
  </si>
  <si>
    <t>PP001568;PF005265</t>
  </si>
  <si>
    <t>BIGLOTSDS,BLK01,FINGERHUTDS,JCPENNEY01,KOHLDSN,MACY02,OLLIIX,OVERSTOCK01,TGTDVS</t>
  </si>
  <si>
    <t>5DS73-0232</t>
  </si>
  <si>
    <t>PP001568;PF005264</t>
  </si>
  <si>
    <t>1/27/2021</t>
  </si>
  <si>
    <t>MT153-0078</t>
  </si>
  <si>
    <t>LGT</t>
  </si>
  <si>
    <t>Hampton Hill</t>
  </si>
  <si>
    <t>LGT-TABLE LAMPS</t>
  </si>
  <si>
    <t>Table Task Lamps</t>
  </si>
  <si>
    <t>Aelorian</t>
  </si>
  <si>
    <t>Table Lamp 28"H</t>
  </si>
  <si>
    <t>Antique Brass</t>
  </si>
  <si>
    <t>MT Bedford</t>
  </si>
  <si>
    <t>4/10/2024</t>
  </si>
  <si>
    <t>AMAZON,HDDS,KOHLDSN,TGTDVS</t>
  </si>
  <si>
    <t>MSTT6267</t>
  </si>
  <si>
    <t>8/25/2024</t>
  </si>
  <si>
    <t>II153-0113</t>
  </si>
  <si>
    <t>INK+IVY</t>
  </si>
  <si>
    <t>Agape</t>
  </si>
  <si>
    <t>Boho Ceramic Table Lamp</t>
  </si>
  <si>
    <t>12/22/2021</t>
  </si>
  <si>
    <t>AMERSIGNDS,HDDS,JCPENNEY01,KOHLDSN,OLLIIX,TGTDVS</t>
  </si>
  <si>
    <t>JLZF1276</t>
  </si>
  <si>
    <t>1/18/2022</t>
  </si>
  <si>
    <t>5/2/2022</t>
  </si>
  <si>
    <t>MP103-0731</t>
  </si>
  <si>
    <t>FUR</t>
  </si>
  <si>
    <t>MOTION</t>
  </si>
  <si>
    <t>Swivel Glider</t>
  </si>
  <si>
    <t>Alana</t>
  </si>
  <si>
    <t>Minkoff</t>
  </si>
  <si>
    <t>Aaron</t>
  </si>
  <si>
    <t>Curve Back Swivel Glider Chair</t>
  </si>
  <si>
    <t>Blue Multi</t>
  </si>
  <si>
    <t>A</t>
  </si>
  <si>
    <t>Print</t>
  </si>
  <si>
    <t>Transitional</t>
  </si>
  <si>
    <t>9/21/2018</t>
  </si>
  <si>
    <t>ASHFURNDS,HOUZZ,KIRKLANDDS,KOHLDSN,MACY02F,OVERSTOCK01</t>
  </si>
  <si>
    <t>NCWA1270</t>
  </si>
  <si>
    <t>10/7/2018</t>
  </si>
  <si>
    <t>11/5/2018</t>
  </si>
  <si>
    <t>II12-783</t>
  </si>
  <si>
    <t>ADUL</t>
  </si>
  <si>
    <t>DUVET&amp;DUVET SET</t>
  </si>
  <si>
    <t>Duvet Mini Set</t>
  </si>
  <si>
    <t>Alpine</t>
  </si>
  <si>
    <t>3 Piece Duvet Cover Mini Set</t>
  </si>
  <si>
    <t>PF001637;PP000371</t>
  </si>
  <si>
    <t>Plain Fabric</t>
  </si>
  <si>
    <t>3</t>
  </si>
  <si>
    <t>Geometric</t>
  </si>
  <si>
    <t>Mid-Century Modern</t>
  </si>
  <si>
    <t>Casual|Modern/Contemporary</t>
  </si>
  <si>
    <t>AMAZON,AMAZONDS,JCPENNEY01,KOHLDSN,MACY02,OVERSTOCK01,TGTDVS,ZOLA</t>
  </si>
  <si>
    <t>MCRW7051</t>
  </si>
  <si>
    <t>9/28/2016</t>
  </si>
  <si>
    <t>11/2/2016</t>
  </si>
  <si>
    <t>II12-784</t>
  </si>
  <si>
    <t>11/7/2016</t>
  </si>
  <si>
    <t>MP72-1559</t>
  </si>
  <si>
    <t>BATH</t>
  </si>
  <si>
    <t>BATH RUG</t>
  </si>
  <si>
    <t>Bath Rug</t>
  </si>
  <si>
    <t>Amherst</t>
  </si>
  <si>
    <t>Eastridge</t>
  </si>
  <si>
    <t>Salem</t>
  </si>
  <si>
    <t>Cotton Tufted Bath Rug</t>
  </si>
  <si>
    <t>27x45"</t>
  </si>
  <si>
    <t>Black</t>
  </si>
  <si>
    <t>PF001435;PP000373</t>
  </si>
  <si>
    <t>Color Block</t>
  </si>
  <si>
    <t>4/9/2025</t>
  </si>
  <si>
    <t>AMAZONDS,FINGERHUTDS,HDDS,JCPENNEY01,KOHLDSN,MACY02,OLLIIX,OVERSTOCK01,TGTDVS</t>
  </si>
  <si>
    <t>CHRL8637</t>
  </si>
  <si>
    <t>7/21/2015</t>
  </si>
  <si>
    <t>MP72-6204</t>
  </si>
  <si>
    <t>24x44"</t>
  </si>
  <si>
    <t>Navy</t>
  </si>
  <si>
    <t>PP000524;PF004654</t>
  </si>
  <si>
    <t>4/9/2019</t>
  </si>
  <si>
    <t>AMAZON,HDDS,JCPENNEY01,KIRKLANDDS,KOHLDSN,MACY02,OLLIIX,OVERSTOCK01,TGTDVS</t>
  </si>
  <si>
    <t>4/25/2019</t>
  </si>
  <si>
    <t>5/28/2019</t>
  </si>
  <si>
    <t>MP40-8276</t>
  </si>
  <si>
    <t>WIN</t>
  </si>
  <si>
    <t>WINDOW PANEL</t>
  </si>
  <si>
    <t>Window Panel</t>
  </si>
  <si>
    <t>Anaheim</t>
  </si>
  <si>
    <t>Salford</t>
  </si>
  <si>
    <t>Preston</t>
  </si>
  <si>
    <t>Plaid Faux Leather Tab Top Curtain Panel with Fleece Lining</t>
  </si>
  <si>
    <t>50x84"</t>
  </si>
  <si>
    <t>PP001397;PF006072</t>
  </si>
  <si>
    <t>Plaid</t>
  </si>
  <si>
    <t>Light Filtering</t>
  </si>
  <si>
    <t>10/12/2023</t>
  </si>
  <si>
    <t>AMAZON</t>
  </si>
  <si>
    <t>NCWA1710</t>
  </si>
  <si>
    <t>Tier 1</t>
  </si>
  <si>
    <t>10/20/2023</t>
  </si>
  <si>
    <t>11/27/2023</t>
  </si>
  <si>
    <t>MP40-1297</t>
  </si>
  <si>
    <t>Andora</t>
  </si>
  <si>
    <t>Eliza</t>
  </si>
  <si>
    <t>Aden</t>
  </si>
  <si>
    <t>Curtain Panel</t>
  </si>
  <si>
    <t>50x95"</t>
  </si>
  <si>
    <t>PF003823</t>
  </si>
  <si>
    <t>Botanical</t>
  </si>
  <si>
    <t>1/28/2025</t>
  </si>
  <si>
    <t>AMAZON,BLK01,DESINC,HDDS,JCPENNEY01,KOHLDSN,TGTDVS</t>
  </si>
  <si>
    <t>MCRR6024</t>
  </si>
  <si>
    <t>2/18/2015</t>
  </si>
  <si>
    <t>MP40-1298</t>
  </si>
  <si>
    <t>PF003962</t>
  </si>
  <si>
    <t>ASHFURNDS,BLK01,DESINC,HDDS,JCPENNEY01,KOHLDSN,OVERSTOCK01,TGTDVS</t>
  </si>
  <si>
    <t>2/23/2015</t>
  </si>
  <si>
    <t>MP40-3624</t>
  </si>
  <si>
    <t>Anna</t>
  </si>
  <si>
    <t>Joycelyn</t>
  </si>
  <si>
    <t>Ariana</t>
  </si>
  <si>
    <t>Cotton Oversized Ruffle Curtain Panel</t>
  </si>
  <si>
    <t>50x63"</t>
  </si>
  <si>
    <t>PF003972</t>
  </si>
  <si>
    <t>Cottage/Country</t>
  </si>
  <si>
    <t>3/5/2025</t>
  </si>
  <si>
    <t>AMAZON,BLK01,HSNDS,JCPENNEY01,KOHLDSN,NRTPORT,OLLIIX,TGTDVS</t>
  </si>
  <si>
    <t>HOHN8630</t>
  </si>
  <si>
    <t>8/15/2016</t>
  </si>
  <si>
    <t>11/18/2016</t>
  </si>
  <si>
    <t>HH12-1691</t>
  </si>
  <si>
    <t>Harbor House</t>
  </si>
  <si>
    <t>Duvet&amp;Duvet Set</t>
  </si>
  <si>
    <t>Anslee</t>
  </si>
  <si>
    <t>3 Piece Cotton Yarn Dyed Duvet Cover Set</t>
  </si>
  <si>
    <t>Taupe</t>
  </si>
  <si>
    <t>A+</t>
  </si>
  <si>
    <t>PF004247;PP000875</t>
  </si>
  <si>
    <t>Jacquard Fabric</t>
  </si>
  <si>
    <t>Farmhouse/Country /Cottage</t>
  </si>
  <si>
    <t>Coastal</t>
  </si>
  <si>
    <t>12/14/2017</t>
  </si>
  <si>
    <t>2/8/2025</t>
  </si>
  <si>
    <t>AMAZON,JCPENNEY01,KOHLDSN,MACY02,OLLIIX,OVERSTOCK01</t>
  </si>
  <si>
    <t>HUH1805</t>
  </si>
  <si>
    <t>2/27/2018</t>
  </si>
  <si>
    <t>4/9/2018</t>
  </si>
  <si>
    <t>MZ12-509</t>
  </si>
  <si>
    <t>YOUT</t>
  </si>
  <si>
    <t>Mi Zone</t>
  </si>
  <si>
    <t>Ashton</t>
  </si>
  <si>
    <t>Garrett</t>
  </si>
  <si>
    <t>Cody</t>
  </si>
  <si>
    <t>Duvet Cover Set</t>
  </si>
  <si>
    <t>Khaki/Navy</t>
  </si>
  <si>
    <t>PF000057</t>
  </si>
  <si>
    <t>AMAZON,BLK01,JCPENNEY01,KOHLDSN,MACY02,OLLIIX</t>
  </si>
  <si>
    <t>TRNT2362</t>
  </si>
  <si>
    <t>11/19/2016</t>
  </si>
  <si>
    <t>11/21/2016</t>
  </si>
  <si>
    <t>FB154-1164</t>
  </si>
  <si>
    <t>LGT-FLOOR LAMPS</t>
  </si>
  <si>
    <t>Floor Lamps</t>
  </si>
  <si>
    <t>Aster</t>
  </si>
  <si>
    <t>Angular Arched Metal Floor Lamp</t>
  </si>
  <si>
    <t>5/4/2022</t>
  </si>
  <si>
    <t>AMERSIGNDS,HDDS,JCPENNEY01,KIRKLANDDS,KOHLDSN,OLLIIX,TGTDVS,ZOLA,Zulily</t>
  </si>
  <si>
    <t>HTN10009</t>
  </si>
  <si>
    <t>5/5/2022</t>
  </si>
  <si>
    <t>7/28/2022</t>
  </si>
  <si>
    <t>MP13-241</t>
  </si>
  <si>
    <t>COVERLET&amp;BEDSPR</t>
  </si>
  <si>
    <t>Coverlet</t>
  </si>
  <si>
    <t>Attingham</t>
  </si>
  <si>
    <t>Danville</t>
  </si>
  <si>
    <t>Longmont</t>
  </si>
  <si>
    <t>7 Piece Quilt Set with Euro Shams and Throw Pillows</t>
  </si>
  <si>
    <t>Beige</t>
  </si>
  <si>
    <t>PF002418</t>
  </si>
  <si>
    <t>Hotel</t>
  </si>
  <si>
    <t>Transitional Modern</t>
  </si>
  <si>
    <t>Casual|Farm House</t>
  </si>
  <si>
    <t>4/1/2025</t>
  </si>
  <si>
    <t>AMAZON,AMAZONDS,BLK01,JCPENNEY01,KOHLDSN,MACY02,OLLIIX,OVERSTOCK01,ROOMECOM,TGTDVS</t>
  </si>
  <si>
    <t>WLRO1574</t>
  </si>
  <si>
    <t>1/2/2015</t>
  </si>
  <si>
    <t>MP13-1741</t>
  </si>
  <si>
    <t>PF002419</t>
  </si>
  <si>
    <t>1/31/2025</t>
  </si>
  <si>
    <t>AMAZON,AMAZONDS,HOUZZ,JCPENNEY01,KOHLDSN,MACY02,OLLIIX,OVERSTOCK01,TGTDVS,WALMARTDS</t>
  </si>
  <si>
    <t>MP13-1742</t>
  </si>
  <si>
    <t>AMAZON,BLK01,JCPENNEY01,KOHLDSN,MACY02,OVERSTOCK01,TGTDVS</t>
  </si>
  <si>
    <t>10/13/2015</t>
  </si>
  <si>
    <t>MP41-1606</t>
  </si>
  <si>
    <t>VALANCE</t>
  </si>
  <si>
    <t>Valance</t>
  </si>
  <si>
    <t>Aubrey</t>
  </si>
  <si>
    <t>Whitman</t>
  </si>
  <si>
    <t>Charlotte</t>
  </si>
  <si>
    <t>Jacquard Window Valance</t>
  </si>
  <si>
    <t>50x18"</t>
  </si>
  <si>
    <t>PF003388;PP000381</t>
  </si>
  <si>
    <t>Paisley</t>
  </si>
  <si>
    <t>AMAZON,ASHFURNDS,BLK01,JCPENNEY01,KOHLDSN,OVERSTOCK01,TGTDVS</t>
  </si>
  <si>
    <t>ALTL5697</t>
  </si>
  <si>
    <t>7/30/2015</t>
  </si>
  <si>
    <t>MP41-4989</t>
  </si>
  <si>
    <t>Jacquard Window Rod Pocket Valance With Beads</t>
  </si>
  <si>
    <t>7/4/2018</t>
  </si>
  <si>
    <t>AMAZON,BLK01,HDDS,JCPENNEY01,KOHLDSN,NRTPORT,OVERSCONSIGN,OVERSTOCK01,TGTDVS</t>
  </si>
  <si>
    <t>ALTL5623</t>
  </si>
  <si>
    <t>7/25/2018</t>
  </si>
  <si>
    <t>10/16/2018</t>
  </si>
  <si>
    <t>MP40-2679</t>
  </si>
  <si>
    <t>Panel Pair</t>
  </si>
  <si>
    <t>Jacquard Curtain Panel Pair</t>
  </si>
  <si>
    <t>50x108"</t>
  </si>
  <si>
    <t>Blue/Brown</t>
  </si>
  <si>
    <t>PF003389;PP000381</t>
  </si>
  <si>
    <t>AMAZON,DESINC,HDDS,JCPENNEY01,KOHLDSN,OLLIIX,TGTDVS</t>
  </si>
  <si>
    <t>ALCT7364</t>
  </si>
  <si>
    <t>8/25/2016</t>
  </si>
  <si>
    <t>FB151-1171</t>
  </si>
  <si>
    <t>LGT-PENDANTS</t>
  </si>
  <si>
    <t>Pendants</t>
  </si>
  <si>
    <t>Auburn</t>
  </si>
  <si>
    <t>Bell Shaped Hanging Glass Pendant Light</t>
  </si>
  <si>
    <t>Dia.9"</t>
  </si>
  <si>
    <t>Gold/Blue</t>
  </si>
  <si>
    <t>Farm House</t>
  </si>
  <si>
    <t>9/7/2022</t>
  </si>
  <si>
    <t>AMAZONDS,HDDS,HOUZZ,KOHLDSN,OLLIIX,OVERSTOCK01,ROOMECOM</t>
  </si>
  <si>
    <t>WRSE1539</t>
  </si>
  <si>
    <t>9/27/2022</t>
  </si>
  <si>
    <t>10/27/2022</t>
  </si>
  <si>
    <t>FB151-1179</t>
  </si>
  <si>
    <t>Dia.13"</t>
  </si>
  <si>
    <t>Gold/Clear</t>
  </si>
  <si>
    <t>2/1/2024</t>
  </si>
  <si>
    <t>3/11/2024</t>
  </si>
  <si>
    <t>3/18/2024</t>
  </si>
  <si>
    <t>MP151-0199</t>
  </si>
  <si>
    <t>Silver/Clear</t>
  </si>
  <si>
    <t>10/14/2019</t>
  </si>
  <si>
    <t>AMAZONDS,HDDS,HOUZZ,KIRKLANDDS,LAMPDS,OVERSTOCK01,ROOMECOM,TGTDVS</t>
  </si>
  <si>
    <t>12/17/2019</t>
  </si>
  <si>
    <t>3/19/2020</t>
  </si>
  <si>
    <t>MP103-0825</t>
  </si>
  <si>
    <t>Augustine</t>
  </si>
  <si>
    <t>Caddy</t>
  </si>
  <si>
    <t>Bewick</t>
  </si>
  <si>
    <t>Swivel Glider Chair</t>
  </si>
  <si>
    <t>Grey/Taupe</t>
  </si>
  <si>
    <t>B-</t>
  </si>
  <si>
    <t>6/21/2019</t>
  </si>
  <si>
    <t>AMERSIGNDS,MACY02F,OLLIIX,OVERSTOCK01</t>
  </si>
  <si>
    <t>ALTH8282</t>
  </si>
  <si>
    <t>8/8/2019</t>
  </si>
  <si>
    <t>8/16/2019</t>
  </si>
  <si>
    <t>MP95B-0288</t>
  </si>
  <si>
    <t>AWD</t>
  </si>
  <si>
    <t>Aurelian Emblem</t>
  </si>
  <si>
    <t>Natural Capiz with Gold Foil 2-piece Shadowbox Wall Decor Set</t>
  </si>
  <si>
    <t>Natural/Gold</t>
  </si>
  <si>
    <t>PP001709</t>
  </si>
  <si>
    <t>2</t>
  </si>
  <si>
    <t>6/19/2021</t>
  </si>
  <si>
    <t>2/15/2025</t>
  </si>
  <si>
    <t>AMAZON,BLK01,KIRKLANDDS,MACY02,OLLIIX,ROOMECOM,TGTDVS</t>
  </si>
  <si>
    <t>NCWA2194</t>
  </si>
  <si>
    <t>11/27/2021</t>
  </si>
  <si>
    <t>12/8/2021</t>
  </si>
  <si>
    <t>MP95C-0207</t>
  </si>
  <si>
    <t>CANVAS</t>
  </si>
  <si>
    <t>Canvas</t>
  </si>
  <si>
    <t>Autumn Forest</t>
  </si>
  <si>
    <t>Triptych 3-piece Textured Canvas Wall Art Set</t>
  </si>
  <si>
    <t>Red</t>
  </si>
  <si>
    <t>Landscape</t>
  </si>
  <si>
    <t>4/17/2019</t>
  </si>
  <si>
    <t>AMAZON,AMAZONDS,BLK01,DESINC,KOHLDSN,OLLIIX,OVERSTOCK01,TGTDVS</t>
  </si>
  <si>
    <t>NCWA1869</t>
  </si>
  <si>
    <t>5/29/2019</t>
  </si>
  <si>
    <t>8/13/2020</t>
  </si>
  <si>
    <t>MP40-3596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</si>
  <si>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</si>
  <si>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</si>
  <si>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</si>
  <si>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</si>
  <si>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</si>
  <si>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</si>
  <si>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</si>
  <si>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AMAZON,DESINC,KOHLDSN</t>
  </si>
  <si>
    <t>CHLH5226</t>
  </si>
  <si>
    <t>PET63-0019</t>
  </si>
  <si>
    <t>PETB</t>
  </si>
  <si>
    <t>Friends Forever</t>
  </si>
  <si>
    <t>PET BEDS</t>
  </si>
  <si>
    <t>Pet Beds</t>
  </si>
  <si>
    <t>Bailey</t>
  </si>
  <si>
    <t>Crystal Velvet Pet Throw</t>
  </si>
  <si>
    <t>35x45"</t>
  </si>
  <si>
    <t>Light Grey/Dark Grey</t>
  </si>
  <si>
    <t>8/2/2017</t>
  </si>
  <si>
    <t>4/23/2025</t>
  </si>
  <si>
    <t>BFFS1116</t>
  </si>
  <si>
    <t>1/4/2021</t>
  </si>
  <si>
    <t>1/19/2021</t>
  </si>
  <si>
    <t>ID95C-0054</t>
  </si>
  <si>
    <t>Beach Dogs</t>
  </si>
  <si>
    <t>Corgi Canvas Wall Art</t>
  </si>
  <si>
    <t>Corgi/Blue Multi</t>
  </si>
  <si>
    <t>Animal</t>
  </si>
  <si>
    <t>10/6/2023</t>
  </si>
  <si>
    <t>AMAZON,OLLIIX</t>
  </si>
  <si>
    <t>JLZL1295</t>
  </si>
  <si>
    <t>10/16/2023</t>
  </si>
  <si>
    <t>5/13/2024</t>
  </si>
  <si>
    <t>ID95C-0058</t>
  </si>
  <si>
    <t>Golden Retriever Canvas Wall Art</t>
  </si>
  <si>
    <t>Golden Retriever/Blue Multi</t>
  </si>
  <si>
    <t>10/7/2023</t>
  </si>
  <si>
    <t>AMAZON,DESINC,JCPENNEY01,KOHLDSN,MACY02,OLLIIX,TGTDVS</t>
  </si>
  <si>
    <t>JLZL1297</t>
  </si>
  <si>
    <t>5/20/2024</t>
  </si>
  <si>
    <t>MP40-7495</t>
  </si>
  <si>
    <t>Beals</t>
  </si>
  <si>
    <t>Barnet</t>
  </si>
  <si>
    <t>Bayer</t>
  </si>
  <si>
    <t>Faux Linen Rod Pocket and Back Tab Fleece Lined Curtain Panel</t>
  </si>
  <si>
    <t>Natural</t>
  </si>
  <si>
    <t>PP001631;PF005475</t>
  </si>
  <si>
    <t>7/10/2021</t>
  </si>
  <si>
    <t>BLK01,HOUZZ,JCPENNEY01,KOHLDSN,OLLIIX</t>
  </si>
  <si>
    <t>NCWA2117</t>
  </si>
  <si>
    <t>8/13/2021</t>
  </si>
  <si>
    <t>11/5/2021</t>
  </si>
  <si>
    <t>MPS115-0287U2</t>
  </si>
  <si>
    <t>BED</t>
  </si>
  <si>
    <t>Bed</t>
  </si>
  <si>
    <t>Beckett</t>
  </si>
  <si>
    <t>Antique Cream</t>
  </si>
  <si>
    <t>Farmhouse</t>
  </si>
  <si>
    <t>12/20/2024</t>
  </si>
  <si>
    <t>OVERSTOCK01</t>
  </si>
  <si>
    <t>BDIS1112</t>
  </si>
  <si>
    <t>N/A</t>
  </si>
  <si>
    <t>MPS115-0058U2</t>
  </si>
  <si>
    <t>Morocco Brown</t>
  </si>
  <si>
    <t>PP000288</t>
  </si>
  <si>
    <t>12/27/2024</t>
  </si>
  <si>
    <t>1/5/2025</t>
  </si>
  <si>
    <t>DESINC,OVERSTOCK01</t>
  </si>
  <si>
    <t>12/18/2024</t>
  </si>
  <si>
    <t>MPS115-0059U2</t>
  </si>
  <si>
    <t>Yes</t>
  </si>
  <si>
    <t>12/17/2024</t>
  </si>
  <si>
    <t>MP13-369</t>
  </si>
  <si>
    <t>Bellagio</t>
  </si>
  <si>
    <t>Venetian</t>
  </si>
  <si>
    <t>Mirage</t>
  </si>
  <si>
    <t>6 Piece Jacquard Quilt Set with Throw Pillows</t>
  </si>
  <si>
    <t>Brown/Gold</t>
  </si>
  <si>
    <t>A++</t>
  </si>
  <si>
    <t>PF003397;PP000386</t>
  </si>
  <si>
    <t>Damask</t>
  </si>
  <si>
    <t>Transitional|Glam/Luxury</t>
  </si>
  <si>
    <t>AMAZON,AMAZONDS,BLK01,FINGERHUTDS,HSNDS,JCPENNEY01,KOHLDSN,MACY02,NRTPORT,OLLIIX,OVERSTOCK01,TGTDVS</t>
  </si>
  <si>
    <t>ASGA2217</t>
  </si>
  <si>
    <t>BASI10-0256</t>
  </si>
  <si>
    <t>Benton</t>
  </si>
  <si>
    <t>Canton</t>
  </si>
  <si>
    <t>All Season 2 in 1 Down Alternative Comforter</t>
  </si>
  <si>
    <t>PF002081</t>
  </si>
  <si>
    <t>BLK01,KOHLDSN,MACY02,OLLIIX,OVERSTOCK01,TGTDVS</t>
  </si>
  <si>
    <t>ANEW3991</t>
  </si>
  <si>
    <t>6/5/2015</t>
  </si>
  <si>
    <t>BASI10-0257</t>
  </si>
  <si>
    <t>AMERSIGNDS,BLK01,JCPENNEY01,KOHLDSN,MACY02,OLLIIX,OVERSTOCK01,TGTDVS</t>
  </si>
  <si>
    <t>5/7/2015</t>
  </si>
  <si>
    <t>BASI10-0258</t>
  </si>
  <si>
    <t>4/19/2017</t>
  </si>
  <si>
    <t>AMERSIGNDS,BLK01,JCPENNEY01,KIRKLANDDS,KOHLDSN,MACY02,OLLIIX,OVERSTOCK01,WALMARTDS</t>
  </si>
  <si>
    <t>6/22/2015</t>
  </si>
  <si>
    <t>MP10-948</t>
  </si>
  <si>
    <t>Blaire</t>
  </si>
  <si>
    <t>Anderson</t>
  </si>
  <si>
    <t>Burnett</t>
  </si>
  <si>
    <t>7 Piece Comforter Set</t>
  </si>
  <si>
    <t>PF002701</t>
  </si>
  <si>
    <t>Satin/Polyoni</t>
  </si>
  <si>
    <t>Casual|Traditional</t>
  </si>
  <si>
    <t>BLK01,JCPENNEY01,KOHLDSN,MACY02,NRTPORT,OLLIIX,OVERSTOCK01,TGTDVS</t>
  </si>
  <si>
    <t>DBYH4441</t>
  </si>
  <si>
    <t>1/7/2015</t>
  </si>
  <si>
    <t>MP10-950</t>
  </si>
  <si>
    <t>AMAZONDS,BLK01,JCPENNEY01,KOHLDSN,MACY02,NRTPORT,OLLIIX,OVERSTOCK01,TGTDVS</t>
  </si>
  <si>
    <t>1/12/2015</t>
  </si>
  <si>
    <t>AM10-0133</t>
  </si>
  <si>
    <t>Super Listing</t>
  </si>
  <si>
    <t>Comforter Mini Set</t>
  </si>
  <si>
    <t>Blake</t>
  </si>
  <si>
    <t>Calvin</t>
  </si>
  <si>
    <t>Owain/Erik</t>
  </si>
  <si>
    <t>Stripe Textured Print Comforter Set</t>
  </si>
  <si>
    <t>Black/Grey</t>
  </si>
  <si>
    <t>PP001959;PF006237</t>
  </si>
  <si>
    <t>3/9/2024</t>
  </si>
  <si>
    <t>JCPENNEY01,KOHLDSN,MACY02,OVERSTOCK01</t>
  </si>
  <si>
    <t>NGIN1168</t>
  </si>
  <si>
    <t>Tier S</t>
  </si>
  <si>
    <t>3/10/2024</t>
  </si>
  <si>
    <t>4/2/2024</t>
  </si>
  <si>
    <t>AM10-0130</t>
  </si>
  <si>
    <t>Navy/Blue</t>
  </si>
  <si>
    <t>PP001959;PF006236</t>
  </si>
  <si>
    <t>BLK01,HDDS,JCPENNEY01,KIRKLANDDS,MACY02,NRTPORT</t>
  </si>
  <si>
    <t>4/8/2024</t>
  </si>
  <si>
    <t>ID10-2332</t>
  </si>
  <si>
    <t xml:space="preserve">Intelligent Design </t>
  </si>
  <si>
    <t>Liam</t>
  </si>
  <si>
    <t>Reeve</t>
  </si>
  <si>
    <t>Plaid Comforter Set</t>
  </si>
  <si>
    <t>Twin/Twin XL</t>
  </si>
  <si>
    <t>Tan/Gray</t>
  </si>
  <si>
    <t>PF006203</t>
  </si>
  <si>
    <t>Lodge/Cabin</t>
  </si>
  <si>
    <t>3/16/2024</t>
  </si>
  <si>
    <t>AMAZON,AMAZONDS,BLK01,KOHLDSN,MACY02,OVERSTOCK01,TGTDVS</t>
  </si>
  <si>
    <t>JLZL1329</t>
  </si>
  <si>
    <t>WR50-3968</t>
  </si>
  <si>
    <t>BLK</t>
  </si>
  <si>
    <t>Woolrich</t>
  </si>
  <si>
    <t>THROW</t>
  </si>
  <si>
    <t>Throw</t>
  </si>
  <si>
    <t>Bloomington</t>
  </si>
  <si>
    <t>Faux Mohair to Sherpa Throw</t>
  </si>
  <si>
    <t>50x60"</t>
  </si>
  <si>
    <t>PP001878;PF005993</t>
  </si>
  <si>
    <t>Berber</t>
  </si>
  <si>
    <t>8/25/2023</t>
  </si>
  <si>
    <t>AMAZON,AMAZONDS,BLK01,HDDS,KOHLDSN,MACY02,OLLIIX,OVERSTOCK01,TGTDVS</t>
  </si>
  <si>
    <t>XBYB1066</t>
  </si>
  <si>
    <t>4/17/2024</t>
  </si>
  <si>
    <t>8/7/2024</t>
  </si>
  <si>
    <t>WR50-3969</t>
  </si>
  <si>
    <t>PP001878;PF005994</t>
  </si>
  <si>
    <t>AMAZON,AMAZONDS,BLK01,DESINC,KOHLDSN,MACY02,OLLIIX,OVERSTOCK01,TGTDVS</t>
  </si>
  <si>
    <t>WR50-3970</t>
  </si>
  <si>
    <t>Tan</t>
  </si>
  <si>
    <t>PP001878;PF005995</t>
  </si>
  <si>
    <t>AMAZON,BLK01,HDDS,KOHLDSN,MACY02,OLLIIX,OVERSCONSIGN,OVERSTOCK01,TGTDVS</t>
  </si>
  <si>
    <t>4/25/2024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</si>
  <si>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</si>
  <si>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</si>
  <si>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</si>
  <si>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</si>
  <si>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</si>
  <si>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</si>
  <si>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AMERSIGNDS,BLK01,MACY02,OLLIIX,OVERSTOCK01,ROOMECOM</t>
  </si>
  <si>
    <t>NCWA1387</t>
  </si>
  <si>
    <t>2/13/2019</t>
  </si>
  <si>
    <t>10/18/2019</t>
  </si>
  <si>
    <t>II103-0498</t>
  </si>
  <si>
    <t>Swivel</t>
  </si>
  <si>
    <t>Bonn</t>
  </si>
  <si>
    <t>Upholstered 360 Degree Swivel Chair</t>
  </si>
  <si>
    <t>2/22/2023</t>
  </si>
  <si>
    <t>KIRKLANDDS,KOHLDSN</t>
  </si>
  <si>
    <t>IKIY1118</t>
  </si>
  <si>
    <t>3/27/2023</t>
  </si>
  <si>
    <t>9/1/2023</t>
  </si>
  <si>
    <t>AM10-0290</t>
  </si>
  <si>
    <t>Boulder Stripe</t>
  </si>
  <si>
    <t>Cascade Stripe</t>
  </si>
  <si>
    <t>Highland Stripe</t>
  </si>
  <si>
    <t>Pieced Faux Suede Comforter Set</t>
  </si>
  <si>
    <t>Brick</t>
  </si>
  <si>
    <t>PP001926;PF006375</t>
  </si>
  <si>
    <t>Microsuede</t>
  </si>
  <si>
    <t>7/18/2024</t>
  </si>
  <si>
    <t>DESINC,JCPENNEY01,KOHLDSN,MACY02</t>
  </si>
  <si>
    <t>NGIN1201</t>
  </si>
  <si>
    <t>8/12/2024</t>
  </si>
  <si>
    <t>AM10-0293</t>
  </si>
  <si>
    <t>Purple</t>
  </si>
  <si>
    <t>PP001926;PF006376</t>
  </si>
  <si>
    <t>10/3/2024</t>
  </si>
  <si>
    <t>MP100-0575</t>
  </si>
  <si>
    <t>ACCENT CHAIR</t>
  </si>
  <si>
    <t>Arm Chair</t>
  </si>
  <si>
    <t>Brayden</t>
  </si>
  <si>
    <t>Kendrick</t>
  </si>
  <si>
    <t>Rhodes</t>
  </si>
  <si>
    <t>Accent Chair</t>
  </si>
  <si>
    <t>PP000716</t>
  </si>
  <si>
    <t>1/23/2018</t>
  </si>
  <si>
    <t>KOHLDSN,OLLIIX</t>
  </si>
  <si>
    <t>GRYL6723</t>
  </si>
  <si>
    <t>4/4/2018</t>
  </si>
  <si>
    <t>5/22/2018</t>
  </si>
  <si>
    <t>WR10-3974</t>
  </si>
  <si>
    <t>Breckenridge</t>
  </si>
  <si>
    <t>Chenille Oversized Comforter Set</t>
  </si>
  <si>
    <t>PF006169</t>
  </si>
  <si>
    <t>Chenille</t>
  </si>
  <si>
    <t>Rustic/Lodge/Cabin</t>
  </si>
  <si>
    <t>2/28/2024</t>
  </si>
  <si>
    <t>AMAZON,KOHLDSN,MACY02,OVERSTOCK01</t>
  </si>
  <si>
    <t>XBYB1065</t>
  </si>
  <si>
    <t>3/29/2024</t>
  </si>
  <si>
    <t>4/15/2024</t>
  </si>
  <si>
    <t>II21-1304</t>
  </si>
  <si>
    <t>Bree Knit</t>
  </si>
  <si>
    <t>Oblong Pillow Cover</t>
  </si>
  <si>
    <t>12x20"</t>
  </si>
  <si>
    <t>Brown</t>
  </si>
  <si>
    <t>PP001571;PF006068</t>
  </si>
  <si>
    <t>Acrylic</t>
  </si>
  <si>
    <t>TGTDVS</t>
  </si>
  <si>
    <t>CHMB1988</t>
  </si>
  <si>
    <t>11/28/2023</t>
  </si>
  <si>
    <t>II21-1301</t>
  </si>
  <si>
    <t>Square Pillow Cover</t>
  </si>
  <si>
    <t>20x20"</t>
  </si>
  <si>
    <t>CHMB1994</t>
  </si>
  <si>
    <t>II21-1300</t>
  </si>
  <si>
    <t>Green</t>
  </si>
  <si>
    <t>PP001571;PF006067</t>
  </si>
  <si>
    <t>KOHLDSN,OVERSTOCK01,TGTDVS</t>
  </si>
  <si>
    <t>2/12/2024</t>
  </si>
  <si>
    <t>II21-1306</t>
  </si>
  <si>
    <t>Euro Pillow Cover</t>
  </si>
  <si>
    <t>26x26"</t>
  </si>
  <si>
    <t>AMAZONDS,KOHLDSN,OVERSTOCK01,TGTDVS</t>
  </si>
  <si>
    <t>II30-1141</t>
  </si>
  <si>
    <t>PP001571;PF005282</t>
  </si>
  <si>
    <t>1/16/2021</t>
  </si>
  <si>
    <t>AMAZONDS,DESINC,DLBRAND,KOHLDSN,TGTDVS</t>
  </si>
  <si>
    <t>1/17/2021</t>
  </si>
  <si>
    <t>2/12/2021</t>
  </si>
  <si>
    <t>II30-1139</t>
  </si>
  <si>
    <t>Close-out</t>
  </si>
  <si>
    <t>1/13/2021</t>
  </si>
  <si>
    <t>1/24/2021</t>
  </si>
  <si>
    <t>2/8/2021</t>
  </si>
  <si>
    <t>II30-1140</t>
  </si>
  <si>
    <t>KOHLDSN,OLLIIX,OVERSTOCK01,TGTDVS</t>
  </si>
  <si>
    <t>II30-1146</t>
  </si>
  <si>
    <t>Indigo</t>
  </si>
  <si>
    <t>PP001571;PF005283</t>
  </si>
  <si>
    <t>KOHLDSN,TGTDVS</t>
  </si>
  <si>
    <t>II30-737</t>
  </si>
  <si>
    <t>PF003487</t>
  </si>
  <si>
    <t>JCPENNEY01,KIRKLANDDS,KOHLDSN,MACY02,OVERSTOCK01,TGTDVS</t>
  </si>
  <si>
    <t>8/17/2016</t>
  </si>
  <si>
    <t>II50-1296</t>
  </si>
  <si>
    <t>Light Blue</t>
  </si>
  <si>
    <t>PP001571;PF006066</t>
  </si>
  <si>
    <t>3/20/2025</t>
  </si>
  <si>
    <t>CHMB1986</t>
  </si>
  <si>
    <t>11/1/2023</t>
  </si>
  <si>
    <t>1/29/2024</t>
  </si>
  <si>
    <t>MP100-0038</t>
  </si>
  <si>
    <t>DINING CHAIR</t>
  </si>
  <si>
    <t>Dining Chair</t>
  </si>
  <si>
    <t>Brody</t>
  </si>
  <si>
    <t>Victor</t>
  </si>
  <si>
    <t>Taye</t>
  </si>
  <si>
    <t>Wing Dining Chair (Set of 2)</t>
  </si>
  <si>
    <t>Cream</t>
  </si>
  <si>
    <t>PF000259;PP000104</t>
  </si>
  <si>
    <t>5/21/2025</t>
  </si>
  <si>
    <t>HDDS,KIRKLANDDS,KOHLDSN,OLLIIX</t>
  </si>
  <si>
    <t>TRPT1215</t>
  </si>
  <si>
    <t>12/20/2016</t>
  </si>
  <si>
    <t>UH12-2158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</si>
  <si>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</si>
  <si>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</si>
  <si>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</si>
  <si>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</si>
  <si>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</si>
  <si>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</si>
  <si>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Shabby Chic</t>
  </si>
  <si>
    <t>Cottage/Country|Farmhouse</t>
  </si>
  <si>
    <t>12/26/2017</t>
  </si>
  <si>
    <t>AMAZON,KOHLDSN,MACY02,TGTDVS</t>
  </si>
  <si>
    <t>EDIV1310</t>
  </si>
  <si>
    <t>3/21/2018</t>
  </si>
  <si>
    <t>UH10-2255</t>
  </si>
  <si>
    <t>Cotton Jacquard Comforter Set with Euro Shams and Throw Pillows</t>
  </si>
  <si>
    <t>PP000834;PF004683</t>
  </si>
  <si>
    <t>5/15/2019</t>
  </si>
  <si>
    <t>KOHLDSN,MACY02,OLLIIX,ROOMECOM,TGTDVS</t>
  </si>
  <si>
    <t>EDIV1213</t>
  </si>
  <si>
    <t>6/7/2019</t>
  </si>
  <si>
    <t>6/27/2019</t>
  </si>
  <si>
    <t>UH12-2258</t>
  </si>
  <si>
    <t>5/14/2019</t>
  </si>
  <si>
    <t>MACY02,OVERSTOCK01,TGTDVS</t>
  </si>
  <si>
    <t>5/16/2019</t>
  </si>
  <si>
    <t>6/13/2019</t>
  </si>
  <si>
    <t>UH12-2259</t>
  </si>
  <si>
    <t>KOHLDSN,MACY02,OVERSTOCK01,TGTDVS</t>
  </si>
  <si>
    <t>7/1/2019</t>
  </si>
  <si>
    <t>UH12-2264</t>
  </si>
  <si>
    <t>PP000834;PF004684</t>
  </si>
  <si>
    <t>5/10/2019</t>
  </si>
  <si>
    <t>MACY02,OLLIIX,OVERSTOCK01,TGTDVS</t>
  </si>
  <si>
    <t>6/10/2019</t>
  </si>
  <si>
    <t>6/17/2019</t>
  </si>
  <si>
    <t>UH12-2266</t>
  </si>
  <si>
    <t>6/29/2019</t>
  </si>
  <si>
    <t>UH12-0207</t>
  </si>
  <si>
    <t>Pink</t>
  </si>
  <si>
    <t>PF002471</t>
  </si>
  <si>
    <t>4/22/2017</t>
  </si>
  <si>
    <t>AMAZON,AMAZONDS,AMERSIGNDS,JCPENNEY01,KOHLDSN,MACY02,OVERSTOCK01,ROOMECOM,TGTDVS</t>
  </si>
  <si>
    <t>6/7/2017</t>
  </si>
  <si>
    <t>UH10-0206</t>
  </si>
  <si>
    <t>AMAZON,ASHFURNDS,JCPENNEY01,KOHLDSN,MACY02,OVERSTOCK01,TGTDVS</t>
  </si>
  <si>
    <t>6/12/2017</t>
  </si>
  <si>
    <t>UH12-0209</t>
  </si>
  <si>
    <t>UH70-2242</t>
  </si>
  <si>
    <t>SHOWER CURTAIN</t>
  </si>
  <si>
    <t>Shower Curtain</t>
  </si>
  <si>
    <t>Brooklyn Cotton Jacquard Pom Pom Shower Curtain</t>
  </si>
  <si>
    <t>70x72"</t>
  </si>
  <si>
    <t>PF002471;PP000834</t>
  </si>
  <si>
    <t>12/27/2018</t>
  </si>
  <si>
    <t>AMAZON,HDDS,JCPENNEY01,KOHLDSN,MACY02,OLLIIX,OVERSTOCK01,TGTDVS</t>
  </si>
  <si>
    <t>UBHB1190</t>
  </si>
  <si>
    <t>1/16/2019</t>
  </si>
  <si>
    <t>1/30/2019</t>
  </si>
  <si>
    <t>UH10-2494</t>
  </si>
  <si>
    <t>Rust</t>
  </si>
  <si>
    <t>PP000834;PF006097</t>
  </si>
  <si>
    <t>12/30/2023</t>
  </si>
  <si>
    <t>4/12/2024</t>
  </si>
  <si>
    <t>UH10-2496</t>
  </si>
  <si>
    <t>BLK01,KOHLDSN,MACY02,OLLIIX,OVERSTOCK01</t>
  </si>
  <si>
    <t>1/18/2024</t>
  </si>
  <si>
    <t>II153-0148</t>
  </si>
  <si>
    <t>Bryson</t>
  </si>
  <si>
    <t>Dome-Shaped 2-Light Metal Table Lamp</t>
  </si>
  <si>
    <t>6/9/2023</t>
  </si>
  <si>
    <t>AMERSIGNDS,JCPENNEY01,KOHLDSN,MACY02,OLLIIX,OVERSTOCK01,ROOMECOM,ZOLA</t>
  </si>
  <si>
    <t>IKIY1133</t>
  </si>
  <si>
    <t>6/23/2023</t>
  </si>
  <si>
    <t>8/3/2023</t>
  </si>
  <si>
    <t>PET66PT6198</t>
  </si>
  <si>
    <t>PET</t>
  </si>
  <si>
    <t>PET ACCESSORIES</t>
  </si>
  <si>
    <t>Pet Accessories</t>
  </si>
  <si>
    <t>Bumpi</t>
  </si>
  <si>
    <t>Avocado</t>
  </si>
  <si>
    <t>8/17/2023</t>
  </si>
  <si>
    <t>AMAZON,AMAZONDS,KOHLDSN</t>
  </si>
  <si>
    <t>Ready To Offer</t>
  </si>
  <si>
    <t>PET66PT6195</t>
  </si>
  <si>
    <t>Hedgehog with tennis ball</t>
  </si>
  <si>
    <t>Rose Red Hedgehog</t>
  </si>
  <si>
    <t>PET66PT6194</t>
  </si>
  <si>
    <t>Teal Hedgehog</t>
  </si>
  <si>
    <t>PET66PT6199</t>
  </si>
  <si>
    <t>Tortoise Puzzle Dog Toy</t>
  </si>
  <si>
    <t>Tortoise Puzzle</t>
  </si>
  <si>
    <t>8/16/2023</t>
  </si>
  <si>
    <t>II150-0153</t>
  </si>
  <si>
    <t>LGT-CHANDELIERS</t>
  </si>
  <si>
    <t>Chandeliers</t>
  </si>
  <si>
    <t>Calista</t>
  </si>
  <si>
    <t>8-Light Metal Chandelier with Globe Bulbs</t>
  </si>
  <si>
    <t>Mid-Century</t>
  </si>
  <si>
    <t>AMERSIGNDS,OLLIIX</t>
  </si>
  <si>
    <t>IKIY1170</t>
  </si>
  <si>
    <t>AM10-0097</t>
  </si>
  <si>
    <t>Camden</t>
  </si>
  <si>
    <t>Reese</t>
  </si>
  <si>
    <t>Leighton</t>
  </si>
  <si>
    <t>Chambray Print Microfiber Comforter Set with Bed Sheets</t>
  </si>
  <si>
    <t>Gray</t>
  </si>
  <si>
    <t>PP001923;PF006139</t>
  </si>
  <si>
    <t>11/3/2023</t>
  </si>
  <si>
    <t>4/29/2025</t>
  </si>
  <si>
    <t>NGIN1188</t>
  </si>
  <si>
    <t>6/6/2024</t>
  </si>
  <si>
    <t>8/9/2024</t>
  </si>
  <si>
    <t>AM10-0110</t>
  </si>
  <si>
    <t>PP001923;PF006142</t>
  </si>
  <si>
    <t>AMAZON,AMAZONDS,HDDS,KOHLDSN,MACY02,NRTPORT,OVERSTOCK01,TGTDVS</t>
  </si>
  <si>
    <t>AM10-0111</t>
  </si>
  <si>
    <t>AMAZON,AMAZONDS,BLK01,HDDS,KOHLDSN,MACY02,NRTPORT,TGTDVS</t>
  </si>
  <si>
    <t>8/27/2024</t>
  </si>
  <si>
    <t>AM10-0112</t>
  </si>
  <si>
    <t>AMAZONDS,BLK01,KOHLDSN,MACY02,NRTPORT,OVERSTOCK01</t>
  </si>
  <si>
    <t>9/23/2024</t>
  </si>
  <si>
    <t>AM10-0105</t>
  </si>
  <si>
    <t>PP001923;PF006141</t>
  </si>
  <si>
    <t>DESINC,MACY02,NRTPORT,TGTDVS</t>
  </si>
  <si>
    <t>AM10-0106</t>
  </si>
  <si>
    <t>AM10-0108</t>
  </si>
  <si>
    <t>AMAZON,AMAZONDS,KOHLDSN,MACY02,NRTPORT,OVERSTOCK01,TGTDVS</t>
  </si>
  <si>
    <t>8/21/2024</t>
  </si>
  <si>
    <t>AM10-0101</t>
  </si>
  <si>
    <t>Sage Green</t>
  </si>
  <si>
    <t>PP001923;PF006140</t>
  </si>
  <si>
    <t>AMAZON,MACY02</t>
  </si>
  <si>
    <t>7/26/2024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</si>
  <si>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</si>
  <si>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</si>
  <si>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</si>
  <si>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</si>
  <si>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</si>
  <si>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</si>
  <si>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</si>
  <si>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AMAZON,BLK01,HDDS,KOHLDSN,MACY02,OLLIIX,OVERSTOCK01,TGTDVS</t>
  </si>
  <si>
    <t>ANDV4039</t>
  </si>
  <si>
    <t>5/29/2015</t>
  </si>
  <si>
    <t>MP108-0642</t>
  </si>
  <si>
    <t>Captiva</t>
  </si>
  <si>
    <t>Callaway</t>
  </si>
  <si>
    <t>Hastings</t>
  </si>
  <si>
    <t>Dining Side Chair (Set of 2)</t>
  </si>
  <si>
    <t>12/15/2017</t>
  </si>
  <si>
    <t>HOUZZ,KOHLDSN,OLLIIX</t>
  </si>
  <si>
    <t>NCWA1347</t>
  </si>
  <si>
    <t>1/9/2019</t>
  </si>
  <si>
    <t>2/19/2019</t>
  </si>
  <si>
    <t>MP51-8426</t>
  </si>
  <si>
    <t>BLANKET</t>
  </si>
  <si>
    <t>Blanket</t>
  </si>
  <si>
    <t>Carved Plush</t>
  </si>
  <si>
    <t>PP001953;PF006224</t>
  </si>
  <si>
    <t>Plush</t>
  </si>
  <si>
    <t>JCPENNEY01,KOHLDSN,MACY02,OVERSTOCK01,TGTDVS</t>
  </si>
  <si>
    <t>NCWA2681</t>
  </si>
  <si>
    <t>MP51-8427</t>
  </si>
  <si>
    <t>3/30/2024</t>
  </si>
  <si>
    <t>MP51-8428</t>
  </si>
  <si>
    <t>AMAZON,JCPENNEY01,KOHLDSN,MACY02,OLLIIX,TGTDVS</t>
  </si>
  <si>
    <t>MP51-8423</t>
  </si>
  <si>
    <t>PP001953;PF006223</t>
  </si>
  <si>
    <t>JCPENNEY01,MACY02,TGTDVS</t>
  </si>
  <si>
    <t>MP51-8424</t>
  </si>
  <si>
    <t>AMAZON,JCPENNEY01,KOHLDSN,MACY02,OVERSTOCK01</t>
  </si>
  <si>
    <t>MP51-8425</t>
  </si>
  <si>
    <t>11/18/2024</t>
  </si>
  <si>
    <t>MP51-8417</t>
  </si>
  <si>
    <t>PP001953;PF006221</t>
  </si>
  <si>
    <t>MP51-8418</t>
  </si>
  <si>
    <t>5/7/2025</t>
  </si>
  <si>
    <t>JCPENNEY01,KOHLDSN,MACY02,TGTDVS</t>
  </si>
  <si>
    <t>7/29/2024</t>
  </si>
  <si>
    <t>MP51-8419</t>
  </si>
  <si>
    <t>9/20/2024</t>
  </si>
  <si>
    <t>MP51-8420</t>
  </si>
  <si>
    <t>PP001953;PF006222</t>
  </si>
  <si>
    <t>AMAZON,JCPENNEY01,KOHLDSN,MACY02,TGTDVS</t>
  </si>
  <si>
    <t>MP51-8421</t>
  </si>
  <si>
    <t>10/31/2024</t>
  </si>
  <si>
    <t>MP51-8414</t>
  </si>
  <si>
    <t>PP001953;PF006220</t>
  </si>
  <si>
    <t>JCPENNEY01,KOHLDSN,MACY02,OLLIIX</t>
  </si>
  <si>
    <t>MP51-8415</t>
  </si>
  <si>
    <t>8/19/2024</t>
  </si>
  <si>
    <t>MP51-8416</t>
  </si>
  <si>
    <t>ID10-2385</t>
  </si>
  <si>
    <t>Cassiopeia</t>
  </si>
  <si>
    <t>Karissa</t>
  </si>
  <si>
    <t>Lisa</t>
  </si>
  <si>
    <t>Watercolor Tie Dye Printed Comforter Set with Throw Pillow</t>
  </si>
  <si>
    <t>PP001904;PF006265</t>
  </si>
  <si>
    <t>7/6/2024</t>
  </si>
  <si>
    <t>AMAZON,KOHLDSN,MACY02,OLLIIX</t>
  </si>
  <si>
    <t>JLZL1193</t>
  </si>
  <si>
    <t>7/27/2024</t>
  </si>
  <si>
    <t>ID10-2387</t>
  </si>
  <si>
    <t>7/5/2024</t>
  </si>
  <si>
    <t>HDDS,KOHLDSN,MACY02,OVERSTOCK01,TGTDVS</t>
  </si>
  <si>
    <t>II95C-0142</t>
  </si>
  <si>
    <t>Celestial Orbit Navy</t>
  </si>
  <si>
    <t>Silver Foil Abstract 2-piece Canvas Wall Art Set</t>
  </si>
  <si>
    <t>PP000800</t>
  </si>
  <si>
    <t>10/18/2017</t>
  </si>
  <si>
    <t>AMAZON,AMERSIGNDS,ASHFURNDS,KIRKLANDDS,OLLIIX,ROOMECOM,TGTDVS</t>
  </si>
  <si>
    <t>ORLS1051</t>
  </si>
  <si>
    <t>1/9/2018</t>
  </si>
  <si>
    <t>NS10-1848</t>
  </si>
  <si>
    <t>N Natori</t>
  </si>
  <si>
    <t>Cherry Blossom</t>
  </si>
  <si>
    <t>Multi</t>
  </si>
  <si>
    <t>PF002588</t>
  </si>
  <si>
    <t>Floral</t>
  </si>
  <si>
    <t>KOHLDSN,MACY02,OLLIIX,OVERSTOCK01</t>
  </si>
  <si>
    <t>NTI1707</t>
  </si>
  <si>
    <t>2/6/2015</t>
  </si>
  <si>
    <t>NS12-2006</t>
  </si>
  <si>
    <t>Duvet Cover Mini Set</t>
  </si>
  <si>
    <t>4/18/2017</t>
  </si>
  <si>
    <t>NTI1708</t>
  </si>
  <si>
    <t>MP50N-5512</t>
  </si>
  <si>
    <t>Chloe</t>
  </si>
  <si>
    <t>Mila</t>
  </si>
  <si>
    <t>100% Cotton Tufted Chenille Lightweight Throw With Fringe Tassel 50" x 60"</t>
  </si>
  <si>
    <t>PP000792</t>
  </si>
  <si>
    <t>BOHO</t>
  </si>
  <si>
    <t>1/15/2018</t>
  </si>
  <si>
    <t>AMAZON,BLK01,JCPENNEY01,KOHLDSN,MACY02,OLLIIX,OVERSTOCK01,TGTDVS,WALMARTDS</t>
  </si>
  <si>
    <t>OPCO7677</t>
  </si>
  <si>
    <t>3/22/2018</t>
  </si>
  <si>
    <t>4/18/2018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</si>
  <si>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</si>
  <si>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</si>
  <si>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</si>
  <si>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</si>
  <si>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</si>
  <si>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</si>
  <si>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</si>
  <si>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3/27/2024</t>
  </si>
  <si>
    <t>JLZL1330</t>
  </si>
  <si>
    <t>4/11/2024</t>
  </si>
  <si>
    <t>ID12-2328</t>
  </si>
  <si>
    <t>Floral Striped Duvet Cover Set</t>
  </si>
  <si>
    <t>JLZL1331</t>
  </si>
  <si>
    <t>7/8/2024</t>
  </si>
  <si>
    <t>ID10-2327</t>
  </si>
  <si>
    <t>AMAZON,BLK01,HDDS,JCPENNEY01,KOHLDSN,MACY02,NRTPORT,OVERSTOCK01,TGTDVS</t>
  </si>
  <si>
    <t>ID12-2329</t>
  </si>
  <si>
    <t>3/26/2024</t>
  </si>
  <si>
    <t>7/15/2024</t>
  </si>
  <si>
    <t>MT103-1208</t>
  </si>
  <si>
    <t>Martha Stewart</t>
  </si>
  <si>
    <t>Christian</t>
  </si>
  <si>
    <t>Swivel Armchair</t>
  </si>
  <si>
    <t>MSTT6180</t>
  </si>
  <si>
    <t>4/29/2024</t>
  </si>
  <si>
    <t>5/28/2024</t>
  </si>
  <si>
    <t>CCL11-0022</t>
  </si>
  <si>
    <t>Croscill Classics</t>
  </si>
  <si>
    <t>Bed Skirt&amp;Sham</t>
  </si>
  <si>
    <t>Clermont</t>
  </si>
  <si>
    <t>European Pillow Sham</t>
  </si>
  <si>
    <t>10/24/2022</t>
  </si>
  <si>
    <t>AMAZONDS,DLCROSCILL,JCPENNEY01,MACY02,OLLIIX</t>
  </si>
  <si>
    <t>CKSC1014</t>
  </si>
  <si>
    <t>3/30/2023</t>
  </si>
  <si>
    <t>5/30/2023</t>
  </si>
  <si>
    <t>HH10-480</t>
  </si>
  <si>
    <t>Coastline</t>
  </si>
  <si>
    <t>Oversized Cotton Jacquard Comforter Set</t>
  </si>
  <si>
    <t>PF003317</t>
  </si>
  <si>
    <t>Coastal/Nautical</t>
  </si>
  <si>
    <t>NRTPORT,OLLIIX</t>
  </si>
  <si>
    <t>HUH10113</t>
  </si>
  <si>
    <t>1/19/2015</t>
  </si>
  <si>
    <t>HH12-1542</t>
  </si>
  <si>
    <t>AMAZONDS,BEALLSDS,KOHLDSN,OVERSTOCK01</t>
  </si>
  <si>
    <t>HUH1736</t>
  </si>
  <si>
    <t>5/6/2016</t>
  </si>
  <si>
    <t>NS10-3653</t>
  </si>
  <si>
    <t>Cocoon</t>
  </si>
  <si>
    <t>3 Piece Quilt Top Comforter Mini Set</t>
  </si>
  <si>
    <t>PP001696;PF005609</t>
  </si>
  <si>
    <t>11/2/2021</t>
  </si>
  <si>
    <t>AMAZON,AMERSIGNDS,JCPENNEY01,KOHLDSN,OLLIIX,OVERSTOCK01</t>
  </si>
  <si>
    <t>MBSA1053</t>
  </si>
  <si>
    <t>11/19/2021</t>
  </si>
  <si>
    <t>NS12-3655</t>
  </si>
  <si>
    <t>3 Piece Quilt Top Duvet Cover Mini Set</t>
  </si>
  <si>
    <t>AMAZON,JCPENNEY01,KOHLDSN,MACY02,OLLIIX</t>
  </si>
  <si>
    <t>MBSA1054</t>
  </si>
  <si>
    <t>12/14/2021</t>
  </si>
  <si>
    <t>NS10-3654</t>
  </si>
  <si>
    <t>JCPENNEY01,KOHLDSN,MACY02,OLLIIX,OVERSTOCK01</t>
  </si>
  <si>
    <t>NS11-3657</t>
  </si>
  <si>
    <t>Quilt Top Euro Sham</t>
  </si>
  <si>
    <t>KOHLDSN,OVERSTOCK01</t>
  </si>
  <si>
    <t>MBSA1050</t>
  </si>
  <si>
    <t>MP51-8193</t>
  </si>
  <si>
    <t>Filled Blanket</t>
  </si>
  <si>
    <t>Coleman</t>
  </si>
  <si>
    <t>Campbell</t>
  </si>
  <si>
    <t>Reversible HeiQ Smart Temperature Down Alternative Blanket</t>
  </si>
  <si>
    <t>PP001231;PF005947</t>
  </si>
  <si>
    <t>4/10/2023</t>
  </si>
  <si>
    <t>AMAZON,AMAZONDS,JCPENNEY01,KOHLDSN,MACY02,NRTPORT,OVERSTOCK01,TGTDVS</t>
  </si>
  <si>
    <t>NCWA1655</t>
  </si>
  <si>
    <t>6/24/2024</t>
  </si>
  <si>
    <t>9/3/2024</t>
  </si>
  <si>
    <t>UH10-2506</t>
  </si>
  <si>
    <t>Comfort Cool Jersey Knit</t>
  </si>
  <si>
    <t>Oversized Down Alternative Comforter</t>
  </si>
  <si>
    <t>PP001912;PF006110</t>
  </si>
  <si>
    <t>Jersey</t>
  </si>
  <si>
    <t>12/6/2023</t>
  </si>
  <si>
    <t>KOHLDSN,MACY02,OLLIIX,TGTDVS</t>
  </si>
  <si>
    <t>UBHB1271</t>
  </si>
  <si>
    <t>12/11/2023</t>
  </si>
  <si>
    <t>4/9/2024</t>
  </si>
  <si>
    <t>UH10-2500</t>
  </si>
  <si>
    <t>PF006108;PP001912</t>
  </si>
  <si>
    <t>12/5/2023</t>
  </si>
  <si>
    <t>AMAZON,AMAZONDS,KOHLDSN,MACY02,OLLIIX,OVERSTOCK01,TGTDVS</t>
  </si>
  <si>
    <t>3/4/2024</t>
  </si>
  <si>
    <t>UH10-2503</t>
  </si>
  <si>
    <t>PP001912;PF006109</t>
  </si>
  <si>
    <t>11/5/2024</t>
  </si>
  <si>
    <t>UH10-2504</t>
  </si>
  <si>
    <t>AMAZON,BLK01,KOHLDSN,MACY02,OLLIIX,OVERSTOCK01,TGTDVS</t>
  </si>
  <si>
    <t>MP40-7438</t>
  </si>
  <si>
    <t>Roman Shade</t>
  </si>
  <si>
    <t>Como</t>
  </si>
  <si>
    <t>Aberdeen</t>
  </si>
  <si>
    <t>Printed Faux Silk Room Darkening Cordless Roman Shade</t>
  </si>
  <si>
    <t>35x64"</t>
  </si>
  <si>
    <t>PP001428;PF004982</t>
  </si>
  <si>
    <t>5/17/2021</t>
  </si>
  <si>
    <t>AMAZON,DESINC,HDDS,JCPENNEY01,KOHLDSN,NRTPORT,TGTDVS</t>
  </si>
  <si>
    <t>NCWA2000</t>
  </si>
  <si>
    <t>5/21/2021</t>
  </si>
  <si>
    <t>6/22/2021</t>
  </si>
  <si>
    <t>MP40-7446</t>
  </si>
  <si>
    <t>31x64"</t>
  </si>
  <si>
    <t>PP001428;PF004983</t>
  </si>
  <si>
    <t>AMAZON,KOHLDSN,OVERSTOCK01,TGTDVS</t>
  </si>
  <si>
    <t>11/1/2021</t>
  </si>
  <si>
    <t>MP40-7447</t>
  </si>
  <si>
    <t>33x64"</t>
  </si>
  <si>
    <t>AMAZON,KOHLDSN</t>
  </si>
  <si>
    <t>3/21/2023</t>
  </si>
  <si>
    <t>MP40-7449</t>
  </si>
  <si>
    <t>39x64"</t>
  </si>
  <si>
    <t>AMAZON,AMAZONDS</t>
  </si>
  <si>
    <t>7/9/2021</t>
  </si>
  <si>
    <t>II153-0023</t>
  </si>
  <si>
    <t>Contour</t>
  </si>
  <si>
    <t>Ceramic Table Lamp</t>
  </si>
  <si>
    <t>PF002798</t>
  </si>
  <si>
    <t>2/2/2025</t>
  </si>
  <si>
    <t>AMAZONDS,HDDS,HOUZZ,KIRKLANDDS,KOHLDSN,OLLIIX,OVERSTOCK01,TGTDVS</t>
  </si>
  <si>
    <t>MCRW7052</t>
  </si>
  <si>
    <t>9/26/2016</t>
  </si>
  <si>
    <t>10/11/2016</t>
  </si>
  <si>
    <t>UH95C-0030</t>
  </si>
  <si>
    <t>Cosmic Curl</t>
  </si>
  <si>
    <t>3-piece Framed Canvas Wall Art Set</t>
  </si>
  <si>
    <t>Black/Taupe</t>
  </si>
  <si>
    <t>PP001611</t>
  </si>
  <si>
    <t>2/10/2021</t>
  </si>
  <si>
    <t>AMAZON,AMERSIGNDS,HDDS,JCPENNEY01,KIRKLANDDS,LAMPDS,OLLIIX,ROOMECOM,ZOLA</t>
  </si>
  <si>
    <t>UBHB1227</t>
  </si>
  <si>
    <t>2/23/2021</t>
  </si>
  <si>
    <t>3/31/2021</t>
  </si>
  <si>
    <t>WR20-3961</t>
  </si>
  <si>
    <t>Cotton Flannel</t>
  </si>
  <si>
    <t>Black Pine Trees</t>
  </si>
  <si>
    <t>PP000952;PF006050</t>
  </si>
  <si>
    <t>Flannel</t>
  </si>
  <si>
    <t>Novelty</t>
  </si>
  <si>
    <t>7/26/2023</t>
  </si>
  <si>
    <t>AMAZON,AMAZONDS,HDDS,JCPENNEY01,KOHLDSN,MACY02,OLLIIX,OVERSTOCK01,TGTDVS</t>
  </si>
  <si>
    <t>WLR1263</t>
  </si>
  <si>
    <t>9/4/2024</t>
  </si>
  <si>
    <t>WR20-3962</t>
  </si>
  <si>
    <t>AMAZON,AMAZONDS,HDDS,JCPENNEY01,KOHLDSN,MACY02,OVERSTOCK01,TGTDVS</t>
  </si>
  <si>
    <t>WR20-2280</t>
  </si>
  <si>
    <t>Blue Sheep</t>
  </si>
  <si>
    <t>PP000952;PF004384</t>
  </si>
  <si>
    <t>8/7/2018</t>
  </si>
  <si>
    <t>AAFESDS,AMAZON,AMAZONDS,BLK01,FINGERHUTDS,HDDS,JCPENNEY01,KOHLDSN,MACY02,OLLIIX,OVERSTOCK01,TGTDVS</t>
  </si>
  <si>
    <t>9/5/2018</t>
  </si>
  <si>
    <t>10/29/2018</t>
  </si>
  <si>
    <t>WR20-2281</t>
  </si>
  <si>
    <t>PP000952;PF004385</t>
  </si>
  <si>
    <t>AMAZON,AMAZONDS,BLK01,FINGERHUTDS,JCPENNEY01,KOHLDSN,MACY02,OVERSTOCK01</t>
  </si>
  <si>
    <t>10/23/2018</t>
  </si>
  <si>
    <t>WR20-1796</t>
  </si>
  <si>
    <t>Brown Plaid</t>
  </si>
  <si>
    <t>PF002272</t>
  </si>
  <si>
    <t>AMAZON,AMAZONDS,BLK01,HDDS,HSNDS,JCPENNEY01,KOHLDSN,MACY02,OLLIIX,OVERSTOCK01,TGTDVS</t>
  </si>
  <si>
    <t>9/6/2016</t>
  </si>
  <si>
    <t>WR20-1798</t>
  </si>
  <si>
    <t>AMAZON,AMAZONDS,FINGERHUTDS,HDDS,JCPENNEY01,KOHLDSN,MACY02,OVERSTOCK01,TGTDVS</t>
  </si>
  <si>
    <t>10/13/2016</t>
  </si>
  <si>
    <t>WR20-3957</t>
  </si>
  <si>
    <t>Green Tree Trip</t>
  </si>
  <si>
    <t>PP000952;PF006049</t>
  </si>
  <si>
    <t>11/29/2023</t>
  </si>
  <si>
    <t>WR20-2282</t>
  </si>
  <si>
    <t>Grey Moose</t>
  </si>
  <si>
    <t>AAFESDS,BLK01,FINGERHUTDS,JCPENNEY01,KOHLDSN,MACY02,OVERSTOCK01,WALMARTDS</t>
  </si>
  <si>
    <t>10/24/2018</t>
  </si>
  <si>
    <t>WR20-2283</t>
  </si>
  <si>
    <t>AMAZON,BLK01,HDDS,JCPENNEY01,KOHLDSN,MACY02,OLLIIX,OVERSTOCK01</t>
  </si>
  <si>
    <t>11/1/2018</t>
  </si>
  <si>
    <t>WR20-2047</t>
  </si>
  <si>
    <t>Grey Plaid</t>
  </si>
  <si>
    <t>PF002307</t>
  </si>
  <si>
    <t>9/29/2017</t>
  </si>
  <si>
    <t>AMAZON,BLK01,FINGERHUTDS,HDDS,JCPENNEY01,KOHLDSN,MACY02,OLLIIX,OVERSTOCK01,TGTDVS</t>
  </si>
  <si>
    <t>10/12/2017</t>
  </si>
  <si>
    <t>WR20-2286</t>
  </si>
  <si>
    <t>Red/Black Buffalo Check</t>
  </si>
  <si>
    <t>AAFESDS,AMAZONDS,BLK01,DESINC,FINGERHUTDS,HDDS,JCPENNEY01,KOHLDSN,MACY02,OVERSTOCK01,TGTDVS,WALMARTDS</t>
  </si>
  <si>
    <t>WR20-2071</t>
  </si>
  <si>
    <t>Tan Cars</t>
  </si>
  <si>
    <t>PF002312</t>
  </si>
  <si>
    <t>9/28/2017</t>
  </si>
  <si>
    <t>AMAZON,BLK01,HDDS,JCPENNEY01,KOHLDSN,MACY02,OVERSTOCK01,TGTDVS,WALMARTDS</t>
  </si>
  <si>
    <t>11/15/2017</t>
  </si>
  <si>
    <t>WR20-2072</t>
  </si>
  <si>
    <t>BLK01,JCPENNEY01,KOHLDSN,MACY02,OVERSTOCK01,TGTDVS</t>
  </si>
  <si>
    <t>11/8/2017</t>
  </si>
  <si>
    <t>WR20-2041</t>
  </si>
  <si>
    <t>PF002305</t>
  </si>
  <si>
    <t>AMAZON,AMAZONDS,BLK01,FINGERHUTDS,HDDS,JCPENNEY01,KOHLDSN,MACY02,OLLIIX,OVERSTOCK01,TGTDVS,WALMARTDS</t>
  </si>
  <si>
    <t>11/13/2017</t>
  </si>
  <si>
    <t>WR20-2042</t>
  </si>
  <si>
    <t>AMAZON,FINGERHUTDS,JCPENNEY01,MACY02</t>
  </si>
  <si>
    <t>11/14/2017</t>
  </si>
  <si>
    <t>WR20-2069</t>
  </si>
  <si>
    <t>Tan Dog</t>
  </si>
  <si>
    <t>PF002311</t>
  </si>
  <si>
    <t>AMAZON,AMAZONDS,BLK01,HDDS,JCPENNEY01,KOHLDSN,MACY02,OVERSTOCK01,TGTDVS,WALMARTDS</t>
  </si>
  <si>
    <t>12/3/2018</t>
  </si>
  <si>
    <t>WR20-2070</t>
  </si>
  <si>
    <t>AMAZON,BLK01,DESINC,FINGERHUTDS,JCPENNEY01,KOHLDSN,MACY02,OVERSTOCK01,TGTDVS,WALMARTDS</t>
  </si>
  <si>
    <t>11/20/2017</t>
  </si>
  <si>
    <t>WR20-2038</t>
  </si>
  <si>
    <t>PF002304</t>
  </si>
  <si>
    <t>AMAZONDS,DESINC,JCPENNEY01,KOHLDSN,MACY02,OLLIIX,OVERSTOCK01,TGTDVS,WALMARTDS</t>
  </si>
  <si>
    <t>12/4/2017</t>
  </si>
  <si>
    <t>WR20-2039</t>
  </si>
  <si>
    <t>9/21/2017</t>
  </si>
  <si>
    <t>AMAZON,BLK01,FINGERHUTDS,JCPENNEY01,KOHLDSN,MACY02,OLLIIX,OVERSTOCK01,TGTDVS</t>
  </si>
  <si>
    <t>TN20-0363</t>
  </si>
  <si>
    <t>True North by Sleep Philosophy</t>
  </si>
  <si>
    <t>Cozy Cotton Flannel</t>
  </si>
  <si>
    <t>Printed Sheet Set</t>
  </si>
  <si>
    <t>Aqua Dots</t>
  </si>
  <si>
    <t>PP000954;PF004388</t>
  </si>
  <si>
    <t>Polka Dots</t>
  </si>
  <si>
    <t>8/29/2018</t>
  </si>
  <si>
    <t>AMAZON,AMAZONDS,BLK01,JCPENNEY01,KOHLDSN,MACY02,NRTPORT,OLLIIX,TGTDVS</t>
  </si>
  <si>
    <t>HLDY4705</t>
  </si>
  <si>
    <t>10/3/2018</t>
  </si>
  <si>
    <t>12/31/2019</t>
  </si>
  <si>
    <t>TN20-0221</t>
  </si>
  <si>
    <t>Aqua French Bulldog</t>
  </si>
  <si>
    <t>PF002289</t>
  </si>
  <si>
    <t>2/11/2025</t>
  </si>
  <si>
    <t>AMAZON,AMAZONDS,BLK01,DESINC,JCPENNEY01,KOHLDSN,MACY02,OLLIIX,TGTDVS</t>
  </si>
  <si>
    <t>8/4/2019</t>
  </si>
  <si>
    <t>TN20-0225</t>
  </si>
  <si>
    <t>AMAZON,AMAZONDS,BLK01,JCPENNEY01,KOHLDSN,MACY02,OVERSTOCK01,TGTDVS</t>
  </si>
  <si>
    <t>11/26/2019</t>
  </si>
  <si>
    <t>TN20-0226</t>
  </si>
  <si>
    <t>AMAZON,AMAZONDS,BLK01,JCPENNEY01,KOHLDSN,MACY02,TGTDVS</t>
  </si>
  <si>
    <t>1/11/2021</t>
  </si>
  <si>
    <t>TN20-0411</t>
  </si>
  <si>
    <t>Bear</t>
  </si>
  <si>
    <t>PP000954;PF004714</t>
  </si>
  <si>
    <t>7/25/2019</t>
  </si>
  <si>
    <t>AMAZON,AMAZONDS,BLK01,DESINC,FINGERHUTDS,JCPENNEY01,KOHLDSN,MACY02,OLLIIX,OVERSTOCK01,TGTDVS</t>
  </si>
  <si>
    <t>9/11/2019</t>
  </si>
  <si>
    <t>11/11/2019</t>
  </si>
  <si>
    <t>TN20-0412</t>
  </si>
  <si>
    <t>AMAZON,AMAZONDS,BLK01,JCPENNEY01,KOHLDSN,MACY02,TGTDVS,WALMARTDS</t>
  </si>
  <si>
    <t>11/5/2019</t>
  </si>
  <si>
    <t>TN20-0413</t>
  </si>
  <si>
    <t>AMAZON,AMAZONDS,BLK01,JCPENNEY01,KOHLDSN,MACY02,OLLIIX,OVERSTOCK01,TGTDVS</t>
  </si>
  <si>
    <t>11/1/2019</t>
  </si>
  <si>
    <t>TN20-0414</t>
  </si>
  <si>
    <t>11/4/2019</t>
  </si>
  <si>
    <t>TN20-0383</t>
  </si>
  <si>
    <t>Blue Forest</t>
  </si>
  <si>
    <t>PP000954;PF004392</t>
  </si>
  <si>
    <t>2/6/2025</t>
  </si>
  <si>
    <t>9/10/2018</t>
  </si>
  <si>
    <t>TN20-0385</t>
  </si>
  <si>
    <t>11/9/2018</t>
  </si>
  <si>
    <t>TN20-0386</t>
  </si>
  <si>
    <t>11/12/2018</t>
  </si>
  <si>
    <t>TN20-0246</t>
  </si>
  <si>
    <t>Blue Geo</t>
  </si>
  <si>
    <t>PF002292</t>
  </si>
  <si>
    <t>AMAZON,BLK01,JCPENNEY01,KOHLDSN,MACY02,OVERSTOCK01,TGTDVS,WALMARTDS</t>
  </si>
  <si>
    <t>11/18/2019</t>
  </si>
  <si>
    <t>TN20-0263</t>
  </si>
  <si>
    <t>Blue Polar Bears</t>
  </si>
  <si>
    <t>PF002295</t>
  </si>
  <si>
    <t>AMAZON,AMAZONDS,BLK01,DESINC,HSNDS,JCPENNEY01,KOHLDSN,MACY02,NRTPORT,OLLIIX,OVERSTOCK01,WALMARTDS</t>
  </si>
  <si>
    <t>TN20-0122</t>
  </si>
  <si>
    <t>Blue Solid</t>
  </si>
  <si>
    <t>PF002288</t>
  </si>
  <si>
    <t>AMAZON,BLK01,FINGERHUTDS,JCPENNEY01,KOHLDSN,MACY02,NRTPORT,TGTDVS,WALMARTDS</t>
  </si>
  <si>
    <t>9/20/2016</t>
  </si>
  <si>
    <t>TN20-0512</t>
  </si>
  <si>
    <t>Gray Skiers</t>
  </si>
  <si>
    <t>PP000954;PF006047</t>
  </si>
  <si>
    <t>8/30/2023</t>
  </si>
  <si>
    <t>AMAZON,AMAZONDS,BLK01,JCPENNEY01,KOHLDSN,MACY02,NRTPORT,OVERSTOCK01,TGTDVS</t>
  </si>
  <si>
    <t>2/26/2024</t>
  </si>
  <si>
    <t>TN20-0515</t>
  </si>
  <si>
    <t>AMAZON,AMAZONDS,KOHLDSN,MACY02,OVERSTOCK01,TGTDVS</t>
  </si>
  <si>
    <t>TN20-0516</t>
  </si>
  <si>
    <t>Gray/Taupe Nordic</t>
  </si>
  <si>
    <t>PP000954;PF006048</t>
  </si>
  <si>
    <t>8/19/2023</t>
  </si>
  <si>
    <t>AMAZON,AMAZONDS,BLK01,DESINC,JCPENNEY01,KOHLDSN,MACY02,OVERSTOCK01,TGTDVS</t>
  </si>
  <si>
    <t>TN20-0517</t>
  </si>
  <si>
    <t>AMAZON,AMAZONDS,DESINC,OVERSTOCK01,TGTDVS</t>
  </si>
  <si>
    <t>TN20-0518</t>
  </si>
  <si>
    <t>10/30/2024</t>
  </si>
  <si>
    <t>TN20-0519</t>
  </si>
  <si>
    <t>8/22/2023</t>
  </si>
  <si>
    <t>AMAZON,AMAZONDS,OVERSTOCK01,TGTDVS</t>
  </si>
  <si>
    <t>11/7/2023</t>
  </si>
  <si>
    <t>TN20-0520</t>
  </si>
  <si>
    <t>AMAZON,AMAZONDS,JCPENNEY01,KOHLDSN,MACY02,NRTPORT,OLLIIX,OVERSTOCK01,TGTDVS</t>
  </si>
  <si>
    <t>TN20-0521</t>
  </si>
  <si>
    <t>10/7/2024</t>
  </si>
  <si>
    <t>TN20-0377</t>
  </si>
  <si>
    <t>Grey Dogs</t>
  </si>
  <si>
    <t>PP000954;PF004390</t>
  </si>
  <si>
    <t>AMAZON,AMAZONDS,JCPENNEY01,KOHLDSN,MACY02,TGTDVS,WALMARTDS</t>
  </si>
  <si>
    <t>9/11/2018</t>
  </si>
  <si>
    <t>11/25/2019</t>
  </si>
  <si>
    <t>TN20-0379</t>
  </si>
  <si>
    <t>AMAZON,AMAZONDS,BLK01,FINGERHUTDS,JCPENNEY01,KOHLDSN,MACY02,OVERSTOCK01,TGTDVS,WALMARTDS</t>
  </si>
  <si>
    <t>11/7/2018</t>
  </si>
  <si>
    <t>TN20-0380</t>
  </si>
  <si>
    <t>12/4/2018</t>
  </si>
  <si>
    <t>TN20-0357</t>
  </si>
  <si>
    <t>Grey Dots</t>
  </si>
  <si>
    <t>PP000954;PF004387</t>
  </si>
  <si>
    <t>1/17/2020</t>
  </si>
  <si>
    <t>TN20-0239</t>
  </si>
  <si>
    <t>Grey Geo</t>
  </si>
  <si>
    <t>PF002291</t>
  </si>
  <si>
    <t>AMAZON,AMAZONDS,BLK01,FINGERHUTDS,JCPENNEY01,KOHLDSN,MACY02,OLLIIX,OVERSTOCK01,TGTDVS</t>
  </si>
  <si>
    <t>TN20-0241</t>
  </si>
  <si>
    <t>AMAZON,AMAZONDS,BLK01,FINGERHUTDS,JCPENNEY01,KOHLDSN,MACY02,OLLIIX,OVERSTOCK01,TGTDVS,WALMARTDS</t>
  </si>
  <si>
    <t>TN20-0244</t>
  </si>
  <si>
    <t>TN20-0367</t>
  </si>
  <si>
    <t>Grey Penguins</t>
  </si>
  <si>
    <t>PP000954;PF004389</t>
  </si>
  <si>
    <t>AMAZONDS,BLK01,FINGERHUTDS,JCPENNEY01,KOHLDSN,MACY02,NRTPORT,OLLIIX,TGTDVS</t>
  </si>
  <si>
    <t>10/10/2018</t>
  </si>
  <si>
    <t>TN20-0368</t>
  </si>
  <si>
    <t>AMAZON,AMAZONDS,BLK01,JCPENNEY01,KOHLDSN,MACY02,OLLIIX,OVERSTOCK01</t>
  </si>
  <si>
    <t>11/15/2018</t>
  </si>
  <si>
    <t>TN20-0369</t>
  </si>
  <si>
    <t>AMAZON,AMAZONDS,BLK01,FINGERHUTDS,JCPENNEY01,KOHLDSN,MACY02,OVERSTOCK01,TGTDVS</t>
  </si>
  <si>
    <t>11/6/2018</t>
  </si>
  <si>
    <t>TN20-0106</t>
  </si>
  <si>
    <t>Grey Solid</t>
  </si>
  <si>
    <t>PF002287</t>
  </si>
  <si>
    <t>AMAZON,AMAZONDS,BLK01,FINGERHUTDS,JCPENNEY01,KOHLDSN,MACY02,OLLIIX,TGTDVS</t>
  </si>
  <si>
    <t>9/20/2018</t>
  </si>
  <si>
    <t>TN20-0107</t>
  </si>
  <si>
    <t>AMAZON,BLK01,JCPENNEY01,KOHLDSN,MACY02,OLLIIX,OVERSTOCK01,TGTDVS</t>
  </si>
  <si>
    <t>9/19/2018</t>
  </si>
  <si>
    <t>TN20-0110</t>
  </si>
  <si>
    <t>TN20-0111</t>
  </si>
  <si>
    <t>Ivory Solid</t>
  </si>
  <si>
    <t>PF002286</t>
  </si>
  <si>
    <t>9/20/2017</t>
  </si>
  <si>
    <t>AMAZON,BLK01,JCPENNEY01,KOHLDSN,MACY02,OLLIIX,TGTDVS,WALMARTDS</t>
  </si>
  <si>
    <t>9/24/2018</t>
  </si>
  <si>
    <t>TN20-0114</t>
  </si>
  <si>
    <t>11/25/2016</t>
  </si>
  <si>
    <t>TN20-0115</t>
  </si>
  <si>
    <t>TN20-0269</t>
  </si>
  <si>
    <t>Multi Forest Animals</t>
  </si>
  <si>
    <t>PF002296</t>
  </si>
  <si>
    <t>AMAZON,AMAZONDS,BLK01,JCPENNEY01,KOHLDSN,MACY02,OVERSTOCK01,TGTDVS,WALMARTDS</t>
  </si>
  <si>
    <t>TN20-0270</t>
  </si>
  <si>
    <t>AMAZON,BLK01,DESINC,JCPENNEY01,KOHLDSN,MACY02,OVERSTOCK01,TGTDVS,WALMARTDS</t>
  </si>
  <si>
    <t>10/4/2018</t>
  </si>
  <si>
    <t>TN20-0271</t>
  </si>
  <si>
    <t>AMAZON,AMAZONDS,BLK01,JCPENNEY01,KOHLDSN,MACY02,OLLIIX,TGTDVS,WALMARTDS</t>
  </si>
  <si>
    <t>TN20-0273</t>
  </si>
  <si>
    <t>TN20-0251</t>
  </si>
  <si>
    <t>Multi Leaves</t>
  </si>
  <si>
    <t>PF002294</t>
  </si>
  <si>
    <t>AMAZON,AMAZONDS,JCPENNEY01,KOHLDSN,MACY02,OVERSTOCK01,WALMARTDS</t>
  </si>
  <si>
    <t>TN20-0255</t>
  </si>
  <si>
    <t>AMAZON,AMAZONDS,BLK01,FINGERHUTDS,JCPENNEY01,KOHLDSN,MACY02,NRTPORT,OLLIIX,OVERSTOCK01,TGTDVS</t>
  </si>
  <si>
    <t>11/28/2017</t>
  </si>
  <si>
    <t>TN20-0373</t>
  </si>
  <si>
    <t>Multi Sloth</t>
  </si>
  <si>
    <t>PP000954;PF004391</t>
  </si>
  <si>
    <t>BLK01,FINGERHUTDS,JCPENNEY01,KOHLDSN,MACY02,NRTPORT,OVERSTOCK01,TGTDVS,WALMARTDS</t>
  </si>
  <si>
    <t>10/17/2019</t>
  </si>
  <si>
    <t>TN20-0374</t>
  </si>
  <si>
    <t>AMAZONDS,BLK01,JCPENNEY01,KOHLDSN,MACY02,NRTPORT,OVERSTOCK01,TGTDVS,WALMARTDS</t>
  </si>
  <si>
    <t>10/28/2020</t>
  </si>
  <si>
    <t>TN20-0375</t>
  </si>
  <si>
    <t>AMAZON,AMAZONDS,BLK01,DESINC,JCPENNEY01,KOHLDSN,MACY02,NRTPORT,OVERSTOCK01,TGTDVS,WALMARTDS</t>
  </si>
  <si>
    <t>TN20-0227</t>
  </si>
  <si>
    <t>Pink French Bulldog</t>
  </si>
  <si>
    <t>PF002290</t>
  </si>
  <si>
    <t>AMAZON,AMAZONDS,DESINC,JCPENNEY01,KOHLDSN,MACY02,OLLIIX,OVERSTOCK01,TGTDVS</t>
  </si>
  <si>
    <t>1/11/2019</t>
  </si>
  <si>
    <t>TN20-0228</t>
  </si>
  <si>
    <t>AMAZON,BLK01,DESINC,FINGERHUTDS,JCPENNEY01,KOHLDSN,MACY02,OVERSTOCK01,TGTDVS</t>
  </si>
  <si>
    <t>1/29/2019</t>
  </si>
  <si>
    <t>TN20-0229</t>
  </si>
  <si>
    <t>AMAZON,BLK01,JCPENNEY01,KOHLDSN,MACY02,NRTPORT,OVERSTOCK01,TGTDVS</t>
  </si>
  <si>
    <t>11/22/2017</t>
  </si>
  <si>
    <t>TN20-0231</t>
  </si>
  <si>
    <t>AMAZON,BLK01,DESINC,FINGERHUTDS,JCPENNEY01,KOHLDSN,MACY02,NRTPORT,OLLIIX,TGTDVS</t>
  </si>
  <si>
    <t>6/17/2020</t>
  </si>
  <si>
    <t>TN20-0275</t>
  </si>
  <si>
    <t>Pink Plaid</t>
  </si>
  <si>
    <t>PF002297</t>
  </si>
  <si>
    <t>TN20-0279</t>
  </si>
  <si>
    <t>11/30/2017</t>
  </si>
  <si>
    <t>TN20-0076</t>
  </si>
  <si>
    <t>Red Plaid</t>
  </si>
  <si>
    <t>PF002279</t>
  </si>
  <si>
    <t>AMAZON,AMAZONDS,BLK01,FINGERHUTDS,JCPENNEY01,KOHLDSN,MACY02,NRTPORT,OLLIIX,OVERSTOCK01,TGTDVS,WALMARTDS</t>
  </si>
  <si>
    <t>9/19/2016</t>
  </si>
  <si>
    <t>12/11/2016</t>
  </si>
  <si>
    <t>TN20-0080</t>
  </si>
  <si>
    <t>9/8/2017</t>
  </si>
  <si>
    <t>12/27/2016</t>
  </si>
  <si>
    <t>TN20-0405</t>
  </si>
  <si>
    <t>Seafoam Llama</t>
  </si>
  <si>
    <t>PP000954;PF004713</t>
  </si>
  <si>
    <t>11/12/2019</t>
  </si>
  <si>
    <t>TN20-0407</t>
  </si>
  <si>
    <t>10/19/2019</t>
  </si>
  <si>
    <t>TN20-0408</t>
  </si>
  <si>
    <t>AMAZON,BLK01,JCPENNEY01,KOHLDSN,MACY02,NRTPORT,OLLIIX,OVERSTOCK01,TGTDVS</t>
  </si>
  <si>
    <t>10/31/2019</t>
  </si>
  <si>
    <t>TN20-0409</t>
  </si>
  <si>
    <t>AMAZON,AMAZONDS,BLK01,DESINC,FINGERHUTDS,JCPENNEY01,KOHLDSN,MACY02,OVERSTOCK01,TGTDVS,WALMARTDS</t>
  </si>
  <si>
    <t>10/30/2019</t>
  </si>
  <si>
    <t>TN20-0210</t>
  </si>
  <si>
    <t>Tan Plaid</t>
  </si>
  <si>
    <t>PF002278</t>
  </si>
  <si>
    <t>9/7/2017</t>
  </si>
  <si>
    <t>TN20-0072</t>
  </si>
  <si>
    <t>AMAZON,AMAZONDS,BLK01,DESINC,FINGERHUTDS,HSNDS,JCPENNEY01,KOHLDSN,MACY02,OVERSTOCK01,TGTDVS</t>
  </si>
  <si>
    <t>TN20-0075</t>
  </si>
  <si>
    <t>5/5/2017</t>
  </si>
  <si>
    <t>AMAZON,BLK01,JCPENNEY01,KOHLDSN,MACY02,TGTDVS</t>
  </si>
  <si>
    <t>12/15/2016</t>
  </si>
  <si>
    <t>TN20-0116</t>
  </si>
  <si>
    <t>Tan Solid</t>
  </si>
  <si>
    <t>PF002285</t>
  </si>
  <si>
    <t>AMAZON,BLK01,DESINC,JCPENNEY01,KOHLDSN,MACY02,NRTPORT,OVERSTOCK01,TGTDVS,WALMARTDS</t>
  </si>
  <si>
    <t>6/15/2018</t>
  </si>
  <si>
    <t>TN20-0117</t>
  </si>
  <si>
    <t>AMAZON,BLK01,DESINC,JCPENNEY01,KOHLDSN,MACY02,NRTPORT,OLLIIX,OVERSTOCK01,TGTDVS</t>
  </si>
  <si>
    <t>8/1/2018</t>
  </si>
  <si>
    <t>TN20-0119</t>
  </si>
  <si>
    <t>TN20-0120</t>
  </si>
  <si>
    <t>AMAZON,BLK01,KOHLDSN,MACY02,NRTPORT,OVERSTOCK01,TGTDVS</t>
  </si>
  <si>
    <t>10/14/2018</t>
  </si>
  <si>
    <t>ID20-2044</t>
  </si>
  <si>
    <t>Cozy Soft</t>
  </si>
  <si>
    <t>Cotton Flannel Printed Sheet Set</t>
  </si>
  <si>
    <t>Grey Sloths</t>
  </si>
  <si>
    <t>PP000944;PF005497</t>
  </si>
  <si>
    <t>9/15/2021</t>
  </si>
  <si>
    <t>AMAZONDS,FINGERHUTDS,JCPENNEY01,KOHLDSN,MACY02,OLLIIX,OVERSTOCK01,TGTDVS</t>
  </si>
  <si>
    <t>JLZL1042</t>
  </si>
  <si>
    <t>10/18/2021</t>
  </si>
  <si>
    <t>2/7/2022</t>
  </si>
  <si>
    <t>ID20-1541</t>
  </si>
  <si>
    <t>Grey Stars</t>
  </si>
  <si>
    <t>PP000944;PF004353</t>
  </si>
  <si>
    <t>6/21/2018</t>
  </si>
  <si>
    <t>1/18/2025</t>
  </si>
  <si>
    <t>AMAZON,AMAZONDS,BLK01,JCPENNEY01,KOHLDSN,MACY02,OLLIIX,OVERSTOCK01,WALMARTDS</t>
  </si>
  <si>
    <t>7/24/2018</t>
  </si>
  <si>
    <t>1/7/2020</t>
  </si>
  <si>
    <t>ID20-1552</t>
  </si>
  <si>
    <t>Grey/Pink Cats</t>
  </si>
  <si>
    <t>PP000944;PF004356</t>
  </si>
  <si>
    <t>AMAZON,AMAZONDS,HDDS,KOHLDSN,MACY02,TGTDVS</t>
  </si>
  <si>
    <t>ID20-1559</t>
  </si>
  <si>
    <t>Grey/Pink Dots</t>
  </si>
  <si>
    <t>PP000944;PF004357</t>
  </si>
  <si>
    <t>ID20-1534</t>
  </si>
  <si>
    <t>Pink Llamas</t>
  </si>
  <si>
    <t>PP000944;PF004351</t>
  </si>
  <si>
    <t>8/27/2018</t>
  </si>
  <si>
    <t>ID20-1750</t>
  </si>
  <si>
    <t>Pink/Grey Hedgehogs</t>
  </si>
  <si>
    <t>PP000944;PF004717</t>
  </si>
  <si>
    <t>AMAZONDS,FINGERHUTDS,JCPENNEY01,KOHLDSN,MACY02,TGTDVS,WALMARTDS</t>
  </si>
  <si>
    <t>8/24/2020</t>
  </si>
  <si>
    <t>ID20-1548</t>
  </si>
  <si>
    <t>Seafoam Foxes</t>
  </si>
  <si>
    <t>PP000944;PF004355</t>
  </si>
  <si>
    <t>10/1/2018</t>
  </si>
  <si>
    <t>ID20-1549</t>
  </si>
  <si>
    <t>AMAZON,JCPENNEY01,MACY02,TGTDVS,WALMARTDS</t>
  </si>
  <si>
    <t>ID20-1551</t>
  </si>
  <si>
    <t>AMAZON,AMAZONDS,FINGERHUTDS,JCPENNEY01,KOHLDSN,MACY02,NRTPORT,OLLIIX,TGTDVS,WALMARTDS</t>
  </si>
  <si>
    <t>ID10-176</t>
  </si>
  <si>
    <t>Daryl</t>
  </si>
  <si>
    <t>Chet</t>
  </si>
  <si>
    <t>Comforter Set</t>
  </si>
  <si>
    <t>PF001601</t>
  </si>
  <si>
    <t>AMERSIGNDS,ASHFURNDS,BLK01,KOHLDSN,MACY02,NRTPORT,OLLIIX,OVERSTOCK01,TGTDVS</t>
  </si>
  <si>
    <t>THRE7493</t>
  </si>
  <si>
    <t>MP12-390</t>
  </si>
  <si>
    <t>Dawn</t>
  </si>
  <si>
    <t>Vanessa</t>
  </si>
  <si>
    <t>Stella</t>
  </si>
  <si>
    <t>9 Piece Cotton Percale Duvet Cover Set</t>
  </si>
  <si>
    <t>PF003403;PP000407</t>
  </si>
  <si>
    <t>Percale</t>
  </si>
  <si>
    <t>9</t>
  </si>
  <si>
    <t>Vintage/Shabby Chic</t>
  </si>
  <si>
    <t>Shabby Chic|Transitional</t>
  </si>
  <si>
    <t>ATGR7044</t>
  </si>
  <si>
    <t>1/4/2015</t>
  </si>
  <si>
    <t>ID12-1593</t>
  </si>
  <si>
    <t>Dorsey</t>
  </si>
  <si>
    <t>Renee</t>
  </si>
  <si>
    <t>Hannah</t>
  </si>
  <si>
    <t>Floral Print Duvet Cover Set</t>
  </si>
  <si>
    <t>Black/White</t>
  </si>
  <si>
    <t>PF004478;PP001844</t>
  </si>
  <si>
    <t>AMAZON,DESINC,JCPENNEY01,MACY02</t>
  </si>
  <si>
    <t>JLZL1059</t>
  </si>
  <si>
    <t>10/17/2018</t>
  </si>
  <si>
    <t>BR51-4440</t>
  </si>
  <si>
    <t>Beautyrest</t>
  </si>
  <si>
    <t>Dream Soft</t>
  </si>
  <si>
    <t>PP001948;PF006208</t>
  </si>
  <si>
    <t>Polyester</t>
  </si>
  <si>
    <t>3/6/2024</t>
  </si>
  <si>
    <t>TCKF1648</t>
  </si>
  <si>
    <t>4/1/2024</t>
  </si>
  <si>
    <t>5/16/2024</t>
  </si>
  <si>
    <t>BR51-4441</t>
  </si>
  <si>
    <t>AMAZON,BLOOM02,JCPENNEY01,KOHLDSN,MACY02,OVERSTOCK01,TGTDVS</t>
  </si>
  <si>
    <t>BR51-4446</t>
  </si>
  <si>
    <t>Navy Blue</t>
  </si>
  <si>
    <t>PP001948;PF006210</t>
  </si>
  <si>
    <t>2/10/2025</t>
  </si>
  <si>
    <t>BLK01,JCPENNEY01,KOHLDSN,MACY02,TGTDVS</t>
  </si>
  <si>
    <t>BR51-4443</t>
  </si>
  <si>
    <t>PP001948;PF006209</t>
  </si>
  <si>
    <t>3/5/2024</t>
  </si>
  <si>
    <t>8/15/2024</t>
  </si>
  <si>
    <t>BR51-4444</t>
  </si>
  <si>
    <t>AMAZON,BLOOM02,JCPENNEY01,KOHLDSN,MACY02,OLLIIX,OVERSTOCK01,TGTDVS</t>
  </si>
  <si>
    <t>6/17/2024</t>
  </si>
  <si>
    <t>BR51-4445</t>
  </si>
  <si>
    <t>AMAZON,BLOOM02,DESINC,JCPENNEY01,KOHLDSN,MACY02,OLLIIX,OVERSTOCK01</t>
  </si>
  <si>
    <t>5/31/2024</t>
  </si>
  <si>
    <t>BR51-4437</t>
  </si>
  <si>
    <t>PP001948;PF006207</t>
  </si>
  <si>
    <t>AMAZON,BLK01,JCPENNEY01,KOHLDSN,MACY02</t>
  </si>
  <si>
    <t>BR51-4438</t>
  </si>
  <si>
    <t>BLK01,BLOOM02,JCPENNEY01,KOHLDSN,MACY02</t>
  </si>
  <si>
    <t>BR51-4439</t>
  </si>
  <si>
    <t>II95G-0156</t>
  </si>
  <si>
    <t>Dreaming</t>
  </si>
  <si>
    <t>Abstract Landscape Diptych 2-Piece Framed Glass Wall Art Set</t>
  </si>
  <si>
    <t>Blue/Multi</t>
  </si>
  <si>
    <t>KIRKLANDDS,OLLIIX,OVERSTOCK01</t>
  </si>
  <si>
    <t>IKIY1145</t>
  </si>
  <si>
    <t>10/19/2023</t>
  </si>
  <si>
    <t>3/1/2024</t>
  </si>
  <si>
    <t>MP30-3000</t>
  </si>
  <si>
    <t>NORMAL PILLOW</t>
  </si>
  <si>
    <t>Other Pillows</t>
  </si>
  <si>
    <t>Duke</t>
  </si>
  <si>
    <t>York</t>
  </si>
  <si>
    <t>Faux Fur Square Pillow</t>
  </si>
  <si>
    <t>PF003567;PP000412</t>
  </si>
  <si>
    <t>Faux Fur</t>
  </si>
  <si>
    <t>ASHFURNDS,BLK01,FINGERHUTDS,JCPENNEY01,KOHLDSN,MACY02,OLLIIX,OVERSTOCK01,TGTDVS</t>
  </si>
  <si>
    <t>MRCR5883</t>
  </si>
  <si>
    <t>BR54-0191</t>
  </si>
  <si>
    <t>ELECT BLANKET</t>
  </si>
  <si>
    <t>Electric Blanket</t>
  </si>
  <si>
    <t>Electric Micro Fleece</t>
  </si>
  <si>
    <t>Heated Blanket</t>
  </si>
  <si>
    <t>PF003414</t>
  </si>
  <si>
    <t>Fleece</t>
  </si>
  <si>
    <t>AAFESDS,AMAZON,ASHFURNDS,BLK01,KOHLDSN,MACY02,OLLIIX,OVERSTOCK01,TGTDVS,WALMARTDS</t>
  </si>
  <si>
    <t>BTY1023</t>
  </si>
  <si>
    <t>12/31/2015</t>
  </si>
  <si>
    <t>2/13/2015</t>
  </si>
  <si>
    <t>BR54-0187</t>
  </si>
  <si>
    <t>PF003639</t>
  </si>
  <si>
    <t>AMAZON,AMAZONDS,BLOOM02,HDDS,KOHLDSN,MACY02,OVERSTOCK01,TGTDVS,WALMARTDS</t>
  </si>
  <si>
    <t>2/2/2015</t>
  </si>
  <si>
    <t>MP50-3255</t>
  </si>
  <si>
    <t>Elma</t>
  </si>
  <si>
    <t>Celia</t>
  </si>
  <si>
    <t>Oversized Textured Plush Throw</t>
  </si>
  <si>
    <t>60x70"</t>
  </si>
  <si>
    <t>PF003442</t>
  </si>
  <si>
    <t>4/15/2017</t>
  </si>
  <si>
    <t>1/16/2025</t>
  </si>
  <si>
    <t>BLK01,FINGERHUTDS,JCPENNEY01,KOHLDSN,MACY02,OLLIIX</t>
  </si>
  <si>
    <t>THRE8265</t>
  </si>
  <si>
    <t>8/12/2016</t>
  </si>
  <si>
    <t>MP50-3252</t>
  </si>
  <si>
    <t>PF003439</t>
  </si>
  <si>
    <t>ASHFURNDS,DESINC,FINGERHUTDS,JCPENNEY01,KOHLDSN,MACY02,OLLIIX,OVERSTOCK01,TGTDVS</t>
  </si>
  <si>
    <t>MP40-6323</t>
  </si>
  <si>
    <t>Emilia</t>
  </si>
  <si>
    <t>Natalie</t>
  </si>
  <si>
    <t>Lillian</t>
  </si>
  <si>
    <t>Twist Tab Lined Window Curtain Panel</t>
  </si>
  <si>
    <t>PP001164;PF004652</t>
  </si>
  <si>
    <t>Room Darkening</t>
  </si>
  <si>
    <t>5/9/2019</t>
  </si>
  <si>
    <t>3/11/2025</t>
  </si>
  <si>
    <t>JCPENNEY01,KOHLDSN</t>
  </si>
  <si>
    <t>FMFC1009</t>
  </si>
  <si>
    <t>6/6/2019</t>
  </si>
  <si>
    <t>MP40-3557</t>
  </si>
  <si>
    <t>50x120"</t>
  </si>
  <si>
    <t>Pewter</t>
  </si>
  <si>
    <t>PF003967</t>
  </si>
  <si>
    <t>AMAZON,AMERSIGNDS,JCPENNEY01,KOHLDSN</t>
  </si>
  <si>
    <t>11/3/2016</t>
  </si>
  <si>
    <t>MP40-8259</t>
  </si>
  <si>
    <t>Twist Tab Lined Window Curtain Panel Pair</t>
  </si>
  <si>
    <t>2-PK 50x84"</t>
  </si>
  <si>
    <t>PF003958</t>
  </si>
  <si>
    <t>9/27/2023</t>
  </si>
  <si>
    <t>AMAZON,BLK01,DESINC,HDDS,NRTPORT,OVERSTOCK01</t>
  </si>
  <si>
    <t>NCWA2529</t>
  </si>
  <si>
    <t>10/4/2023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</si>
  <si>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</si>
  <si>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</si>
  <si>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</si>
  <si>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</si>
  <si>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</si>
  <si>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</si>
  <si>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</si>
  <si>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JCPENNEY01,KOHLDSN,OVERSTOCK01,TGTDVS</t>
  </si>
  <si>
    <t>NCWA1709</t>
  </si>
  <si>
    <t>11/21/2019</t>
  </si>
  <si>
    <t>6/8/2020</t>
  </si>
  <si>
    <t>MP40-6752</t>
  </si>
  <si>
    <t>ASHFURNDS,JCPENNEY01,KOHLDSN,NRTPORT,OVERSTOCK01,TGTDVS</t>
  </si>
  <si>
    <t>7/27/2020</t>
  </si>
  <si>
    <t>MPS10-537</t>
  </si>
  <si>
    <t>Essence</t>
  </si>
  <si>
    <t>Oversized Cotton Clipped Jacquard Comforter Set with Euro Shams and Throw Pillows</t>
  </si>
  <si>
    <t>PF006266</t>
  </si>
  <si>
    <t>8</t>
  </si>
  <si>
    <t>7/4/2024</t>
  </si>
  <si>
    <t>NCWB1200</t>
  </si>
  <si>
    <t>8/22/2024</t>
  </si>
  <si>
    <t>8/26/2024</t>
  </si>
  <si>
    <t>MPS10-538</t>
  </si>
  <si>
    <t>8/28/2024</t>
  </si>
  <si>
    <t>MP95G-0298</t>
  </si>
  <si>
    <t>Wall Decor</t>
  </si>
  <si>
    <t>Fair Florets</t>
  </si>
  <si>
    <t>3-piece Framed Glass Wall Art Set</t>
  </si>
  <si>
    <t>PP001778</t>
  </si>
  <si>
    <t>6/1/2022</t>
  </si>
  <si>
    <t>BLK01,DESINC,JCPENNEY01,KIRKLANDDS,KOHLDSN,LOWESDS,MACY02,OLLIIX,OVERSTOCK01,TGTDVS,ZOLA</t>
  </si>
  <si>
    <t>NCWA2313</t>
  </si>
  <si>
    <t>6/13/2022</t>
  </si>
  <si>
    <t>2/20/2023</t>
  </si>
  <si>
    <t>ID12-1944</t>
  </si>
  <si>
    <t>Felicia</t>
  </si>
  <si>
    <t>Isabel</t>
  </si>
  <si>
    <t>Alyssa</t>
  </si>
  <si>
    <t>Velvet Duvet Cover Set with Throw Pillow</t>
  </si>
  <si>
    <t>PP001091;PF005199</t>
  </si>
  <si>
    <t>Velvet</t>
  </si>
  <si>
    <t>Modern/Contemporary|Transitional</t>
  </si>
  <si>
    <t>9/23/2020</t>
  </si>
  <si>
    <t>AMAZONDS,JCPENNEY01,KOHLDSN,MACY02,NRTPORT,TGTDVS,WALMARTDS</t>
  </si>
  <si>
    <t>HSHM2690</t>
  </si>
  <si>
    <t>9/28/2020</t>
  </si>
  <si>
    <t>11/18/2020</t>
  </si>
  <si>
    <t>ID12-1945</t>
  </si>
  <si>
    <t>AMAZON,AMAZONDS,DESINC,FINGERHUTDS,JCPENNEY01,KOHLDSN,MACY02,NRTPORT,OLLIIX,OVERSTOCK01,TGTDVS,WALMARTDS</t>
  </si>
  <si>
    <t>ID12-1782</t>
  </si>
  <si>
    <t>PP001091;PF004575</t>
  </si>
  <si>
    <t>8/7/2019</t>
  </si>
  <si>
    <t>AMAZON,AMAZONDS,JCPENNEY01,KOHLDSN,MACY02,NRTPORT,TGTDVS</t>
  </si>
  <si>
    <t>10/8/2019</t>
  </si>
  <si>
    <t>ID10-2400</t>
  </si>
  <si>
    <t>Velvet Comforter Set with Throw Pillow</t>
  </si>
  <si>
    <t>Champagne</t>
  </si>
  <si>
    <t>PP001091;PF006267</t>
  </si>
  <si>
    <t>6/20/2024</t>
  </si>
  <si>
    <t>AMAZON,HDDS,KOHLDSN,MACY02,NRTPORT,OVERSTOCK01,TGTDVS</t>
  </si>
  <si>
    <t>HSHM2689</t>
  </si>
  <si>
    <t>8/29/2024</t>
  </si>
  <si>
    <t>ID10-2402</t>
  </si>
  <si>
    <t>ID12-1793</t>
  </si>
  <si>
    <t>PP001091;PF004858</t>
  </si>
  <si>
    <t>9/27/2019</t>
  </si>
  <si>
    <t>10/29/2019</t>
  </si>
  <si>
    <t>ID10-2408</t>
  </si>
  <si>
    <t>PP001091;PF006268</t>
  </si>
  <si>
    <t>NRTPORT,TGTDVS</t>
  </si>
  <si>
    <t>ID12-1977</t>
  </si>
  <si>
    <t>PP001091;PF005084</t>
  </si>
  <si>
    <t>2/24/2021</t>
  </si>
  <si>
    <t>2/3/2025</t>
  </si>
  <si>
    <t>AMAZON,BLK01,JCPENNEY01,KOHLDSN,MACY02,NRTPORT,TGTDVS</t>
  </si>
  <si>
    <t>2/25/2021</t>
  </si>
  <si>
    <t>MT108-1186</t>
  </si>
  <si>
    <t>Fiona</t>
  </si>
  <si>
    <t>Upholstered Dining Chair with Turned Wood Legs Set of 2</t>
  </si>
  <si>
    <t>11/21/2022</t>
  </si>
  <si>
    <t>MSTT5526</t>
  </si>
  <si>
    <t>12/27/2022</t>
  </si>
  <si>
    <t>9/4/2023</t>
  </si>
  <si>
    <t>MP95C-0041</t>
  </si>
  <si>
    <t>Forest Reflections</t>
  </si>
  <si>
    <t>Triptych 3-piece Canvas Wall Art Set</t>
  </si>
  <si>
    <t>PF001911</t>
  </si>
  <si>
    <t>AMAZON,ASHFURNDS,DESINC,KIRKLANDDS,KOHLDSN,LAMPDS,MACY02,OLLIIX,OVERSTOCK01,ROOMECOM,TGTDVS</t>
  </si>
  <si>
    <t>ALCT6629</t>
  </si>
  <si>
    <t>9/23/2016</t>
  </si>
  <si>
    <t>BL51N-0852</t>
  </si>
  <si>
    <t>Freshspun Basketweave</t>
  </si>
  <si>
    <t>Cotton Blanket</t>
  </si>
  <si>
    <t>PF003481</t>
  </si>
  <si>
    <t>AMAZONDS,BEALLSDS,BLK01,HSNDS,JCPENNEY01,KOHLDSN,MACY02,OLLIIX,OVERSTOCK01,TGTDVS,WALMARTDS</t>
  </si>
  <si>
    <t>EBRD5195</t>
  </si>
  <si>
    <t>8/11/2016</t>
  </si>
  <si>
    <t>9/7/2016</t>
  </si>
  <si>
    <t>BL51N-0860</t>
  </si>
  <si>
    <t>PF003483</t>
  </si>
  <si>
    <t>AMAZON,BEALLSDS,JCPENNEY01,KOHLDSN,MACY02,TGTDVS,WALMARTDS</t>
  </si>
  <si>
    <t>10/10/2016</t>
  </si>
  <si>
    <t>BL51N-0862</t>
  </si>
  <si>
    <t>AMAZON,ASHFURNDS,BLK01,KOHLDSN,MACY02,OLLIIX,OVERSTOCK01,TGTDVS,WALMARTDS</t>
  </si>
  <si>
    <t>9/14/2016</t>
  </si>
  <si>
    <t>BL51N-0857</t>
  </si>
  <si>
    <t>PF003482</t>
  </si>
  <si>
    <t>BEALLSDS,BLK01,KOHLDSN,MACY02,OLLIIX,TGTDVS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</si>
  <si>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</si>
  <si>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</si>
  <si>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</si>
  <si>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</si>
  <si>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</si>
  <si>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</si>
  <si>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Seersucker</t>
  </si>
  <si>
    <t>2/2/2024</t>
  </si>
  <si>
    <t>BLK01,DESINC,JCPENNEY01,KOHLDSN,MACY02,OVERSTOCK01,TGTDVS</t>
  </si>
  <si>
    <t>NGIN1169</t>
  </si>
  <si>
    <t>3/14/2024</t>
  </si>
  <si>
    <t>4/5/2024</t>
  </si>
  <si>
    <t>AM10-0123</t>
  </si>
  <si>
    <t>HDDS,JCPENNEY01,KOHLDSN,MACY02,NRTPORT,OVERSTOCK01,TGTDVS</t>
  </si>
  <si>
    <t>AM10-0124</t>
  </si>
  <si>
    <t>3/12/2024</t>
  </si>
  <si>
    <t>BLK01,DESINC,HDDS,JCPENNEY01,KIRKLANDDS,KOHLDSN,MACY02,NRTPORT,OVERSTOCK01,TGTDVS</t>
  </si>
  <si>
    <t>AM10-0125</t>
  </si>
  <si>
    <t>Plum/Grey</t>
  </si>
  <si>
    <t>PP001958;PF006235</t>
  </si>
  <si>
    <t>3/28/2024</t>
  </si>
  <si>
    <t>MP40-6552</t>
  </si>
  <si>
    <t>Galen</t>
  </si>
  <si>
    <t>Colm</t>
  </si>
  <si>
    <t>Paxton</t>
  </si>
  <si>
    <t>Basketweave Room Darkening Cordless Roman Shade</t>
  </si>
  <si>
    <t>PP001307;PF004746</t>
  </si>
  <si>
    <t>9/16/2019</t>
  </si>
  <si>
    <t>3/19/2025</t>
  </si>
  <si>
    <t>AMAZON,AMERSIGNDS,HDDS,JCPENNEY01,KOHLDSN,TGTDVS</t>
  </si>
  <si>
    <t>NCWA1656</t>
  </si>
  <si>
    <t>9/24/2019</t>
  </si>
  <si>
    <t>LCN51N-0027</t>
  </si>
  <si>
    <t>Clean Spaces</t>
  </si>
  <si>
    <t>Gauze</t>
  </si>
  <si>
    <t>100% Cotton Lightweight Blanket</t>
  </si>
  <si>
    <t>PP001581;PF005314</t>
  </si>
  <si>
    <t>1/15/2021</t>
  </si>
  <si>
    <t>AMAZONDS,BLK01,JCPENNEY01,KOHLDSN,MACY02,OVERSTOCK01,TGTDVS,ZOLA</t>
  </si>
  <si>
    <t>CEAH1001</t>
  </si>
  <si>
    <t>2/5/2021</t>
  </si>
  <si>
    <t>3/2/2021</t>
  </si>
  <si>
    <t>LCN51N-0028</t>
  </si>
  <si>
    <t>AMAZONDS,BLK01,JCPENNEY01,KIRKLANDDS,KOHLDSN,MACY02,OVERSTOCK01,TGTDVS</t>
  </si>
  <si>
    <t>LCN51N-0024</t>
  </si>
  <si>
    <t>PP001581;PF005313</t>
  </si>
  <si>
    <t>AMAZONDS,HDDS,JCPENNEY01,KOHLDSN,MACY02,OLLIIX,OVERSTOCK01,TGTDVS</t>
  </si>
  <si>
    <t>LCN51N-0025</t>
  </si>
  <si>
    <t>AMAZONDS,BLK01,HDDS,JCPENNEY01,KOHLDSN,MACY02,OLLIIX,OVERSTOCK01,TGTDVS</t>
  </si>
  <si>
    <t>2/15/2021</t>
  </si>
  <si>
    <t>CSP51N-1530</t>
  </si>
  <si>
    <t>PP001581;PF006165</t>
  </si>
  <si>
    <t>2/13/2024</t>
  </si>
  <si>
    <t>UH95C-0002</t>
  </si>
  <si>
    <t>Gilded Feathers</t>
  </si>
  <si>
    <t>Gold Foil 2-piece Canvas Wall Art Set</t>
  </si>
  <si>
    <t>Yellow</t>
  </si>
  <si>
    <t>PF001877</t>
  </si>
  <si>
    <t>Global</t>
  </si>
  <si>
    <t>Global Inspired</t>
  </si>
  <si>
    <t>AMAZON,HOUZZ,KIRKLANDDS,OLLIIX,ROOMECOM</t>
  </si>
  <si>
    <t>BNGL6845</t>
  </si>
  <si>
    <t>10/3/2016</t>
  </si>
  <si>
    <t>4/26/2017</t>
  </si>
  <si>
    <t>TN50-0484</t>
  </si>
  <si>
    <t>Hadly</t>
  </si>
  <si>
    <t>Wearable Multipurpose Throw</t>
  </si>
  <si>
    <t>62x68"</t>
  </si>
  <si>
    <t>PP001804;PF005797</t>
  </si>
  <si>
    <t>11/15/2022</t>
  </si>
  <si>
    <t>AMAZON,AMAZONDS,BLK01,KOHLDSN,OLLIIX,OVERSTOCK01,TGTDVS</t>
  </si>
  <si>
    <t>SLPH1137</t>
  </si>
  <si>
    <t>11/28/2022</t>
  </si>
  <si>
    <t>12/26/2022</t>
  </si>
  <si>
    <t>HH10-1683</t>
  </si>
  <si>
    <t>Hallie</t>
  </si>
  <si>
    <t>6 Piece Cotton Comforter Set</t>
  </si>
  <si>
    <t>PF004246</t>
  </si>
  <si>
    <t>Sateen</t>
  </si>
  <si>
    <t>AMAZONDS,MACY02,OLLIIX,OVERSTOCK01</t>
  </si>
  <si>
    <t>HUH1808</t>
  </si>
  <si>
    <t>6/5/2018</t>
  </si>
  <si>
    <t>NS30-3254</t>
  </si>
  <si>
    <t>Hanae</t>
  </si>
  <si>
    <t>Embroidered Cotton Oblong Decorative Pillow</t>
  </si>
  <si>
    <t>PP000991</t>
  </si>
  <si>
    <t>9/30/2018</t>
  </si>
  <si>
    <t>KOHLDSN,MACY02,OVERSTOCK01</t>
  </si>
  <si>
    <t>MBSA1006</t>
  </si>
  <si>
    <t>12/17/2018</t>
  </si>
  <si>
    <t>MP40-4486</t>
  </si>
  <si>
    <t>Sheer Pair</t>
  </si>
  <si>
    <t>Harper</t>
  </si>
  <si>
    <t>Kaylee</t>
  </si>
  <si>
    <t>Avery</t>
  </si>
  <si>
    <t>Solid Crushed Curtain Panel Pair</t>
  </si>
  <si>
    <t>42x95"</t>
  </si>
  <si>
    <t>PF003910</t>
  </si>
  <si>
    <t>7/14/2017</t>
  </si>
  <si>
    <t>BLK01,DESINC,KOHLDSN</t>
  </si>
  <si>
    <t>CHRL6702</t>
  </si>
  <si>
    <t>8/24/2017</t>
  </si>
  <si>
    <t>11/3/2017</t>
  </si>
  <si>
    <t>PET63PC5690</t>
  </si>
  <si>
    <t>Modern Couch</t>
  </si>
  <si>
    <t>25"x20"+5.5"(2.5+3")</t>
  </si>
  <si>
    <t>9/23/2021</t>
  </si>
  <si>
    <t>AMAZON,CHEWYDS</t>
  </si>
  <si>
    <t>BFFS1120</t>
  </si>
  <si>
    <t>12/17/2021</t>
  </si>
  <si>
    <t>3/2/2022</t>
  </si>
  <si>
    <t>PET63PC5691</t>
  </si>
  <si>
    <t>36"x28"+9"(4+5")</t>
  </si>
  <si>
    <t>AMAZONDS,CHEWYDS</t>
  </si>
  <si>
    <t>3/7/2022</t>
  </si>
  <si>
    <t>PET63PC5692</t>
  </si>
  <si>
    <t>44"x34"+10"(4+6")</t>
  </si>
  <si>
    <t>1/26/2022</t>
  </si>
  <si>
    <t>MT153-0072</t>
  </si>
  <si>
    <t>Hawley</t>
  </si>
  <si>
    <t>Faux Leather Table Lamp</t>
  </si>
  <si>
    <t>Gold/Brown</t>
  </si>
  <si>
    <t>MT Perry Street</t>
  </si>
  <si>
    <t>11/15/2023</t>
  </si>
  <si>
    <t>AMAZON,AMAZONDS,JCPENNEY01,OVERSTOCK01</t>
  </si>
  <si>
    <t>MSTT6039</t>
  </si>
  <si>
    <t>11/24/2023</t>
  </si>
  <si>
    <t>2/19/2024</t>
  </si>
  <si>
    <t>BASI16-0239</t>
  </si>
  <si>
    <t>Mattress Pad</t>
  </si>
  <si>
    <t>Highline</t>
  </si>
  <si>
    <t>Montview</t>
  </si>
  <si>
    <t>3M Microfiber Mattress Pad</t>
  </si>
  <si>
    <t>PF002082</t>
  </si>
  <si>
    <t>1/27/2025</t>
  </si>
  <si>
    <t>BLK01,FINGERHUTDS,JCPENNEY01,KOHLDSN,OLLIIX,OVERSTOCK01,TGTDVS,WALMARTDS,ZOLA</t>
  </si>
  <si>
    <t>ANEW3989</t>
  </si>
  <si>
    <t>2/27/2015</t>
  </si>
  <si>
    <t>LAF04-0017</t>
  </si>
  <si>
    <t>APL</t>
  </si>
  <si>
    <t>ROBE</t>
  </si>
  <si>
    <t>Robe</t>
  </si>
  <si>
    <t>II000133</t>
  </si>
  <si>
    <t>Cotton Solid Terry Robe</t>
  </si>
  <si>
    <t>S/M</t>
  </si>
  <si>
    <t>7/28/2017</t>
  </si>
  <si>
    <t>AMAZONDS,BLK01,JCPENNEY01,KIRKLANDDS,MACY02,OVERSTOCK01</t>
  </si>
  <si>
    <t>IKIY1161</t>
  </si>
  <si>
    <t>II04-3015</t>
  </si>
  <si>
    <t>Cotton Terry Solid Robe</t>
  </si>
  <si>
    <t>Mint</t>
  </si>
  <si>
    <t>AMAZON,BLK01,JCPENNEY01,KIRKLANDDS,MACY02,OVERSTOCK01</t>
  </si>
  <si>
    <t>10/21/2024</t>
  </si>
  <si>
    <t>II04-3016</t>
  </si>
  <si>
    <t>L/XL</t>
  </si>
  <si>
    <t>LAF04-0021</t>
  </si>
  <si>
    <t>Rose</t>
  </si>
  <si>
    <t>LAF04-0022</t>
  </si>
  <si>
    <t>AMAZON,AMAZONDS,BLK01,JCPENNEY01,KIRKLANDDS,MACY02,OVERSTOCK01</t>
  </si>
  <si>
    <t>LAF04-0019</t>
  </si>
  <si>
    <t>LAF04-0020</t>
  </si>
  <si>
    <t>6/3/2024</t>
  </si>
  <si>
    <t>II04-1585</t>
  </si>
  <si>
    <t>II317125</t>
  </si>
  <si>
    <t>L/S Paisley Print Lite Micro 42" Robe</t>
  </si>
  <si>
    <t>Bedouin blue 447</t>
  </si>
  <si>
    <t>11/6/2017</t>
  </si>
  <si>
    <t>AMAZON,AMAZONDS,MACY02,OVERSTOCK01</t>
  </si>
  <si>
    <t>IKIY1159</t>
  </si>
  <si>
    <t>II04-1586</t>
  </si>
  <si>
    <t>AMAZONDS,MACY02,OVERSTOCK01</t>
  </si>
  <si>
    <t>II04-1587</t>
  </si>
  <si>
    <t>Bedouin gray 057</t>
  </si>
  <si>
    <t>II04-8100</t>
  </si>
  <si>
    <t>II422156</t>
  </si>
  <si>
    <t>Women's Zip front plush robe</t>
  </si>
  <si>
    <t>S</t>
  </si>
  <si>
    <t>Chalky Rose</t>
  </si>
  <si>
    <t>IKIY1167</t>
  </si>
  <si>
    <t>1/2/2025</t>
  </si>
  <si>
    <t>II04-8103</t>
  </si>
  <si>
    <t>XL</t>
  </si>
  <si>
    <t>AMAZONDS,KIRKLANDDS,MACY02,OVERSTOCK01</t>
  </si>
  <si>
    <t>1/3/2025</t>
  </si>
  <si>
    <t>II04-8093</t>
  </si>
  <si>
    <t>XS</t>
  </si>
  <si>
    <t>Quiet Gray</t>
  </si>
  <si>
    <t>AMAZONDS,MACY02</t>
  </si>
  <si>
    <t>3/25/2024</t>
  </si>
  <si>
    <t>II04-8095</t>
  </si>
  <si>
    <t>M</t>
  </si>
  <si>
    <t>II04-8096</t>
  </si>
  <si>
    <t>L</t>
  </si>
  <si>
    <t>10/9/2024</t>
  </si>
  <si>
    <t>II04-8098</t>
  </si>
  <si>
    <t>XXL</t>
  </si>
  <si>
    <t>MACY02,OVERSTOCK01</t>
  </si>
  <si>
    <t>II04-8105</t>
  </si>
  <si>
    <t>Rich Concord</t>
  </si>
  <si>
    <t>II04-9609</t>
  </si>
  <si>
    <t>IM222101</t>
  </si>
  <si>
    <t>XS/S IM222101 Robe</t>
  </si>
  <si>
    <t>XS/S</t>
  </si>
  <si>
    <t>Black 001</t>
  </si>
  <si>
    <t>IKIY1166</t>
  </si>
  <si>
    <t>II04-9611</t>
  </si>
  <si>
    <t>XL/XXL IM222101 Robe</t>
  </si>
  <si>
    <t>XL/XXL</t>
  </si>
  <si>
    <t>II04-8419</t>
  </si>
  <si>
    <t>Men cotton robe</t>
  </si>
  <si>
    <t>Claret 657</t>
  </si>
  <si>
    <t>11/4/2022</t>
  </si>
  <si>
    <t>AMAZONDS,JCPENNEY01,KOHLDSN,MACY02</t>
  </si>
  <si>
    <t>II04-8420</t>
  </si>
  <si>
    <t>M/L</t>
  </si>
  <si>
    <t>BLK01,JCPENNEY01,KOHLDSN,MACY02,OVERSTOCK01</t>
  </si>
  <si>
    <t>II04-8416</t>
  </si>
  <si>
    <t>Denim 459</t>
  </si>
  <si>
    <t>II04-8417</t>
  </si>
  <si>
    <t>AMAZONDS,BLK01,JCPENNEY01,KOHLDSN,MACY02</t>
  </si>
  <si>
    <t>II04-8418</t>
  </si>
  <si>
    <t>AMAZONDS,BLK01,JCPENNEY01,KOHLDSN,MACY02,OVERSTOCK01</t>
  </si>
  <si>
    <t>II04-8411</t>
  </si>
  <si>
    <t>Med Navy 411</t>
  </si>
  <si>
    <t>II04-8413</t>
  </si>
  <si>
    <t>Steel 030</t>
  </si>
  <si>
    <t>II04-8409</t>
  </si>
  <si>
    <t>White 100</t>
  </si>
  <si>
    <t>11/22/2024</t>
  </si>
  <si>
    <t>MP40-1066</t>
  </si>
  <si>
    <t>Irina</t>
  </si>
  <si>
    <t>Iris</t>
  </si>
  <si>
    <t>Clarissa</t>
  </si>
  <si>
    <t>Diamond Sheer Window Curtain Panel</t>
  </si>
  <si>
    <t>PF004007</t>
  </si>
  <si>
    <t>AMAZON,DESINC,HDDS,JCPENNEY01,KOHLDSN,TGTDVS,WALMARTDS</t>
  </si>
  <si>
    <t>BL19323</t>
  </si>
  <si>
    <t>1/5/2015</t>
  </si>
  <si>
    <t>MP40-2332</t>
  </si>
  <si>
    <t>PF004005</t>
  </si>
  <si>
    <t>AMAZON,JCPENNEY01,OLLIIX,OVERSTOCK01,TGTDVS</t>
  </si>
  <si>
    <t>3/28/2016</t>
  </si>
  <si>
    <t>MP40-2331</t>
  </si>
  <si>
    <t>PF004008</t>
  </si>
  <si>
    <t>HDDS,JCPENNEY01,TGTDVS</t>
  </si>
  <si>
    <t>3/14/2016</t>
  </si>
  <si>
    <t>MP40-4947</t>
  </si>
  <si>
    <t>Window Scarf</t>
  </si>
  <si>
    <t>Diamond Sheer Embroidered Window Scarf</t>
  </si>
  <si>
    <t>50x216"</t>
  </si>
  <si>
    <t>8/22/2017</t>
  </si>
  <si>
    <t>AMAZON,ASHFURNDS,JCPENNEY01,KOHLDSN,OVERSTOCK01,TGTDVS</t>
  </si>
  <si>
    <t>CHRL6945</t>
  </si>
  <si>
    <t>8/28/2017</t>
  </si>
  <si>
    <t>9/19/2017</t>
  </si>
  <si>
    <t>II136-0554</t>
  </si>
  <si>
    <t>NIGHTSTAND</t>
  </si>
  <si>
    <t>Nightstand</t>
  </si>
  <si>
    <t>Jameson</t>
  </si>
  <si>
    <t>Modern One Drawer Waterfall Nightstand</t>
  </si>
  <si>
    <t>12/29/2023</t>
  </si>
  <si>
    <t>1/23/2025</t>
  </si>
  <si>
    <t>AMAZONDS,KOHLDSN,OLLIIX,OVERSTOCK01,TGTDVS</t>
  </si>
  <si>
    <t>IKIY1155</t>
  </si>
  <si>
    <t>12/28/2023</t>
  </si>
  <si>
    <t>1/19/2024</t>
  </si>
  <si>
    <t>II153-0106</t>
  </si>
  <si>
    <t>Jayda</t>
  </si>
  <si>
    <t>Geometric Ceramic Table Lamp</t>
  </si>
  <si>
    <t>12/23/2021</t>
  </si>
  <si>
    <t>JLZF1282</t>
  </si>
  <si>
    <t>6/7/2022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</si>
  <si>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</si>
  <si>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</si>
  <si>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</si>
  <si>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</si>
  <si>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</si>
  <si>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</si>
  <si>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</si>
  <si>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NCWA2590</t>
  </si>
  <si>
    <t>1/28/2024</t>
  </si>
  <si>
    <t>MP10-8323</t>
  </si>
  <si>
    <t>2/22/2024</t>
  </si>
  <si>
    <t>MP10-8324</t>
  </si>
  <si>
    <t>Spice</t>
  </si>
  <si>
    <t>PP001911;PF006095</t>
  </si>
  <si>
    <t>1/26/2024</t>
  </si>
  <si>
    <t>1/30/2024</t>
  </si>
  <si>
    <t>MP10-8325</t>
  </si>
  <si>
    <t>MPE10-811</t>
  </si>
  <si>
    <t>RIAB</t>
  </si>
  <si>
    <t>Joella</t>
  </si>
  <si>
    <t>Loretta</t>
  </si>
  <si>
    <t>Emma</t>
  </si>
  <si>
    <t>24 Piece Room in a Bag</t>
  </si>
  <si>
    <t>PP000636;PF004747</t>
  </si>
  <si>
    <t>24</t>
  </si>
  <si>
    <t>Cottage/Country|Glam/Luxury</t>
  </si>
  <si>
    <t>7/12/2019</t>
  </si>
  <si>
    <t>AMAZON,FINGERHUTDS,JCPENNEY01,MACY02,NRTPORT,OLLIIX,OVERSTOCK01</t>
  </si>
  <si>
    <t>DRBH4419</t>
  </si>
  <si>
    <t>MP10-458</t>
  </si>
  <si>
    <t>Juliana</t>
  </si>
  <si>
    <t>Melanie</t>
  </si>
  <si>
    <t>9 Piece Charmeuse Comforter Set</t>
  </si>
  <si>
    <t>PF003372</t>
  </si>
  <si>
    <t>Traditional|Cottage/Country</t>
  </si>
  <si>
    <t>AMAZON,AMAZONDS,BEALLSDS,BLK01,JCPENNEY01,KOHLDSN,MACY02,NRTPORT,OVERSTOCK01,TGTDVS</t>
  </si>
  <si>
    <t>RDBT5051</t>
  </si>
  <si>
    <t>SS40-0023</t>
  </si>
  <si>
    <t>SunSmart</t>
  </si>
  <si>
    <t>Julie</t>
  </si>
  <si>
    <t>April</t>
  </si>
  <si>
    <t>Lila</t>
  </si>
  <si>
    <t>Printed Botanical Blackout Curtain Panel</t>
  </si>
  <si>
    <t>PF003953</t>
  </si>
  <si>
    <t>Blackout</t>
  </si>
  <si>
    <t>ALTH3078</t>
  </si>
  <si>
    <t>9/25/2017</t>
  </si>
  <si>
    <t>MPE10-162</t>
  </si>
  <si>
    <t>BIAB</t>
  </si>
  <si>
    <t>Knowles</t>
  </si>
  <si>
    <t>Glendale</t>
  </si>
  <si>
    <t>Cabrillo</t>
  </si>
  <si>
    <t>9 Piece Comforter Set with Cotton Bed Sheets</t>
  </si>
  <si>
    <t>PF003652</t>
  </si>
  <si>
    <t>BCHH2244</t>
  </si>
  <si>
    <t>MPE13-308</t>
  </si>
  <si>
    <t>6 Piece Quilt Set with Cotton Bed Sheets</t>
  </si>
  <si>
    <t>PF003651</t>
  </si>
  <si>
    <t>SEHO8981</t>
  </si>
  <si>
    <t>12/1/2016</t>
  </si>
  <si>
    <t>5/8/2017</t>
  </si>
  <si>
    <t>MPE10-008</t>
  </si>
  <si>
    <t>PF003651;PP000436</t>
  </si>
  <si>
    <t>AMAZON,ASHFURNDS,BLK01,HSNDS,JCPENNEY01,KOHLDSN,MACY02,OLLIIX,OVERSTOCK01,TGTDVS</t>
  </si>
  <si>
    <t>MPE10-030</t>
  </si>
  <si>
    <t>MPE70-038</t>
  </si>
  <si>
    <t>72x72"</t>
  </si>
  <si>
    <t>PF001451;PP000436</t>
  </si>
  <si>
    <t>HDDS,JCPENNEY01,KOHLDSN,MACY02,OLLIIX,OVERSCONSIGN,OVERSTOCK01,TGTDVS</t>
  </si>
  <si>
    <t>ZPCD6741</t>
  </si>
  <si>
    <t>MP40-7982</t>
  </si>
  <si>
    <t>Kyler</t>
  </si>
  <si>
    <t>Suvi</t>
  </si>
  <si>
    <t>Juno</t>
  </si>
  <si>
    <t>Linen Blend Light Filtering Cordless Roman Shade</t>
  </si>
  <si>
    <t>PP001787;PF005750</t>
  </si>
  <si>
    <t>8/30/2022</t>
  </si>
  <si>
    <t>AMAZON,JCPENNEY01</t>
  </si>
  <si>
    <t>NCWA2392</t>
  </si>
  <si>
    <t>9/5/2022</t>
  </si>
  <si>
    <t>11/23/2022</t>
  </si>
  <si>
    <t>MP40-7983</t>
  </si>
  <si>
    <t>Linen Blend Light Filtering Curtain Panel Pair</t>
  </si>
  <si>
    <t>2-PK 52x84"</t>
  </si>
  <si>
    <t>PP001787;PF005748</t>
  </si>
  <si>
    <t>8/12/2022</t>
  </si>
  <si>
    <t>ASHFURNDS,JCPENNEY01,KIRKLANDDS,KOHLDSN</t>
  </si>
  <si>
    <t>NCWA2379</t>
  </si>
  <si>
    <t>8/17/2022</t>
  </si>
  <si>
    <t>9/29/2022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</si>
  <si>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</si>
  <si>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</si>
  <si>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</si>
  <si>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</si>
  <si>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</si>
  <si>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</si>
  <si>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Farmhouse/Country/Cottage</t>
  </si>
  <si>
    <t>1/11/2024</t>
  </si>
  <si>
    <t>NCWA2576</t>
  </si>
  <si>
    <t>Tier 4</t>
  </si>
  <si>
    <t>1/22/2024</t>
  </si>
  <si>
    <t>MP10-8344</t>
  </si>
  <si>
    <t>MP10-8345</t>
  </si>
  <si>
    <t>1/13/2024</t>
  </si>
  <si>
    <t>MP10-8346</t>
  </si>
  <si>
    <t>PP001915;PF006121</t>
  </si>
  <si>
    <t>1/19/2025</t>
  </si>
  <si>
    <t>MP10-8347</t>
  </si>
  <si>
    <t>2/27/2024</t>
  </si>
  <si>
    <t>MP10-8348</t>
  </si>
  <si>
    <t>2/8/2024</t>
  </si>
  <si>
    <t>MPE10-380</t>
  </si>
  <si>
    <t>Lafael</t>
  </si>
  <si>
    <t>Eden</t>
  </si>
  <si>
    <t>Rowan</t>
  </si>
  <si>
    <t>PF003696</t>
  </si>
  <si>
    <t>HSNDS,JCPENNEY01,KOHLDSN,MACY02,OVERSTOCK01,TGTDVS,WALMARTDS</t>
  </si>
  <si>
    <t>RDBE1901</t>
  </si>
  <si>
    <t>3/2/2017</t>
  </si>
  <si>
    <t>3/27/2017</t>
  </si>
  <si>
    <t>II153-0152</t>
  </si>
  <si>
    <t>Laguna</t>
  </si>
  <si>
    <t>Rattan Weave Shade Table Lamp</t>
  </si>
  <si>
    <t>Gold/Natural</t>
  </si>
  <si>
    <t>1/24/2024</t>
  </si>
  <si>
    <t>MACY02,TGTDVS</t>
  </si>
  <si>
    <t>IKIY1171</t>
  </si>
  <si>
    <t>9/10/2024</t>
  </si>
  <si>
    <t>BASI10-0283</t>
  </si>
  <si>
    <t>Larkspur</t>
  </si>
  <si>
    <t>Windsor</t>
  </si>
  <si>
    <t>3M Scotchgard Diamond Quilting Reversible Down Alternative Comforter Set</t>
  </si>
  <si>
    <t>Black/Black</t>
  </si>
  <si>
    <t>PF002062</t>
  </si>
  <si>
    <t>EBDG3311</t>
  </si>
  <si>
    <t>12/11/2015</t>
  </si>
  <si>
    <t>BASI10-0201</t>
  </si>
  <si>
    <t>PF002061</t>
  </si>
  <si>
    <t>BLK01,FINGERHUTDS,JCPENNEY01,KOHLDSN,MACY02,OVERSTOCK01,TGTDVS</t>
  </si>
  <si>
    <t>5DS153-0049</t>
  </si>
  <si>
    <t>Liora</t>
  </si>
  <si>
    <t>2-Tone Ceramic Table Lamp Set of 2</t>
  </si>
  <si>
    <t>Black/Gold</t>
  </si>
  <si>
    <t>1/21/2024</t>
  </si>
  <si>
    <t>OLLIIX</t>
  </si>
  <si>
    <t>NGIN1163</t>
  </si>
  <si>
    <t>5DS153-0048</t>
  </si>
  <si>
    <t>White/Silver</t>
  </si>
  <si>
    <t>BL51N-0678</t>
  </si>
  <si>
    <t>Liquid Cotton</t>
  </si>
  <si>
    <t>PF003480</t>
  </si>
  <si>
    <t>AMAZON,JCPENNEY01,KOHLDSN,MACY02,OLLIIX,TGTDVS,WALMARTDS</t>
  </si>
  <si>
    <t>ENDE4206</t>
  </si>
  <si>
    <t>2/17/2015</t>
  </si>
  <si>
    <t>MP13-2645</t>
  </si>
  <si>
    <t>Lola</t>
  </si>
  <si>
    <t>Brianna</t>
  </si>
  <si>
    <t>Victoria</t>
  </si>
  <si>
    <t>6 Piece Printed Cotton Quilt Set with Throw Pillows</t>
  </si>
  <si>
    <t>PF002455</t>
  </si>
  <si>
    <t>Farm House|Casual</t>
  </si>
  <si>
    <t>AMAZON,AMAZONDS,BLK01,JCPENNEY01,KOHLDSN,MACY02,OVERSCONSIGN,OVERSTOCK01,TGTDVS</t>
  </si>
  <si>
    <t>RDBS3541</t>
  </si>
  <si>
    <t>5/12/2016</t>
  </si>
  <si>
    <t>MP13-6835</t>
  </si>
  <si>
    <t>Grey/Peach</t>
  </si>
  <si>
    <t>PP000448;PF004226</t>
  </si>
  <si>
    <t>1/9/2020</t>
  </si>
  <si>
    <t>MP12-177</t>
  </si>
  <si>
    <t>6 Piece Printed Duvet Cover Set</t>
  </si>
  <si>
    <t>Taupe Grey/Yellow</t>
  </si>
  <si>
    <t>PF002450;PP000448</t>
  </si>
  <si>
    <t>AMAZON,KOHLDSN,MACY02,OLLIIX,OVERSTOCK01</t>
  </si>
  <si>
    <t>RBSD9463</t>
  </si>
  <si>
    <t>1/9/2015</t>
  </si>
  <si>
    <t>HH10-1618</t>
  </si>
  <si>
    <t>Lorelai</t>
  </si>
  <si>
    <t>Cotton Printed 6 Piece Comforter Set</t>
  </si>
  <si>
    <t>PF003337</t>
  </si>
  <si>
    <t>HUH1725</t>
  </si>
  <si>
    <t>2/27/2017</t>
  </si>
  <si>
    <t>3/23/2017</t>
  </si>
  <si>
    <t>HH10-1621</t>
  </si>
  <si>
    <t>AMAZON,AMAZONDS,KOHLDSN,MACY02,OVERSTOCK01</t>
  </si>
  <si>
    <t>MPS73-477</t>
  </si>
  <si>
    <t>Luce</t>
  </si>
  <si>
    <t>100% Egyptian Cotton 6 Piece Towel Set</t>
  </si>
  <si>
    <t>PP001119</t>
  </si>
  <si>
    <t>8/27/2021</t>
  </si>
  <si>
    <t>AAFESDS,AMAZON,AMAZONDS,BLK01,HDDS,JCPENNEY01,KOHLDSN,MACY02,OLLIIX,OVERSTOCK01,ZOLA</t>
  </si>
  <si>
    <t>NCWB1173</t>
  </si>
  <si>
    <t>11/15/2021</t>
  </si>
  <si>
    <t>MPS73-476</t>
  </si>
  <si>
    <t>AMAZON,AMAZONDS,BLK01,HDDS,JCPENNEY01,KOHLDSN,MACY02,OLLIIX,OVERSCONSIGN,OVERSTOCK01,TGTDVS</t>
  </si>
  <si>
    <t>11/11/2021</t>
  </si>
  <si>
    <t>MPS73-426</t>
  </si>
  <si>
    <t>5/2/2019</t>
  </si>
  <si>
    <t>AAFESDS,AMAZON,AMAZONDS,BLK01,HDDS,HOUZZ,JCPENNEY01,KOHLDSN,MACY02,OLLIIX,OVERSTOCK01,TGTDVS,WALMARTDS</t>
  </si>
  <si>
    <t>6/19/2019</t>
  </si>
  <si>
    <t>4/21/2020</t>
  </si>
  <si>
    <t>MPS73-425</t>
  </si>
  <si>
    <t>AMAZON,AMAZONDS,BLK01,JCPENNEY01,KOHLDSN,MACY02,OLLIIX,OVERSTOCK01,TGTDVS,ZOLA</t>
  </si>
  <si>
    <t>1/28/2020</t>
  </si>
  <si>
    <t>ID10-2369</t>
  </si>
  <si>
    <t>Lucy</t>
  </si>
  <si>
    <t>Vera</t>
  </si>
  <si>
    <t>Elise</t>
  </si>
  <si>
    <t>Clip Jacquard Comforter Set</t>
  </si>
  <si>
    <t>PP001813;PF006254</t>
  </si>
  <si>
    <t>6/1/2024</t>
  </si>
  <si>
    <t>JLZL1262</t>
  </si>
  <si>
    <t>11/25/2024</t>
  </si>
  <si>
    <t>ID12-2190</t>
  </si>
  <si>
    <t>Clip Jacquard Duvet Cover Set</t>
  </si>
  <si>
    <t>PP001813;PF005818</t>
  </si>
  <si>
    <t>12/1/2022</t>
  </si>
  <si>
    <t>AMAZON,BLK01,KOHLDSN,MACY02,OVERSTOCK01,TGTDVS</t>
  </si>
  <si>
    <t>JLZL1268</t>
  </si>
  <si>
    <t>12/21/2022</t>
  </si>
  <si>
    <t>6/29/2023</t>
  </si>
  <si>
    <t>ID12-2280</t>
  </si>
  <si>
    <t>PP001813;PF006084</t>
  </si>
  <si>
    <t>10/25/2023</t>
  </si>
  <si>
    <t>2/5/2024</t>
  </si>
  <si>
    <t>ID12-2275</t>
  </si>
  <si>
    <t>PP001813;PF006083</t>
  </si>
  <si>
    <t>AMAZON,AMAZONDS,JCPENNEY01,KOHLDSN,MACY02,TGTDVS</t>
  </si>
  <si>
    <t>6/27/2024</t>
  </si>
  <si>
    <t>UHK10-0231</t>
  </si>
  <si>
    <t>Urban Habitat Kids</t>
  </si>
  <si>
    <t>Lulu</t>
  </si>
  <si>
    <t>Thea</t>
  </si>
  <si>
    <t>Maisie</t>
  </si>
  <si>
    <t>Floral Reversible Cotton Comforter Set with Throw Pillow</t>
  </si>
  <si>
    <t>PF006170</t>
  </si>
  <si>
    <t>4/6/2024</t>
  </si>
  <si>
    <t>VBDN1057</t>
  </si>
  <si>
    <t>5/29/2024</t>
  </si>
  <si>
    <t>UHK12-0233</t>
  </si>
  <si>
    <t>Floral Reversible Cotton Duvet Cover Set with Throw Pillow</t>
  </si>
  <si>
    <t>VBDN1056</t>
  </si>
  <si>
    <t>6/7/2024</t>
  </si>
  <si>
    <t>5DS153-0050</t>
  </si>
  <si>
    <t>Lumivive</t>
  </si>
  <si>
    <t>17" Mercury Glass Table Lamp</t>
  </si>
  <si>
    <t>AMERSIGNDS,HDDS,KOHLDSN,MACY02,OVERSTOCK01,TGTDVS</t>
  </si>
  <si>
    <t>IKIY1173</t>
  </si>
  <si>
    <t>PET63HD5681</t>
  </si>
  <si>
    <t>Luna</t>
  </si>
  <si>
    <t>Hooded Round Bed</t>
  </si>
  <si>
    <t>D23+6"</t>
  </si>
  <si>
    <t>9/17/2021</t>
  </si>
  <si>
    <t>BFFS1123</t>
  </si>
  <si>
    <t>2/2/2022</t>
  </si>
  <si>
    <t>PET63HD5680</t>
  </si>
  <si>
    <t>9/18/2021</t>
  </si>
  <si>
    <t>AMAZON,AMAZONDS,CHEWYDS</t>
  </si>
  <si>
    <t>2/1/2022</t>
  </si>
  <si>
    <t>FB153-1178</t>
  </si>
  <si>
    <t>Luxuria</t>
  </si>
  <si>
    <t>Textured Glass and Acrylic Base Table Lamp</t>
  </si>
  <si>
    <t>KIRKLANDDS,KOHLDSN,OLLIIX</t>
  </si>
  <si>
    <t>HTN10023</t>
  </si>
  <si>
    <t>CCS20-015</t>
  </si>
  <si>
    <t>Croscill</t>
  </si>
  <si>
    <t>Luxury Egyptian</t>
  </si>
  <si>
    <t>500TC Cotton Pillowcases</t>
  </si>
  <si>
    <t>12/20/2022</t>
  </si>
  <si>
    <t>BLK01,JCPENNEY01,OLLIIX,OVERSTOCK01</t>
  </si>
  <si>
    <t>CFSC1004</t>
  </si>
  <si>
    <t>3/17/2023</t>
  </si>
  <si>
    <t>9/5/2023</t>
  </si>
  <si>
    <t>CCS20-014</t>
  </si>
  <si>
    <t>Standard</t>
  </si>
  <si>
    <t>BLK01,DLCROSCILL,JCPENNEY01,MACY02,OVERSTOCK01</t>
  </si>
  <si>
    <t>11/6/2023</t>
  </si>
  <si>
    <t>CCS20-010</t>
  </si>
  <si>
    <t>DLCROSCILL,JCPENNEY01</t>
  </si>
  <si>
    <t>CCS20-009</t>
  </si>
  <si>
    <t>DLCROSCILL,JCPENNEY01,OVERSTOCK01</t>
  </si>
  <si>
    <t>9/11/2023</t>
  </si>
  <si>
    <t>CCS20-005</t>
  </si>
  <si>
    <t>4/14/2024</t>
  </si>
  <si>
    <t>CCS20-004</t>
  </si>
  <si>
    <t>10/5/2023</t>
  </si>
  <si>
    <t>II10-597</t>
  </si>
  <si>
    <t>Masie</t>
  </si>
  <si>
    <t>3 Piece Elastic Embroidered Cotton Comforter Set</t>
  </si>
  <si>
    <t>PF001679;PP000451</t>
  </si>
  <si>
    <t>Boho</t>
  </si>
  <si>
    <t>AMAZON,AMAZONDS,ASHFURNDS,BLK01,KOHLDSN,MACY02,OLLIIX,OVERSCONSIGN,OVERSTOCK01,TGTDVS</t>
  </si>
  <si>
    <t>CHMB2441</t>
  </si>
  <si>
    <t>7/14/2016</t>
  </si>
  <si>
    <t>MP104-0944</t>
  </si>
  <si>
    <t>BAR STOOL</t>
  </si>
  <si>
    <t>Swivel Counter Stool</t>
  </si>
  <si>
    <t>Mateo</t>
  </si>
  <si>
    <t>Quarry</t>
  </si>
  <si>
    <t>Powell</t>
  </si>
  <si>
    <t>Beige Multi</t>
  </si>
  <si>
    <t>2/10/2020</t>
  </si>
  <si>
    <t>AMERSIGNDS,HOUZZ,KOHLDSN,MACY02F,OLLIIX,OVERSTOCK01,TGTDVS</t>
  </si>
  <si>
    <t>NCWA1814</t>
  </si>
  <si>
    <t>3/23/2020</t>
  </si>
  <si>
    <t>MP104-1104</t>
  </si>
  <si>
    <t>5/18/2021</t>
  </si>
  <si>
    <t>AMERSIGNDS,KOHLDSN,LAMPDS,MACY02F,OLLIIX</t>
  </si>
  <si>
    <t>5/30/2021</t>
  </si>
  <si>
    <t>SS40-0032</t>
  </si>
  <si>
    <t>Maya</t>
  </si>
  <si>
    <t>Arlie</t>
  </si>
  <si>
    <t>Rune</t>
  </si>
  <si>
    <t>Printed Heathered Blackout Grommet Top Curtain Panel</t>
  </si>
  <si>
    <t>PF003956</t>
  </si>
  <si>
    <t>ASHFURNDS,BEALLSDS,BLK01,JCPENNEY01,KOHLDSN,OLLIIX,TGTDVS</t>
  </si>
  <si>
    <t>TDFM1003</t>
  </si>
  <si>
    <t>10/23/2017</t>
  </si>
  <si>
    <t>HH10-1225</t>
  </si>
  <si>
    <t>Maya Bay</t>
  </si>
  <si>
    <t>PF003324</t>
  </si>
  <si>
    <t>AMAZON,DESINC,OLLIIX,OVERSTOCK01</t>
  </si>
  <si>
    <t>HUH1351</t>
  </si>
  <si>
    <t>1/27/2015</t>
  </si>
  <si>
    <t>BASI30-0523</t>
  </si>
  <si>
    <t>Pillow Insert</t>
  </si>
  <si>
    <t>Memory Foam</t>
  </si>
  <si>
    <t>Wedge Pillow</t>
  </si>
  <si>
    <t>22x24x7"</t>
  </si>
  <si>
    <t>AMAZON,BEALLSDS,BLK01,HSNDS,JCPENNEY01,KOHLDSN,MACY02,OLLIIX,OVERSTOCK01,TGTDVS,ZOLA</t>
  </si>
  <si>
    <t>CEXA1015</t>
  </si>
  <si>
    <t>8/3/2020</t>
  </si>
  <si>
    <t>ID20-1474</t>
  </si>
  <si>
    <t>Metallic Dot</t>
  </si>
  <si>
    <t>Blush/Gold</t>
  </si>
  <si>
    <t>PP000922</t>
  </si>
  <si>
    <t>5/25/2018</t>
  </si>
  <si>
    <t>AMAZON,BLK01,KOHLDSN,MACY02,OVERSTOCK01,TGTDVS,WALMARTDS</t>
  </si>
  <si>
    <t>JLZL1004</t>
  </si>
  <si>
    <t>5/27/2018</t>
  </si>
  <si>
    <t>7/18/2018</t>
  </si>
  <si>
    <t>TN20-0461</t>
  </si>
  <si>
    <t>Micro Fleece</t>
  </si>
  <si>
    <t>PP001622;PF005448</t>
  </si>
  <si>
    <t>5/27/2021</t>
  </si>
  <si>
    <t>AMAZON,AMAZONDS,KOHLDSN,MACY02,TGTDVS</t>
  </si>
  <si>
    <t>CRLM1550</t>
  </si>
  <si>
    <t>9/27/2021</t>
  </si>
  <si>
    <t>TN20-0464</t>
  </si>
  <si>
    <t>AMAZON,AMAZONDS,DESINC,FINGERHUTDS,JCPENNEY01,KOHLDSN,MACY02,OVERSTOCK01,TGTDVS</t>
  </si>
  <si>
    <t>TN20-0465</t>
  </si>
  <si>
    <t>10/7/2021</t>
  </si>
  <si>
    <t>TN20-0522</t>
  </si>
  <si>
    <t>PP001622;PF006086</t>
  </si>
  <si>
    <t>10/26/2023</t>
  </si>
  <si>
    <t>11/16/2023</t>
  </si>
  <si>
    <t>TN20-0523</t>
  </si>
  <si>
    <t>AMAZON,KOHLDSN,OVERSTOCK01</t>
  </si>
  <si>
    <t>TN20-0526</t>
  </si>
  <si>
    <t>SHET20-530</t>
  </si>
  <si>
    <t>PF001775</t>
  </si>
  <si>
    <t>AMAZON,AMAZONDS,FINGERHUTDS,JCPENNEY01,KOHLDSN,MACY02</t>
  </si>
  <si>
    <t>8/20/2015</t>
  </si>
  <si>
    <t>PC20-006</t>
  </si>
  <si>
    <t>PF001735</t>
  </si>
  <si>
    <t>AMAZON,AMAZONDS,FINGERHUTDS,JCPENNEY01,KOHLDSN,MACY02,OVERSTOCK01</t>
  </si>
  <si>
    <t>SHET20-736</t>
  </si>
  <si>
    <t>PF001774</t>
  </si>
  <si>
    <t>AMAZON,AMAZONDS,DESINC,HDDS,JCPENNEY01,KOHLDSN,MACY02,OVERSTOCK01,WALMARTDS</t>
  </si>
  <si>
    <t>8/29/2016</t>
  </si>
  <si>
    <t>TN20-0528</t>
  </si>
  <si>
    <t>PP001622;PF006087</t>
  </si>
  <si>
    <t>TN20-0529</t>
  </si>
  <si>
    <t>SHET20-996</t>
  </si>
  <si>
    <t>PF002215</t>
  </si>
  <si>
    <t>AMAZON,AMAZONDS,OLLIIX</t>
  </si>
  <si>
    <t>10/25/2016</t>
  </si>
  <si>
    <t>SHET20-997</t>
  </si>
  <si>
    <t>SHET20-998</t>
  </si>
  <si>
    <t>AMAZON,BLK01,DESINC,JCPENNEY01,KOHLDSN,MACY02,OVERSTOCK01,WALMARTDS</t>
  </si>
  <si>
    <t>SHET20-999</t>
  </si>
  <si>
    <t>AMAZON,DESINC,JCPENNEY01,KOHLDSN,MACY02,OVERSTOCK01</t>
  </si>
  <si>
    <t>TN20-0532</t>
  </si>
  <si>
    <t>Grey Snowflake</t>
  </si>
  <si>
    <t>PP001622;PF006088</t>
  </si>
  <si>
    <t>PC20-124</t>
  </si>
  <si>
    <t>PF001746</t>
  </si>
  <si>
    <t>AMAZON,DESINC,KOHLDSN,MACY02</t>
  </si>
  <si>
    <t>PC20-002</t>
  </si>
  <si>
    <t>PF001674</t>
  </si>
  <si>
    <t>AMAZON,AMAZONDS,JCPENNEY01,KOHLDSN,MACY02</t>
  </si>
  <si>
    <t>SHET20-742</t>
  </si>
  <si>
    <t>SHET20-792</t>
  </si>
  <si>
    <t>Lavender</t>
  </si>
  <si>
    <t>PF001777</t>
  </si>
  <si>
    <t>AMAZON,FINGERHUTDS,JCPENNEY01,KOHLDSN,MACY02,OVERSTOCK01</t>
  </si>
  <si>
    <t>10/26/2016</t>
  </si>
  <si>
    <t>SHET20-796</t>
  </si>
  <si>
    <t>11/30/2016</t>
  </si>
  <si>
    <t>TN20-0449</t>
  </si>
  <si>
    <t>PP001622;PF005446</t>
  </si>
  <si>
    <t>12/7/2021</t>
  </si>
  <si>
    <t>TN20-0451</t>
  </si>
  <si>
    <t>5/28/2021</t>
  </si>
  <si>
    <t>10/11/2021</t>
  </si>
  <si>
    <t>SHET20-534</t>
  </si>
  <si>
    <t>PF001776</t>
  </si>
  <si>
    <t>BLK01,FINGERHUTDS,JCPENNEY01,KOHLDSN,MACY02</t>
  </si>
  <si>
    <t>1/28/2015</t>
  </si>
  <si>
    <t>SHET20-739</t>
  </si>
  <si>
    <t>AMAZON,FINGERHUTDS,JCPENNEY01,KOHLDSN,MACY02</t>
  </si>
  <si>
    <t>11/10/2016</t>
  </si>
  <si>
    <t>SHET20-535</t>
  </si>
  <si>
    <t>AMAZON,AMAZONDS,FINGERHUTDS,JCPENNEY01,KOHLDSN,MACY02,OVERSTOCK01,WALMARTDS</t>
  </si>
  <si>
    <t>10/5/2015</t>
  </si>
  <si>
    <t>SHET20-537</t>
  </si>
  <si>
    <t>9/16/2015</t>
  </si>
  <si>
    <t>SHET20-740</t>
  </si>
  <si>
    <t>10/7/2016</t>
  </si>
  <si>
    <t>ID20-2208</t>
  </si>
  <si>
    <t>All Season Soft Touch Sheet Set</t>
  </si>
  <si>
    <t>PP001853;PF005933</t>
  </si>
  <si>
    <t>WLAO2945</t>
  </si>
  <si>
    <t>ID20-2209</t>
  </si>
  <si>
    <t>ID20-2211</t>
  </si>
  <si>
    <t>ID20-2212</t>
  </si>
  <si>
    <t>ID20-2203</t>
  </si>
  <si>
    <t>PP001853;PF005932</t>
  </si>
  <si>
    <t>AMAZONDS,JCPENNEY01,KOHLDSN,MACY02,OLLIIX,TGTDVS</t>
  </si>
  <si>
    <t>4/19/2024</t>
  </si>
  <si>
    <t>ID20-2204</t>
  </si>
  <si>
    <t>ID20-2205</t>
  </si>
  <si>
    <t>AMAZON,AMAZONDS,JCPENNEY01,KOHLDSN,MACY02,OLLIIX,TGTDVS</t>
  </si>
  <si>
    <t>ID20-2206</t>
  </si>
  <si>
    <t>AMAZONDS,KOHLDSN,MACY02,OLLIIX,TGTDVS</t>
  </si>
  <si>
    <t>ID20-2207</t>
  </si>
  <si>
    <t>ID20-1074</t>
  </si>
  <si>
    <t>PF001772</t>
  </si>
  <si>
    <t>1/24/2025</t>
  </si>
  <si>
    <t>AMAZONDS,HSNDS,JCPENNEY01,KOHLDSN,MACY02,OLLIIX,OVERSTOCK01,TGTDVS,WALMARTDS</t>
  </si>
  <si>
    <t>12/29/2016</t>
  </si>
  <si>
    <t>2/6/2017</t>
  </si>
  <si>
    <t>ID20-1914</t>
  </si>
  <si>
    <t>Sheet Set with Side Storage Pockets</t>
  </si>
  <si>
    <t>5/13/2020</t>
  </si>
  <si>
    <t>AMAZONDS,HDDS,JCPENNEY01,KOHLDSN,MACY02,OVERSTOCK01,TGTDVS,WALMARTDS</t>
  </si>
  <si>
    <t>JLZL1005</t>
  </si>
  <si>
    <t>6/9/2020</t>
  </si>
  <si>
    <t>12/16/2021</t>
  </si>
  <si>
    <t>ID20-1075</t>
  </si>
  <si>
    <t>AMAZONDS,FINGERHUTDS,HSNDS,JCPENNEY01,KOHLDSN,MACY02,OVERSTOCK01,TGTDVS,WALMARTDS</t>
  </si>
  <si>
    <t>2/24/2017</t>
  </si>
  <si>
    <t>ID20-1915</t>
  </si>
  <si>
    <t>8/10/2020</t>
  </si>
  <si>
    <t>ID20-1076</t>
  </si>
  <si>
    <t>AMAZON,HSNDS,JCPENNEY01,KOHLDSN,MACY02,TGTDVS,WALMARTDS</t>
  </si>
  <si>
    <t>3/20/2017</t>
  </si>
  <si>
    <t>ID20-1916</t>
  </si>
  <si>
    <t>AMAZONDS,BLK01,JCPENNEY01,KOHLDSN,MACY02,TGTDVS,WALMARTDS</t>
  </si>
  <si>
    <t>9/17/2020</t>
  </si>
  <si>
    <t>ID20-1077</t>
  </si>
  <si>
    <t>AMAZONDS,BLK01,FINGERHUTDS,HSNDS,JCPENNEY01,KOHLDSN,MACY02,NRTPORT,OLLIIX,OVERSTOCK01,TGTDVS,WALMARTDS</t>
  </si>
  <si>
    <t>3/7/2017</t>
  </si>
  <si>
    <t>ID20-1917</t>
  </si>
  <si>
    <t>AMAZONDS,BLK01,HDDS,JCPENNEY01,KOHLDSN,MACY02,OVERSTOCK01,TGTDVS</t>
  </si>
  <si>
    <t>9/14/2020</t>
  </si>
  <si>
    <t>ID20-1078</t>
  </si>
  <si>
    <t>AMAZON,AMAZONDS,FINGERHUTDS,HSNDS,JCPENNEY01,KOHLDSN,MACY02,OVERSTOCK01,TGTDVS</t>
  </si>
  <si>
    <t>ID20-132</t>
  </si>
  <si>
    <t>PF001767</t>
  </si>
  <si>
    <t>AMAZONDS,HSNDS,KOHLDSN,MACY02,OVERSTOCK01,TGTDVS,WALMARTDS</t>
  </si>
  <si>
    <t>ID20-1454</t>
  </si>
  <si>
    <t>JCPENNEY01,KOHLDSN,MACY02,OVERSTOCK01,TGTDVS,WALMARTDS</t>
  </si>
  <si>
    <t>8/30/2018</t>
  </si>
  <si>
    <t>ID20-133</t>
  </si>
  <si>
    <t>FINGERHUTDS,HSNDS,JCPENNEY01,KOHLDSN,MACY02,OVERSTOCK01,TGTDVS,WALMARTDS</t>
  </si>
  <si>
    <t>ID20-1455</t>
  </si>
  <si>
    <t>6/25/2018</t>
  </si>
  <si>
    <t>ID20-134</t>
  </si>
  <si>
    <t>AMAZONDS,BLK01,HSNDS,JCPENNEY01,KOHLDSN,MACY02,OLLIIX,TGTDVS</t>
  </si>
  <si>
    <t>2/3/2015</t>
  </si>
  <si>
    <t>ID20-1456</t>
  </si>
  <si>
    <t>AMAZON,JCPENNEY01,KOHLDSN,MACY02,OVERSTOCK01,TGTDVS,WALMARTDS</t>
  </si>
  <si>
    <t>8/2/2018</t>
  </si>
  <si>
    <t>ID20-135</t>
  </si>
  <si>
    <t>AMAZONDS,BLK01,FINGERHUTDS,HSNDS,JCPENNEY01,KOHLDSN,MACY02,OLLIIX,OVERSTOCK01,TGTDVS,WALMARTDS</t>
  </si>
  <si>
    <t>1/15/2015</t>
  </si>
  <si>
    <t>ID20-1457</t>
  </si>
  <si>
    <t>BLK01,HDDS,JCPENNEY01,KOHLDSN,MACY02,OVERSTOCK01,TGTDVS,WALMARTDS</t>
  </si>
  <si>
    <t>ID20-136</t>
  </si>
  <si>
    <t>AMAZON,AMAZONDS,BLK01,FINGERHUTDS,HSNDS,JCPENNEY01,KOHLDSN,MACY02,OVERSTOCK01,TGTDVS,WALMARTDS</t>
  </si>
  <si>
    <t>ID20-2213</t>
  </si>
  <si>
    <t>PP001853;PF005934</t>
  </si>
  <si>
    <t>ID20-2214</t>
  </si>
  <si>
    <t>ID20-2215</t>
  </si>
  <si>
    <t>ID20-2216</t>
  </si>
  <si>
    <t>ID20-2217</t>
  </si>
  <si>
    <t>AMAZON,AMAZONDS,JCPENNEY01,MACY02,TGTDVS</t>
  </si>
  <si>
    <t>ID20-137</t>
  </si>
  <si>
    <t>PF001769</t>
  </si>
  <si>
    <t>DESINC,HSNDS,JCPENNEY01,KOHLDSN,MACY02,OVERSTOCK01,TGTDVS,WALMARTDS</t>
  </si>
  <si>
    <t>ID20-1458</t>
  </si>
  <si>
    <t>HDDS,JCPENNEY01,KOHLDSN,MACY02,OLLIIX,TGTDVS</t>
  </si>
  <si>
    <t>8/8/2018</t>
  </si>
  <si>
    <t>ID20-138</t>
  </si>
  <si>
    <t>FINGERHUTDS,HSNDS,JCPENNEY01,KOHLDSN,MACY02,NRTPORT,TGTDVS,WALMARTDS</t>
  </si>
  <si>
    <t>1/26/2015</t>
  </si>
  <si>
    <t>ID20-1459</t>
  </si>
  <si>
    <t>ID20-139</t>
  </si>
  <si>
    <t>HSNDS,JCPENNEY01,KOHLDSN,MACY02,OVERSTOCK01,TGTDVS</t>
  </si>
  <si>
    <t>1/22/2015</t>
  </si>
  <si>
    <t>ID20-1460</t>
  </si>
  <si>
    <t>BLK01,HDDS,JCPENNEY01,KOHLDSN,MACY02,OLLIIX,OVERSTOCK01,TGTDVS</t>
  </si>
  <si>
    <t>ID20-1461</t>
  </si>
  <si>
    <t>BLK01,HDDS,JCPENNEY01,KOHLDSN,MACY02,NRTPORT,OLLIIX,OVERSTOCK01,TGTDVS</t>
  </si>
  <si>
    <t>ID20-141</t>
  </si>
  <si>
    <t>BLK01,FINGERHUTDS,HSNDS,KOHLDSN,MACY02,OVERSTOCK01,TGTDVS</t>
  </si>
  <si>
    <t>ID20-1080</t>
  </si>
  <si>
    <t>PF001773</t>
  </si>
  <si>
    <t>AMAZONDS,HSNDS,JCPENNEY01,KOHLDSN,MACY02,OVERSTOCK01,TGTDVS,WALMARTDS</t>
  </si>
  <si>
    <t>ID20-1081</t>
  </si>
  <si>
    <t>AMAZON,AMAZONDS,BLK01,FINGERHUTDS,HSNDS,JCPENNEY01,KOHLDSN,MACY02,OLLIIX,TGTDVS</t>
  </si>
  <si>
    <t>4/5/2017</t>
  </si>
  <si>
    <t>ID20-1082</t>
  </si>
  <si>
    <t>AMAZON,BEALLSDS,BLK01,HSNDS,JCPENNEY01,KOHLDSN,MACY02,OVERSTOCK01,TGTDVS,WALMARTDS</t>
  </si>
  <si>
    <t>ID20-1083</t>
  </si>
  <si>
    <t>AMAZON,AMAZONDS,BEALLSDS,BLK01,FINGERHUTDS,HSNDS,JCPENNEY01,KOHLDSN,MACY02,OVERSTOCK01,TGTDVS,WALMARTDS</t>
  </si>
  <si>
    <t>ID20-1084</t>
  </si>
  <si>
    <t>AMAZON,BLK01,FINGERHUTDS,HSNDS,JCPENNEY01,KOHLDSN,MACY02,TGTDVS,WALMARTDS</t>
  </si>
  <si>
    <t>2/28/2017</t>
  </si>
  <si>
    <t>ID20-142</t>
  </si>
  <si>
    <t>PF001770</t>
  </si>
  <si>
    <t>4/25/2017</t>
  </si>
  <si>
    <t>AMAZON,AMAZONDS,HSNDS,JCPENNEY01,KOHLDSN,MACY02,OLLIIX,OVERSTOCK01,TGTDVS</t>
  </si>
  <si>
    <t>ID20-1910</t>
  </si>
  <si>
    <t>BLK01,JCPENNEY01,KOHLDSN,MACY02,OLLIIX,OVERSTOCK01,TGTDVS,WALMARTDS</t>
  </si>
  <si>
    <t>7/6/2020</t>
  </si>
  <si>
    <t>ID20-143</t>
  </si>
  <si>
    <t>AMAZONDS,FINGERHUTDS,HSNDS,JCPENNEY01,KOHLDSN,MACY02,TGTDVS,WALMARTDS</t>
  </si>
  <si>
    <t>3/26/2015</t>
  </si>
  <si>
    <t>ID20-1911</t>
  </si>
  <si>
    <t>7/25/2022</t>
  </si>
  <si>
    <t>ID20-144</t>
  </si>
  <si>
    <t>AMAZON,AMAZONDS,JCPENNEY01,KOHLDSN,MACY02,OLLIIX,OVERSTOCK01,TGTDVS</t>
  </si>
  <si>
    <t>ID20-1912</t>
  </si>
  <si>
    <t>2/1/2021</t>
  </si>
  <si>
    <t>ID20-145</t>
  </si>
  <si>
    <t>AMAZONDS,FINGERHUTDS,HSNDS,JCPENNEY01,KOHLDSN,MACY02,OLLIIX,OVERSTOCK01,TGTDVS</t>
  </si>
  <si>
    <t>ID20-1913</t>
  </si>
  <si>
    <t>10/21/2020</t>
  </si>
  <si>
    <t>ID20-146</t>
  </si>
  <si>
    <t>AMAZON,BLK01,FINGERHUTDS,HSNDS,JCPENNEY01,KOHLDSN,MACY02,OLLIIX,OVERSTOCK01,TGTDVS</t>
  </si>
  <si>
    <t>2/9/2015</t>
  </si>
  <si>
    <t>BR54-4126</t>
  </si>
  <si>
    <t>Microplush</t>
  </si>
  <si>
    <t>Heated Blanket with Wifi Technology</t>
  </si>
  <si>
    <t>PP001882;PF006001</t>
  </si>
  <si>
    <t>9/9/2023</t>
  </si>
  <si>
    <t>AMAZON,AMAZONDS,BLK01,BLOOM02,HDDS,JCPENNEY01,KOHLDSN,MACY02,NRTPORT,OLLIIX,OVERSTOCK01,TGTDVS</t>
  </si>
  <si>
    <t>TCKF1624</t>
  </si>
  <si>
    <t>9/20/2023</t>
  </si>
  <si>
    <t>II12-1250</t>
  </si>
  <si>
    <t>3 Piece Cotton Duvet Cover Set with Chenille Tufting</t>
  </si>
  <si>
    <t>PP001321;PF005708</t>
  </si>
  <si>
    <t>AMAZON,HOUZZ,JCPENNEY01,MACY02,OVERSTOCK01,TGTDVS</t>
  </si>
  <si>
    <t>MITN5068</t>
  </si>
  <si>
    <t>5/12/2022</t>
  </si>
  <si>
    <t>II10-1124</t>
  </si>
  <si>
    <t>3 Piece Cotton Comforter Set with Chenille Tufting</t>
  </si>
  <si>
    <t>PP001321;PF005135</t>
  </si>
  <si>
    <t>AMAZON,DESINC,HDDS,JCPENNEY01,KOHLDSN,MACY02,OLLIIX,OVERSTOCK01,TGTDVS</t>
  </si>
  <si>
    <t>MITN5067</t>
  </si>
  <si>
    <t>10/26/2020</t>
  </si>
  <si>
    <t>ID10-2263</t>
  </si>
  <si>
    <t>Mira</t>
  </si>
  <si>
    <t>Gemma</t>
  </si>
  <si>
    <t>Arabella</t>
  </si>
  <si>
    <t>Crushed Velvet Sherpa Reversible Comforter Set</t>
  </si>
  <si>
    <t>Silver</t>
  </si>
  <si>
    <t>PP001907;PF006080</t>
  </si>
  <si>
    <t>10/3/2023</t>
  </si>
  <si>
    <t>AMAZON,AMAZONDS,BLK01,JCPENNEY01,KOHLDSN,MACY02,NRTPORT,TGTDVS</t>
  </si>
  <si>
    <t>JLZL1286</t>
  </si>
  <si>
    <t>II100-0544</t>
  </si>
  <si>
    <t>SECTIONAL SOFA</t>
  </si>
  <si>
    <t>Sectional Sofa</t>
  </si>
  <si>
    <t>Molly</t>
  </si>
  <si>
    <t>Modular Armless Chair</t>
  </si>
  <si>
    <t>Armless Chair</t>
  </si>
  <si>
    <t>Linen</t>
  </si>
  <si>
    <t>1/4/2024</t>
  </si>
  <si>
    <t>IKIY1110</t>
  </si>
  <si>
    <t>3/19/2024</t>
  </si>
  <si>
    <t>II100-0543</t>
  </si>
  <si>
    <t>Modular Corner Chair</t>
  </si>
  <si>
    <t>Corner Chair</t>
  </si>
  <si>
    <t>IKIY1111</t>
  </si>
  <si>
    <t>5/9/2024</t>
  </si>
  <si>
    <t>MP95C-0325</t>
  </si>
  <si>
    <t>Moody Coast</t>
  </si>
  <si>
    <t>Hand Embellished Landscape Framed Canvas Wall Art</t>
  </si>
  <si>
    <t>Blue/Pink</t>
  </si>
  <si>
    <t>10/21/2023</t>
  </si>
  <si>
    <t>MACY02,OLLIIX,OVERSTOCK01,ROOMECOM,TGTDVS</t>
  </si>
  <si>
    <t>NCWA2540</t>
  </si>
  <si>
    <t>10/29/2023</t>
  </si>
  <si>
    <t>HH12-1829</t>
  </si>
  <si>
    <t>Morgan</t>
  </si>
  <si>
    <t>5 Piece Cotton Jaquard Duvet Set</t>
  </si>
  <si>
    <t>PF005694;PP001753</t>
  </si>
  <si>
    <t>Farm House|Lodge/Cabin</t>
  </si>
  <si>
    <t>12/6/2022</t>
  </si>
  <si>
    <t>HUH10117</t>
  </si>
  <si>
    <t>12/22/2022</t>
  </si>
  <si>
    <t>9/18/2023</t>
  </si>
  <si>
    <t>UHK13-0223</t>
  </si>
  <si>
    <t>Coverlet Mini Set</t>
  </si>
  <si>
    <t>Morris</t>
  </si>
  <si>
    <t>Emmett</t>
  </si>
  <si>
    <t>Noah</t>
  </si>
  <si>
    <t>Stripe Printed Quilt Set</t>
  </si>
  <si>
    <t>PF005207</t>
  </si>
  <si>
    <t>7/27/2023</t>
  </si>
  <si>
    <t>AMAZON,BLK01,HDDS,JCPENNEY01,KOHLDSN,MACY02,OVERSTOCK01,TGTDVS</t>
  </si>
  <si>
    <t>VBDN1053</t>
  </si>
  <si>
    <t>9/25/2023</t>
  </si>
  <si>
    <t>MP95C-0284</t>
  </si>
  <si>
    <t>Moving Midas</t>
  </si>
  <si>
    <t>Gold Foil Abstract 2-piece Framed Canvas Wall Art Set</t>
  </si>
  <si>
    <t>PP001663</t>
  </si>
  <si>
    <t>AMERSIGNDS,JCPENNEY01,KIRKLANDDS,MACY02,OLLIIX,OVERSTOCK01,ROOMECOM,TGTDVS</t>
  </si>
  <si>
    <t>NCWA2050</t>
  </si>
  <si>
    <t>9/6/2021</t>
  </si>
  <si>
    <t>MT153-0077</t>
  </si>
  <si>
    <t>Mystique</t>
  </si>
  <si>
    <t>Blue Ceramic Ginger Jar Table Lamp</t>
  </si>
  <si>
    <t>MT Lily Pond</t>
  </si>
  <si>
    <t>MSTT6188</t>
  </si>
  <si>
    <t>6/18/2024</t>
  </si>
  <si>
    <t>ID91-524</t>
  </si>
  <si>
    <t>FASHION TOWEL</t>
  </si>
  <si>
    <t>Nadia</t>
  </si>
  <si>
    <t>Laila</t>
  </si>
  <si>
    <t>Darcy</t>
  </si>
  <si>
    <t>Cotton Jacquard Bath Towel 6 Piece Set</t>
  </si>
  <si>
    <t>PF001470;PP000465</t>
  </si>
  <si>
    <t>Chevron</t>
  </si>
  <si>
    <t>AMAZON,BLK01,JCPENNEY01,KOHLDSN,OVERSTOCK01,TGTDVS</t>
  </si>
  <si>
    <t>ZPCD6717</t>
  </si>
  <si>
    <t>6/28/2016</t>
  </si>
  <si>
    <t>ID91-525</t>
  </si>
  <si>
    <t>PF001471;PP000465</t>
  </si>
  <si>
    <t>AMAZON,BLK01,HOUZZ,JCPENNEY01,KOHLDSN,MACY02,OLLIIX,OVERSTOCK01,TGTDVS</t>
  </si>
  <si>
    <t>5/27/2016</t>
  </si>
  <si>
    <t>PET63HM6012</t>
  </si>
  <si>
    <t>Nala</t>
  </si>
  <si>
    <t>Hide Mat SM</t>
  </si>
  <si>
    <t>3/31/2023</t>
  </si>
  <si>
    <t>AMAZON,AMAZONDS,OLLIIX,OVERSTOCK01</t>
  </si>
  <si>
    <t>BFFS1130</t>
  </si>
  <si>
    <t>4/26/2023</t>
  </si>
  <si>
    <t>PET63CM6018</t>
  </si>
  <si>
    <t>Nova</t>
  </si>
  <si>
    <t>Back Printed Microberber Bumper Crate Mat</t>
  </si>
  <si>
    <t>BFFS1127</t>
  </si>
  <si>
    <t>ID20-1439</t>
  </si>
  <si>
    <t>Print Sheet Set</t>
  </si>
  <si>
    <t>TXL</t>
  </si>
  <si>
    <t>Aqua Dogs</t>
  </si>
  <si>
    <t>PP000909;PF004369</t>
  </si>
  <si>
    <t>5/10/2018</t>
  </si>
  <si>
    <t>AMAZON,AMAZONDS,KOHLDSN,MACY02,WALMARTDS</t>
  </si>
  <si>
    <t>MACK1101</t>
  </si>
  <si>
    <t>ID20-1441</t>
  </si>
  <si>
    <t>AMAZON,AMAZONDS,BLK01,KOHLDSN,MACY02,NRTPORT,OLLIIX,OVERSTOCK01</t>
  </si>
  <si>
    <t>7/16/2018</t>
  </si>
  <si>
    <t>ID20-1427</t>
  </si>
  <si>
    <t>Grey/Blue Road Trip</t>
  </si>
  <si>
    <t>PP000909;PF004366</t>
  </si>
  <si>
    <t>AMAZONDS,KOHLDSN,MACY02,WALMARTDS</t>
  </si>
  <si>
    <t>ID20-1428</t>
  </si>
  <si>
    <t>7/26/2018</t>
  </si>
  <si>
    <t>ID20-1429</t>
  </si>
  <si>
    <t>AMAZON,BLK01,KOHLDSN,MACY02,OVERSTOCK01,WALMARTDS</t>
  </si>
  <si>
    <t>8/21/2018</t>
  </si>
  <si>
    <t>LCN73-0130</t>
  </si>
  <si>
    <t>Nurture</t>
  </si>
  <si>
    <t>Sustainable Antimicrobial Bath Towel 6 Piece Set</t>
  </si>
  <si>
    <t>PP001624;PF005451</t>
  </si>
  <si>
    <t>BLK01,JCPENNEY01,KOHLDSN,MACY02,OVERSTOCK01,ZOLA</t>
  </si>
  <si>
    <t>CEAH1019</t>
  </si>
  <si>
    <t>11/22/2021</t>
  </si>
  <si>
    <t>LCN73-0131</t>
  </si>
  <si>
    <t>PP001624;PF005452</t>
  </si>
  <si>
    <t>11/17/2021</t>
  </si>
  <si>
    <t>LCN73-0129</t>
  </si>
  <si>
    <t>PP001624;PF005450</t>
  </si>
  <si>
    <t>11/18/2021</t>
  </si>
  <si>
    <t>5DS13-0292</t>
  </si>
  <si>
    <t>Bedspread</t>
  </si>
  <si>
    <t>Oakley</t>
  </si>
  <si>
    <t>Hayley</t>
  </si>
  <si>
    <t>Glen</t>
  </si>
  <si>
    <t>3 Piece Reversible Bedspread Set</t>
  </si>
  <si>
    <t>PP000972;PF006116</t>
  </si>
  <si>
    <t>2/6/2024</t>
  </si>
  <si>
    <t>NGIN1061</t>
  </si>
  <si>
    <t>7/9/2024</t>
  </si>
  <si>
    <t>MP95C-0062</t>
  </si>
  <si>
    <t>Ocean Seashells</t>
  </si>
  <si>
    <t>4-piece Framed Canvas Wall Art Set</t>
  </si>
  <si>
    <t>PF001950</t>
  </si>
  <si>
    <t>AMAZON,AMERSIGNDS,BEALLSDS,KIRKLANDDS,KOHLDSN,MACY02,OLLIIX,OVERSTOCK01,TGTDVS</t>
  </si>
  <si>
    <t>TRPT4938</t>
  </si>
  <si>
    <t>MP50-3509</t>
  </si>
  <si>
    <t>Ogee</t>
  </si>
  <si>
    <t>Oversized Throw</t>
  </si>
  <si>
    <t>PF003637;PP000475</t>
  </si>
  <si>
    <t>AMAZON,ASHFURNDS,FINGERHUTDS,HSNDS,JCPENNEY01,KOHLDSN,MACY02,OLLIIX,TGTDVS</t>
  </si>
  <si>
    <t>ANDV1356</t>
  </si>
  <si>
    <t>10/5/2016</t>
  </si>
  <si>
    <t>ID10-2322</t>
  </si>
  <si>
    <t>Oliena</t>
  </si>
  <si>
    <t>Elodie</t>
  </si>
  <si>
    <t>Colette</t>
  </si>
  <si>
    <t>Floral Paisley Comforter Set</t>
  </si>
  <si>
    <t>PF006200</t>
  </si>
  <si>
    <t>JLZL1318</t>
  </si>
  <si>
    <t>4/3/2024</t>
  </si>
  <si>
    <t>ID12-2324</t>
  </si>
  <si>
    <t>Floral Paisley Duvet Cover Set</t>
  </si>
  <si>
    <t>JLZL1321</t>
  </si>
  <si>
    <t>WR13-3904</t>
  </si>
  <si>
    <t>Quilt</t>
  </si>
  <si>
    <t>Olsen</t>
  </si>
  <si>
    <t>Olsen 3 Piece Oversized Cotton Quilt Set</t>
  </si>
  <si>
    <t>PP001704;PF005929</t>
  </si>
  <si>
    <t>2/10/2023</t>
  </si>
  <si>
    <t>AMAZON,BLK01,JCPENNEY01,KOHLDSN,OLLIIX,OVERSTOCK01,TGTDVS</t>
  </si>
  <si>
    <t>XBYB1042</t>
  </si>
  <si>
    <t>2/14/2023</t>
  </si>
  <si>
    <t>6/1/2023</t>
  </si>
  <si>
    <t>MP73-7473</t>
  </si>
  <si>
    <t>Organic</t>
  </si>
  <si>
    <t>6 Piece Cotton Towel Set</t>
  </si>
  <si>
    <t>PP001101</t>
  </si>
  <si>
    <t>6/8/2021</t>
  </si>
  <si>
    <t>2/5/2025</t>
  </si>
  <si>
    <t>AMAZON,AMAZONDS,BLK01,HDDS,JCPENNEY01,KOHLDSN,MACY02,OVERSTOCK01,TGTDVS</t>
  </si>
  <si>
    <t>EULA2163</t>
  </si>
  <si>
    <t>8/24/2021</t>
  </si>
  <si>
    <t>10/13/2021</t>
  </si>
  <si>
    <t>MP73-5138</t>
  </si>
  <si>
    <t>AMAZON,AMAZONDS,BEALLSDS,BLK01,HDDS,JCPENNEY01,KOHLDSN,MACY02,OVERSTOCK01,TGTDVS,WALMARTDS,ZOLA</t>
  </si>
  <si>
    <t>6/22/2020</t>
  </si>
  <si>
    <t>MP73-5141</t>
  </si>
  <si>
    <t>AMAZON,AMAZONDS,BLK01,HDDS,JCPENNEY01,KIRKLANDDS,KOHLDSN,MACY02,OLLIIX,OVERSTOCK01,TGTDVS,ZOLA</t>
  </si>
  <si>
    <t>12/5/2017</t>
  </si>
  <si>
    <t>MP73-6629</t>
  </si>
  <si>
    <t>9/20/2019</t>
  </si>
  <si>
    <t>AMAZONDS,BLK01,JCPENNEY01,KOHLDSN,MACY02,OLLIIX,OVERSTOCK01,TGTDVS,WALMARTDS</t>
  </si>
  <si>
    <t>10/24/2019</t>
  </si>
  <si>
    <t>6/5/2020</t>
  </si>
  <si>
    <t>MP73-6182</t>
  </si>
  <si>
    <t>3/30/2019</t>
  </si>
  <si>
    <t>AMAZONDS,BLK01,HDDS,JCPENNEY01,KOHLDSN,LOWESDS,MACY02,OLLIIX,OVERSTOCK01,TGTDVS,ZOLA</t>
  </si>
  <si>
    <t>4/20/2020</t>
  </si>
  <si>
    <t>5DS13-0025</t>
  </si>
  <si>
    <t>Otto</t>
  </si>
  <si>
    <t>Nash</t>
  </si>
  <si>
    <t>Trace</t>
  </si>
  <si>
    <t>3 Piece Reversible Quilt Set</t>
  </si>
  <si>
    <t>PF004284;PP000894</t>
  </si>
  <si>
    <t>2/8/2018</t>
  </si>
  <si>
    <t>BLK01,JCPENNEY01,KIRKLANDDS,KOHLDSN,MACY02,OLLIIX,OVERSTOCK01,TGTDVS</t>
  </si>
  <si>
    <t>GOLV5231</t>
  </si>
  <si>
    <t>3/7/2018</t>
  </si>
  <si>
    <t>5/23/2018</t>
  </si>
  <si>
    <t>ID30-1482</t>
  </si>
  <si>
    <t>Oversized Headboard</t>
  </si>
  <si>
    <t>100% Cotton Canvas Pillow</t>
  </si>
  <si>
    <t>4/13/2018</t>
  </si>
  <si>
    <t>BLK01,HDDS,JCPENNEY01,KOHLDSN,OLLIIX,OVERSTOCK01,TGTDVS</t>
  </si>
  <si>
    <t>JLZL1001</t>
  </si>
  <si>
    <t>MP95B-0224</t>
  </si>
  <si>
    <t>Paper Cloaked Leaves</t>
  </si>
  <si>
    <t>Metal Framed Decor Panel</t>
  </si>
  <si>
    <t>9/13/2019</t>
  </si>
  <si>
    <t>AMERSIGNDS,JCPENNEY01,KIRKLANDDS,KOHLDSN,MACY02,OLLIIX,TGTDVS</t>
  </si>
  <si>
    <t>NCWA1726</t>
  </si>
  <si>
    <t>12/3/2019</t>
  </si>
  <si>
    <t>MP20-5411</t>
  </si>
  <si>
    <t>Peached Percale</t>
  </si>
  <si>
    <t>200 Thread Count Relaxed Cotton Percale Sheet Set</t>
  </si>
  <si>
    <t>PF004094</t>
  </si>
  <si>
    <t>3/23/2018</t>
  </si>
  <si>
    <t>RCLF2248</t>
  </si>
  <si>
    <t>4/8/2018</t>
  </si>
  <si>
    <t>1/26/2021</t>
  </si>
  <si>
    <t>MP20-5413</t>
  </si>
  <si>
    <t>3/27/2019</t>
  </si>
  <si>
    <t>MP20-5414</t>
  </si>
  <si>
    <t>5/1/2020</t>
  </si>
  <si>
    <t>MP20-5415</t>
  </si>
  <si>
    <t>6/12/2019</t>
  </si>
  <si>
    <t>MP20-5416</t>
  </si>
  <si>
    <t>BLK01,KOHLDSN,MACY02,TGTDVS,WALMARTDS</t>
  </si>
  <si>
    <t>7/3/2018</t>
  </si>
  <si>
    <t>MP20-5389</t>
  </si>
  <si>
    <t>PF004090</t>
  </si>
  <si>
    <t>BLK01,JCPENNEY01,KOHLDSN,MACY02,OVERSTOCK01,TGTDVS,WALMARTDS</t>
  </si>
  <si>
    <t>12/13/2019</t>
  </si>
  <si>
    <t>MP20-5390</t>
  </si>
  <si>
    <t>BLK01,HDDS,JCPENNEY01,KOHLDSN,MACY02,OLLIIX,OVERSTOCK01</t>
  </si>
  <si>
    <t>4/3/2020</t>
  </si>
  <si>
    <t>MP20-5391</t>
  </si>
  <si>
    <t>BEALLSDS,BLK01,JCPENNEY01,KOHLDSN,MACY02,OVERSTOCK01,TGTDVS</t>
  </si>
  <si>
    <t>3/27/2020</t>
  </si>
  <si>
    <t>MP20-5392</t>
  </si>
  <si>
    <t>6/11/2018</t>
  </si>
  <si>
    <t>MP20-5377</t>
  </si>
  <si>
    <t>PF004088</t>
  </si>
  <si>
    <t>BEALLSDS,BLK01,JCPENNEY01,KOHLDSN,MACY02,OLLIIX,TGTDVS</t>
  </si>
  <si>
    <t>7/2/2018</t>
  </si>
  <si>
    <t>MP20-5379</t>
  </si>
  <si>
    <t>BLK01,FINGERHUTDS,HDDS,JCPENNEY01,KOHLDSN,MACY02,OLLIIX,OVERSTOCK01</t>
  </si>
  <si>
    <t>5/30/2018</t>
  </si>
  <si>
    <t>MP20-5381</t>
  </si>
  <si>
    <t>12/7/2018</t>
  </si>
  <si>
    <t>MP20-5395</t>
  </si>
  <si>
    <t>PF004091</t>
  </si>
  <si>
    <t>FINGERHUTDS,JCPENNEY01,KOHLDSN,MACY02,OLLIIX,TGTDVS</t>
  </si>
  <si>
    <t>MP20-5397</t>
  </si>
  <si>
    <t>BLK01,FINGERHUTDS,JCPENNEY01,KOHLDSN,MACY02,OLLIIX,OVERSTOCK01,TGTDVS</t>
  </si>
  <si>
    <t>MP20-5398</t>
  </si>
  <si>
    <t>MP20-5382</t>
  </si>
  <si>
    <t>PF004089</t>
  </si>
  <si>
    <t>6/22/2018</t>
  </si>
  <si>
    <t>MP20-5383</t>
  </si>
  <si>
    <t>BLK01,HDDS,JCPENNEY01,KOHLDSN,MACY02,OLLIIX</t>
  </si>
  <si>
    <t>7/26/2019</t>
  </si>
  <si>
    <t>MP20-5385</t>
  </si>
  <si>
    <t>MP20-5399</t>
  </si>
  <si>
    <t>PF004092</t>
  </si>
  <si>
    <t>JCPENNEY01,KOHLDSN,MACY02,OLLIIX,TGTDVS,WALMARTDS</t>
  </si>
  <si>
    <t>4/15/2019</t>
  </si>
  <si>
    <t>MP20-5403</t>
  </si>
  <si>
    <t>5/29/2018</t>
  </si>
  <si>
    <t>MP20-5404</t>
  </si>
  <si>
    <t>JCPENNEY01,KOHLDSN,MACY02,NRTPORT,OLLIIX</t>
  </si>
  <si>
    <t>8/12/2019</t>
  </si>
  <si>
    <t>ID95C-0041</t>
  </si>
  <si>
    <t>Pet Portrait</t>
  </si>
  <si>
    <t>Bohemian Cat In Forest Framed Canvas Wall Art</t>
  </si>
  <si>
    <t>Bohemian Cat</t>
  </si>
  <si>
    <t>HDDS,JCPENNEY01</t>
  </si>
  <si>
    <t>JLZL1294</t>
  </si>
  <si>
    <t>AM10-0185</t>
  </si>
  <si>
    <t>Phoebe</t>
  </si>
  <si>
    <t>Himari</t>
  </si>
  <si>
    <t>Diamond Quilted Ruffle Edge Comforter Set</t>
  </si>
  <si>
    <t>PP001981;PF006323</t>
  </si>
  <si>
    <t>5/7/2024</t>
  </si>
  <si>
    <t>AMAZON,BLK01,DESINC,HDDS,JCPENNEY01,KIRKLANDDS,KOHLDSN,MACY02,NRTPORT,OVERSTOCK01,TGTDVS</t>
  </si>
  <si>
    <t>NGIN1178</t>
  </si>
  <si>
    <t>6/4/2024</t>
  </si>
  <si>
    <t>9/6/2024</t>
  </si>
  <si>
    <t>AM10-0188</t>
  </si>
  <si>
    <t>PP001981;PF006324</t>
  </si>
  <si>
    <t>BLK01,DESINC,HDDS,JCPENNEY01,KOHLDSN,MACY02,NRTPORT,OVERSTOCK01,TGTDVS</t>
  </si>
  <si>
    <t>6/5/2024</t>
  </si>
  <si>
    <t>AM10-0197</t>
  </si>
  <si>
    <t>Sage</t>
  </si>
  <si>
    <t>PP001981;PF006327</t>
  </si>
  <si>
    <t>7/16/2024</t>
  </si>
  <si>
    <t>MZ10-062</t>
  </si>
  <si>
    <t>Pipeline</t>
  </si>
  <si>
    <t>Switch</t>
  </si>
  <si>
    <t>Maverick</t>
  </si>
  <si>
    <t>PF000002</t>
  </si>
  <si>
    <t>AMAZON,AMAZONDS,BLK01,HDDS,HSNDS,JCPENNEY01,KOHLDSN,MACY02,OVERSCONSIGN,OVERSTOCK01,TGTDVS</t>
  </si>
  <si>
    <t>EBDG5397</t>
  </si>
  <si>
    <t>ST54-0130</t>
  </si>
  <si>
    <t>Serta</t>
  </si>
  <si>
    <t>Plush Heated</t>
  </si>
  <si>
    <t>6/25/2021</t>
  </si>
  <si>
    <t>DESINC,FINGERHUTDS,HDDS,JCPENNEY01,KOHLDSN,MACY02,OVERSTOCK01,TGTDVS</t>
  </si>
  <si>
    <t>XS10549</t>
  </si>
  <si>
    <t>8/23/2021</t>
  </si>
  <si>
    <t>AM12-0149</t>
  </si>
  <si>
    <t>Porter</t>
  </si>
  <si>
    <t>Evans</t>
  </si>
  <si>
    <t>Walker</t>
  </si>
  <si>
    <t>Soft Washed Pleated Duvet Cover Set</t>
  </si>
  <si>
    <t>PP001927;PF006240</t>
  </si>
  <si>
    <t>AMAZON,BLK01,DESINC,JCPENNEY01,KOHLDSN,MACY02</t>
  </si>
  <si>
    <t>NGIN1144</t>
  </si>
  <si>
    <t>MZ12-0647</t>
  </si>
  <si>
    <t>Primrose</t>
  </si>
  <si>
    <t>Talia</t>
  </si>
  <si>
    <t>Evie</t>
  </si>
  <si>
    <t>Ombre Shaggy Faux Fur Duvet Cover Set</t>
  </si>
  <si>
    <t>Purple Multi</t>
  </si>
  <si>
    <t>PF005829</t>
  </si>
  <si>
    <t>Ombre</t>
  </si>
  <si>
    <t>NDHA1036</t>
  </si>
  <si>
    <t>MP13-613</t>
  </si>
  <si>
    <t>Princeton</t>
  </si>
  <si>
    <t>Dartmouth</t>
  </si>
  <si>
    <t>Cambridge</t>
  </si>
  <si>
    <t>5 Piece Jacquard Quilt Set with Throw Pillows</t>
  </si>
  <si>
    <t>PF003392;PP000487</t>
  </si>
  <si>
    <t>AMAZON,AMAZONDS,BEALLSDS,BLK01,JCPENNEY01,KOHLDSN,MACY02,OVERSTOCK01,TGTDVS</t>
  </si>
  <si>
    <t>ALTL4910</t>
  </si>
  <si>
    <t>MP10-697</t>
  </si>
  <si>
    <t>AAFESDS,AMAZON,BLK01,JCPENNEY01,KOHLDSN,MACY02,OLLIIX,TGTDVS</t>
  </si>
  <si>
    <t>RBSD4377</t>
  </si>
  <si>
    <t>MP10-698</t>
  </si>
  <si>
    <t>AAFESDS,AMAZON,JCPENNEY01,KOHLDSN,MACY02,OVERSTOCK01,TGTDVS</t>
  </si>
  <si>
    <t>MP10-699</t>
  </si>
  <si>
    <t>AMAZON,AMAZONDS,JCPENNEY01,KOHLDSN,MACY02,NRTPORT,OVERSTOCK01</t>
  </si>
  <si>
    <t>ID20-2221</t>
  </si>
  <si>
    <t>Printed Microfiber</t>
  </si>
  <si>
    <t>Black Floral</t>
  </si>
  <si>
    <t>PP001852;PF005930</t>
  </si>
  <si>
    <t>3/2/2023</t>
  </si>
  <si>
    <t>RBSE3564</t>
  </si>
  <si>
    <t>5/23/2024</t>
  </si>
  <si>
    <t>ID20-2222</t>
  </si>
  <si>
    <t>Blue Chevron</t>
  </si>
  <si>
    <t>PP001852;PF005931</t>
  </si>
  <si>
    <t>ID20-2225</t>
  </si>
  <si>
    <t>5/30/2024</t>
  </si>
  <si>
    <t>MPE20-1025</t>
  </si>
  <si>
    <t>Printed Satin</t>
  </si>
  <si>
    <t>Blue Marble</t>
  </si>
  <si>
    <t>PP001851;PF006096</t>
  </si>
  <si>
    <t>Satin</t>
  </si>
  <si>
    <t>11/17/2023</t>
  </si>
  <si>
    <t>ORLS2430</t>
  </si>
  <si>
    <t>MPE20-999</t>
  </si>
  <si>
    <t>Gray Leopard</t>
  </si>
  <si>
    <t>PP001851;PF005928</t>
  </si>
  <si>
    <t>3/1/2023</t>
  </si>
  <si>
    <t>AMAZON,AMAZONDS,BLK01,JCPENNEY01,KOHLDSN,MACY02,NRTPORT,OLLIIX,OVERSTOCK01,TGTDVS</t>
  </si>
  <si>
    <t>5/29/2023</t>
  </si>
  <si>
    <t>MPE20-993</t>
  </si>
  <si>
    <t>Taupe Leopard</t>
  </si>
  <si>
    <t>PP001851;PF005927</t>
  </si>
  <si>
    <t>AMAZON,AMAZONDS,BLK01,HDDS,JCPENNEY01,KOHLDSN,MACY02,NRTPORT,OLLIIX,OVERSTOCK01,TGTDVS</t>
  </si>
  <si>
    <t>6/15/2023</t>
  </si>
  <si>
    <t>MPE20-995</t>
  </si>
  <si>
    <t>AMAZON,AMAZONDS,BLK01,JCPENNEY01,KIRKLANDDS,KOHLDSN,MACY02,NRTPORT,OLLIIX,TGTDVS</t>
  </si>
  <si>
    <t>7/25/2023</t>
  </si>
  <si>
    <t>MP13-6455</t>
  </si>
  <si>
    <t>Quebec</t>
  </si>
  <si>
    <t>Mansfield</t>
  </si>
  <si>
    <t>Vancouver</t>
  </si>
  <si>
    <t>Dark Grey</t>
  </si>
  <si>
    <t>PP000488</t>
  </si>
  <si>
    <t>Medallion</t>
  </si>
  <si>
    <t>7/9/2019</t>
  </si>
  <si>
    <t>AMAZON,ASHFURNDS,HDDS,JCPENNEY01,KOHLDSN,MACY02,OVERSTOCK01,TGTDVS</t>
  </si>
  <si>
    <t>ANDV5108</t>
  </si>
  <si>
    <t>7/29/2019</t>
  </si>
  <si>
    <t>8/14/2019</t>
  </si>
  <si>
    <t>ID12-1510</t>
  </si>
  <si>
    <t>Raina</t>
  </si>
  <si>
    <t>Khloe</t>
  </si>
  <si>
    <t>Arielle</t>
  </si>
  <si>
    <t>Metallic Printed Duvet Cover Set</t>
  </si>
  <si>
    <t>Ivory/Gold</t>
  </si>
  <si>
    <t>PP000896;PF004343</t>
  </si>
  <si>
    <t>AMAZON,KOHLDSN,MACY02,NRTPORT,OVERSTOCK01,TGTDVS</t>
  </si>
  <si>
    <t>WLAO4349</t>
  </si>
  <si>
    <t>7/6/2018</t>
  </si>
  <si>
    <t>7/20/2018</t>
  </si>
  <si>
    <t>ID12-1512</t>
  </si>
  <si>
    <t>6/20/2018</t>
  </si>
  <si>
    <t>7/30/2018</t>
  </si>
  <si>
    <t>ID40-1807</t>
  </si>
  <si>
    <t>Total Blackout Metallic Print Grommet Top Curtain Panel</t>
  </si>
  <si>
    <t>PP000896;PF004928</t>
  </si>
  <si>
    <t>Total Blackout</t>
  </si>
  <si>
    <t>9/19/2019</t>
  </si>
  <si>
    <t>AMERSIGNDS,BEALLSDS,DESINC,HDDS,JCPENNEY01,KOHLDSN,NRTPORT,OVERSTOCK01,TGTDVS</t>
  </si>
  <si>
    <t>WLAO4351</t>
  </si>
  <si>
    <t>9/29/2019</t>
  </si>
  <si>
    <t>BASI30-0524</t>
  </si>
  <si>
    <t>Rayon from Bamboo</t>
  </si>
  <si>
    <t>Shredded Memory Foam Pillow with Rayon from Bamboo Blend Cover</t>
  </si>
  <si>
    <t>PP000941</t>
  </si>
  <si>
    <t>Classic</t>
  </si>
  <si>
    <t>BLK01,JCPENNEY01,KOHLDSN,MACY02,OLLIIX,OVERSTOCK01,ZOLA</t>
  </si>
  <si>
    <t>TCNC1001</t>
  </si>
  <si>
    <t>5/15/2018</t>
  </si>
  <si>
    <t>BASI30-0525</t>
  </si>
  <si>
    <t>BASI30-0526</t>
  </si>
  <si>
    <t>Body Pillow</t>
  </si>
  <si>
    <t>JCPENNEY01,KOHLDSN,MACY02,NRTPORT,OLLIIX,OVERSTOCK01,TGTDVS</t>
  </si>
  <si>
    <t>MZ10-484</t>
  </si>
  <si>
    <t>Reagan</t>
  </si>
  <si>
    <t>Leona</t>
  </si>
  <si>
    <t>PF000224;PP000491</t>
  </si>
  <si>
    <t>AMAZON,BLK01,DESINC,FINGERHUTDS,JCPENNEY01,KOHLDSN,MACY02,NRTPORT,OLLIIX,OVERSTOCK01,ROOMECOM,TGTDVS</t>
  </si>
  <si>
    <t>HBEE2628</t>
  </si>
  <si>
    <t>8/8/2016</t>
  </si>
  <si>
    <t>8/31/2016</t>
  </si>
  <si>
    <t>II10-1100</t>
  </si>
  <si>
    <t>Rhea</t>
  </si>
  <si>
    <t>Cotton Jacquard Comforter Mini Set</t>
  </si>
  <si>
    <t>Grey/Black</t>
  </si>
  <si>
    <t>PF005086;PP001731</t>
  </si>
  <si>
    <t>3/9/2020</t>
  </si>
  <si>
    <t>ALMN1337</t>
  </si>
  <si>
    <t>4/6/2020</t>
  </si>
  <si>
    <t>II10-1101</t>
  </si>
  <si>
    <t>AMAZON,BLK01,HDDS,JCPENNEY01,KOHLDSN,MACY02,OVERSTOCK01,ROOMECOM,TGTDVS</t>
  </si>
  <si>
    <t>MP10-8372</t>
  </si>
  <si>
    <t>Nico</t>
  </si>
  <si>
    <t>Toby</t>
  </si>
  <si>
    <t>4 Piece Stripe Comforter Set with Throw Pillow</t>
  </si>
  <si>
    <t>Grey/Multi</t>
  </si>
  <si>
    <t>PP001920;PF006135</t>
  </si>
  <si>
    <t>Textured Fabric</t>
  </si>
  <si>
    <t>2/17/2024</t>
  </si>
  <si>
    <t>NCWA2598</t>
  </si>
  <si>
    <t>MP12-8374</t>
  </si>
  <si>
    <t>3 Piece Stripe Duvet Cover Set</t>
  </si>
  <si>
    <t>2/16/2024</t>
  </si>
  <si>
    <t>BLK01,KOHLDSN,MACY02,OLLIIX,TGTDVS</t>
  </si>
  <si>
    <t>NCWA2599</t>
  </si>
  <si>
    <t>ID10-2430</t>
  </si>
  <si>
    <t>Robbie</t>
  </si>
  <si>
    <t>Roger</t>
  </si>
  <si>
    <t>Rick</t>
  </si>
  <si>
    <t>Plaid Comforter Set with Bed Sheets</t>
  </si>
  <si>
    <t>Teal/Black</t>
  </si>
  <si>
    <t>PP001972;PF006282</t>
  </si>
  <si>
    <t>7/25/2024</t>
  </si>
  <si>
    <t>BKWT2127</t>
  </si>
  <si>
    <t>ID10-2431</t>
  </si>
  <si>
    <t>II95C-0061</t>
  </si>
  <si>
    <t>Rolling Waves</t>
  </si>
  <si>
    <t>PF001917</t>
  </si>
  <si>
    <t>AMERSIGNDS,ASHFURNDS,DESINC,KIRKLANDDS,KOHLDSN,OLLIIX,ROOMECOM</t>
  </si>
  <si>
    <t>WLAO4268</t>
  </si>
  <si>
    <t>12/8/2016</t>
  </si>
  <si>
    <t>MZ10-0653</t>
  </si>
  <si>
    <t>Rosalie</t>
  </si>
  <si>
    <t>Jenna</t>
  </si>
  <si>
    <t>Audrey</t>
  </si>
  <si>
    <t>Metallic Printed Plush Comforter Set with Throw Pillow</t>
  </si>
  <si>
    <t>PP000980;PF006273</t>
  </si>
  <si>
    <t>NDHA1001</t>
  </si>
  <si>
    <t>11/20/2024</t>
  </si>
  <si>
    <t>MZ10-0651</t>
  </si>
  <si>
    <t>White/Gold</t>
  </si>
  <si>
    <t>PP000980;PF006272</t>
  </si>
  <si>
    <t>7/2/2024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</si>
  <si>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</si>
  <si>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</si>
  <si>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</si>
  <si>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</si>
  <si>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</si>
  <si>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</si>
  <si>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2/28/2018</t>
  </si>
  <si>
    <t>BLK01,JCPENNEY01,KOHLDSN,OVERSTOCK01</t>
  </si>
  <si>
    <t>HMPT3546</t>
  </si>
  <si>
    <t>5/14/2018</t>
  </si>
  <si>
    <t>MP40-6829</t>
  </si>
  <si>
    <t>PP000857;PF004966</t>
  </si>
  <si>
    <t>AMAZON,ASHFURNDS,JCPENNEY01,KOHLDSN</t>
  </si>
  <si>
    <t>12/2/2019</t>
  </si>
  <si>
    <t>12/16/2019</t>
  </si>
  <si>
    <t>MPE13-804</t>
  </si>
  <si>
    <t>Saben</t>
  </si>
  <si>
    <t>Barret</t>
  </si>
  <si>
    <t>Seth</t>
  </si>
  <si>
    <t>PP000497;PF004057</t>
  </si>
  <si>
    <t>7/5/2019</t>
  </si>
  <si>
    <t>TRNT2914</t>
  </si>
  <si>
    <t>7/6/2019</t>
  </si>
  <si>
    <t>8/19/2019</t>
  </si>
  <si>
    <t>MP50-6877</t>
  </si>
  <si>
    <t>Sachi</t>
  </si>
  <si>
    <t>Aina</t>
  </si>
  <si>
    <t>Oversized Faux Fur Throw</t>
  </si>
  <si>
    <t>PP001429;PF004987</t>
  </si>
  <si>
    <t>12/11/2019</t>
  </si>
  <si>
    <t>ASHFURNDS,BLK01,FINGERHUTDS,HSNDS,JCPENNEY01,KOHLDSN,MACY02,OLLIIX,OVERSTOCK01,TGTDVS</t>
  </si>
  <si>
    <t>MCRF4137</t>
  </si>
  <si>
    <t>NS12-3257</t>
  </si>
  <si>
    <t>Sakura Blossom</t>
  </si>
  <si>
    <t>3 Piece Cotton Sateen Printed Duvet Cover Set</t>
  </si>
  <si>
    <t>Lilac</t>
  </si>
  <si>
    <t>PP000992;PF004457</t>
  </si>
  <si>
    <t>9/28/2018</t>
  </si>
  <si>
    <t>HUH10011</t>
  </si>
  <si>
    <t>MP40-3598</t>
  </si>
  <si>
    <t>Saratoga</t>
  </si>
  <si>
    <t>Westmont</t>
  </si>
  <si>
    <t>Sereno</t>
  </si>
  <si>
    <t>Fretwork Print Grommet Top Window Curtain Panel</t>
  </si>
  <si>
    <t>Beige/Gold</t>
  </si>
  <si>
    <t>PF004004;PP000501</t>
  </si>
  <si>
    <t>AMERSIGNDS,BEALLSDS,BLK01,JCPENNEY01,KOHLDSN,NRTPORT,OVERSTOCK01,TGTDVS</t>
  </si>
  <si>
    <t>TRPT7195</t>
  </si>
  <si>
    <t>9/22/2016</t>
  </si>
  <si>
    <t>MP40-3600</t>
  </si>
  <si>
    <t>DESINC,JCPENNEY01,KOHLDSN</t>
  </si>
  <si>
    <t>MP40-1281</t>
  </si>
  <si>
    <t>Beige/Grey</t>
  </si>
  <si>
    <t>PF003996;PP000501</t>
  </si>
  <si>
    <t>BLK01,JCPENNEY01,KOHLDSN,OLLIIX</t>
  </si>
  <si>
    <t>1/23/2015</t>
  </si>
  <si>
    <t>MP40-2019</t>
  </si>
  <si>
    <t>1/28/2016</t>
  </si>
  <si>
    <t>MP40-1280</t>
  </si>
  <si>
    <t>Grey/White</t>
  </si>
  <si>
    <t>PF003997;PP000501</t>
  </si>
  <si>
    <t>AMAZON,BIGLOTSDS,JCPENNEY01,KOHLDSN</t>
  </si>
  <si>
    <t>MP40-2018</t>
  </si>
  <si>
    <t>AMAZON,DESINC,JCPENNEY01,KOHLDSN,OVERSTOCK01</t>
  </si>
  <si>
    <t>5/2/2016</t>
  </si>
  <si>
    <t>MP40-2395</t>
  </si>
  <si>
    <t>Ivory/Grey</t>
  </si>
  <si>
    <t>PF004001;PP000501</t>
  </si>
  <si>
    <t>4/27/2017</t>
  </si>
  <si>
    <t>AMERSIGNDS,JCPENNEY01,KOHLDSN,OLLIIX,OVERSCONSIGN,TGTDVS</t>
  </si>
  <si>
    <t>11/29/2016</t>
  </si>
  <si>
    <t>MP40-2404</t>
  </si>
  <si>
    <t>Seafoam/White</t>
  </si>
  <si>
    <t>PF004002;PP000501</t>
  </si>
  <si>
    <t>JCPENNEY01</t>
  </si>
  <si>
    <t>1/13/2017</t>
  </si>
  <si>
    <t>MP95C-0146A</t>
  </si>
  <si>
    <t>Seascape</t>
  </si>
  <si>
    <t>PP000790</t>
  </si>
  <si>
    <t>AMAZON,AMERSIGNDS,KIRKLANDDS,KOHLDSN,OLLIIX,ROOMECOM</t>
  </si>
  <si>
    <t>VARK4057</t>
  </si>
  <si>
    <t>PET63OD5685</t>
  </si>
  <si>
    <t>Serena</t>
  </si>
  <si>
    <t>Oval Bed</t>
  </si>
  <si>
    <t>23"x18"+5.5"</t>
  </si>
  <si>
    <t>BFFS1122</t>
  </si>
  <si>
    <t>9/13/2022</t>
  </si>
  <si>
    <t>PET63OD5686</t>
  </si>
  <si>
    <t>30"x23"+6.5"</t>
  </si>
  <si>
    <t>5/30/2022</t>
  </si>
  <si>
    <t>PET63OD5682</t>
  </si>
  <si>
    <t>7/26/2022</t>
  </si>
  <si>
    <t>PET63OD5684</t>
  </si>
  <si>
    <t>36"x27"+7.5"</t>
  </si>
  <si>
    <t>2/9/2022</t>
  </si>
  <si>
    <t>MP40-4209</t>
  </si>
  <si>
    <t>Serene</t>
  </si>
  <si>
    <t>Belle</t>
  </si>
  <si>
    <t>Monroe</t>
  </si>
  <si>
    <t>Embroidered Curtain Panel</t>
  </si>
  <si>
    <t>PF003404;PP000505</t>
  </si>
  <si>
    <t>Pieced</t>
  </si>
  <si>
    <t>BLK01,JCPENNEY01,KOHLDSN,TGTDVS</t>
  </si>
  <si>
    <t>DBYH6405</t>
  </si>
  <si>
    <t>4/13/2017</t>
  </si>
  <si>
    <t>MP40-1531</t>
  </si>
  <si>
    <t>PF003399;PP000505</t>
  </si>
  <si>
    <t>AMAZON,FINGERHUTDS,HSNDS,JCPENNEY01,KOHLDSN,OLLIIX,OVERSTOCK01</t>
  </si>
  <si>
    <t>6/25/2015</t>
  </si>
  <si>
    <t>MP41-1532</t>
  </si>
  <si>
    <t>Embroidered Window Valance</t>
  </si>
  <si>
    <t>AMAZON,AMAZONDS,DESINC,HDDS,HSNDS,JCPENNEY01,KOHLDSN,OVERSTOCK01,TGTDVS</t>
  </si>
  <si>
    <t>DRBC5857</t>
  </si>
  <si>
    <t>9/7/2015</t>
  </si>
  <si>
    <t>II150-0149</t>
  </si>
  <si>
    <t>Serenitie</t>
  </si>
  <si>
    <t>5-Light Linear Chandelier</t>
  </si>
  <si>
    <t>Bronze</t>
  </si>
  <si>
    <t>IKIY1146</t>
  </si>
  <si>
    <t>10/28/2023</t>
  </si>
  <si>
    <t>II100-0267</t>
  </si>
  <si>
    <t>Shasta</t>
  </si>
  <si>
    <t>PP000646</t>
  </si>
  <si>
    <t>Industrial</t>
  </si>
  <si>
    <t>1/11/2018</t>
  </si>
  <si>
    <t>ASHFURNDS,KOHLDSN,MACY02F,OLLIIX</t>
  </si>
  <si>
    <t>UNRS7135</t>
  </si>
  <si>
    <t>3/6/2018</t>
  </si>
  <si>
    <t>8/6/2018</t>
  </si>
  <si>
    <t>II10-1320</t>
  </si>
  <si>
    <t>Shay</t>
  </si>
  <si>
    <t>3 Piece Striped Cotton Comforter Set</t>
  </si>
  <si>
    <t>PP001961;PF006245</t>
  </si>
  <si>
    <t>IKIY1190</t>
  </si>
  <si>
    <t>9/16/2024</t>
  </si>
  <si>
    <t>II12-1322</t>
  </si>
  <si>
    <t>3 Piece Striped Cotton Duvet Cover Set</t>
  </si>
  <si>
    <t>IKIY1189</t>
  </si>
  <si>
    <t>II12-1323</t>
  </si>
  <si>
    <t>II10-1324</t>
  </si>
  <si>
    <t>PP001961;PF006246</t>
  </si>
  <si>
    <t>1/13/2025</t>
  </si>
  <si>
    <t>II12-1326</t>
  </si>
  <si>
    <t>JCPENNEY01,MACY02,OLLIIX,ZOLA</t>
  </si>
  <si>
    <t>II12-1327</t>
  </si>
  <si>
    <t>AMAZON,MACY02,OVERSTOCK01</t>
  </si>
  <si>
    <t>TN54-0495</t>
  </si>
  <si>
    <t>Sherpa</t>
  </si>
  <si>
    <t>PP001893;PF006038</t>
  </si>
  <si>
    <t>SLPH1144</t>
  </si>
  <si>
    <t>2/20/2024</t>
  </si>
  <si>
    <t>TN54-0504</t>
  </si>
  <si>
    <t>PP001893;PF006040</t>
  </si>
  <si>
    <t>9/21/2023</t>
  </si>
  <si>
    <t>AMAZONDS,BLK01,HDDS,JCPENNEY01,KOHLDSN,MACY02,TGTDVS</t>
  </si>
  <si>
    <t>TN54-0505</t>
  </si>
  <si>
    <t>AMAZON,BLK01,JCPENNEY01,KOHLDSN,MACY02,OVERSTOCK01</t>
  </si>
  <si>
    <t>TN54-0506</t>
  </si>
  <si>
    <t>1/3/2024</t>
  </si>
  <si>
    <t>TN54-0499</t>
  </si>
  <si>
    <t>PP001893;PF006039</t>
  </si>
  <si>
    <t>AMAZONDS,HDDS,JCPENNEY01,KOHLDSN,MACY02,OVERSTOCK01,TGTDVS</t>
  </si>
  <si>
    <t>TN54-0492</t>
  </si>
  <si>
    <t>PP001893;PF006037</t>
  </si>
  <si>
    <t>TN54-0493</t>
  </si>
  <si>
    <t>CC10-0017</t>
  </si>
  <si>
    <t>Signature</t>
  </si>
  <si>
    <t>Dobby Cotton Down Alternative Comforter</t>
  </si>
  <si>
    <t>11/10/2022</t>
  </si>
  <si>
    <t>AMAZON,AMAZONDS,DESINC,DLCROSCILL,KOHLDSN,MACY02,OLLIIX,OVERSTOCK01</t>
  </si>
  <si>
    <t>CFSC1000</t>
  </si>
  <si>
    <t>9/22/2023</t>
  </si>
  <si>
    <t>CC16-0020</t>
  </si>
  <si>
    <t>Dobby Cotton Waterproof Mattress Pad</t>
  </si>
  <si>
    <t>11/11/2022</t>
  </si>
  <si>
    <t>AMAZON,AMAZONDS,DLCROSCILL,JCPENNEY01,MACY02,NRTPORT,OLLIIX,OVERSTOCK01</t>
  </si>
  <si>
    <t>CFSC1001</t>
  </si>
  <si>
    <t>3/5/2023</t>
  </si>
  <si>
    <t>3/14/2023</t>
  </si>
  <si>
    <t>MPT21-0128</t>
  </si>
  <si>
    <t>Silk</t>
  </si>
  <si>
    <t>100% Mulberry Single Pillowcase</t>
  </si>
  <si>
    <t>PP001555;PF005905</t>
  </si>
  <si>
    <t>10/20/2022</t>
  </si>
  <si>
    <t>NCWA1910</t>
  </si>
  <si>
    <t>11/30/2022</t>
  </si>
  <si>
    <t>MPT21-0126</t>
  </si>
  <si>
    <t>9/30/2022</t>
  </si>
  <si>
    <t>2/21/2023</t>
  </si>
  <si>
    <t>SHET20-970</t>
  </si>
  <si>
    <t>Smart Cool Microfiber</t>
  </si>
  <si>
    <t>PF002218</t>
  </si>
  <si>
    <t>Coolmax</t>
  </si>
  <si>
    <t>BEALLSDS,JCPENNEY01,KOHLDSN,MACY02,TGTDVS</t>
  </si>
  <si>
    <t>THRE9286</t>
  </si>
  <si>
    <t>9/16/2016</t>
  </si>
  <si>
    <t>SHET20-971</t>
  </si>
  <si>
    <t>11/23/2016</t>
  </si>
  <si>
    <t>SHET20-972</t>
  </si>
  <si>
    <t>BEALLSDS,BLK01,JCPENNEY01,KOHLDSN,MACY02,NRTPORT,OVERSTOCK01,TGTDVS,ZOLA</t>
  </si>
  <si>
    <t>SHET20-973</t>
  </si>
  <si>
    <t>BEALLSDS,BLK01,JCPENNEY01,KOHLDSN,MACY02,TGTDVS,ZOLA</t>
  </si>
  <si>
    <t>SHET20-960</t>
  </si>
  <si>
    <t>PF002216</t>
  </si>
  <si>
    <t>AMAZONDS,HDDS,JCPENNEY01,KOHLDSN,MACY02,TGTDVS</t>
  </si>
  <si>
    <t>10/12/2016</t>
  </si>
  <si>
    <t>SHET20-962</t>
  </si>
  <si>
    <t>AMAZON,BEALLSDS,BLK01,JCPENNEY01,KOHLDSN,MACY02,NRTPORT,OLLIIX,OVERSTOCK01,TGTDVS,ZOLA</t>
  </si>
  <si>
    <t>9/29/2016</t>
  </si>
  <si>
    <t>SHET20-963</t>
  </si>
  <si>
    <t>AMAZON,BLK01,JCPENNEY01,KOHLDSN,MACY02,OVERSTOCK01,TGTDVS,ZOLA</t>
  </si>
  <si>
    <t>11/28/2016</t>
  </si>
  <si>
    <t>SHET20-964</t>
  </si>
  <si>
    <t>BLK01,JCPENNEY01,KOHLDSN,MACY02</t>
  </si>
  <si>
    <t>1/4/2018</t>
  </si>
  <si>
    <t>SHET20-975</t>
  </si>
  <si>
    <t>PF002219</t>
  </si>
  <si>
    <t>SHET20-1184</t>
  </si>
  <si>
    <t>PP001565;PF005246</t>
  </si>
  <si>
    <t>12/21/2020</t>
  </si>
  <si>
    <t>BLK01,JCPENNEY01,KOHLDSN,MACY02,OLLIIX,TGTDVS</t>
  </si>
  <si>
    <t>1/25/2021</t>
  </si>
  <si>
    <t>SHET20-1186</t>
  </si>
  <si>
    <t>3/21/2021</t>
  </si>
  <si>
    <t>SHET20-965</t>
  </si>
  <si>
    <t>PF002217</t>
  </si>
  <si>
    <t>12/2/2016</t>
  </si>
  <si>
    <t>SHET20-966</t>
  </si>
  <si>
    <t>BL20-0460</t>
  </si>
  <si>
    <t>Soloft Plush</t>
  </si>
  <si>
    <t>Micro Plush Sheet Set</t>
  </si>
  <si>
    <t>PF001686</t>
  </si>
  <si>
    <t>AMAZON,AMAZONDS,BEALLSDS,KOHLDSN,MACY02,OLLIIX,OVERSTOCK01</t>
  </si>
  <si>
    <t>CHLH5831</t>
  </si>
  <si>
    <t>BL20-0871</t>
  </si>
  <si>
    <t>PF001719</t>
  </si>
  <si>
    <t>AMAZONDS,BLK01,DESINC,JCPENNEY01,KOHLDSN,MACY02,OVERSTOCK01</t>
  </si>
  <si>
    <t>10/16/2016</t>
  </si>
  <si>
    <t>ID12-2128</t>
  </si>
  <si>
    <t>Zuri</t>
  </si>
  <si>
    <t>Celestial Duvet Cover Set</t>
  </si>
  <si>
    <t>PF005672</t>
  </si>
  <si>
    <t>Casual|Transitional</t>
  </si>
  <si>
    <t>3/22/2022</t>
  </si>
  <si>
    <t>JLZL1247</t>
  </si>
  <si>
    <t>3/30/2022</t>
  </si>
  <si>
    <t>5/9/2022</t>
  </si>
  <si>
    <t>MP104-1212</t>
  </si>
  <si>
    <t>Stewart</t>
  </si>
  <si>
    <t>Monica</t>
  </si>
  <si>
    <t>Rachel</t>
  </si>
  <si>
    <t>Upholstered 360 Degree Swivel Counter Stool 25" H</t>
  </si>
  <si>
    <t>1/3/2023</t>
  </si>
  <si>
    <t>3/6/2025</t>
  </si>
  <si>
    <t>LAMPDS,MACY02F,OLLIIX,TGTDVS</t>
  </si>
  <si>
    <t>NCWA2476</t>
  </si>
  <si>
    <t>1/12/2023</t>
  </si>
  <si>
    <t>ID95C-0049</t>
  </si>
  <si>
    <t>Sunshine Animals</t>
  </si>
  <si>
    <t>Lamb Canvas Wall Art</t>
  </si>
  <si>
    <t>Lamb/Green Multi</t>
  </si>
  <si>
    <t>JLZL1303</t>
  </si>
  <si>
    <t>HH10-1646</t>
  </si>
  <si>
    <t>Suzanna</t>
  </si>
  <si>
    <t>Cotton Comforter Mini Set</t>
  </si>
  <si>
    <t>PP000337</t>
  </si>
  <si>
    <t>10/6/2017</t>
  </si>
  <si>
    <t>AMAZON,AMAZONDS,BEALLSDS,BLK01,JCPENNEY01,KOHLDSN,MACY02,NRTPORT,OLLIIX,OVERSTOCK01</t>
  </si>
  <si>
    <t>HUH1554</t>
  </si>
  <si>
    <t>10/13/2017</t>
  </si>
  <si>
    <t>12/6/2017</t>
  </si>
  <si>
    <t>HH30-1651</t>
  </si>
  <si>
    <t>Oblong Pillow</t>
  </si>
  <si>
    <t>HUH1738</t>
  </si>
  <si>
    <t>1/2/2018</t>
  </si>
  <si>
    <t>PET63CH5688</t>
  </si>
  <si>
    <t>Taylor</t>
  </si>
  <si>
    <t>Cat Ottoman</t>
  </si>
  <si>
    <t>16.5"x16.5"x14"</t>
  </si>
  <si>
    <t>Grey/Ivory</t>
  </si>
  <si>
    <t>9/20/2021</t>
  </si>
  <si>
    <t>BFFS1118</t>
  </si>
  <si>
    <t>MZK10-274</t>
  </si>
  <si>
    <t>Mi Zone Kids</t>
  </si>
  <si>
    <t>Tessa</t>
  </si>
  <si>
    <t>Tanya</t>
  </si>
  <si>
    <t>Jamie</t>
  </si>
  <si>
    <t>Tassel Comforter Set with Heart Shaped Throw Pillow</t>
  </si>
  <si>
    <t>PP001045;PF006288</t>
  </si>
  <si>
    <t>7/12/2024</t>
  </si>
  <si>
    <t>NDHB1011</t>
  </si>
  <si>
    <t>8/13/2024</t>
  </si>
  <si>
    <t>8/14/2024</t>
  </si>
  <si>
    <t>MP13-6088</t>
  </si>
  <si>
    <t>Timber</t>
  </si>
  <si>
    <t>Heavenly</t>
  </si>
  <si>
    <t>Hilltop</t>
  </si>
  <si>
    <t>3 Piece Reversible Printed Quilt Set</t>
  </si>
  <si>
    <t>Black/Brown</t>
  </si>
  <si>
    <t>PF004507;PP001028</t>
  </si>
  <si>
    <t>11/25/2018</t>
  </si>
  <si>
    <t>AMAZON,ASHFURNDS,BLK01,HSNDS,JCPENNEY01,KOHLDSN,MACY02,OVERSTOCK01,TGTDVS</t>
  </si>
  <si>
    <t>NCWA1316</t>
  </si>
  <si>
    <t>1/10/2019</t>
  </si>
  <si>
    <t>MP13-7524</t>
  </si>
  <si>
    <t>Green / Navy</t>
  </si>
  <si>
    <t>PP001028;PF005484</t>
  </si>
  <si>
    <t>6/5/2021</t>
  </si>
  <si>
    <t>8/17/2021</t>
  </si>
  <si>
    <t>9/28/2021</t>
  </si>
  <si>
    <t>PET63CC6033</t>
  </si>
  <si>
    <t>Trucker</t>
  </si>
  <si>
    <t>Crate Cover</t>
  </si>
  <si>
    <t>BFFS1126</t>
  </si>
  <si>
    <t>5/24/2023</t>
  </si>
  <si>
    <t>PET63CC6034</t>
  </si>
  <si>
    <t>MP72-5111</t>
  </si>
  <si>
    <t>Tufted Pearl Channel</t>
  </si>
  <si>
    <t>Rug</t>
  </si>
  <si>
    <t>17x24"</t>
  </si>
  <si>
    <t>9/23/2017</t>
  </si>
  <si>
    <t>DESINC,HDDS,JCPENNEY01,KOHLDSN,MACY02,OVERSTOCK01,TGTDVS</t>
  </si>
  <si>
    <t>WLAO4233</t>
  </si>
  <si>
    <t>11/17/2017</t>
  </si>
  <si>
    <t>ID10-2336</t>
  </si>
  <si>
    <t>Velvet Dream Puff</t>
  </si>
  <si>
    <t>2 Piece Comforter Set</t>
  </si>
  <si>
    <t>PP001942;PF006189</t>
  </si>
  <si>
    <t>JLZL1333</t>
  </si>
  <si>
    <t>ID10-2337</t>
  </si>
  <si>
    <t>3 Piece Comforter Set</t>
  </si>
  <si>
    <t>BLK01,KOHLDSN,MACY02,TGTDVS</t>
  </si>
  <si>
    <t>ID10-2342</t>
  </si>
  <si>
    <t>PP001942;PF006191</t>
  </si>
  <si>
    <t>HDDS,KOHLDSN,MACY02,OLLIIX,OVERSTOCK01</t>
  </si>
  <si>
    <t>11/27/2024</t>
  </si>
  <si>
    <t>FB13-1028</t>
  </si>
  <si>
    <t>Coverlet &amp; Bedspread</t>
  </si>
  <si>
    <t>Velvet Touch</t>
  </si>
  <si>
    <t>3 Piece Luxurious Oversized Quilt Set</t>
  </si>
  <si>
    <t>PF003280</t>
  </si>
  <si>
    <t>AMERSIGNDS,BLK01,JCPENNEY01,KOHLDSN,MACY02,OLLIIX,OVERSTOCK01</t>
  </si>
  <si>
    <t>HTN1278</t>
  </si>
  <si>
    <t>12/30/2016</t>
  </si>
  <si>
    <t>FB13-1148</t>
  </si>
  <si>
    <t>PF003287</t>
  </si>
  <si>
    <t>BLK01,JCPENNEY01,MACY02,OLLIIX,OVERSTOCK01</t>
  </si>
  <si>
    <t>2/14/2017</t>
  </si>
  <si>
    <t>4/10/2017</t>
  </si>
  <si>
    <t>MP12-7956</t>
  </si>
  <si>
    <t>Vienna</t>
  </si>
  <si>
    <t>Marcella</t>
  </si>
  <si>
    <t>Adela</t>
  </si>
  <si>
    <t>PP001783;PF005737</t>
  </si>
  <si>
    <t>9/19/2022</t>
  </si>
  <si>
    <t>AMAZONDS,DESINC,KOHLDSN,MACY02,OVERSTOCK01,TGTDVS</t>
  </si>
  <si>
    <t>TRPT2343</t>
  </si>
  <si>
    <t>9/28/2022</t>
  </si>
  <si>
    <t>10/3/2022</t>
  </si>
  <si>
    <t>MP12-476</t>
  </si>
  <si>
    <t>PF003375;PP000530</t>
  </si>
  <si>
    <t>Traditional|Casual</t>
  </si>
  <si>
    <t>BASI10-0293</t>
  </si>
  <si>
    <t>Warmer</t>
  </si>
  <si>
    <t>Cotton Down Alternative Featherless Comforter</t>
  </si>
  <si>
    <t>PF002093</t>
  </si>
  <si>
    <t>BLK01,DESINC,JCPENNEY01,KOHLDSN,MACY02,OLLIIX,OVERSTOCK01,TGTDVS,WALMARTDS</t>
  </si>
  <si>
    <t>ANEW1117</t>
  </si>
  <si>
    <t>12/23/2015</t>
  </si>
  <si>
    <t>BASI10-0294</t>
  </si>
  <si>
    <t>4/18/2025</t>
  </si>
  <si>
    <t>5/3/2016</t>
  </si>
  <si>
    <t>BASI10-0295</t>
  </si>
  <si>
    <t>BLK01,JCPENNEY01,KOHLDSN,MACY02,OVERSTOCK01,WALMARTDS,ZOLA</t>
  </si>
  <si>
    <t>12/28/2015</t>
  </si>
  <si>
    <t>CCL30-0035</t>
  </si>
  <si>
    <t>Normal Pillow</t>
  </si>
  <si>
    <t>Winchester</t>
  </si>
  <si>
    <t>Square Decor Pillow</t>
  </si>
  <si>
    <t>10/26/2022</t>
  </si>
  <si>
    <t>AMAZON,DLCROSCILL,JCPENNEY01,MACY02,OVERSTOCK01</t>
  </si>
  <si>
    <t>CKSC1009</t>
  </si>
  <si>
    <t>7/14/2023</t>
  </si>
  <si>
    <t>II95C-0158</t>
  </si>
  <si>
    <t>Windswept</t>
  </si>
  <si>
    <t>Hand Embellished Highland Bull Canvas Wall Art</t>
  </si>
  <si>
    <t>KIRKLANDDS,MACY02,OLLIIX,TGTDVS</t>
  </si>
  <si>
    <t>IKIY1148</t>
  </si>
  <si>
    <t>MP10-1246</t>
  </si>
  <si>
    <t>Winfield</t>
  </si>
  <si>
    <t>Westport</t>
  </si>
  <si>
    <t>300 Thread Count Cotton Shell Luxury Down Alternative Comforter</t>
  </si>
  <si>
    <t>PF002074</t>
  </si>
  <si>
    <t>2/4/2025</t>
  </si>
  <si>
    <t>AMAZON,AMAZONDS,BLK01,HSNDS,JCPENNEY01,KOHLDSN,MACY02,OLLIIX,OVERSTOCK01,TGTDVS,WALMARTDS</t>
  </si>
  <si>
    <t>AGRV3902</t>
  </si>
  <si>
    <t>4/7/2015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</si>
  <si>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</si>
  <si>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</si>
  <si>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</si>
  <si>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</si>
  <si>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</si>
  <si>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</si>
  <si>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AMAZON,AMAZONDS,AMERSIGNDS,BLK01,DESINC,KIRKLANDDS,KOHLDSN,OLLIIX,OVERSTOCK01,ROOMECOM,TGTDVS</t>
  </si>
  <si>
    <t>NCWA1427</t>
  </si>
  <si>
    <t>4/2/2019</t>
  </si>
  <si>
    <t>WR70-1815</t>
  </si>
  <si>
    <t>Winter Hills</t>
  </si>
  <si>
    <t>100% Cotton Shower Curtain</t>
  </si>
  <si>
    <t>PF003308;PP000534</t>
  </si>
  <si>
    <t>AMAZON,HDDS,JCPENNEY01,KOHLDSN,MACY02,OLLIIX,OVERSTOCK01,TGTDVS,WALMARTDS</t>
  </si>
  <si>
    <t>WLR1293</t>
  </si>
  <si>
    <t>9/12/2016</t>
  </si>
  <si>
    <t>WR14-1727</t>
  </si>
  <si>
    <t>Winter Plains</t>
  </si>
  <si>
    <t>100% Cotton Oversized Quilt Mini Set</t>
  </si>
  <si>
    <t>PF003308</t>
  </si>
  <si>
    <t>WLR1252</t>
  </si>
  <si>
    <t>9/2/2016</t>
  </si>
  <si>
    <t>MP13-271</t>
  </si>
  <si>
    <t>Yosemite</t>
  </si>
  <si>
    <t>Sequoia</t>
  </si>
  <si>
    <t>Reyes</t>
  </si>
  <si>
    <t>Reversible Quilt Set with Throw Pillows</t>
  </si>
  <si>
    <t>PF002447;PP000538</t>
  </si>
  <si>
    <t>2/14/2025</t>
  </si>
  <si>
    <t>AMAZON,ASHFURNDS,BLK01,HSNDS,JCPENNEY01,KOHLDSN,MACY02,OLLIIX,OVERSTOCK01,TGTDVS,WALMARTDS</t>
  </si>
  <si>
    <t>RDBS7495</t>
  </si>
  <si>
    <t>FB153-1182</t>
  </si>
  <si>
    <t>Zirconia</t>
  </si>
  <si>
    <t>Faceted Blue Glass Table Lamp</t>
  </si>
  <si>
    <t>JCPENNEY01,OLLIIX,OVERSTOCK01</t>
  </si>
  <si>
    <t>HTN10028</t>
  </si>
  <si>
    <t>7/22/2024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</si>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</sst>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  <fill>
      <patternFill patternType="solid">
        <fgColor rgb="FFC6EFCD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168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  <xf numFmtId="168" applyNumberFormat="1" fontId="2" applyFont="1" fillId="4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S7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19</v>
      </c>
      <c r="EU3" s="1" t="s">
        <v>19</v>
      </c>
      <c r="EV3" s="1" t="s">
        <v>19</v>
      </c>
      <c r="EW3" s="1" t="s">
        <v>19</v>
      </c>
      <c r="EX3" s="1" t="s">
        <v>19</v>
      </c>
      <c r="EY3" s="1" t="s">
        <v>19</v>
      </c>
      <c r="EZ3" s="1" t="s">
        <v>19</v>
      </c>
      <c r="FA3" s="1" t="s">
        <v>19</v>
      </c>
      <c r="FB3" s="1" t="s">
        <v>19</v>
      </c>
      <c r="FC3" s="1" t="s">
        <v>19</v>
      </c>
      <c r="FD3" s="1" t="s">
        <v>19</v>
      </c>
      <c r="FE3" s="1" t="s">
        <v>19</v>
      </c>
      <c r="FF3" s="1" t="s">
        <v>19</v>
      </c>
      <c r="FG3" s="1" t="s">
        <v>19</v>
      </c>
      <c r="FH3" s="1" t="s">
        <v>19</v>
      </c>
      <c r="FI3" s="1" t="s">
        <v>19</v>
      </c>
      <c r="FJ3" s="1" t="s">
        <v>19</v>
      </c>
      <c r="FK3" s="1" t="s">
        <v>19</v>
      </c>
      <c r="FL3" s="1" t="s">
        <v>19</v>
      </c>
      <c r="FM3" s="1" t="s">
        <v>19</v>
      </c>
      <c r="FN3" s="1" t="s">
        <v>19</v>
      </c>
      <c r="FO3" s="1" t="s">
        <v>19</v>
      </c>
      <c r="FP3" s="1" t="s">
        <v>19</v>
      </c>
      <c r="FQ3" s="1" t="s">
        <v>19</v>
      </c>
      <c r="FR3" s="1" t="s">
        <v>19</v>
      </c>
      <c r="FS3" s="1" t="s">
        <v>19</v>
      </c>
      <c r="FT3" s="1" t="s">
        <v>19</v>
      </c>
      <c r="FU3" s="1" t="s">
        <v>19</v>
      </c>
      <c r="FV3" s="1" t="s">
        <v>19</v>
      </c>
      <c r="FW3" s="1" t="s">
        <v>19</v>
      </c>
      <c r="FX3" s="1" t="s">
        <v>19</v>
      </c>
      <c r="FY3" s="1" t="s">
        <v>19</v>
      </c>
      <c r="FZ3" s="1" t="s">
        <v>19</v>
      </c>
      <c r="GA3" s="1" t="s">
        <v>19</v>
      </c>
      <c r="GB3" s="1" t="s">
        <v>19</v>
      </c>
      <c r="GC3" s="1" t="s">
        <v>19</v>
      </c>
      <c r="GD3" s="1" t="s">
        <v>19</v>
      </c>
      <c r="GE3" s="1" t="s">
        <v>19</v>
      </c>
      <c r="GF3" s="1" t="s">
        <v>19</v>
      </c>
      <c r="GG3" s="1" t="s">
        <v>19</v>
      </c>
      <c r="GH3" s="1" t="s">
        <v>19</v>
      </c>
      <c r="GI3" s="1" t="s">
        <v>19</v>
      </c>
      <c r="GJ3" s="1" t="s">
        <v>19</v>
      </c>
      <c r="GK3" s="1" t="s">
        <v>19</v>
      </c>
      <c r="GL3" s="1" t="s">
        <v>19</v>
      </c>
      <c r="GM3" s="1" t="s">
        <v>19</v>
      </c>
      <c r="GN3" s="1" t="s">
        <v>19</v>
      </c>
      <c r="GO3" s="1" t="s">
        <v>19</v>
      </c>
      <c r="GP3" s="1" t="s">
        <v>19</v>
      </c>
      <c r="GQ3" s="1" t="s">
        <v>19</v>
      </c>
      <c r="GR3" s="1" t="s">
        <v>19</v>
      </c>
      <c r="GS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17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58</v>
      </c>
      <c r="EU4" s="1" t="s">
        <v>59</v>
      </c>
      <c r="EV4" s="1" t="s">
        <v>60</v>
      </c>
      <c r="EW4" s="1" t="s">
        <v>61</v>
      </c>
      <c r="EX4" s="1" t="s">
        <v>62</v>
      </c>
      <c r="EY4" s="1" t="s">
        <v>63</v>
      </c>
      <c r="EZ4" s="1" t="s">
        <v>64</v>
      </c>
      <c r="FA4" s="1" t="s">
        <v>65</v>
      </c>
      <c r="FB4" s="1" t="s">
        <v>66</v>
      </c>
      <c r="FC4" s="1" t="s">
        <v>67</v>
      </c>
      <c r="FD4" s="1" t="s">
        <v>68</v>
      </c>
      <c r="FE4" s="1" t="s">
        <v>69</v>
      </c>
      <c r="FF4" s="1" t="s">
        <v>70</v>
      </c>
      <c r="FG4" s="1" t="s">
        <v>71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58</v>
      </c>
      <c r="FU4" s="1" t="s">
        <v>59</v>
      </c>
      <c r="FV4" s="1" t="s">
        <v>60</v>
      </c>
      <c r="FW4" s="1" t="s">
        <v>61</v>
      </c>
      <c r="FX4" s="1" t="s">
        <v>62</v>
      </c>
      <c r="FY4" s="1" t="s">
        <v>63</v>
      </c>
      <c r="FZ4" s="1" t="s">
        <v>64</v>
      </c>
      <c r="GA4" s="1" t="s">
        <v>65</v>
      </c>
      <c r="GB4" s="1" t="s">
        <v>66</v>
      </c>
      <c r="GC4" s="1" t="s">
        <v>67</v>
      </c>
      <c r="GD4" s="1" t="s">
        <v>68</v>
      </c>
      <c r="GE4" s="1" t="s">
        <v>69</v>
      </c>
      <c r="GF4" s="1" t="s">
        <v>70</v>
      </c>
      <c r="GG4" s="1" t="s">
        <v>71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81</v>
      </c>
      <c r="GR4" s="1" t="s">
        <v>82</v>
      </c>
      <c r="GS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108</v>
      </c>
      <c r="AG5" s="1" t="s">
        <v>109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38</v>
      </c>
      <c r="AU5" s="1" t="s">
        <v>39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40</v>
      </c>
      <c r="BA5" s="1" t="s">
        <v>41</v>
      </c>
      <c r="BB5" s="1" t="s">
        <v>42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43</v>
      </c>
      <c r="BH5" s="1" t="s">
        <v>44</v>
      </c>
      <c r="BI5" s="1" t="s">
        <v>45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119</v>
      </c>
      <c r="CF5" s="1" t="s">
        <v>120</v>
      </c>
      <c r="CG5" s="1" t="s">
        <v>121</v>
      </c>
      <c r="CH5" s="1" t="s">
        <v>122</v>
      </c>
      <c r="CI5" s="1" t="s">
        <v>123</v>
      </c>
      <c r="CJ5" s="1" t="s">
        <v>124</v>
      </c>
      <c r="CK5" s="1" t="s">
        <v>125</v>
      </c>
      <c r="CL5" s="1" t="s">
        <v>126</v>
      </c>
      <c r="CM5" s="1" t="s">
        <v>127</v>
      </c>
      <c r="CN5" s="1" t="s">
        <v>128</v>
      </c>
      <c r="CO5" s="1" t="s">
        <v>129</v>
      </c>
      <c r="CP5" s="1" t="s">
        <v>130</v>
      </c>
      <c r="CQ5" s="1" t="s">
        <v>131</v>
      </c>
      <c r="CR5" s="1" t="s">
        <v>132</v>
      </c>
      <c r="CS5" s="1" t="s">
        <v>133</v>
      </c>
      <c r="CT5" s="1" t="s">
        <v>134</v>
      </c>
      <c r="CU5" s="1" t="s">
        <v>5</v>
      </c>
      <c r="CV5" s="1" t="s">
        <v>135</v>
      </c>
      <c r="CW5" s="1" t="s">
        <v>136</v>
      </c>
      <c r="CX5" s="1" t="s">
        <v>137</v>
      </c>
      <c r="CY5" s="1" t="s">
        <v>138</v>
      </c>
      <c r="CZ5" s="1" t="s">
        <v>139</v>
      </c>
      <c r="DA5" s="1" t="s">
        <v>140</v>
      </c>
      <c r="DB5" s="1" t="s">
        <v>141</v>
      </c>
      <c r="DC5" s="1" t="s">
        <v>142</v>
      </c>
      <c r="DD5" s="1" t="s">
        <v>143</v>
      </c>
      <c r="DE5" s="1" t="s">
        <v>144</v>
      </c>
      <c r="DF5" s="1" t="s">
        <v>145</v>
      </c>
      <c r="DG5" s="1" t="s">
        <v>146</v>
      </c>
      <c r="DH5" s="1" t="s">
        <v>147</v>
      </c>
      <c r="DI5" s="1" t="s">
        <v>148</v>
      </c>
      <c r="DJ5" s="1" t="s">
        <v>149</v>
      </c>
      <c r="DK5" s="1" t="s">
        <v>150</v>
      </c>
      <c r="DL5" s="1" t="s">
        <v>151</v>
      </c>
      <c r="DM5" s="1" t="s">
        <v>152</v>
      </c>
      <c r="DN5" s="1" t="s">
        <v>153</v>
      </c>
      <c r="DO5" s="1" t="s">
        <v>154</v>
      </c>
      <c r="DP5" s="1" t="s">
        <v>155</v>
      </c>
      <c r="DQ5" s="1" t="s">
        <v>156</v>
      </c>
      <c r="DR5" s="1" t="s">
        <v>157</v>
      </c>
      <c r="DS5" s="1" t="s">
        <v>158</v>
      </c>
      <c r="DT5" s="1" t="s">
        <v>159</v>
      </c>
      <c r="DU5" s="1" t="s">
        <v>160</v>
      </c>
      <c r="DV5" s="1" t="s">
        <v>161</v>
      </c>
      <c r="DW5" s="1" t="s">
        <v>162</v>
      </c>
      <c r="DX5" s="1" t="s">
        <v>163</v>
      </c>
      <c r="DY5" s="1" t="s">
        <v>164</v>
      </c>
      <c r="DZ5" s="1" t="s">
        <v>165</v>
      </c>
      <c r="EA5" s="1" t="s">
        <v>166</v>
      </c>
      <c r="EB5" s="1" t="s">
        <v>167</v>
      </c>
      <c r="EC5" s="1" t="s">
        <v>168</v>
      </c>
      <c r="ED5" s="1" t="s">
        <v>169</v>
      </c>
      <c r="EE5" s="1" t="s">
        <v>170</v>
      </c>
      <c r="EF5" s="1" t="s">
        <v>171</v>
      </c>
      <c r="EG5" s="1" t="s">
        <v>172</v>
      </c>
      <c r="EH5" s="1" t="s">
        <v>173</v>
      </c>
      <c r="EI5" s="1" t="s">
        <v>174</v>
      </c>
      <c r="EJ5" s="1" t="s">
        <v>175</v>
      </c>
      <c r="EK5" s="1" t="s">
        <v>176</v>
      </c>
      <c r="EL5" s="1" t="s">
        <v>177</v>
      </c>
      <c r="EM5" s="1" t="s">
        <v>178</v>
      </c>
      <c r="EN5" s="1" t="s">
        <v>179</v>
      </c>
      <c r="EO5" s="1" t="s">
        <v>180</v>
      </c>
      <c r="EP5" s="1" t="s">
        <v>181</v>
      </c>
      <c r="EQ5" s="1" t="s">
        <v>182</v>
      </c>
      <c r="ER5" s="1" t="s">
        <v>183</v>
      </c>
      <c r="ES5" s="1" t="s">
        <v>184</v>
      </c>
      <c r="ET5" s="1" t="s">
        <v>185</v>
      </c>
      <c r="EU5" s="1" t="s">
        <v>185</v>
      </c>
      <c r="EV5" s="1" t="s">
        <v>185</v>
      </c>
      <c r="EW5" s="1" t="s">
        <v>185</v>
      </c>
      <c r="EX5" s="1" t="s">
        <v>185</v>
      </c>
      <c r="EY5" s="1" t="s">
        <v>185</v>
      </c>
      <c r="EZ5" s="1" t="s">
        <v>185</v>
      </c>
      <c r="FA5" s="1" t="s">
        <v>185</v>
      </c>
      <c r="FB5" s="1" t="s">
        <v>185</v>
      </c>
      <c r="FC5" s="1" t="s">
        <v>185</v>
      </c>
      <c r="FD5" s="1" t="s">
        <v>185</v>
      </c>
      <c r="FE5" s="1" t="s">
        <v>185</v>
      </c>
      <c r="FF5" s="1" t="s">
        <v>185</v>
      </c>
      <c r="FG5" s="1" t="s">
        <v>185</v>
      </c>
      <c r="FH5" s="1" t="s">
        <v>185</v>
      </c>
      <c r="FI5" s="1" t="s">
        <v>185</v>
      </c>
      <c r="FJ5" s="1" t="s">
        <v>185</v>
      </c>
      <c r="FK5" s="1" t="s">
        <v>185</v>
      </c>
      <c r="FL5" s="1" t="s">
        <v>185</v>
      </c>
      <c r="FM5" s="1" t="s">
        <v>185</v>
      </c>
      <c r="FN5" s="1" t="s">
        <v>185</v>
      </c>
      <c r="FO5" s="1" t="s">
        <v>185</v>
      </c>
      <c r="FP5" s="1" t="s">
        <v>185</v>
      </c>
      <c r="FQ5" s="1" t="s">
        <v>185</v>
      </c>
      <c r="FR5" s="1" t="s">
        <v>185</v>
      </c>
      <c r="FS5" s="1" t="s">
        <v>185</v>
      </c>
      <c r="FT5" s="1" t="s">
        <v>186</v>
      </c>
      <c r="FU5" s="1" t="s">
        <v>186</v>
      </c>
      <c r="FV5" s="1" t="s">
        <v>186</v>
      </c>
      <c r="FW5" s="1" t="s">
        <v>186</v>
      </c>
      <c r="FX5" s="1" t="s">
        <v>186</v>
      </c>
      <c r="FY5" s="1" t="s">
        <v>186</v>
      </c>
      <c r="FZ5" s="1" t="s">
        <v>186</v>
      </c>
      <c r="GA5" s="1" t="s">
        <v>186</v>
      </c>
      <c r="GB5" s="1" t="s">
        <v>186</v>
      </c>
      <c r="GC5" s="1" t="s">
        <v>186</v>
      </c>
      <c r="GD5" s="1" t="s">
        <v>186</v>
      </c>
      <c r="GE5" s="1" t="s">
        <v>186</v>
      </c>
      <c r="GF5" s="1" t="s">
        <v>186</v>
      </c>
      <c r="GG5" s="1" t="s">
        <v>186</v>
      </c>
      <c r="GH5" s="1" t="s">
        <v>186</v>
      </c>
      <c r="GI5" s="1" t="s">
        <v>186</v>
      </c>
      <c r="GJ5" s="1" t="s">
        <v>186</v>
      </c>
      <c r="GK5" s="1" t="s">
        <v>186</v>
      </c>
      <c r="GL5" s="1" t="s">
        <v>186</v>
      </c>
      <c r="GM5" s="1" t="s">
        <v>186</v>
      </c>
      <c r="GN5" s="1" t="s">
        <v>186</v>
      </c>
      <c r="GO5" s="1" t="s">
        <v>186</v>
      </c>
      <c r="GP5" s="1" t="s">
        <v>186</v>
      </c>
      <c r="GQ5" s="1" t="s">
        <v>186</v>
      </c>
      <c r="GR5" s="1" t="s">
        <v>186</v>
      </c>
      <c r="GS5" s="1" t="s">
        <v>186</v>
      </c>
    </row>
    <row r="6">
      <c r="A6" s="2" t="s">
        <v>187</v>
      </c>
      <c r="B6" s="2" t="s">
        <v>188</v>
      </c>
      <c r="C6" s="2" t="s">
        <v>189</v>
      </c>
      <c r="D6" s="2" t="s">
        <v>190</v>
      </c>
      <c r="E6" s="2" t="s">
        <v>191</v>
      </c>
      <c r="F6" s="2" t="s">
        <v>192</v>
      </c>
      <c r="G6" s="2" t="s">
        <v>192</v>
      </c>
      <c r="H6" s="2" t="s">
        <v>192</v>
      </c>
      <c r="I6" s="2" t="s">
        <v>193</v>
      </c>
      <c r="J6" s="2" t="s">
        <v>194</v>
      </c>
      <c r="K6" s="2" t="s">
        <v>195</v>
      </c>
      <c r="L6" s="3">
        <v>25.3</v>
      </c>
      <c r="M6" s="3">
        <v>26.56</v>
      </c>
      <c r="N6" s="3">
        <v>54.99</v>
      </c>
      <c r="O6" s="2" t="s">
        <v>196</v>
      </c>
      <c r="P6" s="2" t="s">
        <v>197</v>
      </c>
      <c r="Q6" s="2" t="s">
        <v>198</v>
      </c>
      <c r="R6" s="2" t="s">
        <v>199</v>
      </c>
      <c r="S6" s="2" t="s">
        <v>200</v>
      </c>
      <c r="T6" s="2" t="s">
        <v>201</v>
      </c>
      <c r="U6" s="2" t="s">
        <v>199</v>
      </c>
      <c r="V6" s="2" t="s">
        <v>202</v>
      </c>
      <c r="W6" s="2" t="s">
        <v>203</v>
      </c>
      <c r="X6" s="2" t="s">
        <v>199</v>
      </c>
      <c r="Y6" s="2" t="s">
        <v>204</v>
      </c>
      <c r="Z6" s="4">
        <v>253</v>
      </c>
      <c r="AA6" s="4">
        <f>=ROUNDDOWN(36.1428571428571,0)</f>
      </c>
      <c r="AB6" s="5">
        <v>7</v>
      </c>
      <c r="AC6" s="2" t="s">
        <v>205</v>
      </c>
      <c r="AD6" s="4">
        <v>60</v>
      </c>
      <c r="AE6" s="4">
        <v>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199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199</v>
      </c>
      <c r="AW6" s="8" t="s">
        <v>199</v>
      </c>
      <c r="AX6" s="4" t="s">
        <v>199</v>
      </c>
      <c r="AY6" s="8" t="s">
        <v>199</v>
      </c>
      <c r="AZ6" s="7" t="s">
        <v>199</v>
      </c>
      <c r="BA6" s="7" t="s">
        <v>199</v>
      </c>
      <c r="BB6" s="7"/>
      <c r="BC6" s="4" t="s">
        <v>199</v>
      </c>
      <c r="BD6" s="8" t="s">
        <v>199</v>
      </c>
      <c r="BE6" s="4" t="s">
        <v>199</v>
      </c>
      <c r="BF6" s="8" t="s">
        <v>199</v>
      </c>
      <c r="BG6" s="7" t="s">
        <v>199</v>
      </c>
      <c r="BH6" s="7" t="s">
        <v>199</v>
      </c>
      <c r="BI6" s="7"/>
      <c r="BJ6" s="4">
        <v>26</v>
      </c>
      <c r="BK6" s="8">
        <v>757.58</v>
      </c>
      <c r="BL6" s="2" t="s">
        <v>206</v>
      </c>
      <c r="BM6" s="7"/>
      <c r="BN6" s="7"/>
      <c r="BO6" s="4"/>
      <c r="BP6" s="8"/>
      <c r="BQ6" s="4"/>
      <c r="BR6" s="8"/>
      <c r="BS6" s="7"/>
      <c r="BT6" s="7"/>
      <c r="BU6" s="2" t="s">
        <v>207</v>
      </c>
      <c r="BV6" s="2" t="s">
        <v>199</v>
      </c>
      <c r="BW6" s="2" t="s">
        <v>199</v>
      </c>
      <c r="BX6" s="2" t="s">
        <v>208</v>
      </c>
      <c r="BY6" s="2" t="s">
        <v>209</v>
      </c>
      <c r="BZ6" s="2" t="s">
        <v>196</v>
      </c>
      <c r="CA6" s="2" t="s">
        <v>210</v>
      </c>
      <c r="CB6" s="2" t="s">
        <v>211</v>
      </c>
      <c r="CC6" s="2" t="s">
        <v>212</v>
      </c>
      <c r="CD6" s="2" t="s">
        <v>199</v>
      </c>
      <c r="CE6" s="4">
        <v>253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>
        <v>60</v>
      </c>
      <c r="EP6" s="4"/>
      <c r="EQ6" s="4"/>
      <c r="ER6" s="4"/>
      <c r="ES6" s="4"/>
      <c r="ET6" s="4">
        <v>256</v>
      </c>
      <c r="EU6" s="4">
        <v>250</v>
      </c>
      <c r="EV6" s="4">
        <v>245</v>
      </c>
      <c r="EW6" s="4">
        <v>240</v>
      </c>
      <c r="EX6" s="4">
        <v>235</v>
      </c>
      <c r="EY6" s="4">
        <v>230</v>
      </c>
      <c r="EZ6" s="4">
        <v>223</v>
      </c>
      <c r="FA6" s="4">
        <v>216</v>
      </c>
      <c r="FB6" s="4">
        <v>208</v>
      </c>
      <c r="FC6" s="4">
        <v>201</v>
      </c>
      <c r="FD6" s="4">
        <v>194</v>
      </c>
      <c r="FE6" s="4">
        <v>187</v>
      </c>
      <c r="FF6" s="4">
        <v>180</v>
      </c>
      <c r="FG6" s="4">
        <v>173</v>
      </c>
      <c r="FH6" s="4">
        <v>166</v>
      </c>
      <c r="FI6" s="4">
        <v>159</v>
      </c>
      <c r="FJ6" s="4">
        <v>151</v>
      </c>
      <c r="FK6" s="4">
        <v>203</v>
      </c>
      <c r="FL6" s="4">
        <v>195</v>
      </c>
      <c r="FM6" s="4">
        <v>187</v>
      </c>
      <c r="FN6" s="4">
        <v>179</v>
      </c>
      <c r="FO6" s="4">
        <v>171</v>
      </c>
      <c r="FP6" s="4">
        <v>161</v>
      </c>
      <c r="FQ6" s="4">
        <v>149</v>
      </c>
      <c r="FR6" s="4">
        <v>137</v>
      </c>
      <c r="FS6" s="4">
        <v>125</v>
      </c>
      <c r="FT6" s="19">
        <v>51.2</v>
      </c>
      <c r="FU6" s="19">
        <v>50</v>
      </c>
      <c r="FV6" s="19">
        <v>40.8</v>
      </c>
      <c r="FW6" s="19">
        <v>40</v>
      </c>
      <c r="FX6" s="19">
        <v>33.6</v>
      </c>
      <c r="FY6" s="19">
        <v>32.9</v>
      </c>
      <c r="FZ6" s="19">
        <v>31.9</v>
      </c>
      <c r="GA6" s="19">
        <v>30.9</v>
      </c>
      <c r="GB6" s="19">
        <v>29.7</v>
      </c>
      <c r="GC6" s="19">
        <v>28.7</v>
      </c>
      <c r="GD6" s="19">
        <v>27.7</v>
      </c>
      <c r="GE6" s="19">
        <v>26.7</v>
      </c>
      <c r="GF6" s="19">
        <v>25.7</v>
      </c>
      <c r="GG6" s="19">
        <v>21.6</v>
      </c>
      <c r="GH6" s="19">
        <v>20.8</v>
      </c>
      <c r="GI6" s="19">
        <v>19.9</v>
      </c>
      <c r="GJ6" s="19">
        <v>18.9</v>
      </c>
      <c r="GK6" s="19">
        <v>25.4</v>
      </c>
      <c r="GL6" s="19">
        <v>24.4</v>
      </c>
      <c r="GM6" s="19">
        <v>18.7</v>
      </c>
      <c r="GN6" s="19">
        <v>17.9</v>
      </c>
      <c r="GO6" s="19">
        <v>14.3</v>
      </c>
      <c r="GP6" s="19">
        <v>13.4</v>
      </c>
      <c r="GQ6" s="19">
        <v>11.5</v>
      </c>
      <c r="GR6" s="19">
        <v>9.8</v>
      </c>
      <c r="GS6" s="19">
        <v>8.9</v>
      </c>
    </row>
    <row r="7">
      <c r="A7" s="2" t="s">
        <v>213</v>
      </c>
      <c r="B7" s="2" t="s">
        <v>188</v>
      </c>
      <c r="C7" s="2" t="s">
        <v>189</v>
      </c>
      <c r="D7" s="2" t="s">
        <v>190</v>
      </c>
      <c r="E7" s="2" t="s">
        <v>191</v>
      </c>
      <c r="F7" s="2" t="s">
        <v>192</v>
      </c>
      <c r="G7" s="2" t="s">
        <v>192</v>
      </c>
      <c r="H7" s="2" t="s">
        <v>192</v>
      </c>
      <c r="I7" s="2" t="s">
        <v>193</v>
      </c>
      <c r="J7" s="2" t="s">
        <v>214</v>
      </c>
      <c r="K7" s="2" t="s">
        <v>195</v>
      </c>
      <c r="L7" s="3">
        <v>27.6</v>
      </c>
      <c r="M7" s="3">
        <v>28.98</v>
      </c>
      <c r="N7" s="3">
        <v>59.99</v>
      </c>
      <c r="O7" s="2" t="s">
        <v>196</v>
      </c>
      <c r="P7" s="2" t="s">
        <v>197</v>
      </c>
      <c r="Q7" s="2" t="s">
        <v>198</v>
      </c>
      <c r="R7" s="2" t="s">
        <v>199</v>
      </c>
      <c r="S7" s="2" t="s">
        <v>200</v>
      </c>
      <c r="T7" s="2" t="s">
        <v>201</v>
      </c>
      <c r="U7" s="2" t="s">
        <v>199</v>
      </c>
      <c r="V7" s="2" t="s">
        <v>202</v>
      </c>
      <c r="W7" s="2" t="s">
        <v>203</v>
      </c>
      <c r="X7" s="2" t="s">
        <v>199</v>
      </c>
      <c r="Y7" s="2" t="s">
        <v>204</v>
      </c>
      <c r="Z7" s="4">
        <v>508</v>
      </c>
      <c r="AA7" s="4">
        <f>=ROUNDDOWN(42.3333333333333,0)</f>
      </c>
      <c r="AB7" s="5">
        <v>12</v>
      </c>
      <c r="AC7" s="2" t="s">
        <v>205</v>
      </c>
      <c r="AD7" s="4">
        <v>330</v>
      </c>
      <c r="AE7" s="4">
        <v>330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199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199</v>
      </c>
      <c r="AW7" s="8" t="s">
        <v>199</v>
      </c>
      <c r="AX7" s="4" t="s">
        <v>199</v>
      </c>
      <c r="AY7" s="8" t="s">
        <v>199</v>
      </c>
      <c r="AZ7" s="7" t="s">
        <v>199</v>
      </c>
      <c r="BA7" s="7" t="s">
        <v>199</v>
      </c>
      <c r="BB7" s="7"/>
      <c r="BC7" s="4" t="s">
        <v>199</v>
      </c>
      <c r="BD7" s="8" t="s">
        <v>199</v>
      </c>
      <c r="BE7" s="4" t="s">
        <v>199</v>
      </c>
      <c r="BF7" s="8" t="s">
        <v>199</v>
      </c>
      <c r="BG7" s="7" t="s">
        <v>199</v>
      </c>
      <c r="BH7" s="7" t="s">
        <v>199</v>
      </c>
      <c r="BI7" s="7"/>
      <c r="BJ7" s="4">
        <v>28</v>
      </c>
      <c r="BK7" s="8">
        <v>736.42</v>
      </c>
      <c r="BL7" s="2" t="s">
        <v>215</v>
      </c>
      <c r="BM7" s="7"/>
      <c r="BN7" s="7"/>
      <c r="BO7" s="4"/>
      <c r="BP7" s="8"/>
      <c r="BQ7" s="4"/>
      <c r="BR7" s="8"/>
      <c r="BS7" s="7"/>
      <c r="BT7" s="7"/>
      <c r="BU7" s="2" t="s">
        <v>207</v>
      </c>
      <c r="BV7" s="2" t="s">
        <v>199</v>
      </c>
      <c r="BW7" s="2" t="s">
        <v>199</v>
      </c>
      <c r="BX7" s="2" t="s">
        <v>208</v>
      </c>
      <c r="BY7" s="2" t="s">
        <v>209</v>
      </c>
      <c r="BZ7" s="2" t="s">
        <v>196</v>
      </c>
      <c r="CA7" s="2" t="s">
        <v>216</v>
      </c>
      <c r="CB7" s="2" t="s">
        <v>217</v>
      </c>
      <c r="CC7" s="2" t="s">
        <v>212</v>
      </c>
      <c r="CD7" s="2" t="s">
        <v>199</v>
      </c>
      <c r="CE7" s="4">
        <v>508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>
        <v>330</v>
      </c>
      <c r="EP7" s="4"/>
      <c r="EQ7" s="4"/>
      <c r="ER7" s="4"/>
      <c r="ES7" s="4"/>
      <c r="ET7" s="4">
        <v>509</v>
      </c>
      <c r="EU7" s="4">
        <v>503</v>
      </c>
      <c r="EV7" s="4">
        <v>499</v>
      </c>
      <c r="EW7" s="4">
        <v>494</v>
      </c>
      <c r="EX7" s="4">
        <v>489</v>
      </c>
      <c r="EY7" s="4">
        <v>484</v>
      </c>
      <c r="EZ7" s="4">
        <v>476</v>
      </c>
      <c r="FA7" s="4">
        <v>468</v>
      </c>
      <c r="FB7" s="4">
        <v>460</v>
      </c>
      <c r="FC7" s="4">
        <v>452</v>
      </c>
      <c r="FD7" s="4">
        <v>442</v>
      </c>
      <c r="FE7" s="4">
        <v>432</v>
      </c>
      <c r="FF7" s="4">
        <v>422</v>
      </c>
      <c r="FG7" s="4">
        <v>412</v>
      </c>
      <c r="FH7" s="4">
        <v>398</v>
      </c>
      <c r="FI7" s="4">
        <v>384</v>
      </c>
      <c r="FJ7" s="4">
        <v>367</v>
      </c>
      <c r="FK7" s="4">
        <v>680</v>
      </c>
      <c r="FL7" s="4">
        <v>663</v>
      </c>
      <c r="FM7" s="4">
        <v>647</v>
      </c>
      <c r="FN7" s="4">
        <v>622</v>
      </c>
      <c r="FO7" s="4">
        <v>597</v>
      </c>
      <c r="FP7" s="4">
        <v>569</v>
      </c>
      <c r="FQ7" s="4">
        <v>524</v>
      </c>
      <c r="FR7" s="4">
        <v>481</v>
      </c>
      <c r="FS7" s="4">
        <v>436</v>
      </c>
      <c r="FT7" s="19">
        <v>101.8</v>
      </c>
      <c r="FU7" s="19">
        <v>100.6</v>
      </c>
      <c r="FV7" s="19">
        <v>83.2</v>
      </c>
      <c r="FW7" s="19">
        <v>82.3</v>
      </c>
      <c r="FX7" s="19">
        <v>69.9</v>
      </c>
      <c r="FY7" s="19">
        <v>60.5</v>
      </c>
      <c r="FZ7" s="19">
        <v>59.5</v>
      </c>
      <c r="GA7" s="19">
        <v>52</v>
      </c>
      <c r="GB7" s="19">
        <v>46</v>
      </c>
      <c r="GC7" s="19">
        <v>45.2</v>
      </c>
      <c r="GD7" s="19">
        <v>40.2</v>
      </c>
      <c r="GE7" s="19">
        <v>36</v>
      </c>
      <c r="GF7" s="19">
        <v>30.1</v>
      </c>
      <c r="GG7" s="19">
        <v>25.8</v>
      </c>
      <c r="GH7" s="19">
        <v>24.9</v>
      </c>
      <c r="GI7" s="19">
        <v>22.6</v>
      </c>
      <c r="GJ7" s="19">
        <v>19.3</v>
      </c>
      <c r="GK7" s="19">
        <v>32.4</v>
      </c>
      <c r="GL7" s="19">
        <v>27.6</v>
      </c>
      <c r="GM7" s="19">
        <v>20.9</v>
      </c>
      <c r="GN7" s="19">
        <v>17.8</v>
      </c>
      <c r="GO7" s="19">
        <v>14.9</v>
      </c>
      <c r="GP7" s="19">
        <v>12.9</v>
      </c>
      <c r="GQ7" s="19">
        <v>9.9</v>
      </c>
      <c r="GR7" s="19">
        <v>7.6</v>
      </c>
      <c r="GS7" s="19">
        <v>6.1</v>
      </c>
    </row>
    <row r="8">
      <c r="A8" s="2" t="s">
        <v>218</v>
      </c>
      <c r="B8" s="2" t="s">
        <v>188</v>
      </c>
      <c r="C8" s="2" t="s">
        <v>189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219</v>
      </c>
      <c r="K8" s="2" t="s">
        <v>195</v>
      </c>
      <c r="L8" s="3">
        <v>36.8</v>
      </c>
      <c r="M8" s="3">
        <v>38.64</v>
      </c>
      <c r="N8" s="3">
        <v>79.99</v>
      </c>
      <c r="O8" s="2" t="s">
        <v>196</v>
      </c>
      <c r="P8" s="2" t="s">
        <v>197</v>
      </c>
      <c r="Q8" s="2" t="s">
        <v>198</v>
      </c>
      <c r="R8" s="2" t="s">
        <v>199</v>
      </c>
      <c r="S8" s="2" t="s">
        <v>200</v>
      </c>
      <c r="T8" s="2" t="s">
        <v>201</v>
      </c>
      <c r="U8" s="2" t="s">
        <v>199</v>
      </c>
      <c r="V8" s="2" t="s">
        <v>202</v>
      </c>
      <c r="W8" s="2" t="s">
        <v>203</v>
      </c>
      <c r="X8" s="2" t="s">
        <v>199</v>
      </c>
      <c r="Y8" s="2" t="s">
        <v>204</v>
      </c>
      <c r="Z8" s="4">
        <v>253</v>
      </c>
      <c r="AA8" s="4">
        <f>=ROUNDDOWN(25.3,0)</f>
      </c>
      <c r="AB8" s="5">
        <v>10</v>
      </c>
      <c r="AC8" s="2" t="s">
        <v>205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199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199</v>
      </c>
      <c r="AW8" s="8" t="s">
        <v>199</v>
      </c>
      <c r="AX8" s="4" t="s">
        <v>199</v>
      </c>
      <c r="AY8" s="8" t="s">
        <v>199</v>
      </c>
      <c r="AZ8" s="7" t="s">
        <v>199</v>
      </c>
      <c r="BA8" s="7" t="s">
        <v>199</v>
      </c>
      <c r="BB8" s="7"/>
      <c r="BC8" s="4" t="s">
        <v>199</v>
      </c>
      <c r="BD8" s="8" t="s">
        <v>199</v>
      </c>
      <c r="BE8" s="4" t="s">
        <v>199</v>
      </c>
      <c r="BF8" s="8" t="s">
        <v>199</v>
      </c>
      <c r="BG8" s="7" t="s">
        <v>199</v>
      </c>
      <c r="BH8" s="7" t="s">
        <v>199</v>
      </c>
      <c r="BI8" s="7"/>
      <c r="BJ8" s="4">
        <v>33</v>
      </c>
      <c r="BK8" s="8">
        <v>1371.37</v>
      </c>
      <c r="BL8" s="2" t="s">
        <v>220</v>
      </c>
      <c r="BM8" s="7"/>
      <c r="BN8" s="7"/>
      <c r="BO8" s="4"/>
      <c r="BP8" s="8"/>
      <c r="BQ8" s="4"/>
      <c r="BR8" s="8"/>
      <c r="BS8" s="7"/>
      <c r="BT8" s="7"/>
      <c r="BU8" s="2" t="s">
        <v>207</v>
      </c>
      <c r="BV8" s="2" t="s">
        <v>199</v>
      </c>
      <c r="BW8" s="2" t="s">
        <v>199</v>
      </c>
      <c r="BX8" s="2" t="s">
        <v>208</v>
      </c>
      <c r="BY8" s="2" t="s">
        <v>209</v>
      </c>
      <c r="BZ8" s="2" t="s">
        <v>196</v>
      </c>
      <c r="CA8" s="2" t="s">
        <v>210</v>
      </c>
      <c r="CB8" s="2" t="s">
        <v>221</v>
      </c>
      <c r="CC8" s="2" t="s">
        <v>212</v>
      </c>
      <c r="CD8" s="2" t="s">
        <v>199</v>
      </c>
      <c r="CE8" s="4">
        <v>253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>
        <v>60</v>
      </c>
      <c r="EP8" s="4"/>
      <c r="EQ8" s="4"/>
      <c r="ER8" s="4"/>
      <c r="ES8" s="4"/>
      <c r="ET8" s="4">
        <v>254</v>
      </c>
      <c r="EU8" s="4">
        <v>243</v>
      </c>
      <c r="EV8" s="4">
        <v>237</v>
      </c>
      <c r="EW8" s="4">
        <v>230</v>
      </c>
      <c r="EX8" s="4">
        <v>223</v>
      </c>
      <c r="EY8" s="4">
        <v>217</v>
      </c>
      <c r="EZ8" s="4">
        <v>209</v>
      </c>
      <c r="FA8" s="4">
        <v>201</v>
      </c>
      <c r="FB8" s="4">
        <v>193</v>
      </c>
      <c r="FC8" s="4">
        <v>185</v>
      </c>
      <c r="FD8" s="4">
        <v>175</v>
      </c>
      <c r="FE8" s="4">
        <v>165</v>
      </c>
      <c r="FF8" s="4">
        <v>155</v>
      </c>
      <c r="FG8" s="4">
        <v>145</v>
      </c>
      <c r="FH8" s="4">
        <v>134</v>
      </c>
      <c r="FI8" s="4">
        <v>123</v>
      </c>
      <c r="FJ8" s="4">
        <v>112</v>
      </c>
      <c r="FK8" s="4">
        <v>161</v>
      </c>
      <c r="FL8" s="4">
        <v>150</v>
      </c>
      <c r="FM8" s="4">
        <v>141</v>
      </c>
      <c r="FN8" s="4">
        <v>132</v>
      </c>
      <c r="FO8" s="4">
        <v>123</v>
      </c>
      <c r="FP8" s="4">
        <v>113</v>
      </c>
      <c r="FQ8" s="4">
        <v>102</v>
      </c>
      <c r="FR8" s="4">
        <v>91</v>
      </c>
      <c r="FS8" s="4">
        <v>80</v>
      </c>
      <c r="FT8" s="19">
        <v>31.8</v>
      </c>
      <c r="FU8" s="19">
        <v>40.5</v>
      </c>
      <c r="FV8" s="19">
        <v>33.9</v>
      </c>
      <c r="FW8" s="19">
        <v>32.9</v>
      </c>
      <c r="FX8" s="19">
        <v>27.9</v>
      </c>
      <c r="FY8" s="19">
        <v>27.1</v>
      </c>
      <c r="FZ8" s="19">
        <v>26.1</v>
      </c>
      <c r="GA8" s="19">
        <v>22.3</v>
      </c>
      <c r="GB8" s="19">
        <v>19.3</v>
      </c>
      <c r="GC8" s="19">
        <v>18.5</v>
      </c>
      <c r="GD8" s="19">
        <v>17.5</v>
      </c>
      <c r="GE8" s="19">
        <v>16.5</v>
      </c>
      <c r="GF8" s="19">
        <v>14.1</v>
      </c>
      <c r="GG8" s="19">
        <v>13.2</v>
      </c>
      <c r="GH8" s="19">
        <v>12.2</v>
      </c>
      <c r="GI8" s="19">
        <v>12.3</v>
      </c>
      <c r="GJ8" s="19">
        <v>11.2</v>
      </c>
      <c r="GK8" s="19">
        <v>16.1</v>
      </c>
      <c r="GL8" s="19">
        <v>16.7</v>
      </c>
      <c r="GM8" s="19">
        <v>14.1</v>
      </c>
      <c r="GN8" s="19">
        <v>13.2</v>
      </c>
      <c r="GO8" s="19">
        <v>11.2</v>
      </c>
      <c r="GP8" s="19">
        <v>10.3</v>
      </c>
      <c r="GQ8" s="19">
        <v>10.2</v>
      </c>
      <c r="GR8" s="19">
        <v>9.1</v>
      </c>
      <c r="GS8" s="19">
        <v>8</v>
      </c>
    </row>
    <row r="9">
      <c r="A9" s="2" t="s">
        <v>222</v>
      </c>
      <c r="B9" s="2" t="s">
        <v>188</v>
      </c>
      <c r="C9" s="2" t="s">
        <v>189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223</v>
      </c>
      <c r="K9" s="2" t="s">
        <v>195</v>
      </c>
      <c r="L9" s="3">
        <v>46</v>
      </c>
      <c r="M9" s="3">
        <v>48.3</v>
      </c>
      <c r="N9" s="3">
        <v>99.99</v>
      </c>
      <c r="O9" s="2" t="s">
        <v>196</v>
      </c>
      <c r="P9" s="2" t="s">
        <v>197</v>
      </c>
      <c r="Q9" s="2" t="s">
        <v>198</v>
      </c>
      <c r="R9" s="2" t="s">
        <v>199</v>
      </c>
      <c r="S9" s="2" t="s">
        <v>200</v>
      </c>
      <c r="T9" s="2" t="s">
        <v>201</v>
      </c>
      <c r="U9" s="2" t="s">
        <v>199</v>
      </c>
      <c r="V9" s="2" t="s">
        <v>202</v>
      </c>
      <c r="W9" s="2" t="s">
        <v>203</v>
      </c>
      <c r="X9" s="2" t="s">
        <v>199</v>
      </c>
      <c r="Y9" s="2" t="s">
        <v>204</v>
      </c>
      <c r="Z9" s="4">
        <v>219</v>
      </c>
      <c r="AA9" s="4">
        <f>=ROUNDDOWN(36.5,0)</f>
      </c>
      <c r="AB9" s="5">
        <v>6</v>
      </c>
      <c r="AC9" s="2" t="s">
        <v>199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199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199</v>
      </c>
      <c r="AW9" s="8" t="s">
        <v>199</v>
      </c>
      <c r="AX9" s="4" t="s">
        <v>199</v>
      </c>
      <c r="AY9" s="8" t="s">
        <v>199</v>
      </c>
      <c r="AZ9" s="7" t="s">
        <v>199</v>
      </c>
      <c r="BA9" s="7" t="s">
        <v>199</v>
      </c>
      <c r="BB9" s="7"/>
      <c r="BC9" s="4" t="s">
        <v>199</v>
      </c>
      <c r="BD9" s="8" t="s">
        <v>199</v>
      </c>
      <c r="BE9" s="4" t="s">
        <v>199</v>
      </c>
      <c r="BF9" s="8" t="s">
        <v>199</v>
      </c>
      <c r="BG9" s="7" t="s">
        <v>199</v>
      </c>
      <c r="BH9" s="7" t="s">
        <v>199</v>
      </c>
      <c r="BI9" s="7"/>
      <c r="BJ9" s="4">
        <v>13</v>
      </c>
      <c r="BK9" s="8">
        <v>670.38</v>
      </c>
      <c r="BL9" s="2" t="s">
        <v>224</v>
      </c>
      <c r="BM9" s="7"/>
      <c r="BN9" s="7"/>
      <c r="BO9" s="4"/>
      <c r="BP9" s="8"/>
      <c r="BQ9" s="4"/>
      <c r="BR9" s="8"/>
      <c r="BS9" s="7"/>
      <c r="BT9" s="7"/>
      <c r="BU9" s="2" t="s">
        <v>207</v>
      </c>
      <c r="BV9" s="2" t="s">
        <v>199</v>
      </c>
      <c r="BW9" s="2" t="s">
        <v>199</v>
      </c>
      <c r="BX9" s="2" t="s">
        <v>208</v>
      </c>
      <c r="BY9" s="2" t="s">
        <v>209</v>
      </c>
      <c r="BZ9" s="2" t="s">
        <v>196</v>
      </c>
      <c r="CA9" s="2" t="s">
        <v>210</v>
      </c>
      <c r="CB9" s="2" t="s">
        <v>225</v>
      </c>
      <c r="CC9" s="2" t="s">
        <v>212</v>
      </c>
      <c r="CD9" s="2" t="s">
        <v>199</v>
      </c>
      <c r="CE9" s="4">
        <v>219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>
        <v>220</v>
      </c>
      <c r="EU9" s="4">
        <v>213</v>
      </c>
      <c r="EV9" s="4">
        <v>209</v>
      </c>
      <c r="EW9" s="4">
        <v>205</v>
      </c>
      <c r="EX9" s="4">
        <v>201</v>
      </c>
      <c r="EY9" s="4">
        <v>197</v>
      </c>
      <c r="EZ9" s="4">
        <v>190</v>
      </c>
      <c r="FA9" s="4">
        <v>183</v>
      </c>
      <c r="FB9" s="4">
        <v>176</v>
      </c>
      <c r="FC9" s="4">
        <v>169</v>
      </c>
      <c r="FD9" s="4">
        <v>162</v>
      </c>
      <c r="FE9" s="4">
        <v>155</v>
      </c>
      <c r="FF9" s="4">
        <v>148</v>
      </c>
      <c r="FG9" s="4">
        <v>141</v>
      </c>
      <c r="FH9" s="4">
        <v>134</v>
      </c>
      <c r="FI9" s="4">
        <v>127</v>
      </c>
      <c r="FJ9" s="4">
        <v>120</v>
      </c>
      <c r="FK9" s="4">
        <v>113</v>
      </c>
      <c r="FL9" s="4">
        <v>106</v>
      </c>
      <c r="FM9" s="4">
        <v>101</v>
      </c>
      <c r="FN9" s="4">
        <v>96</v>
      </c>
      <c r="FO9" s="4">
        <v>91</v>
      </c>
      <c r="FP9" s="4">
        <v>86</v>
      </c>
      <c r="FQ9" s="4">
        <v>79</v>
      </c>
      <c r="FR9" s="4">
        <v>73</v>
      </c>
      <c r="FS9" s="4">
        <v>66</v>
      </c>
      <c r="FT9" s="19">
        <v>44</v>
      </c>
      <c r="FU9" s="19">
        <v>53.3</v>
      </c>
      <c r="FV9" s="19">
        <v>41.8</v>
      </c>
      <c r="FW9" s="19">
        <v>34.2</v>
      </c>
      <c r="FX9" s="19">
        <v>33.5</v>
      </c>
      <c r="FY9" s="19">
        <v>28.1</v>
      </c>
      <c r="FZ9" s="19">
        <v>27.1</v>
      </c>
      <c r="GA9" s="19">
        <v>26.1</v>
      </c>
      <c r="GB9" s="19">
        <v>25.1</v>
      </c>
      <c r="GC9" s="19">
        <v>24.1</v>
      </c>
      <c r="GD9" s="19">
        <v>23.1</v>
      </c>
      <c r="GE9" s="19">
        <v>22.1</v>
      </c>
      <c r="GF9" s="19">
        <v>21.1</v>
      </c>
      <c r="GG9" s="19">
        <v>20.1</v>
      </c>
      <c r="GH9" s="19">
        <v>19.1</v>
      </c>
      <c r="GI9" s="19">
        <v>21.2</v>
      </c>
      <c r="GJ9" s="19">
        <v>20</v>
      </c>
      <c r="GK9" s="19">
        <v>18.8</v>
      </c>
      <c r="GL9" s="19">
        <v>21.2</v>
      </c>
      <c r="GM9" s="19">
        <v>16.8</v>
      </c>
      <c r="GN9" s="19">
        <v>16</v>
      </c>
      <c r="GO9" s="19">
        <v>15.2</v>
      </c>
      <c r="GP9" s="19">
        <v>14.3</v>
      </c>
      <c r="GQ9" s="19">
        <v>13.2</v>
      </c>
      <c r="GR9" s="19">
        <v>10.4</v>
      </c>
      <c r="GS9" s="19">
        <v>9.4</v>
      </c>
    </row>
    <row r="10">
      <c r="A10" s="2" t="s">
        <v>226</v>
      </c>
      <c r="B10" s="2" t="s">
        <v>188</v>
      </c>
      <c r="C10" s="2" t="s">
        <v>227</v>
      </c>
      <c r="D10" s="2" t="s">
        <v>228</v>
      </c>
      <c r="E10" s="2" t="s">
        <v>229</v>
      </c>
      <c r="F10" s="2" t="s">
        <v>230</v>
      </c>
      <c r="G10" s="2" t="s">
        <v>230</v>
      </c>
      <c r="H10" s="2" t="s">
        <v>230</v>
      </c>
      <c r="I10" s="2" t="s">
        <v>231</v>
      </c>
      <c r="J10" s="2" t="s">
        <v>232</v>
      </c>
      <c r="K10" s="2" t="s">
        <v>233</v>
      </c>
      <c r="L10" s="3">
        <v>40.75</v>
      </c>
      <c r="M10" s="3">
        <v>42.79</v>
      </c>
      <c r="N10" s="3">
        <v>79.99</v>
      </c>
      <c r="O10" s="2" t="s">
        <v>196</v>
      </c>
      <c r="P10" s="2" t="s">
        <v>197</v>
      </c>
      <c r="Q10" s="2" t="s">
        <v>198</v>
      </c>
      <c r="R10" s="2" t="s">
        <v>199</v>
      </c>
      <c r="S10" s="2" t="s">
        <v>234</v>
      </c>
      <c r="T10" s="2" t="s">
        <v>235</v>
      </c>
      <c r="U10" s="2" t="s">
        <v>199</v>
      </c>
      <c r="V10" s="2" t="s">
        <v>202</v>
      </c>
      <c r="W10" s="2" t="s">
        <v>203</v>
      </c>
      <c r="X10" s="2" t="s">
        <v>199</v>
      </c>
      <c r="Y10" s="2" t="s">
        <v>204</v>
      </c>
      <c r="Z10" s="4">
        <v>238</v>
      </c>
      <c r="AA10" s="4">
        <f>=ROUNDDOWN(23.8,0)</f>
      </c>
      <c r="AB10" s="5">
        <v>10</v>
      </c>
      <c r="AC10" s="2" t="s">
        <v>236</v>
      </c>
      <c r="AD10" s="4">
        <v>280</v>
      </c>
      <c r="AE10" s="4">
        <v>480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199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199</v>
      </c>
      <c r="AW10" s="8" t="s">
        <v>199</v>
      </c>
      <c r="AX10" s="4" t="s">
        <v>199</v>
      </c>
      <c r="AY10" s="8" t="s">
        <v>199</v>
      </c>
      <c r="AZ10" s="7" t="s">
        <v>199</v>
      </c>
      <c r="BA10" s="7" t="s">
        <v>199</v>
      </c>
      <c r="BB10" s="7"/>
      <c r="BC10" s="4" t="s">
        <v>199</v>
      </c>
      <c r="BD10" s="8" t="s">
        <v>199</v>
      </c>
      <c r="BE10" s="4" t="s">
        <v>199</v>
      </c>
      <c r="BF10" s="8" t="s">
        <v>199</v>
      </c>
      <c r="BG10" s="7" t="s">
        <v>199</v>
      </c>
      <c r="BH10" s="7" t="s">
        <v>199</v>
      </c>
      <c r="BI10" s="7"/>
      <c r="BJ10" s="4">
        <v>72</v>
      </c>
      <c r="BK10" s="8">
        <v>3023.55</v>
      </c>
      <c r="BL10" s="2" t="s">
        <v>224</v>
      </c>
      <c r="BM10" s="7"/>
      <c r="BN10" s="7"/>
      <c r="BO10" s="4"/>
      <c r="BP10" s="8"/>
      <c r="BQ10" s="4"/>
      <c r="BR10" s="8"/>
      <c r="BS10" s="7"/>
      <c r="BT10" s="7"/>
      <c r="BU10" s="2" t="s">
        <v>237</v>
      </c>
      <c r="BV10" s="2" t="s">
        <v>199</v>
      </c>
      <c r="BW10" s="2" t="s">
        <v>199</v>
      </c>
      <c r="BX10" s="2" t="s">
        <v>208</v>
      </c>
      <c r="BY10" s="2" t="s">
        <v>209</v>
      </c>
      <c r="BZ10" s="2" t="s">
        <v>196</v>
      </c>
      <c r="CA10" s="2" t="s">
        <v>238</v>
      </c>
      <c r="CB10" s="2" t="s">
        <v>239</v>
      </c>
      <c r="CC10" s="2" t="s">
        <v>212</v>
      </c>
      <c r="CD10" s="2" t="s">
        <v>199</v>
      </c>
      <c r="CE10" s="4">
        <v>238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>
        <v>280</v>
      </c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>
        <v>200</v>
      </c>
      <c r="EQ10" s="4"/>
      <c r="ER10" s="4"/>
      <c r="ES10" s="4"/>
      <c r="ET10" s="4">
        <v>241</v>
      </c>
      <c r="EU10" s="4">
        <v>233</v>
      </c>
      <c r="EV10" s="4">
        <v>227</v>
      </c>
      <c r="EW10" s="4">
        <v>221</v>
      </c>
      <c r="EX10" s="4">
        <v>215</v>
      </c>
      <c r="EY10" s="4">
        <v>210</v>
      </c>
      <c r="EZ10" s="4">
        <v>200</v>
      </c>
      <c r="FA10" s="4">
        <v>190</v>
      </c>
      <c r="FB10" s="4">
        <v>179</v>
      </c>
      <c r="FC10" s="4">
        <v>169</v>
      </c>
      <c r="FD10" s="4">
        <v>436</v>
      </c>
      <c r="FE10" s="4">
        <v>423</v>
      </c>
      <c r="FF10" s="4">
        <v>410</v>
      </c>
      <c r="FG10" s="4">
        <v>397</v>
      </c>
      <c r="FH10" s="4">
        <v>386</v>
      </c>
      <c r="FI10" s="4">
        <v>375</v>
      </c>
      <c r="FJ10" s="4">
        <v>364</v>
      </c>
      <c r="FK10" s="4">
        <v>353</v>
      </c>
      <c r="FL10" s="4">
        <v>542</v>
      </c>
      <c r="FM10" s="4">
        <v>535</v>
      </c>
      <c r="FN10" s="4">
        <v>528</v>
      </c>
      <c r="FO10" s="4">
        <v>521</v>
      </c>
      <c r="FP10" s="4">
        <v>513</v>
      </c>
      <c r="FQ10" s="4">
        <v>503</v>
      </c>
      <c r="FR10" s="4">
        <v>493</v>
      </c>
      <c r="FS10" s="4">
        <v>483</v>
      </c>
      <c r="FT10" s="19">
        <v>40.2</v>
      </c>
      <c r="FU10" s="19">
        <v>38.8</v>
      </c>
      <c r="FV10" s="19">
        <v>32.4</v>
      </c>
      <c r="FW10" s="19">
        <v>27.6</v>
      </c>
      <c r="FX10" s="19">
        <v>23.9</v>
      </c>
      <c r="FY10" s="19">
        <v>21</v>
      </c>
      <c r="FZ10" s="19">
        <v>18.2</v>
      </c>
      <c r="GA10" s="19">
        <v>15.8</v>
      </c>
      <c r="GB10" s="19">
        <v>14.9</v>
      </c>
      <c r="GC10" s="19">
        <v>13</v>
      </c>
      <c r="GD10" s="19">
        <v>36.3</v>
      </c>
      <c r="GE10" s="19">
        <v>35.3</v>
      </c>
      <c r="GF10" s="19">
        <v>34.2</v>
      </c>
      <c r="GG10" s="19">
        <v>36.1</v>
      </c>
      <c r="GH10" s="19">
        <v>35.1</v>
      </c>
      <c r="GI10" s="19">
        <v>37.5</v>
      </c>
      <c r="GJ10" s="19">
        <v>40.4</v>
      </c>
      <c r="GK10" s="19">
        <v>44.1</v>
      </c>
      <c r="GL10" s="19">
        <v>77.4</v>
      </c>
      <c r="GM10" s="19">
        <v>66.9</v>
      </c>
      <c r="GN10" s="19">
        <v>58.7</v>
      </c>
      <c r="GO10" s="19">
        <v>52.1</v>
      </c>
      <c r="GP10" s="19">
        <v>51.3</v>
      </c>
      <c r="GQ10" s="19">
        <v>50.3</v>
      </c>
      <c r="GR10" s="19">
        <v>54.8</v>
      </c>
      <c r="GS10" s="19">
        <v>60.4</v>
      </c>
    </row>
    <row r="11">
      <c r="A11" s="2" t="s">
        <v>240</v>
      </c>
      <c r="B11" s="2" t="s">
        <v>188</v>
      </c>
      <c r="C11" s="2" t="s">
        <v>227</v>
      </c>
      <c r="D11" s="2" t="s">
        <v>228</v>
      </c>
      <c r="E11" s="2" t="s">
        <v>229</v>
      </c>
      <c r="F11" s="2" t="s">
        <v>230</v>
      </c>
      <c r="G11" s="2" t="s">
        <v>230</v>
      </c>
      <c r="H11" s="2" t="s">
        <v>230</v>
      </c>
      <c r="I11" s="2" t="s">
        <v>231</v>
      </c>
      <c r="J11" s="2" t="s">
        <v>241</v>
      </c>
      <c r="K11" s="2" t="s">
        <v>233</v>
      </c>
      <c r="L11" s="3">
        <v>47.21</v>
      </c>
      <c r="M11" s="3">
        <v>49.57</v>
      </c>
      <c r="N11" s="3">
        <v>89.99</v>
      </c>
      <c r="O11" s="2" t="s">
        <v>196</v>
      </c>
      <c r="P11" s="2" t="s">
        <v>197</v>
      </c>
      <c r="Q11" s="2" t="s">
        <v>198</v>
      </c>
      <c r="R11" s="2" t="s">
        <v>199</v>
      </c>
      <c r="S11" s="2" t="s">
        <v>234</v>
      </c>
      <c r="T11" s="2" t="s">
        <v>235</v>
      </c>
      <c r="U11" s="2" t="s">
        <v>199</v>
      </c>
      <c r="V11" s="2" t="s">
        <v>202</v>
      </c>
      <c r="W11" s="2" t="s">
        <v>203</v>
      </c>
      <c r="X11" s="2" t="s">
        <v>199</v>
      </c>
      <c r="Y11" s="2" t="s">
        <v>204</v>
      </c>
      <c r="Z11" s="4">
        <v>318</v>
      </c>
      <c r="AA11" s="4">
        <f>=ROUNDDOWN(24.4615384615385,0)</f>
      </c>
      <c r="AB11" s="5">
        <v>13</v>
      </c>
      <c r="AC11" s="2" t="s">
        <v>236</v>
      </c>
      <c r="AD11" s="4">
        <v>320</v>
      </c>
      <c r="AE11" s="4">
        <v>520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199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199</v>
      </c>
      <c r="AW11" s="8" t="s">
        <v>199</v>
      </c>
      <c r="AX11" s="4" t="s">
        <v>199</v>
      </c>
      <c r="AY11" s="8" t="s">
        <v>199</v>
      </c>
      <c r="AZ11" s="7" t="s">
        <v>199</v>
      </c>
      <c r="BA11" s="7" t="s">
        <v>199</v>
      </c>
      <c r="BB11" s="7"/>
      <c r="BC11" s="4" t="s">
        <v>199</v>
      </c>
      <c r="BD11" s="8" t="s">
        <v>199</v>
      </c>
      <c r="BE11" s="4" t="s">
        <v>199</v>
      </c>
      <c r="BF11" s="8" t="s">
        <v>199</v>
      </c>
      <c r="BG11" s="7" t="s">
        <v>199</v>
      </c>
      <c r="BH11" s="7" t="s">
        <v>199</v>
      </c>
      <c r="BI11" s="7"/>
      <c r="BJ11" s="4">
        <v>100</v>
      </c>
      <c r="BK11" s="8">
        <v>4862.94</v>
      </c>
      <c r="BL11" s="2" t="s">
        <v>242</v>
      </c>
      <c r="BM11" s="7"/>
      <c r="BN11" s="7"/>
      <c r="BO11" s="4"/>
      <c r="BP11" s="8"/>
      <c r="BQ11" s="4"/>
      <c r="BR11" s="8"/>
      <c r="BS11" s="7"/>
      <c r="BT11" s="7"/>
      <c r="BU11" s="2" t="s">
        <v>237</v>
      </c>
      <c r="BV11" s="2" t="s">
        <v>199</v>
      </c>
      <c r="BW11" s="2" t="s">
        <v>199</v>
      </c>
      <c r="BX11" s="2" t="s">
        <v>208</v>
      </c>
      <c r="BY11" s="2" t="s">
        <v>209</v>
      </c>
      <c r="BZ11" s="2" t="s">
        <v>196</v>
      </c>
      <c r="CA11" s="2" t="s">
        <v>238</v>
      </c>
      <c r="CB11" s="2" t="s">
        <v>243</v>
      </c>
      <c r="CC11" s="2" t="s">
        <v>212</v>
      </c>
      <c r="CD11" s="2" t="s">
        <v>199</v>
      </c>
      <c r="CE11" s="4">
        <v>318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>
        <v>320</v>
      </c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>
        <v>200</v>
      </c>
      <c r="EQ11" s="4"/>
      <c r="ER11" s="4"/>
      <c r="ES11" s="4"/>
      <c r="ET11" s="4">
        <v>319</v>
      </c>
      <c r="EU11" s="4">
        <v>310</v>
      </c>
      <c r="EV11" s="4">
        <v>302</v>
      </c>
      <c r="EW11" s="4">
        <v>294</v>
      </c>
      <c r="EX11" s="4">
        <v>286</v>
      </c>
      <c r="EY11" s="4">
        <v>279</v>
      </c>
      <c r="EZ11" s="4">
        <v>265</v>
      </c>
      <c r="FA11" s="4">
        <v>251</v>
      </c>
      <c r="FB11" s="4">
        <v>235</v>
      </c>
      <c r="FC11" s="4">
        <v>221</v>
      </c>
      <c r="FD11" s="4">
        <v>524</v>
      </c>
      <c r="FE11" s="4">
        <v>507</v>
      </c>
      <c r="FF11" s="4">
        <v>490</v>
      </c>
      <c r="FG11" s="4">
        <v>473</v>
      </c>
      <c r="FH11" s="4">
        <v>456</v>
      </c>
      <c r="FI11" s="4">
        <v>439</v>
      </c>
      <c r="FJ11" s="4">
        <v>422</v>
      </c>
      <c r="FK11" s="4">
        <v>405</v>
      </c>
      <c r="FL11" s="4">
        <v>588</v>
      </c>
      <c r="FM11" s="4">
        <v>579</v>
      </c>
      <c r="FN11" s="4">
        <v>570</v>
      </c>
      <c r="FO11" s="4">
        <v>561</v>
      </c>
      <c r="FP11" s="4">
        <v>551</v>
      </c>
      <c r="FQ11" s="4">
        <v>542</v>
      </c>
      <c r="FR11" s="4">
        <v>533</v>
      </c>
      <c r="FS11" s="4">
        <v>524</v>
      </c>
      <c r="FT11" s="19">
        <v>39.9</v>
      </c>
      <c r="FU11" s="19">
        <v>38.8</v>
      </c>
      <c r="FV11" s="19">
        <v>33.6</v>
      </c>
      <c r="FW11" s="19">
        <v>26.7</v>
      </c>
      <c r="FX11" s="19">
        <v>22</v>
      </c>
      <c r="FY11" s="19">
        <v>19.9</v>
      </c>
      <c r="FZ11" s="19">
        <v>17.7</v>
      </c>
      <c r="GA11" s="19">
        <v>15.7</v>
      </c>
      <c r="GB11" s="19">
        <v>14.7</v>
      </c>
      <c r="GC11" s="19">
        <v>13</v>
      </c>
      <c r="GD11" s="19">
        <v>30.8</v>
      </c>
      <c r="GE11" s="19">
        <v>29.8</v>
      </c>
      <c r="GF11" s="19">
        <v>28.8</v>
      </c>
      <c r="GG11" s="19">
        <v>27.8</v>
      </c>
      <c r="GH11" s="19">
        <v>26.8</v>
      </c>
      <c r="GI11" s="19">
        <v>29.3</v>
      </c>
      <c r="GJ11" s="19">
        <v>32.5</v>
      </c>
      <c r="GK11" s="19">
        <v>36.8</v>
      </c>
      <c r="GL11" s="19">
        <v>65.3</v>
      </c>
      <c r="GM11" s="19">
        <v>64.3</v>
      </c>
      <c r="GN11" s="19">
        <v>63.3</v>
      </c>
      <c r="GO11" s="19">
        <v>62.3</v>
      </c>
      <c r="GP11" s="19">
        <v>61.2</v>
      </c>
      <c r="GQ11" s="19">
        <v>60.2</v>
      </c>
      <c r="GR11" s="19">
        <v>59.2</v>
      </c>
      <c r="GS11" s="19">
        <v>65.5</v>
      </c>
    </row>
    <row r="12">
      <c r="A12" s="2" t="s">
        <v>244</v>
      </c>
      <c r="B12" s="2" t="s">
        <v>245</v>
      </c>
      <c r="C12" s="2" t="s">
        <v>246</v>
      </c>
      <c r="D12" s="2" t="s">
        <v>247</v>
      </c>
      <c r="E12" s="2" t="s">
        <v>248</v>
      </c>
      <c r="F12" s="2" t="s">
        <v>249</v>
      </c>
      <c r="G12" s="2" t="s">
        <v>249</v>
      </c>
      <c r="H12" s="2" t="s">
        <v>249</v>
      </c>
      <c r="I12" s="2" t="s">
        <v>250</v>
      </c>
      <c r="J12" s="2" t="s">
        <v>251</v>
      </c>
      <c r="K12" s="2" t="s">
        <v>252</v>
      </c>
      <c r="L12" s="3">
        <v>46</v>
      </c>
      <c r="M12" s="3">
        <v>48.3</v>
      </c>
      <c r="N12" s="3">
        <v>99.99</v>
      </c>
      <c r="O12" s="2" t="s">
        <v>196</v>
      </c>
      <c r="P12" s="2" t="s">
        <v>197</v>
      </c>
      <c r="Q12" s="2" t="s">
        <v>198</v>
      </c>
      <c r="R12" s="2" t="s">
        <v>199</v>
      </c>
      <c r="S12" s="2" t="s">
        <v>253</v>
      </c>
      <c r="T12" s="2" t="s">
        <v>235</v>
      </c>
      <c r="U12" s="2" t="s">
        <v>254</v>
      </c>
      <c r="V12" s="2" t="s">
        <v>202</v>
      </c>
      <c r="W12" s="2" t="s">
        <v>203</v>
      </c>
      <c r="X12" s="2" t="s">
        <v>255</v>
      </c>
      <c r="Y12" s="2" t="s">
        <v>256</v>
      </c>
      <c r="Z12" s="4">
        <v>216</v>
      </c>
      <c r="AA12" s="4">
        <f>=ROUNDDOWN(35.4098360655738,0)</f>
      </c>
      <c r="AB12" s="5">
        <v>6.1</v>
      </c>
      <c r="AC12" s="2" t="s">
        <v>257</v>
      </c>
      <c r="AD12" s="4">
        <v>40</v>
      </c>
      <c r="AE12" s="4">
        <v>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199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199</v>
      </c>
      <c r="BD12" s="8" t="s">
        <v>199</v>
      </c>
      <c r="BE12" s="4" t="s">
        <v>199</v>
      </c>
      <c r="BF12" s="8" t="s">
        <v>199</v>
      </c>
      <c r="BG12" s="7" t="s">
        <v>199</v>
      </c>
      <c r="BH12" s="7" t="s">
        <v>199</v>
      </c>
      <c r="BI12" s="7"/>
      <c r="BJ12" s="4">
        <v>51</v>
      </c>
      <c r="BK12" s="8">
        <v>2598.32</v>
      </c>
      <c r="BL12" s="2" t="s">
        <v>258</v>
      </c>
      <c r="BM12" s="7"/>
      <c r="BN12" s="7"/>
      <c r="BO12" s="4"/>
      <c r="BP12" s="8"/>
      <c r="BQ12" s="4"/>
      <c r="BR12" s="8"/>
      <c r="BS12" s="7"/>
      <c r="BT12" s="7"/>
      <c r="BU12" s="2" t="s">
        <v>259</v>
      </c>
      <c r="BV12" s="2" t="s">
        <v>199</v>
      </c>
      <c r="BW12" s="2" t="s">
        <v>199</v>
      </c>
      <c r="BX12" s="2" t="s">
        <v>260</v>
      </c>
      <c r="BY12" s="2" t="s">
        <v>209</v>
      </c>
      <c r="BZ12" s="2" t="s">
        <v>196</v>
      </c>
      <c r="CA12" s="2" t="s">
        <v>261</v>
      </c>
      <c r="CB12" s="2" t="s">
        <v>262</v>
      </c>
      <c r="CC12" s="2" t="s">
        <v>212</v>
      </c>
      <c r="CD12" s="2" t="s">
        <v>199</v>
      </c>
      <c r="CE12" s="4">
        <v>216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>
        <v>40</v>
      </c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>
        <v>219</v>
      </c>
      <c r="EU12" s="4">
        <v>211</v>
      </c>
      <c r="EV12" s="4">
        <v>205</v>
      </c>
      <c r="EW12" s="4">
        <v>199</v>
      </c>
      <c r="EX12" s="4">
        <v>193</v>
      </c>
      <c r="EY12" s="4">
        <v>187</v>
      </c>
      <c r="EZ12" s="4">
        <v>181</v>
      </c>
      <c r="FA12" s="4">
        <v>175</v>
      </c>
      <c r="FB12" s="4">
        <v>168</v>
      </c>
      <c r="FC12" s="4">
        <v>162</v>
      </c>
      <c r="FD12" s="4">
        <v>196</v>
      </c>
      <c r="FE12" s="4">
        <v>190</v>
      </c>
      <c r="FF12" s="4">
        <v>184</v>
      </c>
      <c r="FG12" s="4">
        <v>178</v>
      </c>
      <c r="FH12" s="4">
        <v>172</v>
      </c>
      <c r="FI12" s="4">
        <v>166</v>
      </c>
      <c r="FJ12" s="4">
        <v>160</v>
      </c>
      <c r="FK12" s="4">
        <v>154</v>
      </c>
      <c r="FL12" s="4">
        <v>148</v>
      </c>
      <c r="FM12" s="4">
        <v>142</v>
      </c>
      <c r="FN12" s="4">
        <v>136</v>
      </c>
      <c r="FO12" s="4">
        <v>130</v>
      </c>
      <c r="FP12" s="4">
        <v>123</v>
      </c>
      <c r="FQ12" s="4">
        <v>117</v>
      </c>
      <c r="FR12" s="4">
        <v>111</v>
      </c>
      <c r="FS12" s="4">
        <v>105</v>
      </c>
      <c r="FT12" s="19">
        <v>36.5</v>
      </c>
      <c r="FU12" s="19">
        <v>35.2</v>
      </c>
      <c r="FV12" s="19">
        <v>34.2</v>
      </c>
      <c r="FW12" s="19">
        <v>33.2</v>
      </c>
      <c r="FX12" s="19">
        <v>32.2</v>
      </c>
      <c r="FY12" s="19">
        <v>31.2</v>
      </c>
      <c r="FZ12" s="19">
        <v>30.2</v>
      </c>
      <c r="GA12" s="19">
        <v>29.2</v>
      </c>
      <c r="GB12" s="19">
        <v>28</v>
      </c>
      <c r="GC12" s="19">
        <v>27</v>
      </c>
      <c r="GD12" s="19">
        <v>32.7</v>
      </c>
      <c r="GE12" s="19">
        <v>31.7</v>
      </c>
      <c r="GF12" s="19">
        <v>30.7</v>
      </c>
      <c r="GG12" s="19">
        <v>29.7</v>
      </c>
      <c r="GH12" s="19">
        <v>28.7</v>
      </c>
      <c r="GI12" s="19">
        <v>27.7</v>
      </c>
      <c r="GJ12" s="19">
        <v>26.7</v>
      </c>
      <c r="GK12" s="19">
        <v>25.7</v>
      </c>
      <c r="GL12" s="19">
        <v>24.7</v>
      </c>
      <c r="GM12" s="19">
        <v>23.7</v>
      </c>
      <c r="GN12" s="19">
        <v>22.7</v>
      </c>
      <c r="GO12" s="19">
        <v>21.7</v>
      </c>
      <c r="GP12" s="19">
        <v>20.5</v>
      </c>
      <c r="GQ12" s="19">
        <v>19.5</v>
      </c>
      <c r="GR12" s="19">
        <v>18.5</v>
      </c>
      <c r="GS12" s="19">
        <v>17.5</v>
      </c>
    </row>
    <row r="13">
      <c r="A13" s="2" t="s">
        <v>263</v>
      </c>
      <c r="B13" s="2" t="s">
        <v>245</v>
      </c>
      <c r="C13" s="2" t="s">
        <v>246</v>
      </c>
      <c r="D13" s="2" t="s">
        <v>264</v>
      </c>
      <c r="E13" s="2" t="s">
        <v>265</v>
      </c>
      <c r="F13" s="2" t="s">
        <v>249</v>
      </c>
      <c r="G13" s="2" t="s">
        <v>249</v>
      </c>
      <c r="H13" s="2" t="s">
        <v>249</v>
      </c>
      <c r="I13" s="2" t="s">
        <v>266</v>
      </c>
      <c r="J13" s="2" t="s">
        <v>223</v>
      </c>
      <c r="K13" s="2" t="s">
        <v>233</v>
      </c>
      <c r="L13" s="3">
        <v>12.42</v>
      </c>
      <c r="M13" s="3">
        <v>13.04</v>
      </c>
      <c r="N13" s="3">
        <v>26.99</v>
      </c>
      <c r="O13" s="2" t="s">
        <v>196</v>
      </c>
      <c r="P13" s="2" t="s">
        <v>197</v>
      </c>
      <c r="Q13" s="2" t="s">
        <v>198</v>
      </c>
      <c r="R13" s="2" t="s">
        <v>199</v>
      </c>
      <c r="S13" s="2" t="s">
        <v>267</v>
      </c>
      <c r="T13" s="2" t="s">
        <v>235</v>
      </c>
      <c r="U13" s="2" t="s">
        <v>199</v>
      </c>
      <c r="V13" s="2" t="s">
        <v>202</v>
      </c>
      <c r="W13" s="2" t="s">
        <v>203</v>
      </c>
      <c r="X13" s="2" t="s">
        <v>199</v>
      </c>
      <c r="Y13" s="2" t="s">
        <v>256</v>
      </c>
      <c r="Z13" s="4">
        <v>1249</v>
      </c>
      <c r="AA13" s="4">
        <f>=ROUNDDOWN(40.2903225806452,0)</f>
      </c>
      <c r="AB13" s="5">
        <v>31</v>
      </c>
      <c r="AC13" s="2" t="s">
        <v>199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199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199</v>
      </c>
      <c r="BD13" s="8" t="s">
        <v>199</v>
      </c>
      <c r="BE13" s="4" t="s">
        <v>199</v>
      </c>
      <c r="BF13" s="8" t="s">
        <v>199</v>
      </c>
      <c r="BG13" s="7" t="s">
        <v>199</v>
      </c>
      <c r="BH13" s="7" t="s">
        <v>199</v>
      </c>
      <c r="BI13" s="7"/>
      <c r="BJ13" s="4">
        <v>145</v>
      </c>
      <c r="BK13" s="8">
        <v>1995.3</v>
      </c>
      <c r="BL13" s="2" t="s">
        <v>268</v>
      </c>
      <c r="BM13" s="7"/>
      <c r="BN13" s="7"/>
      <c r="BO13" s="4"/>
      <c r="BP13" s="8"/>
      <c r="BQ13" s="4"/>
      <c r="BR13" s="8"/>
      <c r="BS13" s="7"/>
      <c r="BT13" s="7"/>
      <c r="BU13" s="2" t="s">
        <v>269</v>
      </c>
      <c r="BV13" s="2" t="s">
        <v>199</v>
      </c>
      <c r="BW13" s="2" t="s">
        <v>199</v>
      </c>
      <c r="BX13" s="2" t="s">
        <v>208</v>
      </c>
      <c r="BY13" s="2" t="s">
        <v>209</v>
      </c>
      <c r="BZ13" s="2" t="s">
        <v>196</v>
      </c>
      <c r="CA13" s="2" t="s">
        <v>261</v>
      </c>
      <c r="CB13" s="2" t="s">
        <v>270</v>
      </c>
      <c r="CC13" s="2" t="s">
        <v>212</v>
      </c>
      <c r="CD13" s="2" t="s">
        <v>199</v>
      </c>
      <c r="CE13" s="4">
        <v>1249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>
        <v>1257</v>
      </c>
      <c r="EU13" s="4">
        <v>1218</v>
      </c>
      <c r="EV13" s="4">
        <v>1187</v>
      </c>
      <c r="EW13" s="4">
        <v>1156</v>
      </c>
      <c r="EX13" s="4">
        <v>1125</v>
      </c>
      <c r="EY13" s="4">
        <v>1094</v>
      </c>
      <c r="EZ13" s="4">
        <v>1063</v>
      </c>
      <c r="FA13" s="4">
        <v>1032</v>
      </c>
      <c r="FB13" s="4">
        <v>995</v>
      </c>
      <c r="FC13" s="4">
        <v>964</v>
      </c>
      <c r="FD13" s="4">
        <v>933</v>
      </c>
      <c r="FE13" s="4">
        <v>902</v>
      </c>
      <c r="FF13" s="4">
        <v>871</v>
      </c>
      <c r="FG13" s="4">
        <v>840</v>
      </c>
      <c r="FH13" s="4">
        <v>809</v>
      </c>
      <c r="FI13" s="4">
        <v>778</v>
      </c>
      <c r="FJ13" s="4">
        <v>747</v>
      </c>
      <c r="FK13" s="4">
        <v>716</v>
      </c>
      <c r="FL13" s="4">
        <v>685</v>
      </c>
      <c r="FM13" s="4">
        <v>654</v>
      </c>
      <c r="FN13" s="4">
        <v>623</v>
      </c>
      <c r="FO13" s="4">
        <v>592</v>
      </c>
      <c r="FP13" s="4">
        <v>555</v>
      </c>
      <c r="FQ13" s="4">
        <v>524</v>
      </c>
      <c r="FR13" s="4">
        <v>493</v>
      </c>
      <c r="FS13" s="4">
        <v>462</v>
      </c>
      <c r="FT13" s="19">
        <v>38.1</v>
      </c>
      <c r="FU13" s="19">
        <v>39.3</v>
      </c>
      <c r="FV13" s="19">
        <v>38.3</v>
      </c>
      <c r="FW13" s="19">
        <v>37.3</v>
      </c>
      <c r="FX13" s="19">
        <v>35.2</v>
      </c>
      <c r="FY13" s="19">
        <v>34.2</v>
      </c>
      <c r="FZ13" s="19">
        <v>33.2</v>
      </c>
      <c r="GA13" s="19">
        <v>32.3</v>
      </c>
      <c r="GB13" s="19">
        <v>32.1</v>
      </c>
      <c r="GC13" s="19">
        <v>31.1</v>
      </c>
      <c r="GD13" s="19">
        <v>30.1</v>
      </c>
      <c r="GE13" s="19">
        <v>29.1</v>
      </c>
      <c r="GF13" s="19">
        <v>28.1</v>
      </c>
      <c r="GG13" s="19">
        <v>27.1</v>
      </c>
      <c r="GH13" s="19">
        <v>26.1</v>
      </c>
      <c r="GI13" s="19">
        <v>25.1</v>
      </c>
      <c r="GJ13" s="19">
        <v>24.1</v>
      </c>
      <c r="GK13" s="19">
        <v>23.1</v>
      </c>
      <c r="GL13" s="19">
        <v>21.4</v>
      </c>
      <c r="GM13" s="19">
        <v>20.4</v>
      </c>
      <c r="GN13" s="19">
        <v>19.5</v>
      </c>
      <c r="GO13" s="19">
        <v>18.5</v>
      </c>
      <c r="GP13" s="19">
        <v>17.9</v>
      </c>
      <c r="GQ13" s="19">
        <v>16.9</v>
      </c>
      <c r="GR13" s="19">
        <v>15.4</v>
      </c>
      <c r="GS13" s="19">
        <v>14.4</v>
      </c>
    </row>
    <row r="14">
      <c r="A14" s="2" t="s">
        <v>271</v>
      </c>
      <c r="B14" s="2" t="s">
        <v>188</v>
      </c>
      <c r="C14" s="2" t="s">
        <v>189</v>
      </c>
      <c r="D14" s="2" t="s">
        <v>190</v>
      </c>
      <c r="E14" s="2" t="s">
        <v>191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194</v>
      </c>
      <c r="K14" s="2" t="s">
        <v>233</v>
      </c>
      <c r="L14" s="3">
        <v>58.29</v>
      </c>
      <c r="M14" s="3">
        <v>61.2</v>
      </c>
      <c r="N14" s="3">
        <v>109.99</v>
      </c>
      <c r="O14" s="2" t="s">
        <v>196</v>
      </c>
      <c r="P14" s="2" t="s">
        <v>197</v>
      </c>
      <c r="Q14" s="2" t="s">
        <v>198</v>
      </c>
      <c r="R14" s="2" t="s">
        <v>199</v>
      </c>
      <c r="S14" s="2" t="s">
        <v>274</v>
      </c>
      <c r="T14" s="2" t="s">
        <v>201</v>
      </c>
      <c r="U14" s="2" t="s">
        <v>199</v>
      </c>
      <c r="V14" s="2" t="s">
        <v>202</v>
      </c>
      <c r="W14" s="2" t="s">
        <v>203</v>
      </c>
      <c r="X14" s="2" t="s">
        <v>199</v>
      </c>
      <c r="Y14" s="2" t="s">
        <v>204</v>
      </c>
      <c r="Z14" s="4">
        <v>248</v>
      </c>
      <c r="AA14" s="4">
        <f>=ROUNDDOWN(62,0)</f>
      </c>
      <c r="AB14" s="5">
        <v>4</v>
      </c>
      <c r="AC14" s="2" t="s">
        <v>199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199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199</v>
      </c>
      <c r="AW14" s="8" t="s">
        <v>199</v>
      </c>
      <c r="AX14" s="4" t="s">
        <v>199</v>
      </c>
      <c r="AY14" s="8" t="s">
        <v>199</v>
      </c>
      <c r="AZ14" s="7" t="s">
        <v>199</v>
      </c>
      <c r="BA14" s="7" t="s">
        <v>199</v>
      </c>
      <c r="BB14" s="7"/>
      <c r="BC14" s="4" t="s">
        <v>199</v>
      </c>
      <c r="BD14" s="8" t="s">
        <v>199</v>
      </c>
      <c r="BE14" s="4" t="s">
        <v>199</v>
      </c>
      <c r="BF14" s="8" t="s">
        <v>199</v>
      </c>
      <c r="BG14" s="7" t="s">
        <v>199</v>
      </c>
      <c r="BH14" s="7" t="s">
        <v>199</v>
      </c>
      <c r="BI14" s="7"/>
      <c r="BJ14" s="4">
        <v>4</v>
      </c>
      <c r="BK14" s="8">
        <v>234.53</v>
      </c>
      <c r="BL14" s="2" t="s">
        <v>275</v>
      </c>
      <c r="BM14" s="7"/>
      <c r="BN14" s="7"/>
      <c r="BO14" s="4"/>
      <c r="BP14" s="8"/>
      <c r="BQ14" s="4"/>
      <c r="BR14" s="8"/>
      <c r="BS14" s="7"/>
      <c r="BT14" s="7"/>
      <c r="BU14" s="2" t="s">
        <v>276</v>
      </c>
      <c r="BV14" s="2" t="s">
        <v>199</v>
      </c>
      <c r="BW14" s="2" t="s">
        <v>199</v>
      </c>
      <c r="BX14" s="2" t="s">
        <v>208</v>
      </c>
      <c r="BY14" s="2" t="s">
        <v>209</v>
      </c>
      <c r="BZ14" s="2" t="s">
        <v>196</v>
      </c>
      <c r="CA14" s="2" t="s">
        <v>210</v>
      </c>
      <c r="CB14" s="2" t="s">
        <v>277</v>
      </c>
      <c r="CC14" s="2" t="s">
        <v>212</v>
      </c>
      <c r="CD14" s="2" t="s">
        <v>199</v>
      </c>
      <c r="CE14" s="4">
        <v>248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>
        <v>248</v>
      </c>
      <c r="EU14" s="4">
        <v>246</v>
      </c>
      <c r="EV14" s="4">
        <v>243</v>
      </c>
      <c r="EW14" s="4">
        <v>240</v>
      </c>
      <c r="EX14" s="4">
        <v>237</v>
      </c>
      <c r="EY14" s="4">
        <v>235</v>
      </c>
      <c r="EZ14" s="4">
        <v>231</v>
      </c>
      <c r="FA14" s="4">
        <v>227</v>
      </c>
      <c r="FB14" s="4">
        <v>223</v>
      </c>
      <c r="FC14" s="4">
        <v>219</v>
      </c>
      <c r="FD14" s="4">
        <v>215</v>
      </c>
      <c r="FE14" s="4">
        <v>211</v>
      </c>
      <c r="FF14" s="4">
        <v>207</v>
      </c>
      <c r="FG14" s="4">
        <v>203</v>
      </c>
      <c r="FH14" s="4">
        <v>199</v>
      </c>
      <c r="FI14" s="4">
        <v>195</v>
      </c>
      <c r="FJ14" s="4">
        <v>191</v>
      </c>
      <c r="FK14" s="4">
        <v>187</v>
      </c>
      <c r="FL14" s="4">
        <v>183</v>
      </c>
      <c r="FM14" s="4">
        <v>179</v>
      </c>
      <c r="FN14" s="4">
        <v>175</v>
      </c>
      <c r="FO14" s="4">
        <v>171</v>
      </c>
      <c r="FP14" s="4">
        <v>167</v>
      </c>
      <c r="FQ14" s="4">
        <v>161</v>
      </c>
      <c r="FR14" s="4">
        <v>155</v>
      </c>
      <c r="FS14" s="4">
        <v>149</v>
      </c>
      <c r="FT14" s="19">
        <v>82.7</v>
      </c>
      <c r="FU14" s="19">
        <v>82</v>
      </c>
      <c r="FV14" s="19">
        <v>81</v>
      </c>
      <c r="FW14" s="19">
        <v>80</v>
      </c>
      <c r="FX14" s="19">
        <v>59.3</v>
      </c>
      <c r="FY14" s="19">
        <v>58.8</v>
      </c>
      <c r="FZ14" s="19">
        <v>57.8</v>
      </c>
      <c r="GA14" s="19">
        <v>56.8</v>
      </c>
      <c r="GB14" s="19">
        <v>55.8</v>
      </c>
      <c r="GC14" s="19">
        <v>54.8</v>
      </c>
      <c r="GD14" s="19">
        <v>53.8</v>
      </c>
      <c r="GE14" s="19">
        <v>52.8</v>
      </c>
      <c r="GF14" s="19">
        <v>51.8</v>
      </c>
      <c r="GG14" s="19">
        <v>50.8</v>
      </c>
      <c r="GH14" s="19">
        <v>49.8</v>
      </c>
      <c r="GI14" s="19">
        <v>48.8</v>
      </c>
      <c r="GJ14" s="19">
        <v>47.8</v>
      </c>
      <c r="GK14" s="19">
        <v>46.8</v>
      </c>
      <c r="GL14" s="19">
        <v>45.8</v>
      </c>
      <c r="GM14" s="19">
        <v>44.8</v>
      </c>
      <c r="GN14" s="19">
        <v>35</v>
      </c>
      <c r="GO14" s="19">
        <v>28.5</v>
      </c>
      <c r="GP14" s="19">
        <v>27.8</v>
      </c>
      <c r="GQ14" s="19">
        <v>23</v>
      </c>
      <c r="GR14" s="19">
        <v>19.4</v>
      </c>
      <c r="GS14" s="19">
        <v>18.6</v>
      </c>
    </row>
    <row r="15">
      <c r="A15" s="2" t="s">
        <v>278</v>
      </c>
      <c r="B15" s="2" t="s">
        <v>188</v>
      </c>
      <c r="C15" s="2" t="s">
        <v>189</v>
      </c>
      <c r="D15" s="2" t="s">
        <v>190</v>
      </c>
      <c r="E15" s="2" t="s">
        <v>191</v>
      </c>
      <c r="F15" s="2" t="s">
        <v>272</v>
      </c>
      <c r="G15" s="2" t="s">
        <v>272</v>
      </c>
      <c r="H15" s="2" t="s">
        <v>272</v>
      </c>
      <c r="I15" s="2" t="s">
        <v>279</v>
      </c>
      <c r="J15" s="2" t="s">
        <v>214</v>
      </c>
      <c r="K15" s="2" t="s">
        <v>233</v>
      </c>
      <c r="L15" s="3">
        <v>58.29</v>
      </c>
      <c r="M15" s="3">
        <v>61.2</v>
      </c>
      <c r="N15" s="3">
        <v>109.99</v>
      </c>
      <c r="O15" s="2" t="s">
        <v>196</v>
      </c>
      <c r="P15" s="2" t="s">
        <v>197</v>
      </c>
      <c r="Q15" s="2" t="s">
        <v>198</v>
      </c>
      <c r="R15" s="2" t="s">
        <v>199</v>
      </c>
      <c r="S15" s="2" t="s">
        <v>274</v>
      </c>
      <c r="T15" s="2" t="s">
        <v>199</v>
      </c>
      <c r="U15" s="2" t="s">
        <v>280</v>
      </c>
      <c r="V15" s="2" t="s">
        <v>202</v>
      </c>
      <c r="W15" s="2" t="s">
        <v>203</v>
      </c>
      <c r="X15" s="2" t="s">
        <v>199</v>
      </c>
      <c r="Y15" s="2" t="s">
        <v>281</v>
      </c>
      <c r="Z15" s="4">
        <v>541</v>
      </c>
      <c r="AA15" s="4">
        <f>=ROUNDDOWN(135.25,0)</f>
      </c>
      <c r="AB15" s="5">
        <v>4</v>
      </c>
      <c r="AC15" s="2" t="s">
        <v>199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199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199</v>
      </c>
      <c r="AW15" s="8" t="s">
        <v>199</v>
      </c>
      <c r="AX15" s="4" t="s">
        <v>199</v>
      </c>
      <c r="AY15" s="8" t="s">
        <v>199</v>
      </c>
      <c r="AZ15" s="7" t="s">
        <v>199</v>
      </c>
      <c r="BA15" s="7" t="s">
        <v>199</v>
      </c>
      <c r="BB15" s="7"/>
      <c r="BC15" s="4" t="s">
        <v>199</v>
      </c>
      <c r="BD15" s="8" t="s">
        <v>199</v>
      </c>
      <c r="BE15" s="4" t="s">
        <v>199</v>
      </c>
      <c r="BF15" s="8" t="s">
        <v>199</v>
      </c>
      <c r="BG15" s="7" t="s">
        <v>199</v>
      </c>
      <c r="BH15" s="7" t="s">
        <v>199</v>
      </c>
      <c r="BI15" s="7"/>
      <c r="BJ15" s="4">
        <v>3</v>
      </c>
      <c r="BK15" s="8">
        <v>186.7</v>
      </c>
      <c r="BL15" s="2" t="s">
        <v>282</v>
      </c>
      <c r="BM15" s="7"/>
      <c r="BN15" s="7"/>
      <c r="BO15" s="4"/>
      <c r="BP15" s="8"/>
      <c r="BQ15" s="4"/>
      <c r="BR15" s="8"/>
      <c r="BS15" s="7"/>
      <c r="BT15" s="7"/>
      <c r="BU15" s="2" t="s">
        <v>276</v>
      </c>
      <c r="BV15" s="2" t="s">
        <v>199</v>
      </c>
      <c r="BW15" s="2" t="s">
        <v>199</v>
      </c>
      <c r="BX15" s="2" t="s">
        <v>208</v>
      </c>
      <c r="BY15" s="2" t="s">
        <v>209</v>
      </c>
      <c r="BZ15" s="2" t="s">
        <v>196</v>
      </c>
      <c r="CA15" s="2" t="s">
        <v>281</v>
      </c>
      <c r="CB15" s="2" t="s">
        <v>283</v>
      </c>
      <c r="CC15" s="2" t="s">
        <v>212</v>
      </c>
      <c r="CD15" s="2" t="s">
        <v>199</v>
      </c>
      <c r="CE15" s="4">
        <v>541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>
        <v>541</v>
      </c>
      <c r="EU15" s="4">
        <v>540</v>
      </c>
      <c r="EV15" s="4">
        <v>539</v>
      </c>
      <c r="EW15" s="4">
        <v>538</v>
      </c>
      <c r="EX15" s="4">
        <v>537</v>
      </c>
      <c r="EY15" s="4">
        <v>536</v>
      </c>
      <c r="EZ15" s="4">
        <v>534</v>
      </c>
      <c r="FA15" s="4">
        <v>532</v>
      </c>
      <c r="FB15" s="4">
        <v>530</v>
      </c>
      <c r="FC15" s="4">
        <v>528</v>
      </c>
      <c r="FD15" s="4">
        <v>525</v>
      </c>
      <c r="FE15" s="4">
        <v>522</v>
      </c>
      <c r="FF15" s="4">
        <v>519</v>
      </c>
      <c r="FG15" s="4">
        <v>516</v>
      </c>
      <c r="FH15" s="4">
        <v>511</v>
      </c>
      <c r="FI15" s="4">
        <v>506</v>
      </c>
      <c r="FJ15" s="4">
        <v>501</v>
      </c>
      <c r="FK15" s="4">
        <v>496</v>
      </c>
      <c r="FL15" s="4">
        <v>491</v>
      </c>
      <c r="FM15" s="4">
        <v>487</v>
      </c>
      <c r="FN15" s="4">
        <v>483</v>
      </c>
      <c r="FO15" s="4">
        <v>479</v>
      </c>
      <c r="FP15" s="4">
        <v>474</v>
      </c>
      <c r="FQ15" s="4">
        <v>464</v>
      </c>
      <c r="FR15" s="4">
        <v>454</v>
      </c>
      <c r="FS15" s="4">
        <v>444</v>
      </c>
      <c r="FT15" s="19">
        <v>541</v>
      </c>
      <c r="FU15" s="19">
        <v>540</v>
      </c>
      <c r="FV15" s="19">
        <v>539</v>
      </c>
      <c r="FW15" s="19">
        <v>269</v>
      </c>
      <c r="FX15" s="19">
        <v>268.5</v>
      </c>
      <c r="FY15" s="19">
        <v>268</v>
      </c>
      <c r="FZ15" s="19">
        <v>267</v>
      </c>
      <c r="GA15" s="19">
        <v>266</v>
      </c>
      <c r="GB15" s="19">
        <v>176.7</v>
      </c>
      <c r="GC15" s="19">
        <v>176</v>
      </c>
      <c r="GD15" s="19">
        <v>131.3</v>
      </c>
      <c r="GE15" s="19">
        <v>130.5</v>
      </c>
      <c r="GF15" s="19">
        <v>129.8</v>
      </c>
      <c r="GG15" s="19">
        <v>103.2</v>
      </c>
      <c r="GH15" s="19">
        <v>102.2</v>
      </c>
      <c r="GI15" s="19">
        <v>101.2</v>
      </c>
      <c r="GJ15" s="19">
        <v>125.3</v>
      </c>
      <c r="GK15" s="19">
        <v>124</v>
      </c>
      <c r="GL15" s="19">
        <v>122.8</v>
      </c>
      <c r="GM15" s="19">
        <v>81.2</v>
      </c>
      <c r="GN15" s="19">
        <v>69</v>
      </c>
      <c r="GO15" s="19">
        <v>53.2</v>
      </c>
      <c r="GP15" s="19">
        <v>47.4</v>
      </c>
      <c r="GQ15" s="19">
        <v>33.1</v>
      </c>
      <c r="GR15" s="19">
        <v>23.9</v>
      </c>
      <c r="GS15" s="19">
        <v>18.5</v>
      </c>
    </row>
    <row r="16">
      <c r="A16" s="2" t="s">
        <v>284</v>
      </c>
      <c r="B16" s="2" t="s">
        <v>188</v>
      </c>
      <c r="C16" s="2" t="s">
        <v>189</v>
      </c>
      <c r="D16" s="2" t="s">
        <v>190</v>
      </c>
      <c r="E16" s="2" t="s">
        <v>191</v>
      </c>
      <c r="F16" s="2" t="s">
        <v>272</v>
      </c>
      <c r="G16" s="2" t="s">
        <v>272</v>
      </c>
      <c r="H16" s="2" t="s">
        <v>272</v>
      </c>
      <c r="I16" s="2" t="s">
        <v>273</v>
      </c>
      <c r="J16" s="2" t="s">
        <v>285</v>
      </c>
      <c r="K16" s="2" t="s">
        <v>233</v>
      </c>
      <c r="L16" s="3">
        <v>74.19</v>
      </c>
      <c r="M16" s="3">
        <v>77.9</v>
      </c>
      <c r="N16" s="3">
        <v>139.99</v>
      </c>
      <c r="O16" s="2" t="s">
        <v>196</v>
      </c>
      <c r="P16" s="2" t="s">
        <v>197</v>
      </c>
      <c r="Q16" s="2" t="s">
        <v>198</v>
      </c>
      <c r="R16" s="2" t="s">
        <v>199</v>
      </c>
      <c r="S16" s="2" t="s">
        <v>274</v>
      </c>
      <c r="T16" s="2" t="s">
        <v>201</v>
      </c>
      <c r="U16" s="2" t="s">
        <v>199</v>
      </c>
      <c r="V16" s="2" t="s">
        <v>202</v>
      </c>
      <c r="W16" s="2" t="s">
        <v>203</v>
      </c>
      <c r="X16" s="2" t="s">
        <v>199</v>
      </c>
      <c r="Y16" s="2" t="s">
        <v>204</v>
      </c>
      <c r="Z16" s="4">
        <v>253</v>
      </c>
      <c r="AA16" s="4">
        <f>=ROUNDDOWN(63.25,0)</f>
      </c>
      <c r="AB16" s="5">
        <v>4</v>
      </c>
      <c r="AC16" s="2" t="s">
        <v>199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199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199</v>
      </c>
      <c r="AW16" s="8" t="s">
        <v>199</v>
      </c>
      <c r="AX16" s="4" t="s">
        <v>199</v>
      </c>
      <c r="AY16" s="8" t="s">
        <v>199</v>
      </c>
      <c r="AZ16" s="7" t="s">
        <v>199</v>
      </c>
      <c r="BA16" s="7" t="s">
        <v>199</v>
      </c>
      <c r="BB16" s="7"/>
      <c r="BC16" s="4" t="s">
        <v>199</v>
      </c>
      <c r="BD16" s="8" t="s">
        <v>199</v>
      </c>
      <c r="BE16" s="4" t="s">
        <v>199</v>
      </c>
      <c r="BF16" s="8" t="s">
        <v>199</v>
      </c>
      <c r="BG16" s="7" t="s">
        <v>199</v>
      </c>
      <c r="BH16" s="7" t="s">
        <v>199</v>
      </c>
      <c r="BI16" s="7"/>
      <c r="BJ16" s="4">
        <v>8</v>
      </c>
      <c r="BK16" s="8">
        <v>614.07</v>
      </c>
      <c r="BL16" s="2" t="s">
        <v>286</v>
      </c>
      <c r="BM16" s="7"/>
      <c r="BN16" s="7"/>
      <c r="BO16" s="4"/>
      <c r="BP16" s="8"/>
      <c r="BQ16" s="4"/>
      <c r="BR16" s="8"/>
      <c r="BS16" s="7"/>
      <c r="BT16" s="7"/>
      <c r="BU16" s="2" t="s">
        <v>276</v>
      </c>
      <c r="BV16" s="2" t="s">
        <v>199</v>
      </c>
      <c r="BW16" s="2" t="s">
        <v>199</v>
      </c>
      <c r="BX16" s="2" t="s">
        <v>208</v>
      </c>
      <c r="BY16" s="2" t="s">
        <v>209</v>
      </c>
      <c r="BZ16" s="2" t="s">
        <v>196</v>
      </c>
      <c r="CA16" s="2" t="s">
        <v>210</v>
      </c>
      <c r="CB16" s="2" t="s">
        <v>287</v>
      </c>
      <c r="CC16" s="2" t="s">
        <v>212</v>
      </c>
      <c r="CD16" s="2" t="s">
        <v>199</v>
      </c>
      <c r="CE16" s="4">
        <v>253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>
        <v>253</v>
      </c>
      <c r="EU16" s="4">
        <v>250</v>
      </c>
      <c r="EV16" s="4">
        <v>247</v>
      </c>
      <c r="EW16" s="4">
        <v>244</v>
      </c>
      <c r="EX16" s="4">
        <v>241</v>
      </c>
      <c r="EY16" s="4">
        <v>239</v>
      </c>
      <c r="EZ16" s="4">
        <v>235</v>
      </c>
      <c r="FA16" s="4">
        <v>231</v>
      </c>
      <c r="FB16" s="4">
        <v>227</v>
      </c>
      <c r="FC16" s="4">
        <v>223</v>
      </c>
      <c r="FD16" s="4">
        <v>219</v>
      </c>
      <c r="FE16" s="4">
        <v>215</v>
      </c>
      <c r="FF16" s="4">
        <v>211</v>
      </c>
      <c r="FG16" s="4">
        <v>207</v>
      </c>
      <c r="FH16" s="4">
        <v>203</v>
      </c>
      <c r="FI16" s="4">
        <v>199</v>
      </c>
      <c r="FJ16" s="4">
        <v>195</v>
      </c>
      <c r="FK16" s="4">
        <v>191</v>
      </c>
      <c r="FL16" s="4">
        <v>187</v>
      </c>
      <c r="FM16" s="4">
        <v>183</v>
      </c>
      <c r="FN16" s="4">
        <v>179</v>
      </c>
      <c r="FO16" s="4">
        <v>175</v>
      </c>
      <c r="FP16" s="4">
        <v>171</v>
      </c>
      <c r="FQ16" s="4">
        <v>166</v>
      </c>
      <c r="FR16" s="4">
        <v>161</v>
      </c>
      <c r="FS16" s="4">
        <v>156</v>
      </c>
      <c r="FT16" s="19">
        <v>84.3</v>
      </c>
      <c r="FU16" s="19">
        <v>83.3</v>
      </c>
      <c r="FV16" s="19">
        <v>82.3</v>
      </c>
      <c r="FW16" s="19">
        <v>81.3</v>
      </c>
      <c r="FX16" s="19">
        <v>60.3</v>
      </c>
      <c r="FY16" s="19">
        <v>59.8</v>
      </c>
      <c r="FZ16" s="19">
        <v>58.8</v>
      </c>
      <c r="GA16" s="19">
        <v>57.8</v>
      </c>
      <c r="GB16" s="19">
        <v>56.8</v>
      </c>
      <c r="GC16" s="19">
        <v>55.8</v>
      </c>
      <c r="GD16" s="19">
        <v>54.8</v>
      </c>
      <c r="GE16" s="19">
        <v>53.8</v>
      </c>
      <c r="GF16" s="19">
        <v>52.8</v>
      </c>
      <c r="GG16" s="19">
        <v>51.8</v>
      </c>
      <c r="GH16" s="19">
        <v>50.8</v>
      </c>
      <c r="GI16" s="19">
        <v>49.8</v>
      </c>
      <c r="GJ16" s="19">
        <v>48.8</v>
      </c>
      <c r="GK16" s="19">
        <v>47.8</v>
      </c>
      <c r="GL16" s="19">
        <v>46.8</v>
      </c>
      <c r="GM16" s="19">
        <v>45.8</v>
      </c>
      <c r="GN16" s="19">
        <v>44.8</v>
      </c>
      <c r="GO16" s="19">
        <v>35</v>
      </c>
      <c r="GP16" s="19">
        <v>34.2</v>
      </c>
      <c r="GQ16" s="19">
        <v>27.7</v>
      </c>
      <c r="GR16" s="19">
        <v>23</v>
      </c>
      <c r="GS16" s="19">
        <v>19.5</v>
      </c>
    </row>
    <row r="17">
      <c r="A17" s="2" t="s">
        <v>288</v>
      </c>
      <c r="B17" s="2" t="s">
        <v>188</v>
      </c>
      <c r="C17" s="2" t="s">
        <v>189</v>
      </c>
      <c r="D17" s="2" t="s">
        <v>190</v>
      </c>
      <c r="E17" s="2" t="s">
        <v>191</v>
      </c>
      <c r="F17" s="2" t="s">
        <v>272</v>
      </c>
      <c r="G17" s="2" t="s">
        <v>272</v>
      </c>
      <c r="H17" s="2" t="s">
        <v>272</v>
      </c>
      <c r="I17" s="2" t="s">
        <v>273</v>
      </c>
      <c r="J17" s="2" t="s">
        <v>219</v>
      </c>
      <c r="K17" s="2" t="s">
        <v>233</v>
      </c>
      <c r="L17" s="3">
        <v>84.79</v>
      </c>
      <c r="M17" s="3">
        <v>89.03</v>
      </c>
      <c r="N17" s="3">
        <v>159.99</v>
      </c>
      <c r="O17" s="2" t="s">
        <v>196</v>
      </c>
      <c r="P17" s="2" t="s">
        <v>197</v>
      </c>
      <c r="Q17" s="2" t="s">
        <v>198</v>
      </c>
      <c r="R17" s="2" t="s">
        <v>199</v>
      </c>
      <c r="S17" s="2" t="s">
        <v>274</v>
      </c>
      <c r="T17" s="2" t="s">
        <v>201</v>
      </c>
      <c r="U17" s="2" t="s">
        <v>199</v>
      </c>
      <c r="V17" s="2" t="s">
        <v>202</v>
      </c>
      <c r="W17" s="2" t="s">
        <v>203</v>
      </c>
      <c r="X17" s="2" t="s">
        <v>199</v>
      </c>
      <c r="Y17" s="2" t="s">
        <v>204</v>
      </c>
      <c r="Z17" s="4">
        <v>192</v>
      </c>
      <c r="AA17" s="4">
        <f>=ROUNDDOWN(38.4,0)</f>
      </c>
      <c r="AB17" s="5">
        <v>5</v>
      </c>
      <c r="AC17" s="2" t="s">
        <v>199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199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199</v>
      </c>
      <c r="AW17" s="8" t="s">
        <v>199</v>
      </c>
      <c r="AX17" s="4" t="s">
        <v>199</v>
      </c>
      <c r="AY17" s="8" t="s">
        <v>199</v>
      </c>
      <c r="AZ17" s="7" t="s">
        <v>199</v>
      </c>
      <c r="BA17" s="7" t="s">
        <v>199</v>
      </c>
      <c r="BB17" s="7"/>
      <c r="BC17" s="4" t="s">
        <v>199</v>
      </c>
      <c r="BD17" s="8" t="s">
        <v>199</v>
      </c>
      <c r="BE17" s="4" t="s">
        <v>199</v>
      </c>
      <c r="BF17" s="8" t="s">
        <v>199</v>
      </c>
      <c r="BG17" s="7" t="s">
        <v>199</v>
      </c>
      <c r="BH17" s="7" t="s">
        <v>199</v>
      </c>
      <c r="BI17" s="7"/>
      <c r="BJ17" s="4">
        <v>17</v>
      </c>
      <c r="BK17" s="8">
        <v>1532.32</v>
      </c>
      <c r="BL17" s="2" t="s">
        <v>289</v>
      </c>
      <c r="BM17" s="7"/>
      <c r="BN17" s="7"/>
      <c r="BO17" s="4"/>
      <c r="BP17" s="8"/>
      <c r="BQ17" s="4"/>
      <c r="BR17" s="8"/>
      <c r="BS17" s="7"/>
      <c r="BT17" s="7"/>
      <c r="BU17" s="2" t="s">
        <v>276</v>
      </c>
      <c r="BV17" s="2" t="s">
        <v>199</v>
      </c>
      <c r="BW17" s="2" t="s">
        <v>199</v>
      </c>
      <c r="BX17" s="2" t="s">
        <v>208</v>
      </c>
      <c r="BY17" s="2" t="s">
        <v>209</v>
      </c>
      <c r="BZ17" s="2" t="s">
        <v>196</v>
      </c>
      <c r="CA17" s="2" t="s">
        <v>210</v>
      </c>
      <c r="CB17" s="2" t="s">
        <v>290</v>
      </c>
      <c r="CC17" s="2" t="s">
        <v>212</v>
      </c>
      <c r="CD17" s="2" t="s">
        <v>199</v>
      </c>
      <c r="CE17" s="4">
        <v>192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>
        <v>194</v>
      </c>
      <c r="EU17" s="4">
        <v>189</v>
      </c>
      <c r="EV17" s="4">
        <v>186</v>
      </c>
      <c r="EW17" s="4">
        <v>183</v>
      </c>
      <c r="EX17" s="4">
        <v>180</v>
      </c>
      <c r="EY17" s="4">
        <v>177</v>
      </c>
      <c r="EZ17" s="4">
        <v>173</v>
      </c>
      <c r="FA17" s="4">
        <v>169</v>
      </c>
      <c r="FB17" s="4">
        <v>165</v>
      </c>
      <c r="FC17" s="4">
        <v>161</v>
      </c>
      <c r="FD17" s="4">
        <v>156</v>
      </c>
      <c r="FE17" s="4">
        <v>151</v>
      </c>
      <c r="FF17" s="4">
        <v>146</v>
      </c>
      <c r="FG17" s="4">
        <v>141</v>
      </c>
      <c r="FH17" s="4">
        <v>135</v>
      </c>
      <c r="FI17" s="4">
        <v>129</v>
      </c>
      <c r="FJ17" s="4">
        <v>123</v>
      </c>
      <c r="FK17" s="4">
        <v>117</v>
      </c>
      <c r="FL17" s="4">
        <v>111</v>
      </c>
      <c r="FM17" s="4">
        <v>106</v>
      </c>
      <c r="FN17" s="4">
        <v>101</v>
      </c>
      <c r="FO17" s="4">
        <v>96</v>
      </c>
      <c r="FP17" s="4">
        <v>91</v>
      </c>
      <c r="FQ17" s="4">
        <v>85</v>
      </c>
      <c r="FR17" s="4">
        <v>79</v>
      </c>
      <c r="FS17" s="4">
        <v>73</v>
      </c>
      <c r="FT17" s="19">
        <v>48.5</v>
      </c>
      <c r="FU17" s="19">
        <v>63</v>
      </c>
      <c r="FV17" s="19">
        <v>62</v>
      </c>
      <c r="FW17" s="19">
        <v>45.8</v>
      </c>
      <c r="FX17" s="19">
        <v>45</v>
      </c>
      <c r="FY17" s="19">
        <v>44.3</v>
      </c>
      <c r="FZ17" s="19">
        <v>43.3</v>
      </c>
      <c r="GA17" s="19">
        <v>42.3</v>
      </c>
      <c r="GB17" s="19">
        <v>33</v>
      </c>
      <c r="GC17" s="19">
        <v>32.2</v>
      </c>
      <c r="GD17" s="19">
        <v>31.2</v>
      </c>
      <c r="GE17" s="19">
        <v>25.2</v>
      </c>
      <c r="GF17" s="19">
        <v>24.3</v>
      </c>
      <c r="GG17" s="19">
        <v>23.5</v>
      </c>
      <c r="GH17" s="19">
        <v>22.5</v>
      </c>
      <c r="GI17" s="19">
        <v>21.5</v>
      </c>
      <c r="GJ17" s="19">
        <v>20.5</v>
      </c>
      <c r="GK17" s="19">
        <v>23.4</v>
      </c>
      <c r="GL17" s="19">
        <v>22.2</v>
      </c>
      <c r="GM17" s="19">
        <v>21.2</v>
      </c>
      <c r="GN17" s="19">
        <v>16.8</v>
      </c>
      <c r="GO17" s="19">
        <v>16</v>
      </c>
      <c r="GP17" s="19">
        <v>15.2</v>
      </c>
      <c r="GQ17" s="19">
        <v>14.2</v>
      </c>
      <c r="GR17" s="19">
        <v>13.2</v>
      </c>
      <c r="GS17" s="19">
        <v>14.6</v>
      </c>
    </row>
    <row r="18">
      <c r="A18" s="2" t="s">
        <v>291</v>
      </c>
      <c r="B18" s="2" t="s">
        <v>188</v>
      </c>
      <c r="C18" s="2" t="s">
        <v>189</v>
      </c>
      <c r="D18" s="2" t="s">
        <v>190</v>
      </c>
      <c r="E18" s="2" t="s">
        <v>191</v>
      </c>
      <c r="F18" s="2" t="s">
        <v>272</v>
      </c>
      <c r="G18" s="2" t="s">
        <v>272</v>
      </c>
      <c r="H18" s="2" t="s">
        <v>272</v>
      </c>
      <c r="I18" s="2" t="s">
        <v>273</v>
      </c>
      <c r="J18" s="2" t="s">
        <v>223</v>
      </c>
      <c r="K18" s="2" t="s">
        <v>233</v>
      </c>
      <c r="L18" s="3">
        <v>100.69</v>
      </c>
      <c r="M18" s="3">
        <v>105.72</v>
      </c>
      <c r="N18" s="3">
        <v>189.99</v>
      </c>
      <c r="O18" s="2" t="s">
        <v>196</v>
      </c>
      <c r="P18" s="2" t="s">
        <v>197</v>
      </c>
      <c r="Q18" s="2" t="s">
        <v>198</v>
      </c>
      <c r="R18" s="2" t="s">
        <v>199</v>
      </c>
      <c r="S18" s="2" t="s">
        <v>274</v>
      </c>
      <c r="T18" s="2" t="s">
        <v>201</v>
      </c>
      <c r="U18" s="2" t="s">
        <v>199</v>
      </c>
      <c r="V18" s="2" t="s">
        <v>202</v>
      </c>
      <c r="W18" s="2" t="s">
        <v>203</v>
      </c>
      <c r="X18" s="2" t="s">
        <v>199</v>
      </c>
      <c r="Y18" s="2" t="s">
        <v>204</v>
      </c>
      <c r="Z18" s="4">
        <v>225</v>
      </c>
      <c r="AA18" s="4">
        <f>=ROUNDDOWN(45,0)</f>
      </c>
      <c r="AB18" s="5">
        <v>5</v>
      </c>
      <c r="AC18" s="2" t="s">
        <v>199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199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199</v>
      </c>
      <c r="AW18" s="8" t="s">
        <v>199</v>
      </c>
      <c r="AX18" s="4" t="s">
        <v>199</v>
      </c>
      <c r="AY18" s="8" t="s">
        <v>199</v>
      </c>
      <c r="AZ18" s="7" t="s">
        <v>199</v>
      </c>
      <c r="BA18" s="7" t="s">
        <v>199</v>
      </c>
      <c r="BB18" s="7"/>
      <c r="BC18" s="4" t="s">
        <v>199</v>
      </c>
      <c r="BD18" s="8" t="s">
        <v>199</v>
      </c>
      <c r="BE18" s="4" t="s">
        <v>199</v>
      </c>
      <c r="BF18" s="8" t="s">
        <v>199</v>
      </c>
      <c r="BG18" s="7" t="s">
        <v>199</v>
      </c>
      <c r="BH18" s="7" t="s">
        <v>199</v>
      </c>
      <c r="BI18" s="7"/>
      <c r="BJ18" s="4">
        <v>6</v>
      </c>
      <c r="BK18" s="8">
        <v>615.72</v>
      </c>
      <c r="BL18" s="2" t="s">
        <v>292</v>
      </c>
      <c r="BM18" s="7"/>
      <c r="BN18" s="7"/>
      <c r="BO18" s="4"/>
      <c r="BP18" s="8"/>
      <c r="BQ18" s="4"/>
      <c r="BR18" s="8"/>
      <c r="BS18" s="7"/>
      <c r="BT18" s="7"/>
      <c r="BU18" s="2" t="s">
        <v>276</v>
      </c>
      <c r="BV18" s="2" t="s">
        <v>199</v>
      </c>
      <c r="BW18" s="2" t="s">
        <v>199</v>
      </c>
      <c r="BX18" s="2" t="s">
        <v>208</v>
      </c>
      <c r="BY18" s="2" t="s">
        <v>209</v>
      </c>
      <c r="BZ18" s="2" t="s">
        <v>196</v>
      </c>
      <c r="CA18" s="2" t="s">
        <v>210</v>
      </c>
      <c r="CB18" s="2" t="s">
        <v>293</v>
      </c>
      <c r="CC18" s="2" t="s">
        <v>212</v>
      </c>
      <c r="CD18" s="2" t="s">
        <v>199</v>
      </c>
      <c r="CE18" s="4">
        <v>225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>
        <v>227</v>
      </c>
      <c r="EU18" s="4">
        <v>222</v>
      </c>
      <c r="EV18" s="4">
        <v>219</v>
      </c>
      <c r="EW18" s="4">
        <v>216</v>
      </c>
      <c r="EX18" s="4">
        <v>213</v>
      </c>
      <c r="EY18" s="4">
        <v>210</v>
      </c>
      <c r="EZ18" s="4">
        <v>204</v>
      </c>
      <c r="FA18" s="4">
        <v>198</v>
      </c>
      <c r="FB18" s="4">
        <v>192</v>
      </c>
      <c r="FC18" s="4">
        <v>186</v>
      </c>
      <c r="FD18" s="4">
        <v>180</v>
      </c>
      <c r="FE18" s="4">
        <v>174</v>
      </c>
      <c r="FF18" s="4">
        <v>168</v>
      </c>
      <c r="FG18" s="4">
        <v>162</v>
      </c>
      <c r="FH18" s="4">
        <v>156</v>
      </c>
      <c r="FI18" s="4">
        <v>150</v>
      </c>
      <c r="FJ18" s="4">
        <v>144</v>
      </c>
      <c r="FK18" s="4">
        <v>138</v>
      </c>
      <c r="FL18" s="4">
        <v>132</v>
      </c>
      <c r="FM18" s="4">
        <v>128</v>
      </c>
      <c r="FN18" s="4">
        <v>124</v>
      </c>
      <c r="FO18" s="4">
        <v>120</v>
      </c>
      <c r="FP18" s="4">
        <v>116</v>
      </c>
      <c r="FQ18" s="4">
        <v>111</v>
      </c>
      <c r="FR18" s="4">
        <v>106</v>
      </c>
      <c r="FS18" s="4">
        <v>101</v>
      </c>
      <c r="FT18" s="19">
        <v>56.8</v>
      </c>
      <c r="FU18" s="19">
        <v>74</v>
      </c>
      <c r="FV18" s="19">
        <v>54.8</v>
      </c>
      <c r="FW18" s="19">
        <v>54</v>
      </c>
      <c r="FX18" s="19">
        <v>42.6</v>
      </c>
      <c r="FY18" s="19">
        <v>35</v>
      </c>
      <c r="FZ18" s="19">
        <v>34</v>
      </c>
      <c r="GA18" s="19">
        <v>33</v>
      </c>
      <c r="GB18" s="19">
        <v>32</v>
      </c>
      <c r="GC18" s="19">
        <v>31</v>
      </c>
      <c r="GD18" s="19">
        <v>30</v>
      </c>
      <c r="GE18" s="19">
        <v>29</v>
      </c>
      <c r="GF18" s="19">
        <v>28</v>
      </c>
      <c r="GG18" s="19">
        <v>27</v>
      </c>
      <c r="GH18" s="19">
        <v>26</v>
      </c>
      <c r="GI18" s="19">
        <v>25</v>
      </c>
      <c r="GJ18" s="19">
        <v>28.8</v>
      </c>
      <c r="GK18" s="19">
        <v>34.5</v>
      </c>
      <c r="GL18" s="19">
        <v>33</v>
      </c>
      <c r="GM18" s="19">
        <v>32</v>
      </c>
      <c r="GN18" s="19">
        <v>31</v>
      </c>
      <c r="GO18" s="19">
        <v>24</v>
      </c>
      <c r="GP18" s="19">
        <v>23.2</v>
      </c>
      <c r="GQ18" s="19">
        <v>22.2</v>
      </c>
      <c r="GR18" s="19">
        <v>17.7</v>
      </c>
      <c r="GS18" s="19">
        <v>16.8</v>
      </c>
    </row>
    <row r="19">
      <c r="A19" s="2" t="s">
        <v>294</v>
      </c>
      <c r="B19" s="2" t="s">
        <v>245</v>
      </c>
      <c r="C19" s="2" t="s">
        <v>295</v>
      </c>
      <c r="D19" s="2" t="s">
        <v>247</v>
      </c>
      <c r="E19" s="2" t="s">
        <v>248</v>
      </c>
      <c r="F19" s="2" t="s">
        <v>296</v>
      </c>
      <c r="G19" s="2" t="s">
        <v>296</v>
      </c>
      <c r="H19" s="2" t="s">
        <v>296</v>
      </c>
      <c r="I19" s="2" t="s">
        <v>297</v>
      </c>
      <c r="J19" s="2" t="s">
        <v>285</v>
      </c>
      <c r="K19" s="2" t="s">
        <v>298</v>
      </c>
      <c r="L19" s="3">
        <v>23.75</v>
      </c>
      <c r="M19" s="3">
        <v>24.94</v>
      </c>
      <c r="N19" s="3">
        <v>49.99</v>
      </c>
      <c r="O19" s="2" t="s">
        <v>196</v>
      </c>
      <c r="P19" s="2" t="s">
        <v>197</v>
      </c>
      <c r="Q19" s="2" t="s">
        <v>198</v>
      </c>
      <c r="R19" s="2" t="s">
        <v>199</v>
      </c>
      <c r="S19" s="2" t="s">
        <v>299</v>
      </c>
      <c r="T19" s="2" t="s">
        <v>300</v>
      </c>
      <c r="U19" s="2" t="s">
        <v>254</v>
      </c>
      <c r="V19" s="2" t="s">
        <v>301</v>
      </c>
      <c r="W19" s="2" t="s">
        <v>203</v>
      </c>
      <c r="X19" s="2" t="s">
        <v>199</v>
      </c>
      <c r="Y19" s="2" t="s">
        <v>302</v>
      </c>
      <c r="Z19" s="4">
        <v>183</v>
      </c>
      <c r="AA19" s="4">
        <f>=ROUNDDOWN(25.4166666666667,0)</f>
      </c>
      <c r="AB19" s="5">
        <v>7.2</v>
      </c>
      <c r="AC19" s="2" t="s">
        <v>303</v>
      </c>
      <c r="AD19" s="4">
        <v>50</v>
      </c>
      <c r="AE19" s="4">
        <v>50</v>
      </c>
      <c r="AF19" s="6">
        <v>70</v>
      </c>
      <c r="AG19" s="6"/>
      <c r="AH19" s="7">
        <v>1</v>
      </c>
      <c r="AI19" s="4"/>
      <c r="AJ19" s="4">
        <f>=ROUNDDOWN({0},0)</f>
      </c>
      <c r="AK19" s="5"/>
      <c r="AL19" s="2" t="s">
        <v>199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18</v>
      </c>
      <c r="BK19" s="8">
        <v>476.88</v>
      </c>
      <c r="BL19" s="2" t="s">
        <v>304</v>
      </c>
      <c r="BM19" s="7"/>
      <c r="BN19" s="7"/>
      <c r="BO19" s="4"/>
      <c r="BP19" s="8"/>
      <c r="BQ19" s="4"/>
      <c r="BR19" s="8"/>
      <c r="BS19" s="7"/>
      <c r="BT19" s="7"/>
      <c r="BU19" s="2" t="s">
        <v>305</v>
      </c>
      <c r="BV19" s="2" t="s">
        <v>199</v>
      </c>
      <c r="BW19" s="2" t="s">
        <v>199</v>
      </c>
      <c r="BX19" s="2" t="s">
        <v>208</v>
      </c>
      <c r="BY19" s="2" t="s">
        <v>209</v>
      </c>
      <c r="BZ19" s="2" t="s">
        <v>196</v>
      </c>
      <c r="CA19" s="2" t="s">
        <v>306</v>
      </c>
      <c r="CB19" s="2" t="s">
        <v>307</v>
      </c>
      <c r="CC19" s="2" t="s">
        <v>212</v>
      </c>
      <c r="CD19" s="2" t="s">
        <v>199</v>
      </c>
      <c r="CE19" s="4">
        <v>183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>
        <v>50</v>
      </c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>
        <v>185</v>
      </c>
      <c r="EU19" s="4">
        <v>178</v>
      </c>
      <c r="EV19" s="4">
        <v>172</v>
      </c>
      <c r="EW19" s="4">
        <v>165</v>
      </c>
      <c r="EX19" s="4">
        <v>157</v>
      </c>
      <c r="EY19" s="4">
        <v>149</v>
      </c>
      <c r="EZ19" s="4">
        <v>141</v>
      </c>
      <c r="FA19" s="4">
        <v>133</v>
      </c>
      <c r="FB19" s="4">
        <v>124</v>
      </c>
      <c r="FC19" s="4">
        <v>116</v>
      </c>
      <c r="FD19" s="4">
        <v>108</v>
      </c>
      <c r="FE19" s="4">
        <v>100</v>
      </c>
      <c r="FF19" s="4">
        <v>142</v>
      </c>
      <c r="FG19" s="4">
        <v>134</v>
      </c>
      <c r="FH19" s="4">
        <v>126</v>
      </c>
      <c r="FI19" s="4">
        <v>118</v>
      </c>
      <c r="FJ19" s="4">
        <v>110</v>
      </c>
      <c r="FK19" s="4">
        <v>102</v>
      </c>
      <c r="FL19" s="4">
        <v>94</v>
      </c>
      <c r="FM19" s="4">
        <v>86</v>
      </c>
      <c r="FN19" s="4">
        <v>78</v>
      </c>
      <c r="FO19" s="4">
        <v>70</v>
      </c>
      <c r="FP19" s="4">
        <v>61</v>
      </c>
      <c r="FQ19" s="4">
        <v>53</v>
      </c>
      <c r="FR19" s="4">
        <v>45</v>
      </c>
      <c r="FS19" s="4">
        <v>37</v>
      </c>
      <c r="FT19" s="19">
        <v>26.4</v>
      </c>
      <c r="FU19" s="19">
        <v>25.4</v>
      </c>
      <c r="FV19" s="19">
        <v>21.5</v>
      </c>
      <c r="FW19" s="19">
        <v>20.6</v>
      </c>
      <c r="FX19" s="19">
        <v>19.6</v>
      </c>
      <c r="FY19" s="19">
        <v>18.6</v>
      </c>
      <c r="FZ19" s="19">
        <v>17.6</v>
      </c>
      <c r="GA19" s="19">
        <v>16.6</v>
      </c>
      <c r="GB19" s="19">
        <v>15.5</v>
      </c>
      <c r="GC19" s="19">
        <v>14.5</v>
      </c>
      <c r="GD19" s="19">
        <v>13.5</v>
      </c>
      <c r="GE19" s="19">
        <v>12.5</v>
      </c>
      <c r="GF19" s="19">
        <v>17.8</v>
      </c>
      <c r="GG19" s="19">
        <v>16.8</v>
      </c>
      <c r="GH19" s="19">
        <v>15.8</v>
      </c>
      <c r="GI19" s="19">
        <v>14.8</v>
      </c>
      <c r="GJ19" s="19">
        <v>13.8</v>
      </c>
      <c r="GK19" s="19">
        <v>12.8</v>
      </c>
      <c r="GL19" s="19">
        <v>11.8</v>
      </c>
      <c r="GM19" s="19">
        <v>10.8</v>
      </c>
      <c r="GN19" s="19">
        <v>9.8</v>
      </c>
      <c r="GO19" s="19">
        <v>8.8</v>
      </c>
      <c r="GP19" s="19">
        <v>7.6</v>
      </c>
      <c r="GQ19" s="19">
        <v>6.6</v>
      </c>
      <c r="GR19" s="19">
        <v>5.6</v>
      </c>
      <c r="GS19" s="19">
        <v>4.6</v>
      </c>
    </row>
    <row r="20">
      <c r="A20" s="2" t="s">
        <v>308</v>
      </c>
      <c r="B20" s="2" t="s">
        <v>188</v>
      </c>
      <c r="C20" s="2" t="s">
        <v>189</v>
      </c>
      <c r="D20" s="2" t="s">
        <v>190</v>
      </c>
      <c r="E20" s="2" t="s">
        <v>191</v>
      </c>
      <c r="F20" s="2" t="s">
        <v>309</v>
      </c>
      <c r="G20" s="2" t="s">
        <v>309</v>
      </c>
      <c r="H20" s="2" t="s">
        <v>309</v>
      </c>
      <c r="I20" s="2" t="s">
        <v>310</v>
      </c>
      <c r="J20" s="2" t="s">
        <v>194</v>
      </c>
      <c r="K20" s="2" t="s">
        <v>195</v>
      </c>
      <c r="L20" s="3">
        <v>41.4</v>
      </c>
      <c r="M20" s="3">
        <v>43.47</v>
      </c>
      <c r="N20" s="3">
        <v>89.99</v>
      </c>
      <c r="O20" s="2" t="s">
        <v>196</v>
      </c>
      <c r="P20" s="2" t="s">
        <v>197</v>
      </c>
      <c r="Q20" s="2" t="s">
        <v>198</v>
      </c>
      <c r="R20" s="2" t="s">
        <v>199</v>
      </c>
      <c r="S20" s="2" t="s">
        <v>311</v>
      </c>
      <c r="T20" s="2" t="s">
        <v>201</v>
      </c>
      <c r="U20" s="2" t="s">
        <v>199</v>
      </c>
      <c r="V20" s="2" t="s">
        <v>202</v>
      </c>
      <c r="W20" s="2" t="s">
        <v>203</v>
      </c>
      <c r="X20" s="2" t="s">
        <v>199</v>
      </c>
      <c r="Y20" s="2" t="s">
        <v>204</v>
      </c>
      <c r="Z20" s="4">
        <v>490</v>
      </c>
      <c r="AA20" s="4">
        <f>=ROUNDDOWN(44.5454545454545,0)</f>
      </c>
      <c r="AB20" s="5">
        <v>11</v>
      </c>
      <c r="AC20" s="2" t="s">
        <v>199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199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199</v>
      </c>
      <c r="AW20" s="8" t="s">
        <v>199</v>
      </c>
      <c r="AX20" s="4" t="s">
        <v>199</v>
      </c>
      <c r="AY20" s="8" t="s">
        <v>199</v>
      </c>
      <c r="AZ20" s="7" t="s">
        <v>199</v>
      </c>
      <c r="BA20" s="7" t="s">
        <v>199</v>
      </c>
      <c r="BB20" s="7"/>
      <c r="BC20" s="4" t="s">
        <v>199</v>
      </c>
      <c r="BD20" s="8" t="s">
        <v>199</v>
      </c>
      <c r="BE20" s="4" t="s">
        <v>199</v>
      </c>
      <c r="BF20" s="8" t="s">
        <v>199</v>
      </c>
      <c r="BG20" s="7" t="s">
        <v>199</v>
      </c>
      <c r="BH20" s="7" t="s">
        <v>199</v>
      </c>
      <c r="BI20" s="7"/>
      <c r="BJ20" s="4">
        <v>13</v>
      </c>
      <c r="BK20" s="8">
        <v>630.5</v>
      </c>
      <c r="BL20" s="2" t="s">
        <v>312</v>
      </c>
      <c r="BM20" s="7"/>
      <c r="BN20" s="7"/>
      <c r="BO20" s="4"/>
      <c r="BP20" s="8"/>
      <c r="BQ20" s="4"/>
      <c r="BR20" s="8"/>
      <c r="BS20" s="7"/>
      <c r="BT20" s="7"/>
      <c r="BU20" s="2" t="s">
        <v>313</v>
      </c>
      <c r="BV20" s="2" t="s">
        <v>199</v>
      </c>
      <c r="BW20" s="2" t="s">
        <v>199</v>
      </c>
      <c r="BX20" s="2" t="s">
        <v>208</v>
      </c>
      <c r="BY20" s="2" t="s">
        <v>209</v>
      </c>
      <c r="BZ20" s="2" t="s">
        <v>196</v>
      </c>
      <c r="CA20" s="2" t="s">
        <v>210</v>
      </c>
      <c r="CB20" s="2" t="s">
        <v>314</v>
      </c>
      <c r="CC20" s="2" t="s">
        <v>212</v>
      </c>
      <c r="CD20" s="2" t="s">
        <v>199</v>
      </c>
      <c r="CE20" s="4">
        <v>348</v>
      </c>
      <c r="CF20" s="4">
        <v>142</v>
      </c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>
        <v>492</v>
      </c>
      <c r="EU20" s="4">
        <v>476</v>
      </c>
      <c r="EV20" s="4">
        <v>468</v>
      </c>
      <c r="EW20" s="4">
        <v>460</v>
      </c>
      <c r="EX20" s="4">
        <v>452</v>
      </c>
      <c r="EY20" s="4">
        <v>445</v>
      </c>
      <c r="EZ20" s="4">
        <v>434</v>
      </c>
      <c r="FA20" s="4">
        <v>423</v>
      </c>
      <c r="FB20" s="4">
        <v>411</v>
      </c>
      <c r="FC20" s="4">
        <v>400</v>
      </c>
      <c r="FD20" s="4">
        <v>389</v>
      </c>
      <c r="FE20" s="4">
        <v>378</v>
      </c>
      <c r="FF20" s="4">
        <v>367</v>
      </c>
      <c r="FG20" s="4">
        <v>356</v>
      </c>
      <c r="FH20" s="4">
        <v>345</v>
      </c>
      <c r="FI20" s="4">
        <v>334</v>
      </c>
      <c r="FJ20" s="4">
        <v>322</v>
      </c>
      <c r="FK20" s="4">
        <v>310</v>
      </c>
      <c r="FL20" s="4">
        <v>298</v>
      </c>
      <c r="FM20" s="4">
        <v>286</v>
      </c>
      <c r="FN20" s="4">
        <v>273</v>
      </c>
      <c r="FO20" s="4">
        <v>260</v>
      </c>
      <c r="FP20" s="4">
        <v>245</v>
      </c>
      <c r="FQ20" s="4">
        <v>225</v>
      </c>
      <c r="FR20" s="4">
        <v>205</v>
      </c>
      <c r="FS20" s="4">
        <v>185</v>
      </c>
      <c r="FT20" s="19">
        <v>49.2</v>
      </c>
      <c r="FU20" s="19">
        <v>59.5</v>
      </c>
      <c r="FV20" s="19">
        <v>58.5</v>
      </c>
      <c r="FW20" s="19">
        <v>51.1</v>
      </c>
      <c r="FX20" s="19">
        <v>45.2</v>
      </c>
      <c r="FY20" s="19">
        <v>40.5</v>
      </c>
      <c r="FZ20" s="19">
        <v>39.5</v>
      </c>
      <c r="GA20" s="19">
        <v>38.5</v>
      </c>
      <c r="GB20" s="19">
        <v>37.4</v>
      </c>
      <c r="GC20" s="19">
        <v>36.4</v>
      </c>
      <c r="GD20" s="19">
        <v>35.4</v>
      </c>
      <c r="GE20" s="19">
        <v>34.4</v>
      </c>
      <c r="GF20" s="19">
        <v>33.4</v>
      </c>
      <c r="GG20" s="19">
        <v>29.7</v>
      </c>
      <c r="GH20" s="19">
        <v>28.8</v>
      </c>
      <c r="GI20" s="19">
        <v>27.8</v>
      </c>
      <c r="GJ20" s="19">
        <v>26.8</v>
      </c>
      <c r="GK20" s="19">
        <v>25.8</v>
      </c>
      <c r="GL20" s="19">
        <v>22.9</v>
      </c>
      <c r="GM20" s="19">
        <v>19.1</v>
      </c>
      <c r="GN20" s="19">
        <v>16.1</v>
      </c>
      <c r="GO20" s="19">
        <v>13.7</v>
      </c>
      <c r="GP20" s="19">
        <v>12.3</v>
      </c>
      <c r="GQ20" s="19">
        <v>10.7</v>
      </c>
      <c r="GR20" s="19">
        <v>9.3</v>
      </c>
      <c r="GS20" s="19">
        <v>8</v>
      </c>
    </row>
    <row r="21">
      <c r="A21" s="2" t="s">
        <v>315</v>
      </c>
      <c r="B21" s="2" t="s">
        <v>188</v>
      </c>
      <c r="C21" s="2" t="s">
        <v>189</v>
      </c>
      <c r="D21" s="2" t="s">
        <v>190</v>
      </c>
      <c r="E21" s="2" t="s">
        <v>191</v>
      </c>
      <c r="F21" s="2" t="s">
        <v>309</v>
      </c>
      <c r="G21" s="2" t="s">
        <v>309</v>
      </c>
      <c r="H21" s="2" t="s">
        <v>309</v>
      </c>
      <c r="I21" s="2" t="s">
        <v>310</v>
      </c>
      <c r="J21" s="2" t="s">
        <v>285</v>
      </c>
      <c r="K21" s="2" t="s">
        <v>195</v>
      </c>
      <c r="L21" s="3">
        <v>54</v>
      </c>
      <c r="M21" s="3">
        <v>56.7</v>
      </c>
      <c r="N21" s="3">
        <v>119.99</v>
      </c>
      <c r="O21" s="2" t="s">
        <v>196</v>
      </c>
      <c r="P21" s="2" t="s">
        <v>197</v>
      </c>
      <c r="Q21" s="2" t="s">
        <v>198</v>
      </c>
      <c r="R21" s="2" t="s">
        <v>199</v>
      </c>
      <c r="S21" s="2" t="s">
        <v>311</v>
      </c>
      <c r="T21" s="2" t="s">
        <v>201</v>
      </c>
      <c r="U21" s="2" t="s">
        <v>199</v>
      </c>
      <c r="V21" s="2" t="s">
        <v>202</v>
      </c>
      <c r="W21" s="2" t="s">
        <v>203</v>
      </c>
      <c r="X21" s="2" t="s">
        <v>199</v>
      </c>
      <c r="Y21" s="2" t="s">
        <v>204</v>
      </c>
      <c r="Z21" s="4">
        <v>283</v>
      </c>
      <c r="AA21" s="4">
        <f>=ROUNDDOWN(35.375,0)</f>
      </c>
      <c r="AB21" s="5">
        <v>8</v>
      </c>
      <c r="AC21" s="2" t="s">
        <v>205</v>
      </c>
      <c r="AD21" s="4">
        <v>50</v>
      </c>
      <c r="AE21" s="4">
        <v>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199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199</v>
      </c>
      <c r="AW21" s="8" t="s">
        <v>199</v>
      </c>
      <c r="AX21" s="4" t="s">
        <v>199</v>
      </c>
      <c r="AY21" s="8" t="s">
        <v>199</v>
      </c>
      <c r="AZ21" s="7" t="s">
        <v>199</v>
      </c>
      <c r="BA21" s="7" t="s">
        <v>199</v>
      </c>
      <c r="BB21" s="7"/>
      <c r="BC21" s="4" t="s">
        <v>199</v>
      </c>
      <c r="BD21" s="8" t="s">
        <v>199</v>
      </c>
      <c r="BE21" s="4" t="s">
        <v>199</v>
      </c>
      <c r="BF21" s="8" t="s">
        <v>199</v>
      </c>
      <c r="BG21" s="7" t="s">
        <v>199</v>
      </c>
      <c r="BH21" s="7" t="s">
        <v>199</v>
      </c>
      <c r="BI21" s="7"/>
      <c r="BJ21" s="4">
        <v>20</v>
      </c>
      <c r="BK21" s="8">
        <v>1273.73</v>
      </c>
      <c r="BL21" s="2" t="s">
        <v>316</v>
      </c>
      <c r="BM21" s="7"/>
      <c r="BN21" s="7"/>
      <c r="BO21" s="4"/>
      <c r="BP21" s="8"/>
      <c r="BQ21" s="4"/>
      <c r="BR21" s="8"/>
      <c r="BS21" s="7"/>
      <c r="BT21" s="7"/>
      <c r="BU21" s="2" t="s">
        <v>313</v>
      </c>
      <c r="BV21" s="2" t="s">
        <v>199</v>
      </c>
      <c r="BW21" s="2" t="s">
        <v>199</v>
      </c>
      <c r="BX21" s="2" t="s">
        <v>208</v>
      </c>
      <c r="BY21" s="2" t="s">
        <v>209</v>
      </c>
      <c r="BZ21" s="2" t="s">
        <v>196</v>
      </c>
      <c r="CA21" s="2" t="s">
        <v>210</v>
      </c>
      <c r="CB21" s="2" t="s">
        <v>317</v>
      </c>
      <c r="CC21" s="2" t="s">
        <v>212</v>
      </c>
      <c r="CD21" s="2" t="s">
        <v>199</v>
      </c>
      <c r="CE21" s="4">
        <v>238</v>
      </c>
      <c r="CF21" s="4">
        <v>45</v>
      </c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>
        <v>50</v>
      </c>
      <c r="EP21" s="4"/>
      <c r="EQ21" s="4"/>
      <c r="ER21" s="4"/>
      <c r="ES21" s="4"/>
      <c r="ET21" s="4">
        <v>284</v>
      </c>
      <c r="EU21" s="4">
        <v>276</v>
      </c>
      <c r="EV21" s="4">
        <v>270</v>
      </c>
      <c r="EW21" s="4">
        <v>264</v>
      </c>
      <c r="EX21" s="4">
        <v>258</v>
      </c>
      <c r="EY21" s="4">
        <v>253</v>
      </c>
      <c r="EZ21" s="4">
        <v>246</v>
      </c>
      <c r="FA21" s="4">
        <v>239</v>
      </c>
      <c r="FB21" s="4">
        <v>231</v>
      </c>
      <c r="FC21" s="4">
        <v>224</v>
      </c>
      <c r="FD21" s="4">
        <v>217</v>
      </c>
      <c r="FE21" s="4">
        <v>210</v>
      </c>
      <c r="FF21" s="4">
        <v>203</v>
      </c>
      <c r="FG21" s="4">
        <v>196</v>
      </c>
      <c r="FH21" s="4">
        <v>189</v>
      </c>
      <c r="FI21" s="4">
        <v>182</v>
      </c>
      <c r="FJ21" s="4">
        <v>175</v>
      </c>
      <c r="FK21" s="4">
        <v>218</v>
      </c>
      <c r="FL21" s="4">
        <v>211</v>
      </c>
      <c r="FM21" s="4">
        <v>204</v>
      </c>
      <c r="FN21" s="4">
        <v>196</v>
      </c>
      <c r="FO21" s="4">
        <v>188</v>
      </c>
      <c r="FP21" s="4">
        <v>178</v>
      </c>
      <c r="FQ21" s="4">
        <v>167</v>
      </c>
      <c r="FR21" s="4">
        <v>156</v>
      </c>
      <c r="FS21" s="4">
        <v>145</v>
      </c>
      <c r="FT21" s="19">
        <v>47.3</v>
      </c>
      <c r="FU21" s="19">
        <v>46</v>
      </c>
      <c r="FV21" s="19">
        <v>45</v>
      </c>
      <c r="FW21" s="19">
        <v>44</v>
      </c>
      <c r="FX21" s="19">
        <v>36.9</v>
      </c>
      <c r="FY21" s="19">
        <v>36.1</v>
      </c>
      <c r="FZ21" s="19">
        <v>35.1</v>
      </c>
      <c r="GA21" s="19">
        <v>34.1</v>
      </c>
      <c r="GB21" s="19">
        <v>33</v>
      </c>
      <c r="GC21" s="19">
        <v>32</v>
      </c>
      <c r="GD21" s="19">
        <v>31</v>
      </c>
      <c r="GE21" s="19">
        <v>30</v>
      </c>
      <c r="GF21" s="19">
        <v>29</v>
      </c>
      <c r="GG21" s="19">
        <v>28</v>
      </c>
      <c r="GH21" s="19">
        <v>27</v>
      </c>
      <c r="GI21" s="19">
        <v>26</v>
      </c>
      <c r="GJ21" s="19">
        <v>25</v>
      </c>
      <c r="GK21" s="19">
        <v>27.3</v>
      </c>
      <c r="GL21" s="19">
        <v>26.4</v>
      </c>
      <c r="GM21" s="19">
        <v>22.7</v>
      </c>
      <c r="GN21" s="19">
        <v>19.6</v>
      </c>
      <c r="GO21" s="19">
        <v>17.1</v>
      </c>
      <c r="GP21" s="19">
        <v>16.2</v>
      </c>
      <c r="GQ21" s="19">
        <v>12.8</v>
      </c>
      <c r="GR21" s="19">
        <v>11.1</v>
      </c>
      <c r="GS21" s="19">
        <v>9.1</v>
      </c>
    </row>
    <row r="22">
      <c r="A22" s="2" t="s">
        <v>318</v>
      </c>
      <c r="B22" s="2" t="s">
        <v>188</v>
      </c>
      <c r="C22" s="2" t="s">
        <v>189</v>
      </c>
      <c r="D22" s="2" t="s">
        <v>190</v>
      </c>
      <c r="E22" s="2" t="s">
        <v>191</v>
      </c>
      <c r="F22" s="2" t="s">
        <v>309</v>
      </c>
      <c r="G22" s="2" t="s">
        <v>309</v>
      </c>
      <c r="H22" s="2" t="s">
        <v>309</v>
      </c>
      <c r="I22" s="2" t="s">
        <v>310</v>
      </c>
      <c r="J22" s="2" t="s">
        <v>219</v>
      </c>
      <c r="K22" s="2" t="s">
        <v>195</v>
      </c>
      <c r="L22" s="3">
        <v>62.1</v>
      </c>
      <c r="M22" s="3">
        <v>65.2</v>
      </c>
      <c r="N22" s="3">
        <v>134.99</v>
      </c>
      <c r="O22" s="2" t="s">
        <v>196</v>
      </c>
      <c r="P22" s="2" t="s">
        <v>197</v>
      </c>
      <c r="Q22" s="2" t="s">
        <v>198</v>
      </c>
      <c r="R22" s="2" t="s">
        <v>199</v>
      </c>
      <c r="S22" s="2" t="s">
        <v>311</v>
      </c>
      <c r="T22" s="2" t="s">
        <v>201</v>
      </c>
      <c r="U22" s="2" t="s">
        <v>199</v>
      </c>
      <c r="V22" s="2" t="s">
        <v>202</v>
      </c>
      <c r="W22" s="2" t="s">
        <v>203</v>
      </c>
      <c r="X22" s="2" t="s">
        <v>199</v>
      </c>
      <c r="Y22" s="2" t="s">
        <v>204</v>
      </c>
      <c r="Z22" s="4">
        <v>440</v>
      </c>
      <c r="AA22" s="4">
        <f>=ROUNDDOWN(27.5,0)</f>
      </c>
      <c r="AB22" s="5">
        <v>16</v>
      </c>
      <c r="AC22" s="2" t="s">
        <v>205</v>
      </c>
      <c r="AD22" s="4">
        <v>50</v>
      </c>
      <c r="AE22" s="4">
        <v>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199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199</v>
      </c>
      <c r="AW22" s="8" t="s">
        <v>199</v>
      </c>
      <c r="AX22" s="4" t="s">
        <v>199</v>
      </c>
      <c r="AY22" s="8" t="s">
        <v>199</v>
      </c>
      <c r="AZ22" s="7" t="s">
        <v>199</v>
      </c>
      <c r="BA22" s="7" t="s">
        <v>199</v>
      </c>
      <c r="BB22" s="7"/>
      <c r="BC22" s="4" t="s">
        <v>199</v>
      </c>
      <c r="BD22" s="8" t="s">
        <v>199</v>
      </c>
      <c r="BE22" s="4" t="s">
        <v>199</v>
      </c>
      <c r="BF22" s="8" t="s">
        <v>199</v>
      </c>
      <c r="BG22" s="7" t="s">
        <v>199</v>
      </c>
      <c r="BH22" s="7" t="s">
        <v>199</v>
      </c>
      <c r="BI22" s="7"/>
      <c r="BJ22" s="4">
        <v>58</v>
      </c>
      <c r="BK22" s="8">
        <v>4111.48</v>
      </c>
      <c r="BL22" s="2" t="s">
        <v>319</v>
      </c>
      <c r="BM22" s="7"/>
      <c r="BN22" s="7"/>
      <c r="BO22" s="4"/>
      <c r="BP22" s="8"/>
      <c r="BQ22" s="4"/>
      <c r="BR22" s="8"/>
      <c r="BS22" s="7"/>
      <c r="BT22" s="7"/>
      <c r="BU22" s="2" t="s">
        <v>313</v>
      </c>
      <c r="BV22" s="2" t="s">
        <v>199</v>
      </c>
      <c r="BW22" s="2" t="s">
        <v>199</v>
      </c>
      <c r="BX22" s="2" t="s">
        <v>208</v>
      </c>
      <c r="BY22" s="2" t="s">
        <v>209</v>
      </c>
      <c r="BZ22" s="2" t="s">
        <v>196</v>
      </c>
      <c r="CA22" s="2" t="s">
        <v>210</v>
      </c>
      <c r="CB22" s="2" t="s">
        <v>320</v>
      </c>
      <c r="CC22" s="2" t="s">
        <v>212</v>
      </c>
      <c r="CD22" s="2" t="s">
        <v>199</v>
      </c>
      <c r="CE22" s="4">
        <v>392</v>
      </c>
      <c r="CF22" s="4">
        <v>48</v>
      </c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>
        <v>50</v>
      </c>
      <c r="EP22" s="4"/>
      <c r="EQ22" s="4"/>
      <c r="ER22" s="4"/>
      <c r="ES22" s="4"/>
      <c r="ET22" s="4">
        <v>442</v>
      </c>
      <c r="EU22" s="4">
        <v>423</v>
      </c>
      <c r="EV22" s="4">
        <v>413</v>
      </c>
      <c r="EW22" s="4">
        <v>403</v>
      </c>
      <c r="EX22" s="4">
        <v>393</v>
      </c>
      <c r="EY22" s="4">
        <v>384</v>
      </c>
      <c r="EZ22" s="4">
        <v>372</v>
      </c>
      <c r="FA22" s="4">
        <v>360</v>
      </c>
      <c r="FB22" s="4">
        <v>348</v>
      </c>
      <c r="FC22" s="4">
        <v>336</v>
      </c>
      <c r="FD22" s="4">
        <v>320</v>
      </c>
      <c r="FE22" s="4">
        <v>304</v>
      </c>
      <c r="FF22" s="4">
        <v>288</v>
      </c>
      <c r="FG22" s="4">
        <v>272</v>
      </c>
      <c r="FH22" s="4">
        <v>254</v>
      </c>
      <c r="FI22" s="4">
        <v>236</v>
      </c>
      <c r="FJ22" s="4">
        <v>218</v>
      </c>
      <c r="FK22" s="4">
        <v>250</v>
      </c>
      <c r="FL22" s="4">
        <v>232</v>
      </c>
      <c r="FM22" s="4">
        <v>217</v>
      </c>
      <c r="FN22" s="4">
        <v>202</v>
      </c>
      <c r="FO22" s="4">
        <v>187</v>
      </c>
      <c r="FP22" s="4">
        <v>171</v>
      </c>
      <c r="FQ22" s="4">
        <v>153</v>
      </c>
      <c r="FR22" s="4">
        <v>135</v>
      </c>
      <c r="FS22" s="4">
        <v>117</v>
      </c>
      <c r="FT22" s="19">
        <v>36.8</v>
      </c>
      <c r="FU22" s="19">
        <v>42.3</v>
      </c>
      <c r="FV22" s="19">
        <v>41.3</v>
      </c>
      <c r="FW22" s="19">
        <v>36.6</v>
      </c>
      <c r="FX22" s="19">
        <v>35.7</v>
      </c>
      <c r="FY22" s="19">
        <v>32</v>
      </c>
      <c r="FZ22" s="19">
        <v>28.6</v>
      </c>
      <c r="GA22" s="19">
        <v>25.7</v>
      </c>
      <c r="GB22" s="19">
        <v>23.2</v>
      </c>
      <c r="GC22" s="19">
        <v>21</v>
      </c>
      <c r="GD22" s="19">
        <v>20</v>
      </c>
      <c r="GE22" s="19">
        <v>17.9</v>
      </c>
      <c r="GF22" s="19">
        <v>16</v>
      </c>
      <c r="GG22" s="19">
        <v>15.1</v>
      </c>
      <c r="GH22" s="19">
        <v>14.1</v>
      </c>
      <c r="GI22" s="19">
        <v>13.9</v>
      </c>
      <c r="GJ22" s="19">
        <v>13.6</v>
      </c>
      <c r="GK22" s="19">
        <v>15.6</v>
      </c>
      <c r="GL22" s="19">
        <v>15.5</v>
      </c>
      <c r="GM22" s="19">
        <v>13.6</v>
      </c>
      <c r="GN22" s="19">
        <v>11.9</v>
      </c>
      <c r="GO22" s="19">
        <v>10.4</v>
      </c>
      <c r="GP22" s="19">
        <v>9.5</v>
      </c>
      <c r="GQ22" s="19">
        <v>9</v>
      </c>
      <c r="GR22" s="19">
        <v>8.4</v>
      </c>
      <c r="GS22" s="19">
        <v>7.3</v>
      </c>
    </row>
    <row r="23">
      <c r="A23" s="2" t="s">
        <v>321</v>
      </c>
      <c r="B23" s="2" t="s">
        <v>188</v>
      </c>
      <c r="C23" s="2" t="s">
        <v>189</v>
      </c>
      <c r="D23" s="2" t="s">
        <v>190</v>
      </c>
      <c r="E23" s="2" t="s">
        <v>191</v>
      </c>
      <c r="F23" s="2" t="s">
        <v>309</v>
      </c>
      <c r="G23" s="2" t="s">
        <v>309</v>
      </c>
      <c r="H23" s="2" t="s">
        <v>309</v>
      </c>
      <c r="I23" s="2" t="s">
        <v>310</v>
      </c>
      <c r="J23" s="2" t="s">
        <v>223</v>
      </c>
      <c r="K23" s="2" t="s">
        <v>195</v>
      </c>
      <c r="L23" s="3">
        <v>76.8</v>
      </c>
      <c r="M23" s="3">
        <v>80.64</v>
      </c>
      <c r="N23" s="3">
        <v>159.99</v>
      </c>
      <c r="O23" s="2" t="s">
        <v>196</v>
      </c>
      <c r="P23" s="2" t="s">
        <v>197</v>
      </c>
      <c r="Q23" s="2" t="s">
        <v>198</v>
      </c>
      <c r="R23" s="2" t="s">
        <v>199</v>
      </c>
      <c r="S23" s="2" t="s">
        <v>311</v>
      </c>
      <c r="T23" s="2" t="s">
        <v>201</v>
      </c>
      <c r="U23" s="2" t="s">
        <v>199</v>
      </c>
      <c r="V23" s="2" t="s">
        <v>202</v>
      </c>
      <c r="W23" s="2" t="s">
        <v>203</v>
      </c>
      <c r="X23" s="2" t="s">
        <v>199</v>
      </c>
      <c r="Y23" s="2" t="s">
        <v>204</v>
      </c>
      <c r="Z23" s="4">
        <v>270</v>
      </c>
      <c r="AA23" s="4">
        <f>=ROUNDDOWN(38.5714285714286,0)</f>
      </c>
      <c r="AB23" s="5">
        <v>7</v>
      </c>
      <c r="AC23" s="2" t="s">
        <v>199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199</v>
      </c>
      <c r="AW23" s="8" t="s">
        <v>199</v>
      </c>
      <c r="AX23" s="4" t="s">
        <v>199</v>
      </c>
      <c r="AY23" s="8" t="s">
        <v>199</v>
      </c>
      <c r="AZ23" s="7" t="s">
        <v>199</v>
      </c>
      <c r="BA23" s="7" t="s">
        <v>199</v>
      </c>
      <c r="BB23" s="7"/>
      <c r="BC23" s="4" t="s">
        <v>199</v>
      </c>
      <c r="BD23" s="8" t="s">
        <v>199</v>
      </c>
      <c r="BE23" s="4" t="s">
        <v>199</v>
      </c>
      <c r="BF23" s="8" t="s">
        <v>199</v>
      </c>
      <c r="BG23" s="7" t="s">
        <v>199</v>
      </c>
      <c r="BH23" s="7" t="s">
        <v>199</v>
      </c>
      <c r="BI23" s="7"/>
      <c r="BJ23" s="4">
        <v>38</v>
      </c>
      <c r="BK23" s="8">
        <v>3251.35</v>
      </c>
      <c r="BL23" s="2" t="s">
        <v>322</v>
      </c>
      <c r="BM23" s="7"/>
      <c r="BN23" s="7"/>
      <c r="BO23" s="4"/>
      <c r="BP23" s="8"/>
      <c r="BQ23" s="4"/>
      <c r="BR23" s="8"/>
      <c r="BS23" s="7"/>
      <c r="BT23" s="7"/>
      <c r="BU23" s="2" t="s">
        <v>313</v>
      </c>
      <c r="BV23" s="2" t="s">
        <v>199</v>
      </c>
      <c r="BW23" s="2" t="s">
        <v>199</v>
      </c>
      <c r="BX23" s="2" t="s">
        <v>208</v>
      </c>
      <c r="BY23" s="2" t="s">
        <v>209</v>
      </c>
      <c r="BZ23" s="2" t="s">
        <v>196</v>
      </c>
      <c r="CA23" s="2" t="s">
        <v>210</v>
      </c>
      <c r="CB23" s="2" t="s">
        <v>323</v>
      </c>
      <c r="CC23" s="2" t="s">
        <v>212</v>
      </c>
      <c r="CD23" s="2" t="s">
        <v>199</v>
      </c>
      <c r="CE23" s="4">
        <v>234</v>
      </c>
      <c r="CF23" s="4">
        <v>36</v>
      </c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>
        <v>270</v>
      </c>
      <c r="EU23" s="4">
        <v>266</v>
      </c>
      <c r="EV23" s="4">
        <v>262</v>
      </c>
      <c r="EW23" s="4">
        <v>258</v>
      </c>
      <c r="EX23" s="4">
        <v>254</v>
      </c>
      <c r="EY23" s="4">
        <v>250</v>
      </c>
      <c r="EZ23" s="4">
        <v>242</v>
      </c>
      <c r="FA23" s="4">
        <v>234</v>
      </c>
      <c r="FB23" s="4">
        <v>226</v>
      </c>
      <c r="FC23" s="4">
        <v>218</v>
      </c>
      <c r="FD23" s="4">
        <v>210</v>
      </c>
      <c r="FE23" s="4">
        <v>202</v>
      </c>
      <c r="FF23" s="4">
        <v>194</v>
      </c>
      <c r="FG23" s="4">
        <v>186</v>
      </c>
      <c r="FH23" s="4">
        <v>178</v>
      </c>
      <c r="FI23" s="4">
        <v>170</v>
      </c>
      <c r="FJ23" s="4">
        <v>162</v>
      </c>
      <c r="FK23" s="4">
        <v>154</v>
      </c>
      <c r="FL23" s="4">
        <v>146</v>
      </c>
      <c r="FM23" s="4">
        <v>140</v>
      </c>
      <c r="FN23" s="4">
        <v>134</v>
      </c>
      <c r="FO23" s="4">
        <v>128</v>
      </c>
      <c r="FP23" s="4">
        <v>122</v>
      </c>
      <c r="FQ23" s="4">
        <v>115</v>
      </c>
      <c r="FR23" s="4">
        <v>108</v>
      </c>
      <c r="FS23" s="4">
        <v>101</v>
      </c>
      <c r="FT23" s="19">
        <v>67.5</v>
      </c>
      <c r="FU23" s="19">
        <v>66.5</v>
      </c>
      <c r="FV23" s="19">
        <v>52.4</v>
      </c>
      <c r="FW23" s="19">
        <v>43</v>
      </c>
      <c r="FX23" s="19">
        <v>36.3</v>
      </c>
      <c r="FY23" s="19">
        <v>31.3</v>
      </c>
      <c r="FZ23" s="19">
        <v>30.3</v>
      </c>
      <c r="GA23" s="19">
        <v>29.3</v>
      </c>
      <c r="GB23" s="19">
        <v>28.3</v>
      </c>
      <c r="GC23" s="19">
        <v>27.3</v>
      </c>
      <c r="GD23" s="19">
        <v>26.3</v>
      </c>
      <c r="GE23" s="19">
        <v>25.3</v>
      </c>
      <c r="GF23" s="19">
        <v>24.3</v>
      </c>
      <c r="GG23" s="19">
        <v>23.3</v>
      </c>
      <c r="GH23" s="19">
        <v>22.3</v>
      </c>
      <c r="GI23" s="19">
        <v>21.3</v>
      </c>
      <c r="GJ23" s="19">
        <v>23.1</v>
      </c>
      <c r="GK23" s="19">
        <v>25.7</v>
      </c>
      <c r="GL23" s="19">
        <v>24.3</v>
      </c>
      <c r="GM23" s="19">
        <v>23.3</v>
      </c>
      <c r="GN23" s="19">
        <v>22.3</v>
      </c>
      <c r="GO23" s="19">
        <v>18.3</v>
      </c>
      <c r="GP23" s="19">
        <v>17.4</v>
      </c>
      <c r="GQ23" s="19">
        <v>16.4</v>
      </c>
      <c r="GR23" s="19">
        <v>13.5</v>
      </c>
      <c r="GS23" s="19">
        <v>12.6</v>
      </c>
    </row>
    <row r="24">
      <c r="A24" s="2" t="s">
        <v>324</v>
      </c>
      <c r="B24" s="2" t="s">
        <v>188</v>
      </c>
      <c r="C24" s="2" t="s">
        <v>189</v>
      </c>
      <c r="D24" s="2" t="s">
        <v>190</v>
      </c>
      <c r="E24" s="2" t="s">
        <v>191</v>
      </c>
      <c r="F24" s="2" t="s">
        <v>325</v>
      </c>
      <c r="G24" s="2" t="s">
        <v>325</v>
      </c>
      <c r="H24" s="2" t="s">
        <v>325</v>
      </c>
      <c r="I24" s="2" t="s">
        <v>273</v>
      </c>
      <c r="J24" s="2" t="s">
        <v>194</v>
      </c>
      <c r="K24" s="2" t="s">
        <v>233</v>
      </c>
      <c r="L24" s="3">
        <v>68.26</v>
      </c>
      <c r="M24" s="3">
        <v>71.67</v>
      </c>
      <c r="N24" s="3">
        <v>129.99</v>
      </c>
      <c r="O24" s="2" t="s">
        <v>196</v>
      </c>
      <c r="P24" s="2" t="s">
        <v>197</v>
      </c>
      <c r="Q24" s="2" t="s">
        <v>198</v>
      </c>
      <c r="R24" s="2" t="s">
        <v>199</v>
      </c>
      <c r="S24" s="2" t="s">
        <v>326</v>
      </c>
      <c r="T24" s="2" t="s">
        <v>201</v>
      </c>
      <c r="U24" s="2" t="s">
        <v>199</v>
      </c>
      <c r="V24" s="2" t="s">
        <v>202</v>
      </c>
      <c r="W24" s="2" t="s">
        <v>203</v>
      </c>
      <c r="X24" s="2" t="s">
        <v>199</v>
      </c>
      <c r="Y24" s="2" t="s">
        <v>204</v>
      </c>
      <c r="Z24" s="4">
        <v>201</v>
      </c>
      <c r="AA24" s="4">
        <f>=ROUNDDOWN(50.25,0)</f>
      </c>
      <c r="AB24" s="5">
        <v>4</v>
      </c>
      <c r="AC24" s="2" t="s">
        <v>199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199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199</v>
      </c>
      <c r="AW24" s="8" t="s">
        <v>199</v>
      </c>
      <c r="AX24" s="4" t="s">
        <v>199</v>
      </c>
      <c r="AY24" s="8" t="s">
        <v>199</v>
      </c>
      <c r="AZ24" s="7" t="s">
        <v>199</v>
      </c>
      <c r="BA24" s="7" t="s">
        <v>199</v>
      </c>
      <c r="BB24" s="7"/>
      <c r="BC24" s="4" t="s">
        <v>199</v>
      </c>
      <c r="BD24" s="8" t="s">
        <v>199</v>
      </c>
      <c r="BE24" s="4" t="s">
        <v>199</v>
      </c>
      <c r="BF24" s="8" t="s">
        <v>199</v>
      </c>
      <c r="BG24" s="7" t="s">
        <v>199</v>
      </c>
      <c r="BH24" s="7" t="s">
        <v>199</v>
      </c>
      <c r="BI24" s="7"/>
      <c r="BJ24" s="4">
        <v>9</v>
      </c>
      <c r="BK24" s="8">
        <v>605.67</v>
      </c>
      <c r="BL24" s="2" t="s">
        <v>327</v>
      </c>
      <c r="BM24" s="7"/>
      <c r="BN24" s="7"/>
      <c r="BO24" s="4"/>
      <c r="BP24" s="8"/>
      <c r="BQ24" s="4"/>
      <c r="BR24" s="8"/>
      <c r="BS24" s="7"/>
      <c r="BT24" s="7"/>
      <c r="BU24" s="2" t="s">
        <v>328</v>
      </c>
      <c r="BV24" s="2" t="s">
        <v>199</v>
      </c>
      <c r="BW24" s="2" t="s">
        <v>199</v>
      </c>
      <c r="BX24" s="2" t="s">
        <v>208</v>
      </c>
      <c r="BY24" s="2" t="s">
        <v>209</v>
      </c>
      <c r="BZ24" s="2" t="s">
        <v>196</v>
      </c>
      <c r="CA24" s="2" t="s">
        <v>210</v>
      </c>
      <c r="CB24" s="2" t="s">
        <v>329</v>
      </c>
      <c r="CC24" s="2" t="s">
        <v>212</v>
      </c>
      <c r="CD24" s="2" t="s">
        <v>199</v>
      </c>
      <c r="CE24" s="4">
        <v>153</v>
      </c>
      <c r="CF24" s="4">
        <v>48</v>
      </c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>
        <v>202</v>
      </c>
      <c r="EU24" s="4">
        <v>200</v>
      </c>
      <c r="EV24" s="4">
        <v>197</v>
      </c>
      <c r="EW24" s="4">
        <v>194</v>
      </c>
      <c r="EX24" s="4">
        <v>191</v>
      </c>
      <c r="EY24" s="4">
        <v>189</v>
      </c>
      <c r="EZ24" s="4">
        <v>185</v>
      </c>
      <c r="FA24" s="4">
        <v>181</v>
      </c>
      <c r="FB24" s="4">
        <v>177</v>
      </c>
      <c r="FC24" s="4">
        <v>173</v>
      </c>
      <c r="FD24" s="4">
        <v>169</v>
      </c>
      <c r="FE24" s="4">
        <v>165</v>
      </c>
      <c r="FF24" s="4">
        <v>161</v>
      </c>
      <c r="FG24" s="4">
        <v>157</v>
      </c>
      <c r="FH24" s="4">
        <v>153</v>
      </c>
      <c r="FI24" s="4">
        <v>149</v>
      </c>
      <c r="FJ24" s="4">
        <v>145</v>
      </c>
      <c r="FK24" s="4">
        <v>141</v>
      </c>
      <c r="FL24" s="4">
        <v>137</v>
      </c>
      <c r="FM24" s="4">
        <v>133</v>
      </c>
      <c r="FN24" s="4">
        <v>129</v>
      </c>
      <c r="FO24" s="4">
        <v>125</v>
      </c>
      <c r="FP24" s="4">
        <v>121</v>
      </c>
      <c r="FQ24" s="4">
        <v>115</v>
      </c>
      <c r="FR24" s="4">
        <v>109</v>
      </c>
      <c r="FS24" s="4">
        <v>103</v>
      </c>
      <c r="FT24" s="19">
        <v>67.3</v>
      </c>
      <c r="FU24" s="19">
        <v>66.7</v>
      </c>
      <c r="FV24" s="19">
        <v>65.7</v>
      </c>
      <c r="FW24" s="19">
        <v>64.7</v>
      </c>
      <c r="FX24" s="19">
        <v>47.8</v>
      </c>
      <c r="FY24" s="19">
        <v>47.3</v>
      </c>
      <c r="FZ24" s="19">
        <v>46.3</v>
      </c>
      <c r="GA24" s="19">
        <v>45.3</v>
      </c>
      <c r="GB24" s="19">
        <v>44.3</v>
      </c>
      <c r="GC24" s="19">
        <v>43.3</v>
      </c>
      <c r="GD24" s="19">
        <v>42.3</v>
      </c>
      <c r="GE24" s="19">
        <v>41.3</v>
      </c>
      <c r="GF24" s="19">
        <v>40.3</v>
      </c>
      <c r="GG24" s="19">
        <v>39.3</v>
      </c>
      <c r="GH24" s="19">
        <v>38.3</v>
      </c>
      <c r="GI24" s="19">
        <v>37.3</v>
      </c>
      <c r="GJ24" s="19">
        <v>36.3</v>
      </c>
      <c r="GK24" s="19">
        <v>35.3</v>
      </c>
      <c r="GL24" s="19">
        <v>34.3</v>
      </c>
      <c r="GM24" s="19">
        <v>33.3</v>
      </c>
      <c r="GN24" s="19">
        <v>25.8</v>
      </c>
      <c r="GO24" s="19">
        <v>20.8</v>
      </c>
      <c r="GP24" s="19">
        <v>20.2</v>
      </c>
      <c r="GQ24" s="19">
        <v>16.4</v>
      </c>
      <c r="GR24" s="19">
        <v>13.6</v>
      </c>
      <c r="GS24" s="19">
        <v>12.9</v>
      </c>
    </row>
    <row r="25">
      <c r="A25" s="2" t="s">
        <v>330</v>
      </c>
      <c r="B25" s="2" t="s">
        <v>188</v>
      </c>
      <c r="C25" s="2" t="s">
        <v>189</v>
      </c>
      <c r="D25" s="2" t="s">
        <v>190</v>
      </c>
      <c r="E25" s="2" t="s">
        <v>191</v>
      </c>
      <c r="F25" s="2" t="s">
        <v>325</v>
      </c>
      <c r="G25" s="2" t="s">
        <v>325</v>
      </c>
      <c r="H25" s="2" t="s">
        <v>325</v>
      </c>
      <c r="I25" s="2" t="s">
        <v>273</v>
      </c>
      <c r="J25" s="2" t="s">
        <v>214</v>
      </c>
      <c r="K25" s="2" t="s">
        <v>233</v>
      </c>
      <c r="L25" s="3">
        <v>68.26</v>
      </c>
      <c r="M25" s="3">
        <v>71.67</v>
      </c>
      <c r="N25" s="3">
        <v>129.99</v>
      </c>
      <c r="O25" s="2" t="s">
        <v>196</v>
      </c>
      <c r="P25" s="2" t="s">
        <v>197</v>
      </c>
      <c r="Q25" s="2" t="s">
        <v>198</v>
      </c>
      <c r="R25" s="2" t="s">
        <v>199</v>
      </c>
      <c r="S25" s="2" t="s">
        <v>326</v>
      </c>
      <c r="T25" s="2" t="s">
        <v>201</v>
      </c>
      <c r="U25" s="2" t="s">
        <v>199</v>
      </c>
      <c r="V25" s="2" t="s">
        <v>202</v>
      </c>
      <c r="W25" s="2" t="s">
        <v>203</v>
      </c>
      <c r="X25" s="2" t="s">
        <v>199</v>
      </c>
      <c r="Y25" s="2" t="s">
        <v>204</v>
      </c>
      <c r="Z25" s="4">
        <v>207</v>
      </c>
      <c r="AA25" s="4">
        <f>=ROUNDDOWN(20.7,0)</f>
      </c>
      <c r="AB25" s="5">
        <v>10</v>
      </c>
      <c r="AC25" s="2" t="s">
        <v>205</v>
      </c>
      <c r="AD25" s="4">
        <v>320</v>
      </c>
      <c r="AE25" s="4">
        <v>320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199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199</v>
      </c>
      <c r="AW25" s="8" t="s">
        <v>199</v>
      </c>
      <c r="AX25" s="4" t="s">
        <v>199</v>
      </c>
      <c r="AY25" s="8" t="s">
        <v>199</v>
      </c>
      <c r="AZ25" s="7" t="s">
        <v>199</v>
      </c>
      <c r="BA25" s="7" t="s">
        <v>199</v>
      </c>
      <c r="BB25" s="7"/>
      <c r="BC25" s="4" t="s">
        <v>199</v>
      </c>
      <c r="BD25" s="8" t="s">
        <v>199</v>
      </c>
      <c r="BE25" s="4" t="s">
        <v>199</v>
      </c>
      <c r="BF25" s="8" t="s">
        <v>199</v>
      </c>
      <c r="BG25" s="7" t="s">
        <v>199</v>
      </c>
      <c r="BH25" s="7" t="s">
        <v>199</v>
      </c>
      <c r="BI25" s="7"/>
      <c r="BJ25" s="4">
        <v>23</v>
      </c>
      <c r="BK25" s="8">
        <v>1644.15</v>
      </c>
      <c r="BL25" s="2" t="s">
        <v>331</v>
      </c>
      <c r="BM25" s="7"/>
      <c r="BN25" s="7"/>
      <c r="BO25" s="4"/>
      <c r="BP25" s="8"/>
      <c r="BQ25" s="4"/>
      <c r="BR25" s="8"/>
      <c r="BS25" s="7"/>
      <c r="BT25" s="7"/>
      <c r="BU25" s="2" t="s">
        <v>328</v>
      </c>
      <c r="BV25" s="2" t="s">
        <v>199</v>
      </c>
      <c r="BW25" s="2" t="s">
        <v>199</v>
      </c>
      <c r="BX25" s="2" t="s">
        <v>208</v>
      </c>
      <c r="BY25" s="2" t="s">
        <v>209</v>
      </c>
      <c r="BZ25" s="2" t="s">
        <v>196</v>
      </c>
      <c r="CA25" s="2" t="s">
        <v>332</v>
      </c>
      <c r="CB25" s="2" t="s">
        <v>333</v>
      </c>
      <c r="CC25" s="2" t="s">
        <v>212</v>
      </c>
      <c r="CD25" s="2" t="s">
        <v>199</v>
      </c>
      <c r="CE25" s="4">
        <v>207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>
        <v>320</v>
      </c>
      <c r="EP25" s="4"/>
      <c r="EQ25" s="4"/>
      <c r="ER25" s="4"/>
      <c r="ES25" s="4"/>
      <c r="ET25" s="4">
        <v>209</v>
      </c>
      <c r="EU25" s="4">
        <v>204</v>
      </c>
      <c r="EV25" s="4">
        <v>201</v>
      </c>
      <c r="EW25" s="4">
        <v>198</v>
      </c>
      <c r="EX25" s="4">
        <v>195</v>
      </c>
      <c r="EY25" s="4">
        <v>192</v>
      </c>
      <c r="EZ25" s="4">
        <v>186</v>
      </c>
      <c r="FA25" s="4">
        <v>180</v>
      </c>
      <c r="FB25" s="4">
        <v>174</v>
      </c>
      <c r="FC25" s="4">
        <v>168</v>
      </c>
      <c r="FD25" s="4">
        <v>160</v>
      </c>
      <c r="FE25" s="4">
        <v>152</v>
      </c>
      <c r="FF25" s="4">
        <v>144</v>
      </c>
      <c r="FG25" s="4">
        <v>136</v>
      </c>
      <c r="FH25" s="4">
        <v>124</v>
      </c>
      <c r="FI25" s="4">
        <v>112</v>
      </c>
      <c r="FJ25" s="4">
        <v>100</v>
      </c>
      <c r="FK25" s="4">
        <v>408</v>
      </c>
      <c r="FL25" s="4">
        <v>396</v>
      </c>
      <c r="FM25" s="4">
        <v>385</v>
      </c>
      <c r="FN25" s="4">
        <v>374</v>
      </c>
      <c r="FO25" s="4">
        <v>363</v>
      </c>
      <c r="FP25" s="4">
        <v>351</v>
      </c>
      <c r="FQ25" s="4">
        <v>546</v>
      </c>
      <c r="FR25" s="4">
        <v>520</v>
      </c>
      <c r="FS25" s="4">
        <v>494</v>
      </c>
      <c r="FT25" s="19">
        <v>52.3</v>
      </c>
      <c r="FU25" s="19">
        <v>68</v>
      </c>
      <c r="FV25" s="19">
        <v>50.3</v>
      </c>
      <c r="FW25" s="19">
        <v>49.5</v>
      </c>
      <c r="FX25" s="19">
        <v>39</v>
      </c>
      <c r="FY25" s="19">
        <v>32</v>
      </c>
      <c r="FZ25" s="19">
        <v>31</v>
      </c>
      <c r="GA25" s="19">
        <v>25.7</v>
      </c>
      <c r="GB25" s="19">
        <v>21.8</v>
      </c>
      <c r="GC25" s="19">
        <v>21</v>
      </c>
      <c r="GD25" s="19">
        <v>17.8</v>
      </c>
      <c r="GE25" s="19">
        <v>15.2</v>
      </c>
      <c r="GF25" s="19">
        <v>13.1</v>
      </c>
      <c r="GG25" s="19">
        <v>11.3</v>
      </c>
      <c r="GH25" s="19">
        <v>10.3</v>
      </c>
      <c r="GI25" s="19">
        <v>9.3</v>
      </c>
      <c r="GJ25" s="19">
        <v>8.3</v>
      </c>
      <c r="GK25" s="19">
        <v>37.1</v>
      </c>
      <c r="GL25" s="19">
        <v>36</v>
      </c>
      <c r="GM25" s="19">
        <v>25.7</v>
      </c>
      <c r="GN25" s="19">
        <v>19.7</v>
      </c>
      <c r="GO25" s="19">
        <v>16.5</v>
      </c>
      <c r="GP25" s="19">
        <v>13.5</v>
      </c>
      <c r="GQ25" s="19">
        <v>15.2</v>
      </c>
      <c r="GR25" s="19">
        <v>11.1</v>
      </c>
      <c r="GS25" s="19">
        <v>8.2</v>
      </c>
    </row>
    <row r="26">
      <c r="A26" s="2" t="s">
        <v>334</v>
      </c>
      <c r="B26" s="2" t="s">
        <v>188</v>
      </c>
      <c r="C26" s="2" t="s">
        <v>189</v>
      </c>
      <c r="D26" s="2" t="s">
        <v>190</v>
      </c>
      <c r="E26" s="2" t="s">
        <v>191</v>
      </c>
      <c r="F26" s="2" t="s">
        <v>325</v>
      </c>
      <c r="G26" s="2" t="s">
        <v>325</v>
      </c>
      <c r="H26" s="2" t="s">
        <v>325</v>
      </c>
      <c r="I26" s="2" t="s">
        <v>273</v>
      </c>
      <c r="J26" s="2" t="s">
        <v>285</v>
      </c>
      <c r="K26" s="2" t="s">
        <v>233</v>
      </c>
      <c r="L26" s="3">
        <v>87.76</v>
      </c>
      <c r="M26" s="3">
        <v>92.15</v>
      </c>
      <c r="N26" s="3">
        <v>169.99</v>
      </c>
      <c r="O26" s="2" t="s">
        <v>196</v>
      </c>
      <c r="P26" s="2" t="s">
        <v>197</v>
      </c>
      <c r="Q26" s="2" t="s">
        <v>198</v>
      </c>
      <c r="R26" s="2" t="s">
        <v>199</v>
      </c>
      <c r="S26" s="2" t="s">
        <v>326</v>
      </c>
      <c r="T26" s="2" t="s">
        <v>201</v>
      </c>
      <c r="U26" s="2" t="s">
        <v>199</v>
      </c>
      <c r="V26" s="2" t="s">
        <v>202</v>
      </c>
      <c r="W26" s="2" t="s">
        <v>203</v>
      </c>
      <c r="X26" s="2" t="s">
        <v>199</v>
      </c>
      <c r="Y26" s="2" t="s">
        <v>204</v>
      </c>
      <c r="Z26" s="4">
        <v>90</v>
      </c>
      <c r="AA26" s="4">
        <f>=ROUNDDOWN(30,0)</f>
      </c>
      <c r="AB26" s="5">
        <v>3</v>
      </c>
      <c r="AC26" s="2" t="s">
        <v>205</v>
      </c>
      <c r="AD26" s="4">
        <v>30</v>
      </c>
      <c r="AE26" s="4">
        <v>30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199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199</v>
      </c>
      <c r="AW26" s="8" t="s">
        <v>199</v>
      </c>
      <c r="AX26" s="4" t="s">
        <v>199</v>
      </c>
      <c r="AY26" s="8" t="s">
        <v>199</v>
      </c>
      <c r="AZ26" s="7" t="s">
        <v>199</v>
      </c>
      <c r="BA26" s="7" t="s">
        <v>199</v>
      </c>
      <c r="BB26" s="7"/>
      <c r="BC26" s="4" t="s">
        <v>199</v>
      </c>
      <c r="BD26" s="8" t="s">
        <v>199</v>
      </c>
      <c r="BE26" s="4" t="s">
        <v>199</v>
      </c>
      <c r="BF26" s="8" t="s">
        <v>199</v>
      </c>
      <c r="BG26" s="7" t="s">
        <v>199</v>
      </c>
      <c r="BH26" s="7" t="s">
        <v>199</v>
      </c>
      <c r="BI26" s="7"/>
      <c r="BJ26" s="4">
        <v>17</v>
      </c>
      <c r="BK26" s="8">
        <v>1608.4</v>
      </c>
      <c r="BL26" s="2" t="s">
        <v>335</v>
      </c>
      <c r="BM26" s="7"/>
      <c r="BN26" s="7"/>
      <c r="BO26" s="4"/>
      <c r="BP26" s="8"/>
      <c r="BQ26" s="4"/>
      <c r="BR26" s="8"/>
      <c r="BS26" s="7"/>
      <c r="BT26" s="7"/>
      <c r="BU26" s="2" t="s">
        <v>328</v>
      </c>
      <c r="BV26" s="2" t="s">
        <v>199</v>
      </c>
      <c r="BW26" s="2" t="s">
        <v>199</v>
      </c>
      <c r="BX26" s="2" t="s">
        <v>208</v>
      </c>
      <c r="BY26" s="2" t="s">
        <v>209</v>
      </c>
      <c r="BZ26" s="2" t="s">
        <v>196</v>
      </c>
      <c r="CA26" s="2" t="s">
        <v>210</v>
      </c>
      <c r="CB26" s="2" t="s">
        <v>336</v>
      </c>
      <c r="CC26" s="2" t="s">
        <v>212</v>
      </c>
      <c r="CD26" s="2" t="s">
        <v>199</v>
      </c>
      <c r="CE26" s="4">
        <v>90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>
        <v>30</v>
      </c>
      <c r="EP26" s="4"/>
      <c r="EQ26" s="4"/>
      <c r="ER26" s="4"/>
      <c r="ES26" s="4"/>
      <c r="ET26" s="4">
        <v>91</v>
      </c>
      <c r="EU26" s="4">
        <v>89</v>
      </c>
      <c r="EV26" s="4">
        <v>87</v>
      </c>
      <c r="EW26" s="4">
        <v>85</v>
      </c>
      <c r="EX26" s="4">
        <v>83</v>
      </c>
      <c r="EY26" s="4">
        <v>81</v>
      </c>
      <c r="EZ26" s="4">
        <v>78</v>
      </c>
      <c r="FA26" s="4">
        <v>75</v>
      </c>
      <c r="FB26" s="4">
        <v>72</v>
      </c>
      <c r="FC26" s="4">
        <v>69</v>
      </c>
      <c r="FD26" s="4">
        <v>66</v>
      </c>
      <c r="FE26" s="4">
        <v>63</v>
      </c>
      <c r="FF26" s="4">
        <v>60</v>
      </c>
      <c r="FG26" s="4">
        <v>57</v>
      </c>
      <c r="FH26" s="4">
        <v>54</v>
      </c>
      <c r="FI26" s="4">
        <v>51</v>
      </c>
      <c r="FJ26" s="4">
        <v>48</v>
      </c>
      <c r="FK26" s="4">
        <v>75</v>
      </c>
      <c r="FL26" s="4">
        <v>72</v>
      </c>
      <c r="FM26" s="4">
        <v>69</v>
      </c>
      <c r="FN26" s="4">
        <v>66</v>
      </c>
      <c r="FO26" s="4">
        <v>63</v>
      </c>
      <c r="FP26" s="4">
        <v>60</v>
      </c>
      <c r="FQ26" s="4">
        <v>60</v>
      </c>
      <c r="FR26" s="4">
        <v>56</v>
      </c>
      <c r="FS26" s="4">
        <v>52</v>
      </c>
      <c r="FT26" s="19">
        <v>45.5</v>
      </c>
      <c r="FU26" s="19">
        <v>44.5</v>
      </c>
      <c r="FV26" s="19">
        <v>43.5</v>
      </c>
      <c r="FW26" s="19">
        <v>42.5</v>
      </c>
      <c r="FX26" s="19">
        <v>27.7</v>
      </c>
      <c r="FY26" s="19">
        <v>27</v>
      </c>
      <c r="FZ26" s="19">
        <v>26</v>
      </c>
      <c r="GA26" s="19">
        <v>25</v>
      </c>
      <c r="GB26" s="19">
        <v>24</v>
      </c>
      <c r="GC26" s="19">
        <v>23</v>
      </c>
      <c r="GD26" s="19">
        <v>22</v>
      </c>
      <c r="GE26" s="19">
        <v>21</v>
      </c>
      <c r="GF26" s="19">
        <v>20</v>
      </c>
      <c r="GG26" s="19">
        <v>19</v>
      </c>
      <c r="GH26" s="19">
        <v>18</v>
      </c>
      <c r="GI26" s="19">
        <v>17</v>
      </c>
      <c r="GJ26" s="19">
        <v>16</v>
      </c>
      <c r="GK26" s="19">
        <v>25</v>
      </c>
      <c r="GL26" s="19">
        <v>24</v>
      </c>
      <c r="GM26" s="19">
        <v>23</v>
      </c>
      <c r="GN26" s="19">
        <v>16.5</v>
      </c>
      <c r="GO26" s="19">
        <v>15.8</v>
      </c>
      <c r="GP26" s="19">
        <v>15</v>
      </c>
      <c r="GQ26" s="19">
        <v>12</v>
      </c>
      <c r="GR26" s="19">
        <v>9.3</v>
      </c>
      <c r="GS26" s="19">
        <v>8.7</v>
      </c>
    </row>
    <row r="27">
      <c r="A27" s="2" t="s">
        <v>337</v>
      </c>
      <c r="B27" s="2" t="s">
        <v>188</v>
      </c>
      <c r="C27" s="2" t="s">
        <v>189</v>
      </c>
      <c r="D27" s="2" t="s">
        <v>190</v>
      </c>
      <c r="E27" s="2" t="s">
        <v>191</v>
      </c>
      <c r="F27" s="2" t="s">
        <v>325</v>
      </c>
      <c r="G27" s="2" t="s">
        <v>325</v>
      </c>
      <c r="H27" s="2" t="s">
        <v>325</v>
      </c>
      <c r="I27" s="2" t="s">
        <v>273</v>
      </c>
      <c r="J27" s="2" t="s">
        <v>223</v>
      </c>
      <c r="K27" s="2" t="s">
        <v>233</v>
      </c>
      <c r="L27" s="3">
        <v>121.9</v>
      </c>
      <c r="M27" s="3">
        <v>128</v>
      </c>
      <c r="N27" s="3">
        <v>239.99</v>
      </c>
      <c r="O27" s="2" t="s">
        <v>196</v>
      </c>
      <c r="P27" s="2" t="s">
        <v>197</v>
      </c>
      <c r="Q27" s="2" t="s">
        <v>198</v>
      </c>
      <c r="R27" s="2" t="s">
        <v>199</v>
      </c>
      <c r="S27" s="2" t="s">
        <v>326</v>
      </c>
      <c r="T27" s="2" t="s">
        <v>201</v>
      </c>
      <c r="U27" s="2" t="s">
        <v>199</v>
      </c>
      <c r="V27" s="2" t="s">
        <v>202</v>
      </c>
      <c r="W27" s="2" t="s">
        <v>203</v>
      </c>
      <c r="X27" s="2" t="s">
        <v>199</v>
      </c>
      <c r="Y27" s="2" t="s">
        <v>204</v>
      </c>
      <c r="Z27" s="4">
        <v>109</v>
      </c>
      <c r="AA27" s="4">
        <f>=ROUNDDOWN(27.25,0)</f>
      </c>
      <c r="AB27" s="5">
        <v>4</v>
      </c>
      <c r="AC27" s="2" t="s">
        <v>199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199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199</v>
      </c>
      <c r="AW27" s="8" t="s">
        <v>199</v>
      </c>
      <c r="AX27" s="4" t="s">
        <v>199</v>
      </c>
      <c r="AY27" s="8" t="s">
        <v>199</v>
      </c>
      <c r="AZ27" s="7" t="s">
        <v>199</v>
      </c>
      <c r="BA27" s="7" t="s">
        <v>199</v>
      </c>
      <c r="BB27" s="7"/>
      <c r="BC27" s="4" t="s">
        <v>199</v>
      </c>
      <c r="BD27" s="8" t="s">
        <v>199</v>
      </c>
      <c r="BE27" s="4" t="s">
        <v>199</v>
      </c>
      <c r="BF27" s="8" t="s">
        <v>199</v>
      </c>
      <c r="BG27" s="7" t="s">
        <v>199</v>
      </c>
      <c r="BH27" s="7" t="s">
        <v>199</v>
      </c>
      <c r="BI27" s="7"/>
      <c r="BJ27" s="4">
        <v>32</v>
      </c>
      <c r="BK27" s="8">
        <v>4166.25</v>
      </c>
      <c r="BL27" s="2" t="s">
        <v>338</v>
      </c>
      <c r="BM27" s="7"/>
      <c r="BN27" s="7"/>
      <c r="BO27" s="4"/>
      <c r="BP27" s="8"/>
      <c r="BQ27" s="4"/>
      <c r="BR27" s="8"/>
      <c r="BS27" s="7"/>
      <c r="BT27" s="7"/>
      <c r="BU27" s="2" t="s">
        <v>328</v>
      </c>
      <c r="BV27" s="2" t="s">
        <v>199</v>
      </c>
      <c r="BW27" s="2" t="s">
        <v>199</v>
      </c>
      <c r="BX27" s="2" t="s">
        <v>208</v>
      </c>
      <c r="BY27" s="2" t="s">
        <v>209</v>
      </c>
      <c r="BZ27" s="2" t="s">
        <v>196</v>
      </c>
      <c r="CA27" s="2" t="s">
        <v>210</v>
      </c>
      <c r="CB27" s="2" t="s">
        <v>339</v>
      </c>
      <c r="CC27" s="2" t="s">
        <v>212</v>
      </c>
      <c r="CD27" s="2" t="s">
        <v>199</v>
      </c>
      <c r="CE27" s="4">
        <v>20</v>
      </c>
      <c r="CF27" s="4">
        <v>43</v>
      </c>
      <c r="CG27" s="4"/>
      <c r="CH27" s="4">
        <v>46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>
        <v>113</v>
      </c>
      <c r="EU27" s="4">
        <v>107</v>
      </c>
      <c r="EV27" s="4">
        <v>105</v>
      </c>
      <c r="EW27" s="4">
        <v>103</v>
      </c>
      <c r="EX27" s="4">
        <v>101</v>
      </c>
      <c r="EY27" s="4">
        <v>99</v>
      </c>
      <c r="EZ27" s="4">
        <v>95</v>
      </c>
      <c r="FA27" s="4">
        <v>91</v>
      </c>
      <c r="FB27" s="4">
        <v>86</v>
      </c>
      <c r="FC27" s="4">
        <v>82</v>
      </c>
      <c r="FD27" s="4">
        <v>77</v>
      </c>
      <c r="FE27" s="4">
        <v>72</v>
      </c>
      <c r="FF27" s="4">
        <v>67</v>
      </c>
      <c r="FG27" s="4">
        <v>62</v>
      </c>
      <c r="FH27" s="4">
        <v>58</v>
      </c>
      <c r="FI27" s="4">
        <v>54</v>
      </c>
      <c r="FJ27" s="4">
        <v>50</v>
      </c>
      <c r="FK27" s="4">
        <v>46</v>
      </c>
      <c r="FL27" s="4">
        <v>42</v>
      </c>
      <c r="FM27" s="4">
        <v>39</v>
      </c>
      <c r="FN27" s="4">
        <v>36</v>
      </c>
      <c r="FO27" s="4">
        <v>33</v>
      </c>
      <c r="FP27" s="4">
        <v>30</v>
      </c>
      <c r="FQ27" s="4">
        <v>42</v>
      </c>
      <c r="FR27" s="4">
        <v>38</v>
      </c>
      <c r="FS27" s="4">
        <v>34</v>
      </c>
      <c r="FT27" s="19">
        <v>37.7</v>
      </c>
      <c r="FU27" s="19">
        <v>53.5</v>
      </c>
      <c r="FV27" s="19">
        <v>52.5</v>
      </c>
      <c r="FW27" s="19">
        <v>34.3</v>
      </c>
      <c r="FX27" s="19">
        <v>25.3</v>
      </c>
      <c r="FY27" s="19">
        <v>24.8</v>
      </c>
      <c r="FZ27" s="19">
        <v>23.8</v>
      </c>
      <c r="GA27" s="19">
        <v>18.2</v>
      </c>
      <c r="GB27" s="19">
        <v>17.2</v>
      </c>
      <c r="GC27" s="19">
        <v>16.4</v>
      </c>
      <c r="GD27" s="19">
        <v>15.4</v>
      </c>
      <c r="GE27" s="19">
        <v>18</v>
      </c>
      <c r="GF27" s="19">
        <v>16.8</v>
      </c>
      <c r="GG27" s="19">
        <v>15.5</v>
      </c>
      <c r="GH27" s="19">
        <v>14.5</v>
      </c>
      <c r="GI27" s="19">
        <v>13.5</v>
      </c>
      <c r="GJ27" s="19">
        <v>12.5</v>
      </c>
      <c r="GK27" s="19">
        <v>15.3</v>
      </c>
      <c r="GL27" s="19">
        <v>14</v>
      </c>
      <c r="GM27" s="19">
        <v>13</v>
      </c>
      <c r="GN27" s="19">
        <v>9</v>
      </c>
      <c r="GO27" s="19">
        <v>8.3</v>
      </c>
      <c r="GP27" s="19">
        <v>7.5</v>
      </c>
      <c r="GQ27" s="19">
        <v>10.5</v>
      </c>
      <c r="GR27" s="19">
        <v>9.5</v>
      </c>
      <c r="GS27" s="19">
        <v>8.5</v>
      </c>
    </row>
    <row r="28">
      <c r="A28" s="2" t="s">
        <v>340</v>
      </c>
      <c r="B28" s="2" t="s">
        <v>188</v>
      </c>
      <c r="C28" s="2" t="s">
        <v>189</v>
      </c>
      <c r="D28" s="2" t="s">
        <v>190</v>
      </c>
      <c r="E28" s="2" t="s">
        <v>191</v>
      </c>
      <c r="F28" s="2" t="s">
        <v>341</v>
      </c>
      <c r="G28" s="2" t="s">
        <v>342</v>
      </c>
      <c r="H28" s="2" t="s">
        <v>341</v>
      </c>
      <c r="I28" s="2" t="s">
        <v>343</v>
      </c>
      <c r="J28" s="2" t="s">
        <v>214</v>
      </c>
      <c r="K28" s="2" t="s">
        <v>233</v>
      </c>
      <c r="L28" s="3">
        <v>79.49</v>
      </c>
      <c r="M28" s="3">
        <v>83.46</v>
      </c>
      <c r="N28" s="3">
        <v>149.99</v>
      </c>
      <c r="O28" s="2" t="s">
        <v>196</v>
      </c>
      <c r="P28" s="2" t="s">
        <v>197</v>
      </c>
      <c r="Q28" s="2" t="s">
        <v>198</v>
      </c>
      <c r="R28" s="2" t="s">
        <v>199</v>
      </c>
      <c r="S28" s="2" t="s">
        <v>344</v>
      </c>
      <c r="T28" s="2" t="s">
        <v>201</v>
      </c>
      <c r="U28" s="2" t="s">
        <v>199</v>
      </c>
      <c r="V28" s="2" t="s">
        <v>202</v>
      </c>
      <c r="W28" s="2" t="s">
        <v>203</v>
      </c>
      <c r="X28" s="2" t="s">
        <v>199</v>
      </c>
      <c r="Y28" s="2" t="s">
        <v>204</v>
      </c>
      <c r="Z28" s="4">
        <v>271</v>
      </c>
      <c r="AA28" s="4">
        <f>=ROUNDDOWN(27.1,0)</f>
      </c>
      <c r="AB28" s="5">
        <v>10</v>
      </c>
      <c r="AC28" s="2" t="s">
        <v>205</v>
      </c>
      <c r="AD28" s="4">
        <v>300</v>
      </c>
      <c r="AE28" s="4">
        <v>300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199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199</v>
      </c>
      <c r="AW28" s="8" t="s">
        <v>199</v>
      </c>
      <c r="AX28" s="4" t="s">
        <v>199</v>
      </c>
      <c r="AY28" s="8" t="s">
        <v>199</v>
      </c>
      <c r="AZ28" s="7" t="s">
        <v>199</v>
      </c>
      <c r="BA28" s="7" t="s">
        <v>199</v>
      </c>
      <c r="BB28" s="7"/>
      <c r="BC28" s="4" t="s">
        <v>199</v>
      </c>
      <c r="BD28" s="8" t="s">
        <v>199</v>
      </c>
      <c r="BE28" s="4" t="s">
        <v>199</v>
      </c>
      <c r="BF28" s="8" t="s">
        <v>199</v>
      </c>
      <c r="BG28" s="7" t="s">
        <v>199</v>
      </c>
      <c r="BH28" s="7" t="s">
        <v>199</v>
      </c>
      <c r="BI28" s="7"/>
      <c r="BJ28" s="4">
        <v>7</v>
      </c>
      <c r="BK28" s="8">
        <v>599.96</v>
      </c>
      <c r="BL28" s="2" t="s">
        <v>345</v>
      </c>
      <c r="BM28" s="7"/>
      <c r="BN28" s="7"/>
      <c r="BO28" s="4"/>
      <c r="BP28" s="8"/>
      <c r="BQ28" s="4"/>
      <c r="BR28" s="8"/>
      <c r="BS28" s="7"/>
      <c r="BT28" s="7"/>
      <c r="BU28" s="2" t="s">
        <v>346</v>
      </c>
      <c r="BV28" s="2" t="s">
        <v>199</v>
      </c>
      <c r="BW28" s="2" t="s">
        <v>199</v>
      </c>
      <c r="BX28" s="2" t="s">
        <v>208</v>
      </c>
      <c r="BY28" s="2" t="s">
        <v>209</v>
      </c>
      <c r="BZ28" s="2" t="s">
        <v>196</v>
      </c>
      <c r="CA28" s="2" t="s">
        <v>347</v>
      </c>
      <c r="CB28" s="2" t="s">
        <v>348</v>
      </c>
      <c r="CC28" s="2" t="s">
        <v>212</v>
      </c>
      <c r="CD28" s="2" t="s">
        <v>199</v>
      </c>
      <c r="CE28" s="4">
        <v>271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>
        <v>300</v>
      </c>
      <c r="EP28" s="4"/>
      <c r="EQ28" s="4"/>
      <c r="ER28" s="4"/>
      <c r="ES28" s="4"/>
      <c r="ET28" s="4">
        <v>271</v>
      </c>
      <c r="EU28" s="4">
        <v>268</v>
      </c>
      <c r="EV28" s="4">
        <v>265</v>
      </c>
      <c r="EW28" s="4">
        <v>262</v>
      </c>
      <c r="EX28" s="4">
        <v>259</v>
      </c>
      <c r="EY28" s="4">
        <v>256</v>
      </c>
      <c r="EZ28" s="4">
        <v>250</v>
      </c>
      <c r="FA28" s="4">
        <v>244</v>
      </c>
      <c r="FB28" s="4">
        <v>238</v>
      </c>
      <c r="FC28" s="4">
        <v>232</v>
      </c>
      <c r="FD28" s="4">
        <v>224</v>
      </c>
      <c r="FE28" s="4">
        <v>216</v>
      </c>
      <c r="FF28" s="4">
        <v>208</v>
      </c>
      <c r="FG28" s="4">
        <v>200</v>
      </c>
      <c r="FH28" s="4">
        <v>188</v>
      </c>
      <c r="FI28" s="4">
        <v>176</v>
      </c>
      <c r="FJ28" s="4">
        <v>164</v>
      </c>
      <c r="FK28" s="4">
        <v>452</v>
      </c>
      <c r="FL28" s="4">
        <v>440</v>
      </c>
      <c r="FM28" s="4">
        <v>429</v>
      </c>
      <c r="FN28" s="4">
        <v>418</v>
      </c>
      <c r="FO28" s="4">
        <v>407</v>
      </c>
      <c r="FP28" s="4">
        <v>395</v>
      </c>
      <c r="FQ28" s="4">
        <v>369</v>
      </c>
      <c r="FR28" s="4">
        <v>343</v>
      </c>
      <c r="FS28" s="4">
        <v>317</v>
      </c>
      <c r="FT28" s="19">
        <v>90.3</v>
      </c>
      <c r="FU28" s="19">
        <v>89.3</v>
      </c>
      <c r="FV28" s="19">
        <v>66.3</v>
      </c>
      <c r="FW28" s="19">
        <v>65.5</v>
      </c>
      <c r="FX28" s="19">
        <v>51.8</v>
      </c>
      <c r="FY28" s="19">
        <v>42.7</v>
      </c>
      <c r="FZ28" s="19">
        <v>41.7</v>
      </c>
      <c r="GA28" s="19">
        <v>34.9</v>
      </c>
      <c r="GB28" s="19">
        <v>29.8</v>
      </c>
      <c r="GC28" s="19">
        <v>29</v>
      </c>
      <c r="GD28" s="19">
        <v>24.9</v>
      </c>
      <c r="GE28" s="19">
        <v>21.6</v>
      </c>
      <c r="GF28" s="19">
        <v>18.9</v>
      </c>
      <c r="GG28" s="19">
        <v>16.7</v>
      </c>
      <c r="GH28" s="19">
        <v>15.7</v>
      </c>
      <c r="GI28" s="19">
        <v>14.7</v>
      </c>
      <c r="GJ28" s="19">
        <v>13.7</v>
      </c>
      <c r="GK28" s="19">
        <v>41.1</v>
      </c>
      <c r="GL28" s="19">
        <v>40</v>
      </c>
      <c r="GM28" s="19">
        <v>28.6</v>
      </c>
      <c r="GN28" s="19">
        <v>22</v>
      </c>
      <c r="GO28" s="19">
        <v>18.5</v>
      </c>
      <c r="GP28" s="19">
        <v>15.2</v>
      </c>
      <c r="GQ28" s="19">
        <v>10.3</v>
      </c>
      <c r="GR28" s="19">
        <v>7.3</v>
      </c>
      <c r="GS28" s="19">
        <v>5.3</v>
      </c>
    </row>
    <row r="29">
      <c r="A29" s="2" t="s">
        <v>349</v>
      </c>
      <c r="B29" s="2" t="s">
        <v>188</v>
      </c>
      <c r="C29" s="2" t="s">
        <v>189</v>
      </c>
      <c r="D29" s="2" t="s">
        <v>190</v>
      </c>
      <c r="E29" s="2" t="s">
        <v>191</v>
      </c>
      <c r="F29" s="2" t="s">
        <v>341</v>
      </c>
      <c r="G29" s="2" t="s">
        <v>342</v>
      </c>
      <c r="H29" s="2" t="s">
        <v>341</v>
      </c>
      <c r="I29" s="2" t="s">
        <v>343</v>
      </c>
      <c r="J29" s="2" t="s">
        <v>285</v>
      </c>
      <c r="K29" s="2" t="s">
        <v>233</v>
      </c>
      <c r="L29" s="3">
        <v>100.69</v>
      </c>
      <c r="M29" s="3">
        <v>105.72</v>
      </c>
      <c r="N29" s="3">
        <v>189.99</v>
      </c>
      <c r="O29" s="2" t="s">
        <v>196</v>
      </c>
      <c r="P29" s="2" t="s">
        <v>197</v>
      </c>
      <c r="Q29" s="2" t="s">
        <v>198</v>
      </c>
      <c r="R29" s="2" t="s">
        <v>199</v>
      </c>
      <c r="S29" s="2" t="s">
        <v>344</v>
      </c>
      <c r="T29" s="2" t="s">
        <v>201</v>
      </c>
      <c r="U29" s="2" t="s">
        <v>199</v>
      </c>
      <c r="V29" s="2" t="s">
        <v>202</v>
      </c>
      <c r="W29" s="2" t="s">
        <v>203</v>
      </c>
      <c r="X29" s="2" t="s">
        <v>199</v>
      </c>
      <c r="Y29" s="2" t="s">
        <v>204</v>
      </c>
      <c r="Z29" s="4">
        <v>179</v>
      </c>
      <c r="AA29" s="4">
        <f>=ROUNDDOWN(44.75,0)</f>
      </c>
      <c r="AB29" s="5">
        <v>4</v>
      </c>
      <c r="AC29" s="2" t="s">
        <v>199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199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199</v>
      </c>
      <c r="AW29" s="8" t="s">
        <v>199</v>
      </c>
      <c r="AX29" s="4" t="s">
        <v>199</v>
      </c>
      <c r="AY29" s="8" t="s">
        <v>199</v>
      </c>
      <c r="AZ29" s="7" t="s">
        <v>199</v>
      </c>
      <c r="BA29" s="7" t="s">
        <v>199</v>
      </c>
      <c r="BB29" s="7"/>
      <c r="BC29" s="4" t="s">
        <v>199</v>
      </c>
      <c r="BD29" s="8" t="s">
        <v>199</v>
      </c>
      <c r="BE29" s="4" t="s">
        <v>199</v>
      </c>
      <c r="BF29" s="8" t="s">
        <v>199</v>
      </c>
      <c r="BG29" s="7" t="s">
        <v>199</v>
      </c>
      <c r="BH29" s="7" t="s">
        <v>199</v>
      </c>
      <c r="BI29" s="7"/>
      <c r="BJ29" s="4">
        <v>8</v>
      </c>
      <c r="BK29" s="8">
        <v>833.59</v>
      </c>
      <c r="BL29" s="2" t="s">
        <v>350</v>
      </c>
      <c r="BM29" s="7"/>
      <c r="BN29" s="7"/>
      <c r="BO29" s="4"/>
      <c r="BP29" s="8"/>
      <c r="BQ29" s="4"/>
      <c r="BR29" s="8"/>
      <c r="BS29" s="7"/>
      <c r="BT29" s="7"/>
      <c r="BU29" s="2" t="s">
        <v>346</v>
      </c>
      <c r="BV29" s="2" t="s">
        <v>199</v>
      </c>
      <c r="BW29" s="2" t="s">
        <v>199</v>
      </c>
      <c r="BX29" s="2" t="s">
        <v>208</v>
      </c>
      <c r="BY29" s="2" t="s">
        <v>209</v>
      </c>
      <c r="BZ29" s="2" t="s">
        <v>196</v>
      </c>
      <c r="CA29" s="2" t="s">
        <v>347</v>
      </c>
      <c r="CB29" s="2" t="s">
        <v>351</v>
      </c>
      <c r="CC29" s="2" t="s">
        <v>212</v>
      </c>
      <c r="CD29" s="2" t="s">
        <v>199</v>
      </c>
      <c r="CE29" s="4">
        <v>179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>
        <v>180</v>
      </c>
      <c r="EU29" s="4">
        <v>176</v>
      </c>
      <c r="EV29" s="4">
        <v>173</v>
      </c>
      <c r="EW29" s="4">
        <v>170</v>
      </c>
      <c r="EX29" s="4">
        <v>167</v>
      </c>
      <c r="EY29" s="4">
        <v>165</v>
      </c>
      <c r="EZ29" s="4">
        <v>161</v>
      </c>
      <c r="FA29" s="4">
        <v>157</v>
      </c>
      <c r="FB29" s="4">
        <v>153</v>
      </c>
      <c r="FC29" s="4">
        <v>149</v>
      </c>
      <c r="FD29" s="4">
        <v>145</v>
      </c>
      <c r="FE29" s="4">
        <v>141</v>
      </c>
      <c r="FF29" s="4">
        <v>137</v>
      </c>
      <c r="FG29" s="4">
        <v>133</v>
      </c>
      <c r="FH29" s="4">
        <v>129</v>
      </c>
      <c r="FI29" s="4">
        <v>125</v>
      </c>
      <c r="FJ29" s="4">
        <v>121</v>
      </c>
      <c r="FK29" s="4">
        <v>117</v>
      </c>
      <c r="FL29" s="4">
        <v>113</v>
      </c>
      <c r="FM29" s="4">
        <v>109</v>
      </c>
      <c r="FN29" s="4">
        <v>105</v>
      </c>
      <c r="FO29" s="4">
        <v>101</v>
      </c>
      <c r="FP29" s="4">
        <v>97</v>
      </c>
      <c r="FQ29" s="4">
        <v>92</v>
      </c>
      <c r="FR29" s="4">
        <v>87</v>
      </c>
      <c r="FS29" s="4">
        <v>82</v>
      </c>
      <c r="FT29" s="19">
        <v>60</v>
      </c>
      <c r="FU29" s="19">
        <v>58.7</v>
      </c>
      <c r="FV29" s="19">
        <v>57.7</v>
      </c>
      <c r="FW29" s="19">
        <v>56.7</v>
      </c>
      <c r="FX29" s="19">
        <v>41.8</v>
      </c>
      <c r="FY29" s="19">
        <v>41.3</v>
      </c>
      <c r="FZ29" s="19">
        <v>40.3</v>
      </c>
      <c r="GA29" s="19">
        <v>39.3</v>
      </c>
      <c r="GB29" s="19">
        <v>38.3</v>
      </c>
      <c r="GC29" s="19">
        <v>37.3</v>
      </c>
      <c r="GD29" s="19">
        <v>36.3</v>
      </c>
      <c r="GE29" s="19">
        <v>35.3</v>
      </c>
      <c r="GF29" s="19">
        <v>34.3</v>
      </c>
      <c r="GG29" s="19">
        <v>33.3</v>
      </c>
      <c r="GH29" s="19">
        <v>32.3</v>
      </c>
      <c r="GI29" s="19">
        <v>31.3</v>
      </c>
      <c r="GJ29" s="19">
        <v>30.3</v>
      </c>
      <c r="GK29" s="19">
        <v>29.3</v>
      </c>
      <c r="GL29" s="19">
        <v>28.3</v>
      </c>
      <c r="GM29" s="19">
        <v>27.3</v>
      </c>
      <c r="GN29" s="19">
        <v>26.3</v>
      </c>
      <c r="GO29" s="19">
        <v>20.2</v>
      </c>
      <c r="GP29" s="19">
        <v>19.4</v>
      </c>
      <c r="GQ29" s="19">
        <v>15.3</v>
      </c>
      <c r="GR29" s="19">
        <v>12.4</v>
      </c>
      <c r="GS29" s="19">
        <v>10.3</v>
      </c>
    </row>
    <row r="30">
      <c r="A30" s="2" t="s">
        <v>352</v>
      </c>
      <c r="B30" s="2" t="s">
        <v>188</v>
      </c>
      <c r="C30" s="2" t="s">
        <v>189</v>
      </c>
      <c r="D30" s="2" t="s">
        <v>190</v>
      </c>
      <c r="E30" s="2" t="s">
        <v>191</v>
      </c>
      <c r="F30" s="2" t="s">
        <v>341</v>
      </c>
      <c r="G30" s="2" t="s">
        <v>342</v>
      </c>
      <c r="H30" s="2" t="s">
        <v>341</v>
      </c>
      <c r="I30" s="2" t="s">
        <v>343</v>
      </c>
      <c r="J30" s="2" t="s">
        <v>219</v>
      </c>
      <c r="K30" s="2" t="s">
        <v>233</v>
      </c>
      <c r="L30" s="3">
        <v>111.29</v>
      </c>
      <c r="M30" s="3">
        <v>116.85</v>
      </c>
      <c r="N30" s="3">
        <v>209.99</v>
      </c>
      <c r="O30" s="2" t="s">
        <v>196</v>
      </c>
      <c r="P30" s="2" t="s">
        <v>197</v>
      </c>
      <c r="Q30" s="2" t="s">
        <v>198</v>
      </c>
      <c r="R30" s="2" t="s">
        <v>199</v>
      </c>
      <c r="S30" s="2" t="s">
        <v>344</v>
      </c>
      <c r="T30" s="2" t="s">
        <v>201</v>
      </c>
      <c r="U30" s="2" t="s">
        <v>199</v>
      </c>
      <c r="V30" s="2" t="s">
        <v>202</v>
      </c>
      <c r="W30" s="2" t="s">
        <v>203</v>
      </c>
      <c r="X30" s="2" t="s">
        <v>199</v>
      </c>
      <c r="Y30" s="2" t="s">
        <v>204</v>
      </c>
      <c r="Z30" s="4">
        <v>227</v>
      </c>
      <c r="AA30" s="4">
        <f>=ROUNDDOWN(32.4285714285714,0)</f>
      </c>
      <c r="AB30" s="5">
        <v>7</v>
      </c>
      <c r="AC30" s="2" t="s">
        <v>199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199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199</v>
      </c>
      <c r="AW30" s="8" t="s">
        <v>199</v>
      </c>
      <c r="AX30" s="4" t="s">
        <v>199</v>
      </c>
      <c r="AY30" s="8" t="s">
        <v>199</v>
      </c>
      <c r="AZ30" s="7" t="s">
        <v>199</v>
      </c>
      <c r="BA30" s="7" t="s">
        <v>199</v>
      </c>
      <c r="BB30" s="7"/>
      <c r="BC30" s="4" t="s">
        <v>199</v>
      </c>
      <c r="BD30" s="8" t="s">
        <v>199</v>
      </c>
      <c r="BE30" s="4" t="s">
        <v>199</v>
      </c>
      <c r="BF30" s="8" t="s">
        <v>199</v>
      </c>
      <c r="BG30" s="7" t="s">
        <v>199</v>
      </c>
      <c r="BH30" s="7" t="s">
        <v>199</v>
      </c>
      <c r="BI30" s="7"/>
      <c r="BJ30" s="4">
        <v>19</v>
      </c>
      <c r="BK30" s="8">
        <v>2243.87</v>
      </c>
      <c r="BL30" s="2" t="s">
        <v>353</v>
      </c>
      <c r="BM30" s="7"/>
      <c r="BN30" s="7"/>
      <c r="BO30" s="4"/>
      <c r="BP30" s="8"/>
      <c r="BQ30" s="4"/>
      <c r="BR30" s="8"/>
      <c r="BS30" s="7"/>
      <c r="BT30" s="7"/>
      <c r="BU30" s="2" t="s">
        <v>346</v>
      </c>
      <c r="BV30" s="2" t="s">
        <v>199</v>
      </c>
      <c r="BW30" s="2" t="s">
        <v>199</v>
      </c>
      <c r="BX30" s="2" t="s">
        <v>208</v>
      </c>
      <c r="BY30" s="2" t="s">
        <v>209</v>
      </c>
      <c r="BZ30" s="2" t="s">
        <v>196</v>
      </c>
      <c r="CA30" s="2" t="s">
        <v>347</v>
      </c>
      <c r="CB30" s="2" t="s">
        <v>351</v>
      </c>
      <c r="CC30" s="2" t="s">
        <v>212</v>
      </c>
      <c r="CD30" s="2" t="s">
        <v>199</v>
      </c>
      <c r="CE30" s="4">
        <v>227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>
        <v>227</v>
      </c>
      <c r="EU30" s="4">
        <v>223</v>
      </c>
      <c r="EV30" s="4">
        <v>219</v>
      </c>
      <c r="EW30" s="4">
        <v>215</v>
      </c>
      <c r="EX30" s="4">
        <v>211</v>
      </c>
      <c r="EY30" s="4">
        <v>207</v>
      </c>
      <c r="EZ30" s="4">
        <v>202</v>
      </c>
      <c r="FA30" s="4">
        <v>197</v>
      </c>
      <c r="FB30" s="4">
        <v>192</v>
      </c>
      <c r="FC30" s="4">
        <v>187</v>
      </c>
      <c r="FD30" s="4">
        <v>180</v>
      </c>
      <c r="FE30" s="4">
        <v>173</v>
      </c>
      <c r="FF30" s="4">
        <v>166</v>
      </c>
      <c r="FG30" s="4">
        <v>159</v>
      </c>
      <c r="FH30" s="4">
        <v>151</v>
      </c>
      <c r="FI30" s="4">
        <v>143</v>
      </c>
      <c r="FJ30" s="4">
        <v>135</v>
      </c>
      <c r="FK30" s="4">
        <v>127</v>
      </c>
      <c r="FL30" s="4">
        <v>119</v>
      </c>
      <c r="FM30" s="4">
        <v>113</v>
      </c>
      <c r="FN30" s="4">
        <v>107</v>
      </c>
      <c r="FO30" s="4">
        <v>101</v>
      </c>
      <c r="FP30" s="4">
        <v>94</v>
      </c>
      <c r="FQ30" s="4">
        <v>86</v>
      </c>
      <c r="FR30" s="4">
        <v>78</v>
      </c>
      <c r="FS30" s="4">
        <v>70</v>
      </c>
      <c r="FT30" s="19">
        <v>56.8</v>
      </c>
      <c r="FU30" s="19">
        <v>55.8</v>
      </c>
      <c r="FV30" s="19">
        <v>54.8</v>
      </c>
      <c r="FW30" s="19">
        <v>53.8</v>
      </c>
      <c r="FX30" s="19">
        <v>42.2</v>
      </c>
      <c r="FY30" s="19">
        <v>41.4</v>
      </c>
      <c r="FZ30" s="19">
        <v>33.7</v>
      </c>
      <c r="GA30" s="19">
        <v>32.8</v>
      </c>
      <c r="GB30" s="19">
        <v>32</v>
      </c>
      <c r="GC30" s="19">
        <v>26.7</v>
      </c>
      <c r="GD30" s="19">
        <v>25.7</v>
      </c>
      <c r="GE30" s="19">
        <v>21.6</v>
      </c>
      <c r="GF30" s="19">
        <v>20.8</v>
      </c>
      <c r="GG30" s="19">
        <v>19.9</v>
      </c>
      <c r="GH30" s="19">
        <v>18.9</v>
      </c>
      <c r="GI30" s="19">
        <v>17.9</v>
      </c>
      <c r="GJ30" s="19">
        <v>19.3</v>
      </c>
      <c r="GK30" s="19">
        <v>21.2</v>
      </c>
      <c r="GL30" s="19">
        <v>19.8</v>
      </c>
      <c r="GM30" s="19">
        <v>16.1</v>
      </c>
      <c r="GN30" s="19">
        <v>15.3</v>
      </c>
      <c r="GO30" s="19">
        <v>12.6</v>
      </c>
      <c r="GP30" s="19">
        <v>11.8</v>
      </c>
      <c r="GQ30" s="19">
        <v>10.8</v>
      </c>
      <c r="GR30" s="19">
        <v>11.1</v>
      </c>
      <c r="GS30" s="19">
        <v>10</v>
      </c>
    </row>
    <row r="31">
      <c r="A31" s="2" t="s">
        <v>354</v>
      </c>
      <c r="B31" s="2" t="s">
        <v>188</v>
      </c>
      <c r="C31" s="2" t="s">
        <v>189</v>
      </c>
      <c r="D31" s="2" t="s">
        <v>190</v>
      </c>
      <c r="E31" s="2" t="s">
        <v>191</v>
      </c>
      <c r="F31" s="2" t="s">
        <v>341</v>
      </c>
      <c r="G31" s="2" t="s">
        <v>342</v>
      </c>
      <c r="H31" s="2" t="s">
        <v>341</v>
      </c>
      <c r="I31" s="2" t="s">
        <v>343</v>
      </c>
      <c r="J31" s="2" t="s">
        <v>223</v>
      </c>
      <c r="K31" s="2" t="s">
        <v>233</v>
      </c>
      <c r="L31" s="3">
        <v>137.79</v>
      </c>
      <c r="M31" s="3">
        <v>144.68</v>
      </c>
      <c r="N31" s="3">
        <v>259.99</v>
      </c>
      <c r="O31" s="2" t="s">
        <v>196</v>
      </c>
      <c r="P31" s="2" t="s">
        <v>197</v>
      </c>
      <c r="Q31" s="2" t="s">
        <v>198</v>
      </c>
      <c r="R31" s="2" t="s">
        <v>199</v>
      </c>
      <c r="S31" s="2" t="s">
        <v>344</v>
      </c>
      <c r="T31" s="2" t="s">
        <v>201</v>
      </c>
      <c r="U31" s="2" t="s">
        <v>199</v>
      </c>
      <c r="V31" s="2" t="s">
        <v>202</v>
      </c>
      <c r="W31" s="2" t="s">
        <v>203</v>
      </c>
      <c r="X31" s="2" t="s">
        <v>199</v>
      </c>
      <c r="Y31" s="2" t="s">
        <v>204</v>
      </c>
      <c r="Z31" s="4">
        <v>183</v>
      </c>
      <c r="AA31" s="4">
        <f>=ROUNDDOWN(36.6,0)</f>
      </c>
      <c r="AB31" s="5">
        <v>5</v>
      </c>
      <c r="AC31" s="2" t="s">
        <v>199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199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199</v>
      </c>
      <c r="AW31" s="8" t="s">
        <v>199</v>
      </c>
      <c r="AX31" s="4" t="s">
        <v>199</v>
      </c>
      <c r="AY31" s="8" t="s">
        <v>199</v>
      </c>
      <c r="AZ31" s="7" t="s">
        <v>199</v>
      </c>
      <c r="BA31" s="7" t="s">
        <v>199</v>
      </c>
      <c r="BB31" s="7"/>
      <c r="BC31" s="4" t="s">
        <v>199</v>
      </c>
      <c r="BD31" s="8" t="s">
        <v>199</v>
      </c>
      <c r="BE31" s="4" t="s">
        <v>199</v>
      </c>
      <c r="BF31" s="8" t="s">
        <v>199</v>
      </c>
      <c r="BG31" s="7" t="s">
        <v>199</v>
      </c>
      <c r="BH31" s="7" t="s">
        <v>199</v>
      </c>
      <c r="BI31" s="7"/>
      <c r="BJ31" s="4">
        <v>15</v>
      </c>
      <c r="BK31" s="8">
        <v>2148.24</v>
      </c>
      <c r="BL31" s="2" t="s">
        <v>355</v>
      </c>
      <c r="BM31" s="7"/>
      <c r="BN31" s="7"/>
      <c r="BO31" s="4"/>
      <c r="BP31" s="8"/>
      <c r="BQ31" s="4"/>
      <c r="BR31" s="8"/>
      <c r="BS31" s="7"/>
      <c r="BT31" s="7"/>
      <c r="BU31" s="2" t="s">
        <v>346</v>
      </c>
      <c r="BV31" s="2" t="s">
        <v>199</v>
      </c>
      <c r="BW31" s="2" t="s">
        <v>199</v>
      </c>
      <c r="BX31" s="2" t="s">
        <v>208</v>
      </c>
      <c r="BY31" s="2" t="s">
        <v>209</v>
      </c>
      <c r="BZ31" s="2" t="s">
        <v>196</v>
      </c>
      <c r="CA31" s="2" t="s">
        <v>347</v>
      </c>
      <c r="CB31" s="2" t="s">
        <v>356</v>
      </c>
      <c r="CC31" s="2" t="s">
        <v>212</v>
      </c>
      <c r="CD31" s="2" t="s">
        <v>199</v>
      </c>
      <c r="CE31" s="4">
        <v>183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>
        <v>184</v>
      </c>
      <c r="EU31" s="4">
        <v>179</v>
      </c>
      <c r="EV31" s="4">
        <v>176</v>
      </c>
      <c r="EW31" s="4">
        <v>173</v>
      </c>
      <c r="EX31" s="4">
        <v>170</v>
      </c>
      <c r="EY31" s="4">
        <v>167</v>
      </c>
      <c r="EZ31" s="4">
        <v>161</v>
      </c>
      <c r="FA31" s="4">
        <v>155</v>
      </c>
      <c r="FB31" s="4">
        <v>149</v>
      </c>
      <c r="FC31" s="4">
        <v>143</v>
      </c>
      <c r="FD31" s="4">
        <v>137</v>
      </c>
      <c r="FE31" s="4">
        <v>131</v>
      </c>
      <c r="FF31" s="4">
        <v>125</v>
      </c>
      <c r="FG31" s="4">
        <v>119</v>
      </c>
      <c r="FH31" s="4">
        <v>113</v>
      </c>
      <c r="FI31" s="4">
        <v>107</v>
      </c>
      <c r="FJ31" s="4">
        <v>101</v>
      </c>
      <c r="FK31" s="4">
        <v>95</v>
      </c>
      <c r="FL31" s="4">
        <v>89</v>
      </c>
      <c r="FM31" s="4">
        <v>85</v>
      </c>
      <c r="FN31" s="4">
        <v>81</v>
      </c>
      <c r="FO31" s="4">
        <v>77</v>
      </c>
      <c r="FP31" s="4">
        <v>73</v>
      </c>
      <c r="FQ31" s="4">
        <v>68</v>
      </c>
      <c r="FR31" s="4">
        <v>63</v>
      </c>
      <c r="FS31" s="4">
        <v>58</v>
      </c>
      <c r="FT31" s="19">
        <v>46</v>
      </c>
      <c r="FU31" s="19">
        <v>59.7</v>
      </c>
      <c r="FV31" s="19">
        <v>44</v>
      </c>
      <c r="FW31" s="19">
        <v>43.3</v>
      </c>
      <c r="FX31" s="19">
        <v>34</v>
      </c>
      <c r="FY31" s="19">
        <v>27.8</v>
      </c>
      <c r="FZ31" s="19">
        <v>26.8</v>
      </c>
      <c r="GA31" s="19">
        <v>25.8</v>
      </c>
      <c r="GB31" s="19">
        <v>24.8</v>
      </c>
      <c r="GC31" s="19">
        <v>23.8</v>
      </c>
      <c r="GD31" s="19">
        <v>22.8</v>
      </c>
      <c r="GE31" s="19">
        <v>21.8</v>
      </c>
      <c r="GF31" s="19">
        <v>20.8</v>
      </c>
      <c r="GG31" s="19">
        <v>19.8</v>
      </c>
      <c r="GH31" s="19">
        <v>18.8</v>
      </c>
      <c r="GI31" s="19">
        <v>17.8</v>
      </c>
      <c r="GJ31" s="19">
        <v>20.2</v>
      </c>
      <c r="GK31" s="19">
        <v>23.8</v>
      </c>
      <c r="GL31" s="19">
        <v>22.3</v>
      </c>
      <c r="GM31" s="19">
        <v>21.3</v>
      </c>
      <c r="GN31" s="19">
        <v>20.3</v>
      </c>
      <c r="GO31" s="19">
        <v>15.4</v>
      </c>
      <c r="GP31" s="19">
        <v>14.6</v>
      </c>
      <c r="GQ31" s="19">
        <v>13.6</v>
      </c>
      <c r="GR31" s="19">
        <v>10.5</v>
      </c>
      <c r="GS31" s="19">
        <v>9.7</v>
      </c>
    </row>
    <row r="32">
      <c r="A32" s="2" t="s">
        <v>357</v>
      </c>
      <c r="B32" s="2" t="s">
        <v>245</v>
      </c>
      <c r="C32" s="2" t="s">
        <v>246</v>
      </c>
      <c r="D32" s="2" t="s">
        <v>247</v>
      </c>
      <c r="E32" s="2" t="s">
        <v>248</v>
      </c>
      <c r="F32" s="2" t="s">
        <v>358</v>
      </c>
      <c r="G32" s="2" t="s">
        <v>358</v>
      </c>
      <c r="H32" s="2" t="s">
        <v>358</v>
      </c>
      <c r="I32" s="2" t="s">
        <v>359</v>
      </c>
      <c r="J32" s="2" t="s">
        <v>219</v>
      </c>
      <c r="K32" s="2" t="s">
        <v>360</v>
      </c>
      <c r="L32" s="3">
        <v>28.5</v>
      </c>
      <c r="M32" s="3">
        <v>29.93</v>
      </c>
      <c r="N32" s="3">
        <v>59.99</v>
      </c>
      <c r="O32" s="2" t="s">
        <v>196</v>
      </c>
      <c r="P32" s="2" t="s">
        <v>197</v>
      </c>
      <c r="Q32" s="2" t="s">
        <v>198</v>
      </c>
      <c r="R32" s="2" t="s">
        <v>199</v>
      </c>
      <c r="S32" s="2" t="s">
        <v>361</v>
      </c>
      <c r="T32" s="2" t="s">
        <v>300</v>
      </c>
      <c r="U32" s="2" t="s">
        <v>254</v>
      </c>
      <c r="V32" s="2" t="s">
        <v>202</v>
      </c>
      <c r="W32" s="2" t="s">
        <v>203</v>
      </c>
      <c r="X32" s="2" t="s">
        <v>199</v>
      </c>
      <c r="Y32" s="2" t="s">
        <v>362</v>
      </c>
      <c r="Z32" s="4">
        <v>287</v>
      </c>
      <c r="AA32" s="4">
        <f>=ROUNDDOWN(18.1645569620253,0)</f>
      </c>
      <c r="AB32" s="5">
        <v>15.8</v>
      </c>
      <c r="AC32" s="2" t="s">
        <v>199</v>
      </c>
      <c r="AD32" s="4"/>
      <c r="AE32" s="4"/>
      <c r="AF32" s="6">
        <v>65</v>
      </c>
      <c r="AG32" s="6"/>
      <c r="AH32" s="7">
        <v>0.7097</v>
      </c>
      <c r="AI32" s="4"/>
      <c r="AJ32" s="4">
        <f>=ROUNDDOWN({0},0)</f>
      </c>
      <c r="AK32" s="5"/>
      <c r="AL32" s="2" t="s">
        <v>199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199</v>
      </c>
      <c r="AW32" s="8" t="s">
        <v>199</v>
      </c>
      <c r="AX32" s="4" t="s">
        <v>199</v>
      </c>
      <c r="AY32" s="8" t="s">
        <v>199</v>
      </c>
      <c r="AZ32" s="7" t="s">
        <v>199</v>
      </c>
      <c r="BA32" s="7" t="s">
        <v>199</v>
      </c>
      <c r="BB32" s="7"/>
      <c r="BC32" s="4" t="s">
        <v>199</v>
      </c>
      <c r="BD32" s="8" t="s">
        <v>199</v>
      </c>
      <c r="BE32" s="4" t="s">
        <v>199</v>
      </c>
      <c r="BF32" s="8" t="s">
        <v>199</v>
      </c>
      <c r="BG32" s="7" t="s">
        <v>199</v>
      </c>
      <c r="BH32" s="7" t="s">
        <v>199</v>
      </c>
      <c r="BI32" s="7"/>
      <c r="BJ32" s="4">
        <v>49</v>
      </c>
      <c r="BK32" s="8">
        <v>1578.16</v>
      </c>
      <c r="BL32" s="2" t="s">
        <v>363</v>
      </c>
      <c r="BM32" s="7"/>
      <c r="BN32" s="7"/>
      <c r="BO32" s="4"/>
      <c r="BP32" s="8"/>
      <c r="BQ32" s="4"/>
      <c r="BR32" s="8"/>
      <c r="BS32" s="7"/>
      <c r="BT32" s="7"/>
      <c r="BU32" s="2" t="s">
        <v>364</v>
      </c>
      <c r="BV32" s="2" t="s">
        <v>199</v>
      </c>
      <c r="BW32" s="2" t="s">
        <v>199</v>
      </c>
      <c r="BX32" s="2" t="s">
        <v>208</v>
      </c>
      <c r="BY32" s="2" t="s">
        <v>209</v>
      </c>
      <c r="BZ32" s="2" t="s">
        <v>196</v>
      </c>
      <c r="CA32" s="2" t="s">
        <v>365</v>
      </c>
      <c r="CB32" s="2" t="s">
        <v>366</v>
      </c>
      <c r="CC32" s="2" t="s">
        <v>212</v>
      </c>
      <c r="CD32" s="2" t="s">
        <v>199</v>
      </c>
      <c r="CE32" s="4">
        <v>287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>
        <v>295</v>
      </c>
      <c r="EU32" s="4">
        <v>274</v>
      </c>
      <c r="EV32" s="4">
        <v>261</v>
      </c>
      <c r="EW32" s="4">
        <v>248</v>
      </c>
      <c r="EX32" s="4">
        <v>235</v>
      </c>
      <c r="EY32" s="4">
        <v>222</v>
      </c>
      <c r="EZ32" s="4">
        <v>209</v>
      </c>
      <c r="FA32" s="4">
        <v>196</v>
      </c>
      <c r="FB32" s="4">
        <v>179</v>
      </c>
      <c r="FC32" s="4">
        <v>163</v>
      </c>
      <c r="FD32" s="4">
        <v>147</v>
      </c>
      <c r="FE32" s="4">
        <v>131</v>
      </c>
      <c r="FF32" s="4">
        <v>115</v>
      </c>
      <c r="FG32" s="4">
        <v>99</v>
      </c>
      <c r="FH32" s="4">
        <v>83</v>
      </c>
      <c r="FI32" s="4">
        <v>66</v>
      </c>
      <c r="FJ32" s="4">
        <v>50</v>
      </c>
      <c r="FK32" s="4">
        <v>34</v>
      </c>
      <c r="FL32" s="4">
        <v>18</v>
      </c>
      <c r="FM32" s="4">
        <v>275</v>
      </c>
      <c r="FN32" s="4">
        <v>259</v>
      </c>
      <c r="FO32" s="4">
        <v>243</v>
      </c>
      <c r="FP32" s="4">
        <v>224</v>
      </c>
      <c r="FQ32" s="4">
        <v>208</v>
      </c>
      <c r="FR32" s="4">
        <v>192</v>
      </c>
      <c r="FS32" s="4">
        <v>176</v>
      </c>
      <c r="FT32" s="19">
        <v>19.7</v>
      </c>
      <c r="FU32" s="19">
        <v>21.1</v>
      </c>
      <c r="FV32" s="19">
        <v>20.1</v>
      </c>
      <c r="FW32" s="19">
        <v>19.1</v>
      </c>
      <c r="FX32" s="19">
        <v>16.8</v>
      </c>
      <c r="FY32" s="19">
        <v>14.8</v>
      </c>
      <c r="FZ32" s="19">
        <v>13.1</v>
      </c>
      <c r="GA32" s="19">
        <v>12.3</v>
      </c>
      <c r="GB32" s="19">
        <v>11.2</v>
      </c>
      <c r="GC32" s="19">
        <v>10.2</v>
      </c>
      <c r="GD32" s="19">
        <v>9.2</v>
      </c>
      <c r="GE32" s="19">
        <v>8.2</v>
      </c>
      <c r="GF32" s="19">
        <v>7.2</v>
      </c>
      <c r="GG32" s="19">
        <v>6.2</v>
      </c>
      <c r="GH32" s="19">
        <v>5.2</v>
      </c>
      <c r="GI32" s="19">
        <v>4.1</v>
      </c>
      <c r="GJ32" s="19">
        <v>3.1</v>
      </c>
      <c r="GK32" s="19">
        <v>2.1</v>
      </c>
      <c r="GL32" s="19">
        <v>1.1</v>
      </c>
      <c r="GM32" s="19">
        <v>16.2</v>
      </c>
      <c r="GN32" s="19">
        <v>15.2</v>
      </c>
      <c r="GO32" s="19">
        <v>14.3</v>
      </c>
      <c r="GP32" s="19">
        <v>14</v>
      </c>
      <c r="GQ32" s="19">
        <v>13</v>
      </c>
      <c r="GR32" s="19">
        <v>12</v>
      </c>
      <c r="GS32" s="19">
        <v>11</v>
      </c>
    </row>
    <row r="33">
      <c r="A33" s="2" t="s">
        <v>367</v>
      </c>
      <c r="B33" s="2" t="s">
        <v>245</v>
      </c>
      <c r="C33" s="2" t="s">
        <v>246</v>
      </c>
      <c r="D33" s="2" t="s">
        <v>247</v>
      </c>
      <c r="E33" s="2" t="s">
        <v>248</v>
      </c>
      <c r="F33" s="2" t="s">
        <v>358</v>
      </c>
      <c r="G33" s="2" t="s">
        <v>358</v>
      </c>
      <c r="H33" s="2" t="s">
        <v>358</v>
      </c>
      <c r="I33" s="2" t="s">
        <v>359</v>
      </c>
      <c r="J33" s="2" t="s">
        <v>223</v>
      </c>
      <c r="K33" s="2" t="s">
        <v>360</v>
      </c>
      <c r="L33" s="3">
        <v>33</v>
      </c>
      <c r="M33" s="3">
        <v>34.65</v>
      </c>
      <c r="N33" s="3">
        <v>69.99</v>
      </c>
      <c r="O33" s="2" t="s">
        <v>196</v>
      </c>
      <c r="P33" s="2" t="s">
        <v>197</v>
      </c>
      <c r="Q33" s="2" t="s">
        <v>198</v>
      </c>
      <c r="R33" s="2" t="s">
        <v>199</v>
      </c>
      <c r="S33" s="2" t="s">
        <v>361</v>
      </c>
      <c r="T33" s="2" t="s">
        <v>300</v>
      </c>
      <c r="U33" s="2" t="s">
        <v>254</v>
      </c>
      <c r="V33" s="2" t="s">
        <v>202</v>
      </c>
      <c r="W33" s="2" t="s">
        <v>203</v>
      </c>
      <c r="X33" s="2" t="s">
        <v>199</v>
      </c>
      <c r="Y33" s="2" t="s">
        <v>362</v>
      </c>
      <c r="Z33" s="4">
        <v>221</v>
      </c>
      <c r="AA33" s="4">
        <f>=ROUNDDOWN(45.1020408163265,0)</f>
      </c>
      <c r="AB33" s="5">
        <v>4.9</v>
      </c>
      <c r="AC33" s="2" t="s">
        <v>199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199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199</v>
      </c>
      <c r="AW33" s="8" t="s">
        <v>199</v>
      </c>
      <c r="AX33" s="4" t="s">
        <v>199</v>
      </c>
      <c r="AY33" s="8" t="s">
        <v>199</v>
      </c>
      <c r="AZ33" s="7" t="s">
        <v>199</v>
      </c>
      <c r="BA33" s="7" t="s">
        <v>199</v>
      </c>
      <c r="BB33" s="7"/>
      <c r="BC33" s="4" t="s">
        <v>199</v>
      </c>
      <c r="BD33" s="8" t="s">
        <v>199</v>
      </c>
      <c r="BE33" s="4" t="s">
        <v>199</v>
      </c>
      <c r="BF33" s="8" t="s">
        <v>199</v>
      </c>
      <c r="BG33" s="7" t="s">
        <v>199</v>
      </c>
      <c r="BH33" s="7" t="s">
        <v>199</v>
      </c>
      <c r="BI33" s="7"/>
      <c r="BJ33" s="4">
        <v>18</v>
      </c>
      <c r="BK33" s="8">
        <v>664.55</v>
      </c>
      <c r="BL33" s="2" t="s">
        <v>368</v>
      </c>
      <c r="BM33" s="7"/>
      <c r="BN33" s="7"/>
      <c r="BO33" s="4"/>
      <c r="BP33" s="8"/>
      <c r="BQ33" s="4"/>
      <c r="BR33" s="8"/>
      <c r="BS33" s="7"/>
      <c r="BT33" s="7"/>
      <c r="BU33" s="2" t="s">
        <v>364</v>
      </c>
      <c r="BV33" s="2" t="s">
        <v>199</v>
      </c>
      <c r="BW33" s="2" t="s">
        <v>199</v>
      </c>
      <c r="BX33" s="2" t="s">
        <v>208</v>
      </c>
      <c r="BY33" s="2" t="s">
        <v>209</v>
      </c>
      <c r="BZ33" s="2" t="s">
        <v>196</v>
      </c>
      <c r="CA33" s="2" t="s">
        <v>365</v>
      </c>
      <c r="CB33" s="2" t="s">
        <v>369</v>
      </c>
      <c r="CC33" s="2" t="s">
        <v>212</v>
      </c>
      <c r="CD33" s="2" t="s">
        <v>199</v>
      </c>
      <c r="CE33" s="4">
        <v>221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>
        <v>223</v>
      </c>
      <c r="EU33" s="4">
        <v>217</v>
      </c>
      <c r="EV33" s="4">
        <v>213</v>
      </c>
      <c r="EW33" s="4">
        <v>209</v>
      </c>
      <c r="EX33" s="4">
        <v>205</v>
      </c>
      <c r="EY33" s="4">
        <v>201</v>
      </c>
      <c r="EZ33" s="4">
        <v>197</v>
      </c>
      <c r="FA33" s="4">
        <v>193</v>
      </c>
      <c r="FB33" s="4">
        <v>188</v>
      </c>
      <c r="FC33" s="4">
        <v>184</v>
      </c>
      <c r="FD33" s="4">
        <v>180</v>
      </c>
      <c r="FE33" s="4">
        <v>176</v>
      </c>
      <c r="FF33" s="4">
        <v>172</v>
      </c>
      <c r="FG33" s="4">
        <v>168</v>
      </c>
      <c r="FH33" s="4">
        <v>164</v>
      </c>
      <c r="FI33" s="4">
        <v>160</v>
      </c>
      <c r="FJ33" s="4">
        <v>156</v>
      </c>
      <c r="FK33" s="4">
        <v>152</v>
      </c>
      <c r="FL33" s="4">
        <v>148</v>
      </c>
      <c r="FM33" s="4">
        <v>144</v>
      </c>
      <c r="FN33" s="4">
        <v>140</v>
      </c>
      <c r="FO33" s="4">
        <v>136</v>
      </c>
      <c r="FP33" s="4">
        <v>131</v>
      </c>
      <c r="FQ33" s="4">
        <v>127</v>
      </c>
      <c r="FR33" s="4">
        <v>123</v>
      </c>
      <c r="FS33" s="4">
        <v>119</v>
      </c>
      <c r="FT33" s="19">
        <v>55.8</v>
      </c>
      <c r="FU33" s="19">
        <v>54.3</v>
      </c>
      <c r="FV33" s="19">
        <v>53.3</v>
      </c>
      <c r="FW33" s="19">
        <v>52.3</v>
      </c>
      <c r="FX33" s="19">
        <v>51.3</v>
      </c>
      <c r="FY33" s="19">
        <v>50.3</v>
      </c>
      <c r="FZ33" s="19">
        <v>49.3</v>
      </c>
      <c r="GA33" s="19">
        <v>48.3</v>
      </c>
      <c r="GB33" s="19">
        <v>47</v>
      </c>
      <c r="GC33" s="19">
        <v>46</v>
      </c>
      <c r="GD33" s="19">
        <v>45</v>
      </c>
      <c r="GE33" s="19">
        <v>44</v>
      </c>
      <c r="GF33" s="19">
        <v>43</v>
      </c>
      <c r="GG33" s="19">
        <v>42</v>
      </c>
      <c r="GH33" s="19">
        <v>41</v>
      </c>
      <c r="GI33" s="19">
        <v>40</v>
      </c>
      <c r="GJ33" s="19">
        <v>39</v>
      </c>
      <c r="GK33" s="19">
        <v>38</v>
      </c>
      <c r="GL33" s="19">
        <v>37</v>
      </c>
      <c r="GM33" s="19">
        <v>36</v>
      </c>
      <c r="GN33" s="19">
        <v>35</v>
      </c>
      <c r="GO33" s="19">
        <v>34</v>
      </c>
      <c r="GP33" s="19">
        <v>32.8</v>
      </c>
      <c r="GQ33" s="19">
        <v>31.8</v>
      </c>
      <c r="GR33" s="19">
        <v>30.8</v>
      </c>
      <c r="GS33" s="19">
        <v>29.8</v>
      </c>
    </row>
    <row r="34">
      <c r="A34" s="2" t="s">
        <v>370</v>
      </c>
      <c r="B34" s="2" t="s">
        <v>245</v>
      </c>
      <c r="C34" s="2" t="s">
        <v>246</v>
      </c>
      <c r="D34" s="2" t="s">
        <v>247</v>
      </c>
      <c r="E34" s="2" t="s">
        <v>248</v>
      </c>
      <c r="F34" s="2" t="s">
        <v>358</v>
      </c>
      <c r="G34" s="2" t="s">
        <v>358</v>
      </c>
      <c r="H34" s="2" t="s">
        <v>358</v>
      </c>
      <c r="I34" s="2" t="s">
        <v>359</v>
      </c>
      <c r="J34" s="2" t="s">
        <v>223</v>
      </c>
      <c r="K34" s="2" t="s">
        <v>371</v>
      </c>
      <c r="L34" s="3">
        <v>33</v>
      </c>
      <c r="M34" s="3">
        <v>34.65</v>
      </c>
      <c r="N34" s="3">
        <v>69.99</v>
      </c>
      <c r="O34" s="2" t="s">
        <v>196</v>
      </c>
      <c r="P34" s="2" t="s">
        <v>197</v>
      </c>
      <c r="Q34" s="2" t="s">
        <v>198</v>
      </c>
      <c r="R34" s="2" t="s">
        <v>199</v>
      </c>
      <c r="S34" s="2" t="s">
        <v>372</v>
      </c>
      <c r="T34" s="2" t="s">
        <v>300</v>
      </c>
      <c r="U34" s="2" t="s">
        <v>254</v>
      </c>
      <c r="V34" s="2" t="s">
        <v>202</v>
      </c>
      <c r="W34" s="2" t="s">
        <v>203</v>
      </c>
      <c r="X34" s="2" t="s">
        <v>199</v>
      </c>
      <c r="Y34" s="2" t="s">
        <v>362</v>
      </c>
      <c r="Z34" s="4">
        <v>257</v>
      </c>
      <c r="AA34" s="4">
        <f>=ROUNDDOWN(33.8157894736842,0)</f>
      </c>
      <c r="AB34" s="5">
        <v>7.6</v>
      </c>
      <c r="AC34" s="2" t="s">
        <v>199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199</v>
      </c>
      <c r="BD34" s="8" t="s">
        <v>199</v>
      </c>
      <c r="BE34" s="4" t="s">
        <v>199</v>
      </c>
      <c r="BF34" s="8" t="s">
        <v>199</v>
      </c>
      <c r="BG34" s="7" t="s">
        <v>199</v>
      </c>
      <c r="BH34" s="7" t="s">
        <v>199</v>
      </c>
      <c r="BI34" s="7"/>
      <c r="BJ34" s="4">
        <v>49</v>
      </c>
      <c r="BK34" s="8">
        <v>1798.75</v>
      </c>
      <c r="BL34" s="2" t="s">
        <v>373</v>
      </c>
      <c r="BM34" s="7"/>
      <c r="BN34" s="7"/>
      <c r="BO34" s="4"/>
      <c r="BP34" s="8"/>
      <c r="BQ34" s="4"/>
      <c r="BR34" s="8"/>
      <c r="BS34" s="7"/>
      <c r="BT34" s="7"/>
      <c r="BU34" s="2" t="s">
        <v>364</v>
      </c>
      <c r="BV34" s="2" t="s">
        <v>199</v>
      </c>
      <c r="BW34" s="2" t="s">
        <v>199</v>
      </c>
      <c r="BX34" s="2" t="s">
        <v>208</v>
      </c>
      <c r="BY34" s="2" t="s">
        <v>209</v>
      </c>
      <c r="BZ34" s="2" t="s">
        <v>196</v>
      </c>
      <c r="CA34" s="2" t="s">
        <v>365</v>
      </c>
      <c r="CB34" s="2" t="s">
        <v>374</v>
      </c>
      <c r="CC34" s="2" t="s">
        <v>212</v>
      </c>
      <c r="CD34" s="2" t="s">
        <v>199</v>
      </c>
      <c r="CE34" s="4">
        <v>257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>
        <v>262</v>
      </c>
      <c r="EU34" s="4">
        <v>252</v>
      </c>
      <c r="EV34" s="4">
        <v>246</v>
      </c>
      <c r="EW34" s="4">
        <v>240</v>
      </c>
      <c r="EX34" s="4">
        <v>234</v>
      </c>
      <c r="EY34" s="4">
        <v>228</v>
      </c>
      <c r="EZ34" s="4">
        <v>222</v>
      </c>
      <c r="FA34" s="4">
        <v>216</v>
      </c>
      <c r="FB34" s="4">
        <v>209</v>
      </c>
      <c r="FC34" s="4">
        <v>203</v>
      </c>
      <c r="FD34" s="4">
        <v>197</v>
      </c>
      <c r="FE34" s="4">
        <v>191</v>
      </c>
      <c r="FF34" s="4">
        <v>185</v>
      </c>
      <c r="FG34" s="4">
        <v>179</v>
      </c>
      <c r="FH34" s="4">
        <v>173</v>
      </c>
      <c r="FI34" s="4">
        <v>167</v>
      </c>
      <c r="FJ34" s="4">
        <v>161</v>
      </c>
      <c r="FK34" s="4">
        <v>155</v>
      </c>
      <c r="FL34" s="4">
        <v>149</v>
      </c>
      <c r="FM34" s="4">
        <v>142</v>
      </c>
      <c r="FN34" s="4">
        <v>135</v>
      </c>
      <c r="FO34" s="4">
        <v>128</v>
      </c>
      <c r="FP34" s="4">
        <v>120</v>
      </c>
      <c r="FQ34" s="4">
        <v>113</v>
      </c>
      <c r="FR34" s="4">
        <v>106</v>
      </c>
      <c r="FS34" s="4">
        <v>99</v>
      </c>
      <c r="FT34" s="19">
        <v>37.4</v>
      </c>
      <c r="FU34" s="19">
        <v>42</v>
      </c>
      <c r="FV34" s="19">
        <v>41</v>
      </c>
      <c r="FW34" s="19">
        <v>40</v>
      </c>
      <c r="FX34" s="19">
        <v>39</v>
      </c>
      <c r="FY34" s="19">
        <v>38</v>
      </c>
      <c r="FZ34" s="19">
        <v>37</v>
      </c>
      <c r="GA34" s="19">
        <v>36</v>
      </c>
      <c r="GB34" s="19">
        <v>34.8</v>
      </c>
      <c r="GC34" s="19">
        <v>33.8</v>
      </c>
      <c r="GD34" s="19">
        <v>32.8</v>
      </c>
      <c r="GE34" s="19">
        <v>31.8</v>
      </c>
      <c r="GF34" s="19">
        <v>30.8</v>
      </c>
      <c r="GG34" s="19">
        <v>29.8</v>
      </c>
      <c r="GH34" s="19">
        <v>28.8</v>
      </c>
      <c r="GI34" s="19">
        <v>27.8</v>
      </c>
      <c r="GJ34" s="19">
        <v>26.8</v>
      </c>
      <c r="GK34" s="19">
        <v>22.1</v>
      </c>
      <c r="GL34" s="19">
        <v>21.3</v>
      </c>
      <c r="GM34" s="19">
        <v>20.3</v>
      </c>
      <c r="GN34" s="19">
        <v>19.3</v>
      </c>
      <c r="GO34" s="19">
        <v>18.3</v>
      </c>
      <c r="GP34" s="19">
        <v>17.1</v>
      </c>
      <c r="GQ34" s="19">
        <v>16.1</v>
      </c>
      <c r="GR34" s="19">
        <v>15.1</v>
      </c>
      <c r="GS34" s="19">
        <v>14.1</v>
      </c>
    </row>
    <row r="35">
      <c r="A35" s="2" t="s">
        <v>375</v>
      </c>
      <c r="B35" s="2" t="s">
        <v>245</v>
      </c>
      <c r="C35" s="2" t="s">
        <v>246</v>
      </c>
      <c r="D35" s="2" t="s">
        <v>247</v>
      </c>
      <c r="E35" s="2" t="s">
        <v>248</v>
      </c>
      <c r="F35" s="2" t="s">
        <v>358</v>
      </c>
      <c r="G35" s="2" t="s">
        <v>358</v>
      </c>
      <c r="H35" s="2" t="s">
        <v>358</v>
      </c>
      <c r="I35" s="2" t="s">
        <v>359</v>
      </c>
      <c r="J35" s="2" t="s">
        <v>219</v>
      </c>
      <c r="K35" s="2" t="s">
        <v>252</v>
      </c>
      <c r="L35" s="3">
        <v>28.5</v>
      </c>
      <c r="M35" s="3">
        <v>29.93</v>
      </c>
      <c r="N35" s="3">
        <v>59.99</v>
      </c>
      <c r="O35" s="2" t="s">
        <v>196</v>
      </c>
      <c r="P35" s="2" t="s">
        <v>197</v>
      </c>
      <c r="Q35" s="2" t="s">
        <v>198</v>
      </c>
      <c r="R35" s="2" t="s">
        <v>199</v>
      </c>
      <c r="S35" s="2" t="s">
        <v>376</v>
      </c>
      <c r="T35" s="2" t="s">
        <v>300</v>
      </c>
      <c r="U35" s="2" t="s">
        <v>254</v>
      </c>
      <c r="V35" s="2" t="s">
        <v>202</v>
      </c>
      <c r="W35" s="2" t="s">
        <v>203</v>
      </c>
      <c r="X35" s="2" t="s">
        <v>199</v>
      </c>
      <c r="Y35" s="2" t="s">
        <v>362</v>
      </c>
      <c r="Z35" s="4">
        <v>309</v>
      </c>
      <c r="AA35" s="4">
        <f>=ROUNDDOWN(19.3125,0)</f>
      </c>
      <c r="AB35" s="5">
        <v>16</v>
      </c>
      <c r="AC35" s="2" t="s">
        <v>377</v>
      </c>
      <c r="AD35" s="4">
        <v>174</v>
      </c>
      <c r="AE35" s="4">
        <v>174</v>
      </c>
      <c r="AF35" s="6">
        <v>65</v>
      </c>
      <c r="AG35" s="6"/>
      <c r="AH35" s="7">
        <v>0.7097</v>
      </c>
      <c r="AI35" s="4"/>
      <c r="AJ35" s="4">
        <f>=ROUNDDOWN({0},0)</f>
      </c>
      <c r="AK35" s="5"/>
      <c r="AL35" s="2" t="s">
        <v>199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199</v>
      </c>
      <c r="AW35" s="8" t="s">
        <v>199</v>
      </c>
      <c r="AX35" s="4" t="s">
        <v>199</v>
      </c>
      <c r="AY35" s="8" t="s">
        <v>199</v>
      </c>
      <c r="AZ35" s="7" t="s">
        <v>199</v>
      </c>
      <c r="BA35" s="7" t="s">
        <v>199</v>
      </c>
      <c r="BB35" s="7"/>
      <c r="BC35" s="4" t="s">
        <v>199</v>
      </c>
      <c r="BD35" s="8" t="s">
        <v>199</v>
      </c>
      <c r="BE35" s="4" t="s">
        <v>199</v>
      </c>
      <c r="BF35" s="8" t="s">
        <v>199</v>
      </c>
      <c r="BG35" s="7" t="s">
        <v>199</v>
      </c>
      <c r="BH35" s="7" t="s">
        <v>199</v>
      </c>
      <c r="BI35" s="7"/>
      <c r="BJ35" s="4">
        <v>28</v>
      </c>
      <c r="BK35" s="8">
        <v>886.96</v>
      </c>
      <c r="BL35" s="2" t="s">
        <v>378</v>
      </c>
      <c r="BM35" s="7"/>
      <c r="BN35" s="7"/>
      <c r="BO35" s="4"/>
      <c r="BP35" s="8"/>
      <c r="BQ35" s="4"/>
      <c r="BR35" s="8"/>
      <c r="BS35" s="7"/>
      <c r="BT35" s="7"/>
      <c r="BU35" s="2" t="s">
        <v>364</v>
      </c>
      <c r="BV35" s="2" t="s">
        <v>199</v>
      </c>
      <c r="BW35" s="2" t="s">
        <v>199</v>
      </c>
      <c r="BX35" s="2" t="s">
        <v>208</v>
      </c>
      <c r="BY35" s="2" t="s">
        <v>209</v>
      </c>
      <c r="BZ35" s="2" t="s">
        <v>196</v>
      </c>
      <c r="CA35" s="2" t="s">
        <v>365</v>
      </c>
      <c r="CB35" s="2" t="s">
        <v>369</v>
      </c>
      <c r="CC35" s="2" t="s">
        <v>212</v>
      </c>
      <c r="CD35" s="2" t="s">
        <v>199</v>
      </c>
      <c r="CE35" s="4">
        <v>309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>
        <v>174</v>
      </c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>
        <v>317</v>
      </c>
      <c r="EU35" s="4">
        <v>299</v>
      </c>
      <c r="EV35" s="4">
        <v>286</v>
      </c>
      <c r="EW35" s="4">
        <v>273</v>
      </c>
      <c r="EX35" s="4">
        <v>260</v>
      </c>
      <c r="EY35" s="4">
        <v>247</v>
      </c>
      <c r="EZ35" s="4">
        <v>234</v>
      </c>
      <c r="FA35" s="4">
        <v>221</v>
      </c>
      <c r="FB35" s="4">
        <v>379</v>
      </c>
      <c r="FC35" s="4">
        <v>363</v>
      </c>
      <c r="FD35" s="4">
        <v>347</v>
      </c>
      <c r="FE35" s="4">
        <v>331</v>
      </c>
      <c r="FF35" s="4">
        <v>315</v>
      </c>
      <c r="FG35" s="4">
        <v>299</v>
      </c>
      <c r="FH35" s="4">
        <v>283</v>
      </c>
      <c r="FI35" s="4">
        <v>266</v>
      </c>
      <c r="FJ35" s="4">
        <v>250</v>
      </c>
      <c r="FK35" s="4">
        <v>234</v>
      </c>
      <c r="FL35" s="4">
        <v>218</v>
      </c>
      <c r="FM35" s="4">
        <v>202</v>
      </c>
      <c r="FN35" s="4">
        <v>186</v>
      </c>
      <c r="FO35" s="4">
        <v>170</v>
      </c>
      <c r="FP35" s="4">
        <v>151</v>
      </c>
      <c r="FQ35" s="4">
        <v>135</v>
      </c>
      <c r="FR35" s="4">
        <v>119</v>
      </c>
      <c r="FS35" s="4">
        <v>103</v>
      </c>
      <c r="FT35" s="19">
        <v>22.6</v>
      </c>
      <c r="FU35" s="19">
        <v>23</v>
      </c>
      <c r="FV35" s="19">
        <v>22</v>
      </c>
      <c r="FW35" s="19">
        <v>21</v>
      </c>
      <c r="FX35" s="19">
        <v>18.6</v>
      </c>
      <c r="FY35" s="19">
        <v>17.6</v>
      </c>
      <c r="FZ35" s="19">
        <v>15.6</v>
      </c>
      <c r="GA35" s="19">
        <v>13.8</v>
      </c>
      <c r="GB35" s="19">
        <v>23.7</v>
      </c>
      <c r="GC35" s="19">
        <v>22.7</v>
      </c>
      <c r="GD35" s="19">
        <v>21.7</v>
      </c>
      <c r="GE35" s="19">
        <v>20.7</v>
      </c>
      <c r="GF35" s="19">
        <v>19.7</v>
      </c>
      <c r="GG35" s="19">
        <v>18.7</v>
      </c>
      <c r="GH35" s="19">
        <v>17.7</v>
      </c>
      <c r="GI35" s="19">
        <v>16.6</v>
      </c>
      <c r="GJ35" s="19">
        <v>15.6</v>
      </c>
      <c r="GK35" s="19">
        <v>14.6</v>
      </c>
      <c r="GL35" s="19">
        <v>12.8</v>
      </c>
      <c r="GM35" s="19">
        <v>11.9</v>
      </c>
      <c r="GN35" s="19">
        <v>10.9</v>
      </c>
      <c r="GO35" s="19">
        <v>10</v>
      </c>
      <c r="GP35" s="19">
        <v>9.4</v>
      </c>
      <c r="GQ35" s="19">
        <v>8.4</v>
      </c>
      <c r="GR35" s="19">
        <v>7.4</v>
      </c>
      <c r="GS35" s="19">
        <v>6.4</v>
      </c>
    </row>
    <row r="36">
      <c r="A36" s="2" t="s">
        <v>379</v>
      </c>
      <c r="B36" s="2" t="s">
        <v>245</v>
      </c>
      <c r="C36" s="2" t="s">
        <v>246</v>
      </c>
      <c r="D36" s="2" t="s">
        <v>247</v>
      </c>
      <c r="E36" s="2" t="s">
        <v>248</v>
      </c>
      <c r="F36" s="2" t="s">
        <v>358</v>
      </c>
      <c r="G36" s="2" t="s">
        <v>358</v>
      </c>
      <c r="H36" s="2" t="s">
        <v>358</v>
      </c>
      <c r="I36" s="2" t="s">
        <v>359</v>
      </c>
      <c r="J36" s="2" t="s">
        <v>223</v>
      </c>
      <c r="K36" s="2" t="s">
        <v>252</v>
      </c>
      <c r="L36" s="3">
        <v>33</v>
      </c>
      <c r="M36" s="3">
        <v>34.65</v>
      </c>
      <c r="N36" s="3">
        <v>69.99</v>
      </c>
      <c r="O36" s="2" t="s">
        <v>196</v>
      </c>
      <c r="P36" s="2" t="s">
        <v>197</v>
      </c>
      <c r="Q36" s="2" t="s">
        <v>198</v>
      </c>
      <c r="R36" s="2" t="s">
        <v>199</v>
      </c>
      <c r="S36" s="2" t="s">
        <v>376</v>
      </c>
      <c r="T36" s="2" t="s">
        <v>300</v>
      </c>
      <c r="U36" s="2" t="s">
        <v>254</v>
      </c>
      <c r="V36" s="2" t="s">
        <v>202</v>
      </c>
      <c r="W36" s="2" t="s">
        <v>203</v>
      </c>
      <c r="X36" s="2" t="s">
        <v>199</v>
      </c>
      <c r="Y36" s="2" t="s">
        <v>362</v>
      </c>
      <c r="Z36" s="4">
        <v>210</v>
      </c>
      <c r="AA36" s="4">
        <f>=ROUNDDOWN(19.0909090909091,0)</f>
      </c>
      <c r="AB36" s="5">
        <v>11</v>
      </c>
      <c r="AC36" s="2" t="s">
        <v>377</v>
      </c>
      <c r="AD36" s="4">
        <v>150</v>
      </c>
      <c r="AE36" s="4">
        <v>150</v>
      </c>
      <c r="AF36" s="6">
        <v>65</v>
      </c>
      <c r="AG36" s="6"/>
      <c r="AH36" s="7">
        <v>0.7097</v>
      </c>
      <c r="AI36" s="4"/>
      <c r="AJ36" s="4">
        <f>=ROUNDDOWN({0},0)</f>
      </c>
      <c r="AK36" s="5"/>
      <c r="AL36" s="2" t="s">
        <v>199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199</v>
      </c>
      <c r="AW36" s="8" t="s">
        <v>199</v>
      </c>
      <c r="AX36" s="4" t="s">
        <v>199</v>
      </c>
      <c r="AY36" s="8" t="s">
        <v>199</v>
      </c>
      <c r="AZ36" s="7" t="s">
        <v>199</v>
      </c>
      <c r="BA36" s="7" t="s">
        <v>199</v>
      </c>
      <c r="BB36" s="7"/>
      <c r="BC36" s="4" t="s">
        <v>199</v>
      </c>
      <c r="BD36" s="8" t="s">
        <v>199</v>
      </c>
      <c r="BE36" s="4" t="s">
        <v>199</v>
      </c>
      <c r="BF36" s="8" t="s">
        <v>199</v>
      </c>
      <c r="BG36" s="7" t="s">
        <v>199</v>
      </c>
      <c r="BH36" s="7" t="s">
        <v>199</v>
      </c>
      <c r="BI36" s="7"/>
      <c r="BJ36" s="4">
        <v>21</v>
      </c>
      <c r="BK36" s="8">
        <v>790.65</v>
      </c>
      <c r="BL36" s="2" t="s">
        <v>380</v>
      </c>
      <c r="BM36" s="7"/>
      <c r="BN36" s="7"/>
      <c r="BO36" s="4"/>
      <c r="BP36" s="8"/>
      <c r="BQ36" s="4"/>
      <c r="BR36" s="8"/>
      <c r="BS36" s="7"/>
      <c r="BT36" s="7"/>
      <c r="BU36" s="2" t="s">
        <v>364</v>
      </c>
      <c r="BV36" s="2" t="s">
        <v>199</v>
      </c>
      <c r="BW36" s="2" t="s">
        <v>199</v>
      </c>
      <c r="BX36" s="2" t="s">
        <v>208</v>
      </c>
      <c r="BY36" s="2" t="s">
        <v>209</v>
      </c>
      <c r="BZ36" s="2" t="s">
        <v>196</v>
      </c>
      <c r="CA36" s="2" t="s">
        <v>365</v>
      </c>
      <c r="CB36" s="2" t="s">
        <v>381</v>
      </c>
      <c r="CC36" s="2" t="s">
        <v>212</v>
      </c>
      <c r="CD36" s="2" t="s">
        <v>199</v>
      </c>
      <c r="CE36" s="4">
        <v>210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>
        <v>150</v>
      </c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>
        <v>225</v>
      </c>
      <c r="EU36" s="4">
        <v>197</v>
      </c>
      <c r="EV36" s="4">
        <v>186</v>
      </c>
      <c r="EW36" s="4">
        <v>175</v>
      </c>
      <c r="EX36" s="4">
        <v>164</v>
      </c>
      <c r="EY36" s="4">
        <v>153</v>
      </c>
      <c r="EZ36" s="4">
        <v>142</v>
      </c>
      <c r="FA36" s="4">
        <v>131</v>
      </c>
      <c r="FB36" s="4">
        <v>269</v>
      </c>
      <c r="FC36" s="4">
        <v>258</v>
      </c>
      <c r="FD36" s="4">
        <v>247</v>
      </c>
      <c r="FE36" s="4">
        <v>236</v>
      </c>
      <c r="FF36" s="4">
        <v>225</v>
      </c>
      <c r="FG36" s="4">
        <v>214</v>
      </c>
      <c r="FH36" s="4">
        <v>203</v>
      </c>
      <c r="FI36" s="4">
        <v>191</v>
      </c>
      <c r="FJ36" s="4">
        <v>180</v>
      </c>
      <c r="FK36" s="4">
        <v>169</v>
      </c>
      <c r="FL36" s="4">
        <v>158</v>
      </c>
      <c r="FM36" s="4">
        <v>147</v>
      </c>
      <c r="FN36" s="4">
        <v>136</v>
      </c>
      <c r="FO36" s="4">
        <v>125</v>
      </c>
      <c r="FP36" s="4">
        <v>113</v>
      </c>
      <c r="FQ36" s="4">
        <v>102</v>
      </c>
      <c r="FR36" s="4">
        <v>91</v>
      </c>
      <c r="FS36" s="4">
        <v>80</v>
      </c>
      <c r="FT36" s="19">
        <v>15</v>
      </c>
      <c r="FU36" s="19">
        <v>17.9</v>
      </c>
      <c r="FV36" s="19">
        <v>16.9</v>
      </c>
      <c r="FW36" s="19">
        <v>15.9</v>
      </c>
      <c r="FX36" s="19">
        <v>14.9</v>
      </c>
      <c r="FY36" s="19">
        <v>13.9</v>
      </c>
      <c r="FZ36" s="19">
        <v>12.9</v>
      </c>
      <c r="GA36" s="19">
        <v>11.9</v>
      </c>
      <c r="GB36" s="19">
        <v>24.5</v>
      </c>
      <c r="GC36" s="19">
        <v>23.5</v>
      </c>
      <c r="GD36" s="19">
        <v>22.5</v>
      </c>
      <c r="GE36" s="19">
        <v>21.5</v>
      </c>
      <c r="GF36" s="19">
        <v>20.5</v>
      </c>
      <c r="GG36" s="19">
        <v>19.5</v>
      </c>
      <c r="GH36" s="19">
        <v>18.5</v>
      </c>
      <c r="GI36" s="19">
        <v>17.4</v>
      </c>
      <c r="GJ36" s="19">
        <v>16.4</v>
      </c>
      <c r="GK36" s="19">
        <v>15.4</v>
      </c>
      <c r="GL36" s="19">
        <v>14.4</v>
      </c>
      <c r="GM36" s="19">
        <v>13.4</v>
      </c>
      <c r="GN36" s="19">
        <v>12.4</v>
      </c>
      <c r="GO36" s="19">
        <v>11.4</v>
      </c>
      <c r="GP36" s="19">
        <v>10.3</v>
      </c>
      <c r="GQ36" s="19">
        <v>9.3</v>
      </c>
      <c r="GR36" s="19">
        <v>8.3</v>
      </c>
      <c r="GS36" s="19">
        <v>7.3</v>
      </c>
    </row>
    <row r="37">
      <c r="A37" s="2" t="s">
        <v>382</v>
      </c>
      <c r="B37" s="2" t="s">
        <v>245</v>
      </c>
      <c r="C37" s="2" t="s">
        <v>246</v>
      </c>
      <c r="D37" s="2" t="s">
        <v>247</v>
      </c>
      <c r="E37" s="2" t="s">
        <v>248</v>
      </c>
      <c r="F37" s="2" t="s">
        <v>383</v>
      </c>
      <c r="G37" s="2" t="s">
        <v>383</v>
      </c>
      <c r="H37" s="2" t="s">
        <v>383</v>
      </c>
      <c r="I37" s="2" t="s">
        <v>384</v>
      </c>
      <c r="J37" s="2" t="s">
        <v>214</v>
      </c>
      <c r="K37" s="2" t="s">
        <v>195</v>
      </c>
      <c r="L37" s="3">
        <v>15.19</v>
      </c>
      <c r="M37" s="3">
        <v>15.95</v>
      </c>
      <c r="N37" s="3">
        <v>30.99</v>
      </c>
      <c r="O37" s="2" t="s">
        <v>196</v>
      </c>
      <c r="P37" s="2" t="s">
        <v>197</v>
      </c>
      <c r="Q37" s="2" t="s">
        <v>198</v>
      </c>
      <c r="R37" s="2" t="s">
        <v>199</v>
      </c>
      <c r="S37" s="2" t="s">
        <v>385</v>
      </c>
      <c r="T37" s="2" t="s">
        <v>386</v>
      </c>
      <c r="U37" s="2" t="s">
        <v>199</v>
      </c>
      <c r="V37" s="2" t="s">
        <v>202</v>
      </c>
      <c r="W37" s="2" t="s">
        <v>203</v>
      </c>
      <c r="X37" s="2" t="s">
        <v>199</v>
      </c>
      <c r="Y37" s="2" t="s">
        <v>204</v>
      </c>
      <c r="Z37" s="4">
        <v>123</v>
      </c>
      <c r="AA37" s="4">
        <f>=ROUNDDOWN(30.75,0)</f>
      </c>
      <c r="AB37" s="5">
        <v>4</v>
      </c>
      <c r="AC37" s="2" t="s">
        <v>387</v>
      </c>
      <c r="AD37" s="4">
        <v>50</v>
      </c>
      <c r="AE37" s="4">
        <v>260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199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199</v>
      </c>
      <c r="AW37" s="8" t="s">
        <v>199</v>
      </c>
      <c r="AX37" s="4" t="s">
        <v>199</v>
      </c>
      <c r="AY37" s="8" t="s">
        <v>199</v>
      </c>
      <c r="AZ37" s="7" t="s">
        <v>199</v>
      </c>
      <c r="BA37" s="7" t="s">
        <v>199</v>
      </c>
      <c r="BB37" s="7"/>
      <c r="BC37" s="4" t="s">
        <v>199</v>
      </c>
      <c r="BD37" s="8" t="s">
        <v>199</v>
      </c>
      <c r="BE37" s="4" t="s">
        <v>199</v>
      </c>
      <c r="BF37" s="8" t="s">
        <v>199</v>
      </c>
      <c r="BG37" s="7" t="s">
        <v>199</v>
      </c>
      <c r="BH37" s="7" t="s">
        <v>199</v>
      </c>
      <c r="BI37" s="7"/>
      <c r="BJ37" s="4">
        <v>32</v>
      </c>
      <c r="BK37" s="8">
        <v>512.34</v>
      </c>
      <c r="BL37" s="2" t="s">
        <v>388</v>
      </c>
      <c r="BM37" s="7"/>
      <c r="BN37" s="7"/>
      <c r="BO37" s="4"/>
      <c r="BP37" s="8"/>
      <c r="BQ37" s="4"/>
      <c r="BR37" s="8"/>
      <c r="BS37" s="7"/>
      <c r="BT37" s="7"/>
      <c r="BU37" s="2" t="s">
        <v>389</v>
      </c>
      <c r="BV37" s="2" t="s">
        <v>199</v>
      </c>
      <c r="BW37" s="2" t="s">
        <v>199</v>
      </c>
      <c r="BX37" s="2" t="s">
        <v>208</v>
      </c>
      <c r="BY37" s="2" t="s">
        <v>209</v>
      </c>
      <c r="BZ37" s="2" t="s">
        <v>196</v>
      </c>
      <c r="CA37" s="2" t="s">
        <v>210</v>
      </c>
      <c r="CB37" s="2" t="s">
        <v>390</v>
      </c>
      <c r="CC37" s="2" t="s">
        <v>212</v>
      </c>
      <c r="CD37" s="2" t="s">
        <v>199</v>
      </c>
      <c r="CE37" s="4">
        <v>123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>
        <v>50</v>
      </c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>
        <v>210</v>
      </c>
      <c r="ER37" s="4"/>
      <c r="ES37" s="4"/>
      <c r="ET37" s="4">
        <v>126</v>
      </c>
      <c r="EU37" s="4">
        <v>120</v>
      </c>
      <c r="EV37" s="4">
        <v>116</v>
      </c>
      <c r="EW37" s="4">
        <v>162</v>
      </c>
      <c r="EX37" s="4">
        <v>158</v>
      </c>
      <c r="EY37" s="4">
        <v>154</v>
      </c>
      <c r="EZ37" s="4">
        <v>150</v>
      </c>
      <c r="FA37" s="4">
        <v>146</v>
      </c>
      <c r="FB37" s="4">
        <v>141</v>
      </c>
      <c r="FC37" s="4">
        <v>137</v>
      </c>
      <c r="FD37" s="4">
        <v>133</v>
      </c>
      <c r="FE37" s="4">
        <v>129</v>
      </c>
      <c r="FF37" s="4">
        <v>125</v>
      </c>
      <c r="FG37" s="4">
        <v>121</v>
      </c>
      <c r="FH37" s="4">
        <v>117</v>
      </c>
      <c r="FI37" s="4">
        <v>112</v>
      </c>
      <c r="FJ37" s="4">
        <v>107</v>
      </c>
      <c r="FK37" s="4">
        <v>102</v>
      </c>
      <c r="FL37" s="4">
        <v>97</v>
      </c>
      <c r="FM37" s="4">
        <v>301</v>
      </c>
      <c r="FN37" s="4">
        <v>295</v>
      </c>
      <c r="FO37" s="4">
        <v>289</v>
      </c>
      <c r="FP37" s="4">
        <v>283</v>
      </c>
      <c r="FQ37" s="4">
        <v>267</v>
      </c>
      <c r="FR37" s="4">
        <v>251</v>
      </c>
      <c r="FS37" s="4">
        <v>235</v>
      </c>
      <c r="FT37" s="19">
        <v>31.5</v>
      </c>
      <c r="FU37" s="19">
        <v>30</v>
      </c>
      <c r="FV37" s="19">
        <v>29</v>
      </c>
      <c r="FW37" s="19">
        <v>40.5</v>
      </c>
      <c r="FX37" s="19">
        <v>39.5</v>
      </c>
      <c r="FY37" s="19">
        <v>38.5</v>
      </c>
      <c r="FZ37" s="19">
        <v>37.5</v>
      </c>
      <c r="GA37" s="19">
        <v>36.5</v>
      </c>
      <c r="GB37" s="19">
        <v>35.3</v>
      </c>
      <c r="GC37" s="19">
        <v>34.3</v>
      </c>
      <c r="GD37" s="19">
        <v>33.3</v>
      </c>
      <c r="GE37" s="19">
        <v>32.3</v>
      </c>
      <c r="GF37" s="19">
        <v>31.3</v>
      </c>
      <c r="GG37" s="19">
        <v>24.2</v>
      </c>
      <c r="GH37" s="19">
        <v>23.4</v>
      </c>
      <c r="GI37" s="19">
        <v>22.4</v>
      </c>
      <c r="GJ37" s="19">
        <v>17.8</v>
      </c>
      <c r="GK37" s="19">
        <v>17</v>
      </c>
      <c r="GL37" s="19">
        <v>16.2</v>
      </c>
      <c r="GM37" s="19">
        <v>37.6</v>
      </c>
      <c r="GN37" s="19">
        <v>26.8</v>
      </c>
      <c r="GO37" s="19">
        <v>20.6</v>
      </c>
      <c r="GP37" s="19">
        <v>17.7</v>
      </c>
      <c r="GQ37" s="19">
        <v>14.8</v>
      </c>
      <c r="GR37" s="19">
        <v>12.6</v>
      </c>
      <c r="GS37" s="19">
        <v>10.7</v>
      </c>
    </row>
    <row r="38">
      <c r="A38" s="2" t="s">
        <v>391</v>
      </c>
      <c r="B38" s="2" t="s">
        <v>245</v>
      </c>
      <c r="C38" s="2" t="s">
        <v>246</v>
      </c>
      <c r="D38" s="2" t="s">
        <v>247</v>
      </c>
      <c r="E38" s="2" t="s">
        <v>248</v>
      </c>
      <c r="F38" s="2" t="s">
        <v>383</v>
      </c>
      <c r="G38" s="2" t="s">
        <v>383</v>
      </c>
      <c r="H38" s="2" t="s">
        <v>383</v>
      </c>
      <c r="I38" s="2" t="s">
        <v>384</v>
      </c>
      <c r="J38" s="2" t="s">
        <v>285</v>
      </c>
      <c r="K38" s="2" t="s">
        <v>195</v>
      </c>
      <c r="L38" s="3">
        <v>16.5</v>
      </c>
      <c r="M38" s="3">
        <v>17.32</v>
      </c>
      <c r="N38" s="3">
        <v>32.99</v>
      </c>
      <c r="O38" s="2" t="s">
        <v>196</v>
      </c>
      <c r="P38" s="2" t="s">
        <v>197</v>
      </c>
      <c r="Q38" s="2" t="s">
        <v>198</v>
      </c>
      <c r="R38" s="2" t="s">
        <v>199</v>
      </c>
      <c r="S38" s="2" t="s">
        <v>385</v>
      </c>
      <c r="T38" s="2" t="s">
        <v>386</v>
      </c>
      <c r="U38" s="2" t="s">
        <v>199</v>
      </c>
      <c r="V38" s="2" t="s">
        <v>202</v>
      </c>
      <c r="W38" s="2" t="s">
        <v>203</v>
      </c>
      <c r="X38" s="2" t="s">
        <v>199</v>
      </c>
      <c r="Y38" s="2" t="s">
        <v>204</v>
      </c>
      <c r="Z38" s="4">
        <v>300</v>
      </c>
      <c r="AA38" s="4">
        <f>=ROUNDDOWN(50,0)</f>
      </c>
      <c r="AB38" s="5">
        <v>6</v>
      </c>
      <c r="AC38" s="2" t="s">
        <v>199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199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199</v>
      </c>
      <c r="AW38" s="8" t="s">
        <v>199</v>
      </c>
      <c r="AX38" s="4" t="s">
        <v>199</v>
      </c>
      <c r="AY38" s="8" t="s">
        <v>199</v>
      </c>
      <c r="AZ38" s="7" t="s">
        <v>199</v>
      </c>
      <c r="BA38" s="7" t="s">
        <v>199</v>
      </c>
      <c r="BB38" s="7"/>
      <c r="BC38" s="4" t="s">
        <v>199</v>
      </c>
      <c r="BD38" s="8" t="s">
        <v>199</v>
      </c>
      <c r="BE38" s="4" t="s">
        <v>199</v>
      </c>
      <c r="BF38" s="8" t="s">
        <v>199</v>
      </c>
      <c r="BG38" s="7" t="s">
        <v>199</v>
      </c>
      <c r="BH38" s="7" t="s">
        <v>199</v>
      </c>
      <c r="BI38" s="7"/>
      <c r="BJ38" s="4">
        <v>35</v>
      </c>
      <c r="BK38" s="8">
        <v>594.28</v>
      </c>
      <c r="BL38" s="2" t="s">
        <v>392</v>
      </c>
      <c r="BM38" s="7"/>
      <c r="BN38" s="7"/>
      <c r="BO38" s="4"/>
      <c r="BP38" s="8"/>
      <c r="BQ38" s="4"/>
      <c r="BR38" s="8"/>
      <c r="BS38" s="7"/>
      <c r="BT38" s="7"/>
      <c r="BU38" s="2" t="s">
        <v>389</v>
      </c>
      <c r="BV38" s="2" t="s">
        <v>199</v>
      </c>
      <c r="BW38" s="2" t="s">
        <v>199</v>
      </c>
      <c r="BX38" s="2" t="s">
        <v>208</v>
      </c>
      <c r="BY38" s="2" t="s">
        <v>209</v>
      </c>
      <c r="BZ38" s="2" t="s">
        <v>196</v>
      </c>
      <c r="CA38" s="2" t="s">
        <v>210</v>
      </c>
      <c r="CB38" s="2" t="s">
        <v>393</v>
      </c>
      <c r="CC38" s="2" t="s">
        <v>212</v>
      </c>
      <c r="CD38" s="2" t="s">
        <v>199</v>
      </c>
      <c r="CE38" s="4">
        <v>300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>
        <v>303</v>
      </c>
      <c r="EU38" s="4">
        <v>287</v>
      </c>
      <c r="EV38" s="4">
        <v>281</v>
      </c>
      <c r="EW38" s="4">
        <v>275</v>
      </c>
      <c r="EX38" s="4">
        <v>269</v>
      </c>
      <c r="EY38" s="4">
        <v>263</v>
      </c>
      <c r="EZ38" s="4">
        <v>257</v>
      </c>
      <c r="FA38" s="4">
        <v>251</v>
      </c>
      <c r="FB38" s="4">
        <v>244</v>
      </c>
      <c r="FC38" s="4">
        <v>238</v>
      </c>
      <c r="FD38" s="4">
        <v>232</v>
      </c>
      <c r="FE38" s="4">
        <v>226</v>
      </c>
      <c r="FF38" s="4">
        <v>220</v>
      </c>
      <c r="FG38" s="4">
        <v>214</v>
      </c>
      <c r="FH38" s="4">
        <v>208</v>
      </c>
      <c r="FI38" s="4">
        <v>202</v>
      </c>
      <c r="FJ38" s="4">
        <v>196</v>
      </c>
      <c r="FK38" s="4">
        <v>190</v>
      </c>
      <c r="FL38" s="4">
        <v>184</v>
      </c>
      <c r="FM38" s="4">
        <v>177</v>
      </c>
      <c r="FN38" s="4">
        <v>170</v>
      </c>
      <c r="FO38" s="4">
        <v>163</v>
      </c>
      <c r="FP38" s="4">
        <v>156</v>
      </c>
      <c r="FQ38" s="4">
        <v>149</v>
      </c>
      <c r="FR38" s="4">
        <v>142</v>
      </c>
      <c r="FS38" s="4">
        <v>135</v>
      </c>
      <c r="FT38" s="19">
        <v>37.9</v>
      </c>
      <c r="FU38" s="19">
        <v>47.8</v>
      </c>
      <c r="FV38" s="19">
        <v>46.8</v>
      </c>
      <c r="FW38" s="19">
        <v>45.8</v>
      </c>
      <c r="FX38" s="19">
        <v>44.8</v>
      </c>
      <c r="FY38" s="19">
        <v>43.8</v>
      </c>
      <c r="FZ38" s="19">
        <v>42.8</v>
      </c>
      <c r="GA38" s="19">
        <v>41.8</v>
      </c>
      <c r="GB38" s="19">
        <v>40.7</v>
      </c>
      <c r="GC38" s="19">
        <v>39.7</v>
      </c>
      <c r="GD38" s="19">
        <v>38.7</v>
      </c>
      <c r="GE38" s="19">
        <v>37.7</v>
      </c>
      <c r="GF38" s="19">
        <v>36.7</v>
      </c>
      <c r="GG38" s="19">
        <v>35.7</v>
      </c>
      <c r="GH38" s="19">
        <v>34.7</v>
      </c>
      <c r="GI38" s="19">
        <v>33.7</v>
      </c>
      <c r="GJ38" s="19">
        <v>32.7</v>
      </c>
      <c r="GK38" s="19">
        <v>27.1</v>
      </c>
      <c r="GL38" s="19">
        <v>26.3</v>
      </c>
      <c r="GM38" s="19">
        <v>25.3</v>
      </c>
      <c r="GN38" s="19">
        <v>24.3</v>
      </c>
      <c r="GO38" s="19">
        <v>23.3</v>
      </c>
      <c r="GP38" s="19">
        <v>22.3</v>
      </c>
      <c r="GQ38" s="19">
        <v>21.3</v>
      </c>
      <c r="GR38" s="19">
        <v>20.3</v>
      </c>
      <c r="GS38" s="19">
        <v>19.3</v>
      </c>
    </row>
    <row r="39">
      <c r="A39" s="2" t="s">
        <v>394</v>
      </c>
      <c r="B39" s="2" t="s">
        <v>245</v>
      </c>
      <c r="C39" s="2" t="s">
        <v>246</v>
      </c>
      <c r="D39" s="2" t="s">
        <v>247</v>
      </c>
      <c r="E39" s="2" t="s">
        <v>248</v>
      </c>
      <c r="F39" s="2" t="s">
        <v>383</v>
      </c>
      <c r="G39" s="2" t="s">
        <v>383</v>
      </c>
      <c r="H39" s="2" t="s">
        <v>383</v>
      </c>
      <c r="I39" s="2" t="s">
        <v>384</v>
      </c>
      <c r="J39" s="2" t="s">
        <v>219</v>
      </c>
      <c r="K39" s="2" t="s">
        <v>195</v>
      </c>
      <c r="L39" s="3">
        <v>19</v>
      </c>
      <c r="M39" s="3">
        <v>19.95</v>
      </c>
      <c r="N39" s="3">
        <v>37.99</v>
      </c>
      <c r="O39" s="2" t="s">
        <v>196</v>
      </c>
      <c r="P39" s="2" t="s">
        <v>197</v>
      </c>
      <c r="Q39" s="2" t="s">
        <v>198</v>
      </c>
      <c r="R39" s="2" t="s">
        <v>199</v>
      </c>
      <c r="S39" s="2" t="s">
        <v>385</v>
      </c>
      <c r="T39" s="2" t="s">
        <v>386</v>
      </c>
      <c r="U39" s="2" t="s">
        <v>199</v>
      </c>
      <c r="V39" s="2" t="s">
        <v>202</v>
      </c>
      <c r="W39" s="2" t="s">
        <v>203</v>
      </c>
      <c r="X39" s="2" t="s">
        <v>199</v>
      </c>
      <c r="Y39" s="2" t="s">
        <v>204</v>
      </c>
      <c r="Z39" s="4">
        <v>432</v>
      </c>
      <c r="AA39" s="4">
        <f>=ROUNDDOWN(21.8181818181818,0)</f>
      </c>
      <c r="AB39" s="5">
        <v>19.8</v>
      </c>
      <c r="AC39" s="2" t="s">
        <v>387</v>
      </c>
      <c r="AD39" s="4">
        <v>180</v>
      </c>
      <c r="AE39" s="4">
        <v>340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199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199</v>
      </c>
      <c r="AW39" s="8" t="s">
        <v>199</v>
      </c>
      <c r="AX39" s="4" t="s">
        <v>199</v>
      </c>
      <c r="AY39" s="8" t="s">
        <v>199</v>
      </c>
      <c r="AZ39" s="7" t="s">
        <v>199</v>
      </c>
      <c r="BA39" s="7" t="s">
        <v>199</v>
      </c>
      <c r="BB39" s="7"/>
      <c r="BC39" s="4" t="s">
        <v>199</v>
      </c>
      <c r="BD39" s="8" t="s">
        <v>199</v>
      </c>
      <c r="BE39" s="4" t="s">
        <v>199</v>
      </c>
      <c r="BF39" s="8" t="s">
        <v>199</v>
      </c>
      <c r="BG39" s="7" t="s">
        <v>199</v>
      </c>
      <c r="BH39" s="7" t="s">
        <v>199</v>
      </c>
      <c r="BI39" s="7"/>
      <c r="BJ39" s="4">
        <v>112</v>
      </c>
      <c r="BK39" s="8">
        <v>2207.91</v>
      </c>
      <c r="BL39" s="2" t="s">
        <v>395</v>
      </c>
      <c r="BM39" s="7"/>
      <c r="BN39" s="7"/>
      <c r="BO39" s="4"/>
      <c r="BP39" s="8"/>
      <c r="BQ39" s="4"/>
      <c r="BR39" s="8"/>
      <c r="BS39" s="7"/>
      <c r="BT39" s="7"/>
      <c r="BU39" s="2" t="s">
        <v>389</v>
      </c>
      <c r="BV39" s="2" t="s">
        <v>199</v>
      </c>
      <c r="BW39" s="2" t="s">
        <v>199</v>
      </c>
      <c r="BX39" s="2" t="s">
        <v>208</v>
      </c>
      <c r="BY39" s="2" t="s">
        <v>209</v>
      </c>
      <c r="BZ39" s="2" t="s">
        <v>196</v>
      </c>
      <c r="CA39" s="2" t="s">
        <v>210</v>
      </c>
      <c r="CB39" s="2" t="s">
        <v>396</v>
      </c>
      <c r="CC39" s="2" t="s">
        <v>212</v>
      </c>
      <c r="CD39" s="2" t="s">
        <v>199</v>
      </c>
      <c r="CE39" s="4">
        <v>432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>
        <v>180</v>
      </c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>
        <v>160</v>
      </c>
      <c r="ER39" s="4"/>
      <c r="ES39" s="4"/>
      <c r="ET39" s="4">
        <v>443</v>
      </c>
      <c r="EU39" s="4">
        <v>414</v>
      </c>
      <c r="EV39" s="4">
        <v>394</v>
      </c>
      <c r="EW39" s="4">
        <v>554</v>
      </c>
      <c r="EX39" s="4">
        <v>534</v>
      </c>
      <c r="EY39" s="4">
        <v>514</v>
      </c>
      <c r="EZ39" s="4">
        <v>494</v>
      </c>
      <c r="FA39" s="4">
        <v>474</v>
      </c>
      <c r="FB39" s="4">
        <v>450</v>
      </c>
      <c r="FC39" s="4">
        <v>430</v>
      </c>
      <c r="FD39" s="4">
        <v>410</v>
      </c>
      <c r="FE39" s="4">
        <v>390</v>
      </c>
      <c r="FF39" s="4">
        <v>370</v>
      </c>
      <c r="FG39" s="4">
        <v>350</v>
      </c>
      <c r="FH39" s="4">
        <v>330</v>
      </c>
      <c r="FI39" s="4">
        <v>310</v>
      </c>
      <c r="FJ39" s="4">
        <v>290</v>
      </c>
      <c r="FK39" s="4">
        <v>270</v>
      </c>
      <c r="FL39" s="4">
        <v>250</v>
      </c>
      <c r="FM39" s="4">
        <v>390</v>
      </c>
      <c r="FN39" s="4">
        <v>370</v>
      </c>
      <c r="FO39" s="4">
        <v>350</v>
      </c>
      <c r="FP39" s="4">
        <v>326</v>
      </c>
      <c r="FQ39" s="4">
        <v>306</v>
      </c>
      <c r="FR39" s="4">
        <v>286</v>
      </c>
      <c r="FS39" s="4">
        <v>266</v>
      </c>
      <c r="FT39" s="19">
        <v>20.1</v>
      </c>
      <c r="FU39" s="19">
        <v>20.7</v>
      </c>
      <c r="FV39" s="19">
        <v>19.7</v>
      </c>
      <c r="FW39" s="19">
        <v>27.7</v>
      </c>
      <c r="FX39" s="19">
        <v>25.4</v>
      </c>
      <c r="FY39" s="19">
        <v>24.5</v>
      </c>
      <c r="FZ39" s="19">
        <v>23.5</v>
      </c>
      <c r="GA39" s="19">
        <v>22.6</v>
      </c>
      <c r="GB39" s="19">
        <v>22.5</v>
      </c>
      <c r="GC39" s="19">
        <v>21.5</v>
      </c>
      <c r="GD39" s="19">
        <v>20.5</v>
      </c>
      <c r="GE39" s="19">
        <v>19.5</v>
      </c>
      <c r="GF39" s="19">
        <v>18.5</v>
      </c>
      <c r="GG39" s="19">
        <v>17.5</v>
      </c>
      <c r="GH39" s="19">
        <v>16.5</v>
      </c>
      <c r="GI39" s="19">
        <v>15.5</v>
      </c>
      <c r="GJ39" s="19">
        <v>14.5</v>
      </c>
      <c r="GK39" s="19">
        <v>13.5</v>
      </c>
      <c r="GL39" s="19">
        <v>11.9</v>
      </c>
      <c r="GM39" s="19">
        <v>18.6</v>
      </c>
      <c r="GN39" s="19">
        <v>17.6</v>
      </c>
      <c r="GO39" s="19">
        <v>16.7</v>
      </c>
      <c r="GP39" s="19">
        <v>16.3</v>
      </c>
      <c r="GQ39" s="19">
        <v>14.6</v>
      </c>
      <c r="GR39" s="19">
        <v>13</v>
      </c>
      <c r="GS39" s="19">
        <v>11.6</v>
      </c>
    </row>
    <row r="40">
      <c r="A40" s="2" t="s">
        <v>397</v>
      </c>
      <c r="B40" s="2" t="s">
        <v>245</v>
      </c>
      <c r="C40" s="2" t="s">
        <v>246</v>
      </c>
      <c r="D40" s="2" t="s">
        <v>247</v>
      </c>
      <c r="E40" s="2" t="s">
        <v>248</v>
      </c>
      <c r="F40" s="2" t="s">
        <v>383</v>
      </c>
      <c r="G40" s="2" t="s">
        <v>383</v>
      </c>
      <c r="H40" s="2" t="s">
        <v>383</v>
      </c>
      <c r="I40" s="2" t="s">
        <v>384</v>
      </c>
      <c r="J40" s="2" t="s">
        <v>223</v>
      </c>
      <c r="K40" s="2" t="s">
        <v>195</v>
      </c>
      <c r="L40" s="3">
        <v>21.5</v>
      </c>
      <c r="M40" s="3">
        <v>22.58</v>
      </c>
      <c r="N40" s="3">
        <v>42.99</v>
      </c>
      <c r="O40" s="2" t="s">
        <v>196</v>
      </c>
      <c r="P40" s="2" t="s">
        <v>197</v>
      </c>
      <c r="Q40" s="2" t="s">
        <v>198</v>
      </c>
      <c r="R40" s="2" t="s">
        <v>199</v>
      </c>
      <c r="S40" s="2" t="s">
        <v>385</v>
      </c>
      <c r="T40" s="2" t="s">
        <v>386</v>
      </c>
      <c r="U40" s="2" t="s">
        <v>199</v>
      </c>
      <c r="V40" s="2" t="s">
        <v>202</v>
      </c>
      <c r="W40" s="2" t="s">
        <v>203</v>
      </c>
      <c r="X40" s="2" t="s">
        <v>199</v>
      </c>
      <c r="Y40" s="2" t="s">
        <v>204</v>
      </c>
      <c r="Z40" s="4">
        <v>372</v>
      </c>
      <c r="AA40" s="4">
        <f>=ROUNDDOWN(35.0943396226415,0)</f>
      </c>
      <c r="AB40" s="5">
        <v>10.6</v>
      </c>
      <c r="AC40" s="2" t="s">
        <v>398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199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199</v>
      </c>
      <c r="AW40" s="8" t="s">
        <v>199</v>
      </c>
      <c r="AX40" s="4" t="s">
        <v>199</v>
      </c>
      <c r="AY40" s="8" t="s">
        <v>199</v>
      </c>
      <c r="AZ40" s="7" t="s">
        <v>199</v>
      </c>
      <c r="BA40" s="7" t="s">
        <v>199</v>
      </c>
      <c r="BB40" s="7"/>
      <c r="BC40" s="4" t="s">
        <v>199</v>
      </c>
      <c r="BD40" s="8" t="s">
        <v>199</v>
      </c>
      <c r="BE40" s="4" t="s">
        <v>199</v>
      </c>
      <c r="BF40" s="8" t="s">
        <v>199</v>
      </c>
      <c r="BG40" s="7" t="s">
        <v>199</v>
      </c>
      <c r="BH40" s="7" t="s">
        <v>199</v>
      </c>
      <c r="BI40" s="7"/>
      <c r="BJ40" s="4">
        <v>69</v>
      </c>
      <c r="BK40" s="8">
        <v>1543.6</v>
      </c>
      <c r="BL40" s="2" t="s">
        <v>399</v>
      </c>
      <c r="BM40" s="7"/>
      <c r="BN40" s="7"/>
      <c r="BO40" s="4"/>
      <c r="BP40" s="8"/>
      <c r="BQ40" s="4"/>
      <c r="BR40" s="8"/>
      <c r="BS40" s="7"/>
      <c r="BT40" s="7"/>
      <c r="BU40" s="2" t="s">
        <v>389</v>
      </c>
      <c r="BV40" s="2" t="s">
        <v>199</v>
      </c>
      <c r="BW40" s="2" t="s">
        <v>199</v>
      </c>
      <c r="BX40" s="2" t="s">
        <v>208</v>
      </c>
      <c r="BY40" s="2" t="s">
        <v>209</v>
      </c>
      <c r="BZ40" s="2" t="s">
        <v>196</v>
      </c>
      <c r="CA40" s="2" t="s">
        <v>210</v>
      </c>
      <c r="CB40" s="2" t="s">
        <v>400</v>
      </c>
      <c r="CC40" s="2" t="s">
        <v>212</v>
      </c>
      <c r="CD40" s="2" t="s">
        <v>199</v>
      </c>
      <c r="CE40" s="4">
        <v>372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>
        <v>100</v>
      </c>
      <c r="ER40" s="4"/>
      <c r="ES40" s="4"/>
      <c r="ET40" s="4">
        <v>374</v>
      </c>
      <c r="EU40" s="4">
        <v>361</v>
      </c>
      <c r="EV40" s="4">
        <v>350</v>
      </c>
      <c r="EW40" s="4">
        <v>339</v>
      </c>
      <c r="EX40" s="4">
        <v>328</v>
      </c>
      <c r="EY40" s="4">
        <v>317</v>
      </c>
      <c r="EZ40" s="4">
        <v>306</v>
      </c>
      <c r="FA40" s="4">
        <v>295</v>
      </c>
      <c r="FB40" s="4">
        <v>282</v>
      </c>
      <c r="FC40" s="4">
        <v>271</v>
      </c>
      <c r="FD40" s="4">
        <v>260</v>
      </c>
      <c r="FE40" s="4">
        <v>249</v>
      </c>
      <c r="FF40" s="4">
        <v>238</v>
      </c>
      <c r="FG40" s="4">
        <v>227</v>
      </c>
      <c r="FH40" s="4">
        <v>216</v>
      </c>
      <c r="FI40" s="4">
        <v>205</v>
      </c>
      <c r="FJ40" s="4">
        <v>194</v>
      </c>
      <c r="FK40" s="4">
        <v>183</v>
      </c>
      <c r="FL40" s="4">
        <v>172</v>
      </c>
      <c r="FM40" s="4">
        <v>261</v>
      </c>
      <c r="FN40" s="4">
        <v>250</v>
      </c>
      <c r="FO40" s="4">
        <v>239</v>
      </c>
      <c r="FP40" s="4">
        <v>226</v>
      </c>
      <c r="FQ40" s="4">
        <v>215</v>
      </c>
      <c r="FR40" s="4">
        <v>204</v>
      </c>
      <c r="FS40" s="4">
        <v>193</v>
      </c>
      <c r="FT40" s="19">
        <v>31.2</v>
      </c>
      <c r="FU40" s="19">
        <v>32.8</v>
      </c>
      <c r="FV40" s="19">
        <v>31.8</v>
      </c>
      <c r="FW40" s="19">
        <v>30.8</v>
      </c>
      <c r="FX40" s="19">
        <v>27.3</v>
      </c>
      <c r="FY40" s="19">
        <v>26.4</v>
      </c>
      <c r="FZ40" s="19">
        <v>25.5</v>
      </c>
      <c r="GA40" s="19">
        <v>24.6</v>
      </c>
      <c r="GB40" s="19">
        <v>25.6</v>
      </c>
      <c r="GC40" s="19">
        <v>24.6</v>
      </c>
      <c r="GD40" s="19">
        <v>23.6</v>
      </c>
      <c r="GE40" s="19">
        <v>22.6</v>
      </c>
      <c r="GF40" s="19">
        <v>21.6</v>
      </c>
      <c r="GG40" s="19">
        <v>20.6</v>
      </c>
      <c r="GH40" s="19">
        <v>19.6</v>
      </c>
      <c r="GI40" s="19">
        <v>18.6</v>
      </c>
      <c r="GJ40" s="19">
        <v>17.6</v>
      </c>
      <c r="GK40" s="19">
        <v>16.6</v>
      </c>
      <c r="GL40" s="19">
        <v>14.3</v>
      </c>
      <c r="GM40" s="19">
        <v>21.8</v>
      </c>
      <c r="GN40" s="19">
        <v>20.8</v>
      </c>
      <c r="GO40" s="19">
        <v>19.9</v>
      </c>
      <c r="GP40" s="19">
        <v>20.5</v>
      </c>
      <c r="GQ40" s="19">
        <v>19.5</v>
      </c>
      <c r="GR40" s="19">
        <v>17</v>
      </c>
      <c r="GS40" s="19">
        <v>16.1</v>
      </c>
    </row>
    <row r="41">
      <c r="A41" s="2" t="s">
        <v>401</v>
      </c>
      <c r="B41" s="2" t="s">
        <v>245</v>
      </c>
      <c r="C41" s="2" t="s">
        <v>246</v>
      </c>
      <c r="D41" s="2" t="s">
        <v>247</v>
      </c>
      <c r="E41" s="2" t="s">
        <v>248</v>
      </c>
      <c r="F41" s="2" t="s">
        <v>383</v>
      </c>
      <c r="G41" s="2" t="s">
        <v>383</v>
      </c>
      <c r="H41" s="2" t="s">
        <v>383</v>
      </c>
      <c r="I41" s="2" t="s">
        <v>384</v>
      </c>
      <c r="J41" s="2" t="s">
        <v>251</v>
      </c>
      <c r="K41" s="2" t="s">
        <v>195</v>
      </c>
      <c r="L41" s="3">
        <v>21.5</v>
      </c>
      <c r="M41" s="3">
        <v>22.58</v>
      </c>
      <c r="N41" s="3">
        <v>42.99</v>
      </c>
      <c r="O41" s="2" t="s">
        <v>196</v>
      </c>
      <c r="P41" s="2" t="s">
        <v>197</v>
      </c>
      <c r="Q41" s="2" t="s">
        <v>198</v>
      </c>
      <c r="R41" s="2" t="s">
        <v>199</v>
      </c>
      <c r="S41" s="2" t="s">
        <v>385</v>
      </c>
      <c r="T41" s="2" t="s">
        <v>386</v>
      </c>
      <c r="U41" s="2" t="s">
        <v>199</v>
      </c>
      <c r="V41" s="2" t="s">
        <v>202</v>
      </c>
      <c r="W41" s="2" t="s">
        <v>203</v>
      </c>
      <c r="X41" s="2" t="s">
        <v>199</v>
      </c>
      <c r="Y41" s="2" t="s">
        <v>204</v>
      </c>
      <c r="Z41" s="4">
        <v>99</v>
      </c>
      <c r="AA41" s="4">
        <f>=ROUNDDOWN(24.75,0)</f>
      </c>
      <c r="AB41" s="5">
        <v>4</v>
      </c>
      <c r="AC41" s="2" t="s">
        <v>387</v>
      </c>
      <c r="AD41" s="4">
        <v>30</v>
      </c>
      <c r="AE41" s="4">
        <v>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199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199</v>
      </c>
      <c r="AW41" s="8" t="s">
        <v>199</v>
      </c>
      <c r="AX41" s="4" t="s">
        <v>199</v>
      </c>
      <c r="AY41" s="8" t="s">
        <v>199</v>
      </c>
      <c r="AZ41" s="7" t="s">
        <v>199</v>
      </c>
      <c r="BA41" s="7" t="s">
        <v>199</v>
      </c>
      <c r="BB41" s="7"/>
      <c r="BC41" s="4" t="s">
        <v>199</v>
      </c>
      <c r="BD41" s="8" t="s">
        <v>199</v>
      </c>
      <c r="BE41" s="4" t="s">
        <v>199</v>
      </c>
      <c r="BF41" s="8" t="s">
        <v>199</v>
      </c>
      <c r="BG41" s="7" t="s">
        <v>199</v>
      </c>
      <c r="BH41" s="7" t="s">
        <v>199</v>
      </c>
      <c r="BI41" s="7"/>
      <c r="BJ41" s="4">
        <v>15</v>
      </c>
      <c r="BK41" s="8">
        <v>325.58</v>
      </c>
      <c r="BL41" s="2" t="s">
        <v>402</v>
      </c>
      <c r="BM41" s="7"/>
      <c r="BN41" s="7"/>
      <c r="BO41" s="4"/>
      <c r="BP41" s="8"/>
      <c r="BQ41" s="4"/>
      <c r="BR41" s="8"/>
      <c r="BS41" s="7"/>
      <c r="BT41" s="7"/>
      <c r="BU41" s="2" t="s">
        <v>389</v>
      </c>
      <c r="BV41" s="2" t="s">
        <v>199</v>
      </c>
      <c r="BW41" s="2" t="s">
        <v>199</v>
      </c>
      <c r="BX41" s="2" t="s">
        <v>208</v>
      </c>
      <c r="BY41" s="2" t="s">
        <v>209</v>
      </c>
      <c r="BZ41" s="2" t="s">
        <v>196</v>
      </c>
      <c r="CA41" s="2" t="s">
        <v>210</v>
      </c>
      <c r="CB41" s="2" t="s">
        <v>403</v>
      </c>
      <c r="CC41" s="2" t="s">
        <v>212</v>
      </c>
      <c r="CD41" s="2" t="s">
        <v>199</v>
      </c>
      <c r="CE41" s="4">
        <v>99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>
        <v>30</v>
      </c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>
        <v>40</v>
      </c>
      <c r="ER41" s="4"/>
      <c r="ES41" s="4"/>
      <c r="ET41" s="4">
        <v>100</v>
      </c>
      <c r="EU41" s="4">
        <v>95</v>
      </c>
      <c r="EV41" s="4">
        <v>91</v>
      </c>
      <c r="EW41" s="4">
        <v>117</v>
      </c>
      <c r="EX41" s="4">
        <v>113</v>
      </c>
      <c r="EY41" s="4">
        <v>109</v>
      </c>
      <c r="EZ41" s="4">
        <v>105</v>
      </c>
      <c r="FA41" s="4">
        <v>101</v>
      </c>
      <c r="FB41" s="4">
        <v>96</v>
      </c>
      <c r="FC41" s="4">
        <v>92</v>
      </c>
      <c r="FD41" s="4">
        <v>88</v>
      </c>
      <c r="FE41" s="4">
        <v>84</v>
      </c>
      <c r="FF41" s="4">
        <v>80</v>
      </c>
      <c r="FG41" s="4">
        <v>76</v>
      </c>
      <c r="FH41" s="4">
        <v>72</v>
      </c>
      <c r="FI41" s="4">
        <v>68</v>
      </c>
      <c r="FJ41" s="4">
        <v>64</v>
      </c>
      <c r="FK41" s="4">
        <v>60</v>
      </c>
      <c r="FL41" s="4">
        <v>56</v>
      </c>
      <c r="FM41" s="4">
        <v>92</v>
      </c>
      <c r="FN41" s="4">
        <v>88</v>
      </c>
      <c r="FO41" s="4">
        <v>84</v>
      </c>
      <c r="FP41" s="4">
        <v>79</v>
      </c>
      <c r="FQ41" s="4">
        <v>75</v>
      </c>
      <c r="FR41" s="4">
        <v>71</v>
      </c>
      <c r="FS41" s="4">
        <v>67</v>
      </c>
      <c r="FT41" s="19">
        <v>25</v>
      </c>
      <c r="FU41" s="19">
        <v>23.8</v>
      </c>
      <c r="FV41" s="19">
        <v>22.8</v>
      </c>
      <c r="FW41" s="19">
        <v>29.3</v>
      </c>
      <c r="FX41" s="19">
        <v>28.3</v>
      </c>
      <c r="FY41" s="19">
        <v>27.3</v>
      </c>
      <c r="FZ41" s="19">
        <v>26.3</v>
      </c>
      <c r="GA41" s="19">
        <v>25.3</v>
      </c>
      <c r="GB41" s="19">
        <v>24</v>
      </c>
      <c r="GC41" s="19">
        <v>23</v>
      </c>
      <c r="GD41" s="19">
        <v>22</v>
      </c>
      <c r="GE41" s="19">
        <v>21</v>
      </c>
      <c r="GF41" s="19">
        <v>20</v>
      </c>
      <c r="GG41" s="19">
        <v>19</v>
      </c>
      <c r="GH41" s="19">
        <v>18</v>
      </c>
      <c r="GI41" s="19">
        <v>17</v>
      </c>
      <c r="GJ41" s="19">
        <v>16</v>
      </c>
      <c r="GK41" s="19">
        <v>15</v>
      </c>
      <c r="GL41" s="19">
        <v>14</v>
      </c>
      <c r="GM41" s="19">
        <v>23</v>
      </c>
      <c r="GN41" s="19">
        <v>22</v>
      </c>
      <c r="GO41" s="19">
        <v>21</v>
      </c>
      <c r="GP41" s="19">
        <v>19.8</v>
      </c>
      <c r="GQ41" s="19">
        <v>18.8</v>
      </c>
      <c r="GR41" s="19">
        <v>17.8</v>
      </c>
      <c r="GS41" s="19">
        <v>16.8</v>
      </c>
    </row>
    <row r="42">
      <c r="A42" s="2" t="s">
        <v>404</v>
      </c>
      <c r="B42" s="2" t="s">
        <v>245</v>
      </c>
      <c r="C42" s="2" t="s">
        <v>246</v>
      </c>
      <c r="D42" s="2" t="s">
        <v>247</v>
      </c>
      <c r="E42" s="2" t="s">
        <v>248</v>
      </c>
      <c r="F42" s="2" t="s">
        <v>383</v>
      </c>
      <c r="G42" s="2" t="s">
        <v>383</v>
      </c>
      <c r="H42" s="2" t="s">
        <v>383</v>
      </c>
      <c r="I42" s="2" t="s">
        <v>384</v>
      </c>
      <c r="J42" s="2" t="s">
        <v>194</v>
      </c>
      <c r="K42" s="2" t="s">
        <v>405</v>
      </c>
      <c r="L42" s="3">
        <v>13.44</v>
      </c>
      <c r="M42" s="3">
        <v>14.11</v>
      </c>
      <c r="N42" s="3">
        <v>27.99</v>
      </c>
      <c r="O42" s="2" t="s">
        <v>196</v>
      </c>
      <c r="P42" s="2" t="s">
        <v>197</v>
      </c>
      <c r="Q42" s="2" t="s">
        <v>198</v>
      </c>
      <c r="R42" s="2" t="s">
        <v>199</v>
      </c>
      <c r="S42" s="2" t="s">
        <v>406</v>
      </c>
      <c r="T42" s="2" t="s">
        <v>386</v>
      </c>
      <c r="U42" s="2" t="s">
        <v>199</v>
      </c>
      <c r="V42" s="2" t="s">
        <v>202</v>
      </c>
      <c r="W42" s="2" t="s">
        <v>203</v>
      </c>
      <c r="X42" s="2" t="s">
        <v>199</v>
      </c>
      <c r="Y42" s="2" t="s">
        <v>225</v>
      </c>
      <c r="Z42" s="4">
        <v>113</v>
      </c>
      <c r="AA42" s="4">
        <f>=ROUNDDOWN(37.6666666666667,0)</f>
      </c>
      <c r="AB42" s="5">
        <v>3</v>
      </c>
      <c r="AC42" s="2" t="s">
        <v>199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199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199</v>
      </c>
      <c r="AW42" s="8" t="s">
        <v>199</v>
      </c>
      <c r="AX42" s="4" t="s">
        <v>199</v>
      </c>
      <c r="AY42" s="8" t="s">
        <v>199</v>
      </c>
      <c r="AZ42" s="7" t="s">
        <v>199</v>
      </c>
      <c r="BA42" s="7" t="s">
        <v>199</v>
      </c>
      <c r="BB42" s="7"/>
      <c r="BC42" s="4" t="s">
        <v>199</v>
      </c>
      <c r="BD42" s="8" t="s">
        <v>199</v>
      </c>
      <c r="BE42" s="4" t="s">
        <v>199</v>
      </c>
      <c r="BF42" s="8" t="s">
        <v>199</v>
      </c>
      <c r="BG42" s="7" t="s">
        <v>199</v>
      </c>
      <c r="BH42" s="7" t="s">
        <v>199</v>
      </c>
      <c r="BI42" s="7"/>
      <c r="BJ42" s="4">
        <v>22</v>
      </c>
      <c r="BK42" s="8">
        <v>304.48</v>
      </c>
      <c r="BL42" s="2" t="s">
        <v>407</v>
      </c>
      <c r="BM42" s="7"/>
      <c r="BN42" s="7"/>
      <c r="BO42" s="4"/>
      <c r="BP42" s="8"/>
      <c r="BQ42" s="4"/>
      <c r="BR42" s="8"/>
      <c r="BS42" s="7"/>
      <c r="BT42" s="7"/>
      <c r="BU42" s="2" t="s">
        <v>389</v>
      </c>
      <c r="BV42" s="2" t="s">
        <v>199</v>
      </c>
      <c r="BW42" s="2" t="s">
        <v>199</v>
      </c>
      <c r="BX42" s="2" t="s">
        <v>208</v>
      </c>
      <c r="BY42" s="2" t="s">
        <v>209</v>
      </c>
      <c r="BZ42" s="2" t="s">
        <v>196</v>
      </c>
      <c r="CA42" s="2" t="s">
        <v>408</v>
      </c>
      <c r="CB42" s="2" t="s">
        <v>409</v>
      </c>
      <c r="CC42" s="2" t="s">
        <v>212</v>
      </c>
      <c r="CD42" s="2" t="s">
        <v>199</v>
      </c>
      <c r="CE42" s="4">
        <v>113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>
        <v>113</v>
      </c>
      <c r="EU42" s="4">
        <v>103</v>
      </c>
      <c r="EV42" s="4">
        <v>100</v>
      </c>
      <c r="EW42" s="4">
        <v>97</v>
      </c>
      <c r="EX42" s="4">
        <v>94</v>
      </c>
      <c r="EY42" s="4">
        <v>91</v>
      </c>
      <c r="EZ42" s="4">
        <v>88</v>
      </c>
      <c r="FA42" s="4">
        <v>85</v>
      </c>
      <c r="FB42" s="4">
        <v>82</v>
      </c>
      <c r="FC42" s="4">
        <v>79</v>
      </c>
      <c r="FD42" s="4">
        <v>76</v>
      </c>
      <c r="FE42" s="4">
        <v>73</v>
      </c>
      <c r="FF42" s="4">
        <v>70</v>
      </c>
      <c r="FG42" s="4">
        <v>67</v>
      </c>
      <c r="FH42" s="4">
        <v>64</v>
      </c>
      <c r="FI42" s="4">
        <v>61</v>
      </c>
      <c r="FJ42" s="4">
        <v>58</v>
      </c>
      <c r="FK42" s="4">
        <v>55</v>
      </c>
      <c r="FL42" s="4">
        <v>52</v>
      </c>
      <c r="FM42" s="4">
        <v>49</v>
      </c>
      <c r="FN42" s="4">
        <v>46</v>
      </c>
      <c r="FO42" s="4">
        <v>43</v>
      </c>
      <c r="FP42" s="4">
        <v>40</v>
      </c>
      <c r="FQ42" s="4">
        <v>57</v>
      </c>
      <c r="FR42" s="4">
        <v>54</v>
      </c>
      <c r="FS42" s="4">
        <v>51</v>
      </c>
      <c r="FT42" s="19">
        <v>22.6</v>
      </c>
      <c r="FU42" s="19">
        <v>34.3</v>
      </c>
      <c r="FV42" s="19">
        <v>33.3</v>
      </c>
      <c r="FW42" s="19">
        <v>32.3</v>
      </c>
      <c r="FX42" s="19">
        <v>31.3</v>
      </c>
      <c r="FY42" s="19">
        <v>30.3</v>
      </c>
      <c r="FZ42" s="19">
        <v>29.3</v>
      </c>
      <c r="GA42" s="19">
        <v>28.3</v>
      </c>
      <c r="GB42" s="19">
        <v>27.3</v>
      </c>
      <c r="GC42" s="19">
        <v>26.3</v>
      </c>
      <c r="GD42" s="19">
        <v>25.3</v>
      </c>
      <c r="GE42" s="19">
        <v>24.3</v>
      </c>
      <c r="GF42" s="19">
        <v>23.3</v>
      </c>
      <c r="GG42" s="19">
        <v>22.3</v>
      </c>
      <c r="GH42" s="19">
        <v>21.3</v>
      </c>
      <c r="GI42" s="19">
        <v>20.3</v>
      </c>
      <c r="GJ42" s="19">
        <v>19.3</v>
      </c>
      <c r="GK42" s="19">
        <v>18.3</v>
      </c>
      <c r="GL42" s="19">
        <v>17.3</v>
      </c>
      <c r="GM42" s="19">
        <v>16.3</v>
      </c>
      <c r="GN42" s="19">
        <v>15.3</v>
      </c>
      <c r="GO42" s="19">
        <v>14.3</v>
      </c>
      <c r="GP42" s="19">
        <v>13.3</v>
      </c>
      <c r="GQ42" s="19">
        <v>19</v>
      </c>
      <c r="GR42" s="19">
        <v>18</v>
      </c>
      <c r="GS42" s="19">
        <v>17</v>
      </c>
    </row>
    <row r="43">
      <c r="A43" s="2" t="s">
        <v>410</v>
      </c>
      <c r="B43" s="2" t="s">
        <v>245</v>
      </c>
      <c r="C43" s="2" t="s">
        <v>246</v>
      </c>
      <c r="D43" s="2" t="s">
        <v>247</v>
      </c>
      <c r="E43" s="2" t="s">
        <v>248</v>
      </c>
      <c r="F43" s="2" t="s">
        <v>383</v>
      </c>
      <c r="G43" s="2" t="s">
        <v>383</v>
      </c>
      <c r="H43" s="2" t="s">
        <v>383</v>
      </c>
      <c r="I43" s="2" t="s">
        <v>384</v>
      </c>
      <c r="J43" s="2" t="s">
        <v>214</v>
      </c>
      <c r="K43" s="2" t="s">
        <v>405</v>
      </c>
      <c r="L43" s="3">
        <v>15.19</v>
      </c>
      <c r="M43" s="3">
        <v>15.95</v>
      </c>
      <c r="N43" s="3">
        <v>30.99</v>
      </c>
      <c r="O43" s="2" t="s">
        <v>196</v>
      </c>
      <c r="P43" s="2" t="s">
        <v>197</v>
      </c>
      <c r="Q43" s="2" t="s">
        <v>198</v>
      </c>
      <c r="R43" s="2" t="s">
        <v>199</v>
      </c>
      <c r="S43" s="2" t="s">
        <v>406</v>
      </c>
      <c r="T43" s="2" t="s">
        <v>386</v>
      </c>
      <c r="U43" s="2" t="s">
        <v>199</v>
      </c>
      <c r="V43" s="2" t="s">
        <v>202</v>
      </c>
      <c r="W43" s="2" t="s">
        <v>203</v>
      </c>
      <c r="X43" s="2" t="s">
        <v>199</v>
      </c>
      <c r="Y43" s="2" t="s">
        <v>225</v>
      </c>
      <c r="Z43" s="4">
        <v>203</v>
      </c>
      <c r="AA43" s="4">
        <f>=ROUNDDOWN(50.75,0)</f>
      </c>
      <c r="AB43" s="5">
        <v>4</v>
      </c>
      <c r="AC43" s="2" t="s">
        <v>199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199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199</v>
      </c>
      <c r="AW43" s="8" t="s">
        <v>199</v>
      </c>
      <c r="AX43" s="4" t="s">
        <v>199</v>
      </c>
      <c r="AY43" s="8" t="s">
        <v>199</v>
      </c>
      <c r="AZ43" s="7" t="s">
        <v>199</v>
      </c>
      <c r="BA43" s="7" t="s">
        <v>199</v>
      </c>
      <c r="BB43" s="7"/>
      <c r="BC43" s="4" t="s">
        <v>199</v>
      </c>
      <c r="BD43" s="8" t="s">
        <v>199</v>
      </c>
      <c r="BE43" s="4" t="s">
        <v>199</v>
      </c>
      <c r="BF43" s="8" t="s">
        <v>199</v>
      </c>
      <c r="BG43" s="7" t="s">
        <v>199</v>
      </c>
      <c r="BH43" s="7" t="s">
        <v>199</v>
      </c>
      <c r="BI43" s="7"/>
      <c r="BJ43" s="4">
        <v>12</v>
      </c>
      <c r="BK43" s="8">
        <v>192.9</v>
      </c>
      <c r="BL43" s="2" t="s">
        <v>411</v>
      </c>
      <c r="BM43" s="7"/>
      <c r="BN43" s="7"/>
      <c r="BO43" s="4"/>
      <c r="BP43" s="8"/>
      <c r="BQ43" s="4"/>
      <c r="BR43" s="8"/>
      <c r="BS43" s="7"/>
      <c r="BT43" s="7"/>
      <c r="BU43" s="2" t="s">
        <v>389</v>
      </c>
      <c r="BV43" s="2" t="s">
        <v>199</v>
      </c>
      <c r="BW43" s="2" t="s">
        <v>199</v>
      </c>
      <c r="BX43" s="2" t="s">
        <v>208</v>
      </c>
      <c r="BY43" s="2" t="s">
        <v>209</v>
      </c>
      <c r="BZ43" s="2" t="s">
        <v>196</v>
      </c>
      <c r="CA43" s="2" t="s">
        <v>408</v>
      </c>
      <c r="CB43" s="2" t="s">
        <v>412</v>
      </c>
      <c r="CC43" s="2" t="s">
        <v>212</v>
      </c>
      <c r="CD43" s="2" t="s">
        <v>199</v>
      </c>
      <c r="CE43" s="4">
        <v>203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>
        <v>207</v>
      </c>
      <c r="EU43" s="4">
        <v>200</v>
      </c>
      <c r="EV43" s="4">
        <v>197</v>
      </c>
      <c r="EW43" s="4">
        <v>194</v>
      </c>
      <c r="EX43" s="4">
        <v>191</v>
      </c>
      <c r="EY43" s="4">
        <v>188</v>
      </c>
      <c r="EZ43" s="4">
        <v>185</v>
      </c>
      <c r="FA43" s="4">
        <v>182</v>
      </c>
      <c r="FB43" s="4">
        <v>178</v>
      </c>
      <c r="FC43" s="4">
        <v>175</v>
      </c>
      <c r="FD43" s="4">
        <v>172</v>
      </c>
      <c r="FE43" s="4">
        <v>169</v>
      </c>
      <c r="FF43" s="4">
        <v>166</v>
      </c>
      <c r="FG43" s="4">
        <v>163</v>
      </c>
      <c r="FH43" s="4">
        <v>160</v>
      </c>
      <c r="FI43" s="4">
        <v>156</v>
      </c>
      <c r="FJ43" s="4">
        <v>149</v>
      </c>
      <c r="FK43" s="4">
        <v>141</v>
      </c>
      <c r="FL43" s="4">
        <v>133</v>
      </c>
      <c r="FM43" s="4">
        <v>124</v>
      </c>
      <c r="FN43" s="4">
        <v>113</v>
      </c>
      <c r="FO43" s="4">
        <v>102</v>
      </c>
      <c r="FP43" s="4">
        <v>91</v>
      </c>
      <c r="FQ43" s="4">
        <v>267</v>
      </c>
      <c r="FR43" s="4">
        <v>249</v>
      </c>
      <c r="FS43" s="4">
        <v>231</v>
      </c>
      <c r="FT43" s="19">
        <v>51.8</v>
      </c>
      <c r="FU43" s="19">
        <v>66.7</v>
      </c>
      <c r="FV43" s="19">
        <v>65.7</v>
      </c>
      <c r="FW43" s="19">
        <v>64.7</v>
      </c>
      <c r="FX43" s="19">
        <v>63.7</v>
      </c>
      <c r="FY43" s="19">
        <v>62.7</v>
      </c>
      <c r="FZ43" s="19">
        <v>61.7</v>
      </c>
      <c r="GA43" s="19">
        <v>60.7</v>
      </c>
      <c r="GB43" s="19">
        <v>59.3</v>
      </c>
      <c r="GC43" s="19">
        <v>58.3</v>
      </c>
      <c r="GD43" s="19">
        <v>57.3</v>
      </c>
      <c r="GE43" s="19">
        <v>56.3</v>
      </c>
      <c r="GF43" s="19">
        <v>41.5</v>
      </c>
      <c r="GG43" s="19">
        <v>27.2</v>
      </c>
      <c r="GH43" s="19">
        <v>22.9</v>
      </c>
      <c r="GI43" s="19">
        <v>19.5</v>
      </c>
      <c r="GJ43" s="19">
        <v>16.6</v>
      </c>
      <c r="GK43" s="19">
        <v>14.1</v>
      </c>
      <c r="GL43" s="19">
        <v>13.3</v>
      </c>
      <c r="GM43" s="19">
        <v>9.5</v>
      </c>
      <c r="GN43" s="19">
        <v>8.1</v>
      </c>
      <c r="GO43" s="19">
        <v>6.4</v>
      </c>
      <c r="GP43" s="19">
        <v>5.1</v>
      </c>
      <c r="GQ43" s="19">
        <v>13.4</v>
      </c>
      <c r="GR43" s="19">
        <v>11.9</v>
      </c>
      <c r="GS43" s="19">
        <v>11</v>
      </c>
    </row>
    <row r="44">
      <c r="A44" s="2" t="s">
        <v>413</v>
      </c>
      <c r="B44" s="2" t="s">
        <v>245</v>
      </c>
      <c r="C44" s="2" t="s">
        <v>246</v>
      </c>
      <c r="D44" s="2" t="s">
        <v>247</v>
      </c>
      <c r="E44" s="2" t="s">
        <v>248</v>
      </c>
      <c r="F44" s="2" t="s">
        <v>383</v>
      </c>
      <c r="G44" s="2" t="s">
        <v>383</v>
      </c>
      <c r="H44" s="2" t="s">
        <v>383</v>
      </c>
      <c r="I44" s="2" t="s">
        <v>384</v>
      </c>
      <c r="J44" s="2" t="s">
        <v>219</v>
      </c>
      <c r="K44" s="2" t="s">
        <v>405</v>
      </c>
      <c r="L44" s="3">
        <v>19</v>
      </c>
      <c r="M44" s="3">
        <v>19.95</v>
      </c>
      <c r="N44" s="3">
        <v>37.99</v>
      </c>
      <c r="O44" s="2" t="s">
        <v>196</v>
      </c>
      <c r="P44" s="2" t="s">
        <v>197</v>
      </c>
      <c r="Q44" s="2" t="s">
        <v>198</v>
      </c>
      <c r="R44" s="2" t="s">
        <v>199</v>
      </c>
      <c r="S44" s="2" t="s">
        <v>406</v>
      </c>
      <c r="T44" s="2" t="s">
        <v>386</v>
      </c>
      <c r="U44" s="2" t="s">
        <v>199</v>
      </c>
      <c r="V44" s="2" t="s">
        <v>202</v>
      </c>
      <c r="W44" s="2" t="s">
        <v>203</v>
      </c>
      <c r="X44" s="2" t="s">
        <v>199</v>
      </c>
      <c r="Y44" s="2" t="s">
        <v>225</v>
      </c>
      <c r="Z44" s="4">
        <v>752</v>
      </c>
      <c r="AA44" s="4">
        <f>=ROUNDDOWN(31.3333333333333,0)</f>
      </c>
      <c r="AB44" s="5">
        <v>24</v>
      </c>
      <c r="AC44" s="2" t="s">
        <v>387</v>
      </c>
      <c r="AD44" s="4">
        <v>60</v>
      </c>
      <c r="AE44" s="4">
        <v>60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199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199</v>
      </c>
      <c r="AW44" s="8" t="s">
        <v>199</v>
      </c>
      <c r="AX44" s="4" t="s">
        <v>199</v>
      </c>
      <c r="AY44" s="8" t="s">
        <v>199</v>
      </c>
      <c r="AZ44" s="7" t="s">
        <v>199</v>
      </c>
      <c r="BA44" s="7" t="s">
        <v>199</v>
      </c>
      <c r="BB44" s="7"/>
      <c r="BC44" s="4" t="s">
        <v>199</v>
      </c>
      <c r="BD44" s="8" t="s">
        <v>199</v>
      </c>
      <c r="BE44" s="4" t="s">
        <v>199</v>
      </c>
      <c r="BF44" s="8" t="s">
        <v>199</v>
      </c>
      <c r="BG44" s="7" t="s">
        <v>199</v>
      </c>
      <c r="BH44" s="7" t="s">
        <v>199</v>
      </c>
      <c r="BI44" s="7"/>
      <c r="BJ44" s="4">
        <v>97</v>
      </c>
      <c r="BK44" s="8">
        <v>1938.89</v>
      </c>
      <c r="BL44" s="2" t="s">
        <v>414</v>
      </c>
      <c r="BM44" s="7"/>
      <c r="BN44" s="7"/>
      <c r="BO44" s="4"/>
      <c r="BP44" s="8"/>
      <c r="BQ44" s="4"/>
      <c r="BR44" s="8"/>
      <c r="BS44" s="7"/>
      <c r="BT44" s="7"/>
      <c r="BU44" s="2" t="s">
        <v>389</v>
      </c>
      <c r="BV44" s="2" t="s">
        <v>199</v>
      </c>
      <c r="BW44" s="2" t="s">
        <v>199</v>
      </c>
      <c r="BX44" s="2" t="s">
        <v>208</v>
      </c>
      <c r="BY44" s="2" t="s">
        <v>209</v>
      </c>
      <c r="BZ44" s="2" t="s">
        <v>196</v>
      </c>
      <c r="CA44" s="2" t="s">
        <v>408</v>
      </c>
      <c r="CB44" s="2" t="s">
        <v>415</v>
      </c>
      <c r="CC44" s="2" t="s">
        <v>212</v>
      </c>
      <c r="CD44" s="2" t="s">
        <v>199</v>
      </c>
      <c r="CE44" s="4">
        <v>752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>
        <v>60</v>
      </c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>
        <v>763</v>
      </c>
      <c r="EU44" s="4">
        <v>735</v>
      </c>
      <c r="EV44" s="4">
        <v>717</v>
      </c>
      <c r="EW44" s="4">
        <v>759</v>
      </c>
      <c r="EX44" s="4">
        <v>737</v>
      </c>
      <c r="EY44" s="4">
        <v>713</v>
      </c>
      <c r="EZ44" s="4">
        <v>689</v>
      </c>
      <c r="FA44" s="4">
        <v>665</v>
      </c>
      <c r="FB44" s="4">
        <v>637</v>
      </c>
      <c r="FC44" s="4">
        <v>613</v>
      </c>
      <c r="FD44" s="4">
        <v>589</v>
      </c>
      <c r="FE44" s="4">
        <v>565</v>
      </c>
      <c r="FF44" s="4">
        <v>541</v>
      </c>
      <c r="FG44" s="4">
        <v>517</v>
      </c>
      <c r="FH44" s="4">
        <v>493</v>
      </c>
      <c r="FI44" s="4">
        <v>468</v>
      </c>
      <c r="FJ44" s="4">
        <v>444</v>
      </c>
      <c r="FK44" s="4">
        <v>420</v>
      </c>
      <c r="FL44" s="4">
        <v>396</v>
      </c>
      <c r="FM44" s="4">
        <v>372</v>
      </c>
      <c r="FN44" s="4">
        <v>347</v>
      </c>
      <c r="FO44" s="4">
        <v>322</v>
      </c>
      <c r="FP44" s="4">
        <v>293</v>
      </c>
      <c r="FQ44" s="4">
        <v>496</v>
      </c>
      <c r="FR44" s="4">
        <v>471</v>
      </c>
      <c r="FS44" s="4">
        <v>446</v>
      </c>
      <c r="FT44" s="19">
        <v>34.7</v>
      </c>
      <c r="FU44" s="19">
        <v>36.8</v>
      </c>
      <c r="FV44" s="19">
        <v>32.6</v>
      </c>
      <c r="FW44" s="19">
        <v>31.6</v>
      </c>
      <c r="FX44" s="19">
        <v>29.5</v>
      </c>
      <c r="FY44" s="19">
        <v>28.5</v>
      </c>
      <c r="FZ44" s="19">
        <v>27.6</v>
      </c>
      <c r="GA44" s="19">
        <v>26.6</v>
      </c>
      <c r="GB44" s="19">
        <v>26.5</v>
      </c>
      <c r="GC44" s="19">
        <v>25.5</v>
      </c>
      <c r="GD44" s="19">
        <v>24.5</v>
      </c>
      <c r="GE44" s="19">
        <v>23.5</v>
      </c>
      <c r="GF44" s="19">
        <v>22.5</v>
      </c>
      <c r="GG44" s="19">
        <v>21.5</v>
      </c>
      <c r="GH44" s="19">
        <v>20.5</v>
      </c>
      <c r="GI44" s="19">
        <v>19.5</v>
      </c>
      <c r="GJ44" s="19">
        <v>18.5</v>
      </c>
      <c r="GK44" s="19">
        <v>17.5</v>
      </c>
      <c r="GL44" s="19">
        <v>15.2</v>
      </c>
      <c r="GM44" s="19">
        <v>14.3</v>
      </c>
      <c r="GN44" s="19">
        <v>13.3</v>
      </c>
      <c r="GO44" s="19">
        <v>12.4</v>
      </c>
      <c r="GP44" s="19">
        <v>11.7</v>
      </c>
      <c r="GQ44" s="19">
        <v>19.1</v>
      </c>
      <c r="GR44" s="19">
        <v>17.4</v>
      </c>
      <c r="GS44" s="19">
        <v>15.9</v>
      </c>
    </row>
    <row r="45">
      <c r="A45" s="2" t="s">
        <v>416</v>
      </c>
      <c r="B45" s="2" t="s">
        <v>245</v>
      </c>
      <c r="C45" s="2" t="s">
        <v>246</v>
      </c>
      <c r="D45" s="2" t="s">
        <v>247</v>
      </c>
      <c r="E45" s="2" t="s">
        <v>248</v>
      </c>
      <c r="F45" s="2" t="s">
        <v>383</v>
      </c>
      <c r="G45" s="2" t="s">
        <v>383</v>
      </c>
      <c r="H45" s="2" t="s">
        <v>383</v>
      </c>
      <c r="I45" s="2" t="s">
        <v>384</v>
      </c>
      <c r="J45" s="2" t="s">
        <v>251</v>
      </c>
      <c r="K45" s="2" t="s">
        <v>405</v>
      </c>
      <c r="L45" s="3">
        <v>21.5</v>
      </c>
      <c r="M45" s="3">
        <v>22.58</v>
      </c>
      <c r="N45" s="3">
        <v>42.99</v>
      </c>
      <c r="O45" s="2" t="s">
        <v>196</v>
      </c>
      <c r="P45" s="2" t="s">
        <v>197</v>
      </c>
      <c r="Q45" s="2" t="s">
        <v>198</v>
      </c>
      <c r="R45" s="2" t="s">
        <v>199</v>
      </c>
      <c r="S45" s="2" t="s">
        <v>406</v>
      </c>
      <c r="T45" s="2" t="s">
        <v>386</v>
      </c>
      <c r="U45" s="2" t="s">
        <v>199</v>
      </c>
      <c r="V45" s="2" t="s">
        <v>202</v>
      </c>
      <c r="W45" s="2" t="s">
        <v>203</v>
      </c>
      <c r="X45" s="2" t="s">
        <v>199</v>
      </c>
      <c r="Y45" s="2" t="s">
        <v>225</v>
      </c>
      <c r="Z45" s="4">
        <v>97</v>
      </c>
      <c r="AA45" s="4">
        <f>=ROUNDDOWN(32.3333333333333,0)</f>
      </c>
      <c r="AB45" s="5">
        <v>3</v>
      </c>
      <c r="AC45" s="2" t="s">
        <v>387</v>
      </c>
      <c r="AD45" s="4">
        <v>20</v>
      </c>
      <c r="AE45" s="4">
        <v>20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199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199</v>
      </c>
      <c r="AW45" s="8" t="s">
        <v>199</v>
      </c>
      <c r="AX45" s="4" t="s">
        <v>199</v>
      </c>
      <c r="AY45" s="8" t="s">
        <v>199</v>
      </c>
      <c r="AZ45" s="7" t="s">
        <v>199</v>
      </c>
      <c r="BA45" s="7" t="s">
        <v>199</v>
      </c>
      <c r="BB45" s="7"/>
      <c r="BC45" s="4" t="s">
        <v>199</v>
      </c>
      <c r="BD45" s="8" t="s">
        <v>199</v>
      </c>
      <c r="BE45" s="4" t="s">
        <v>199</v>
      </c>
      <c r="BF45" s="8" t="s">
        <v>199</v>
      </c>
      <c r="BG45" s="7" t="s">
        <v>199</v>
      </c>
      <c r="BH45" s="7" t="s">
        <v>199</v>
      </c>
      <c r="BI45" s="7"/>
      <c r="BJ45" s="4">
        <v>20</v>
      </c>
      <c r="BK45" s="8">
        <v>446.66</v>
      </c>
      <c r="BL45" s="2" t="s">
        <v>417</v>
      </c>
      <c r="BM45" s="7"/>
      <c r="BN45" s="7"/>
      <c r="BO45" s="4"/>
      <c r="BP45" s="8"/>
      <c r="BQ45" s="4"/>
      <c r="BR45" s="8"/>
      <c r="BS45" s="7"/>
      <c r="BT45" s="7"/>
      <c r="BU45" s="2" t="s">
        <v>389</v>
      </c>
      <c r="BV45" s="2" t="s">
        <v>199</v>
      </c>
      <c r="BW45" s="2" t="s">
        <v>199</v>
      </c>
      <c r="BX45" s="2" t="s">
        <v>208</v>
      </c>
      <c r="BY45" s="2" t="s">
        <v>209</v>
      </c>
      <c r="BZ45" s="2" t="s">
        <v>196</v>
      </c>
      <c r="CA45" s="2" t="s">
        <v>408</v>
      </c>
      <c r="CB45" s="2" t="s">
        <v>418</v>
      </c>
      <c r="CC45" s="2" t="s">
        <v>212</v>
      </c>
      <c r="CD45" s="2" t="s">
        <v>199</v>
      </c>
      <c r="CE45" s="4">
        <v>97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>
        <v>20</v>
      </c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>
        <v>100</v>
      </c>
      <c r="EU45" s="4">
        <v>96</v>
      </c>
      <c r="EV45" s="4">
        <v>94</v>
      </c>
      <c r="EW45" s="4">
        <v>112</v>
      </c>
      <c r="EX45" s="4">
        <v>110</v>
      </c>
      <c r="EY45" s="4">
        <v>108</v>
      </c>
      <c r="EZ45" s="4">
        <v>106</v>
      </c>
      <c r="FA45" s="4">
        <v>104</v>
      </c>
      <c r="FB45" s="4">
        <v>102</v>
      </c>
      <c r="FC45" s="4">
        <v>100</v>
      </c>
      <c r="FD45" s="4">
        <v>98</v>
      </c>
      <c r="FE45" s="4">
        <v>96</v>
      </c>
      <c r="FF45" s="4">
        <v>94</v>
      </c>
      <c r="FG45" s="4">
        <v>91</v>
      </c>
      <c r="FH45" s="4">
        <v>88</v>
      </c>
      <c r="FI45" s="4">
        <v>85</v>
      </c>
      <c r="FJ45" s="4">
        <v>82</v>
      </c>
      <c r="FK45" s="4">
        <v>79</v>
      </c>
      <c r="FL45" s="4">
        <v>76</v>
      </c>
      <c r="FM45" s="4">
        <v>73</v>
      </c>
      <c r="FN45" s="4">
        <v>70</v>
      </c>
      <c r="FO45" s="4">
        <v>67</v>
      </c>
      <c r="FP45" s="4">
        <v>64</v>
      </c>
      <c r="FQ45" s="4">
        <v>61</v>
      </c>
      <c r="FR45" s="4">
        <v>58</v>
      </c>
      <c r="FS45" s="4">
        <v>55</v>
      </c>
      <c r="FT45" s="19">
        <v>50</v>
      </c>
      <c r="FU45" s="19">
        <v>48</v>
      </c>
      <c r="FV45" s="19">
        <v>47</v>
      </c>
      <c r="FW45" s="19">
        <v>56</v>
      </c>
      <c r="FX45" s="19">
        <v>55</v>
      </c>
      <c r="FY45" s="19">
        <v>54</v>
      </c>
      <c r="FZ45" s="19">
        <v>53</v>
      </c>
      <c r="GA45" s="19">
        <v>52</v>
      </c>
      <c r="GB45" s="19">
        <v>51</v>
      </c>
      <c r="GC45" s="19">
        <v>50</v>
      </c>
      <c r="GD45" s="19">
        <v>49</v>
      </c>
      <c r="GE45" s="19">
        <v>32</v>
      </c>
      <c r="GF45" s="19">
        <v>31.3</v>
      </c>
      <c r="GG45" s="19">
        <v>30.3</v>
      </c>
      <c r="GH45" s="19">
        <v>29.3</v>
      </c>
      <c r="GI45" s="19">
        <v>28.3</v>
      </c>
      <c r="GJ45" s="19">
        <v>27.3</v>
      </c>
      <c r="GK45" s="19">
        <v>26.3</v>
      </c>
      <c r="GL45" s="19">
        <v>25.3</v>
      </c>
      <c r="GM45" s="19">
        <v>24.3</v>
      </c>
      <c r="GN45" s="19">
        <v>23.3</v>
      </c>
      <c r="GO45" s="19">
        <v>22.3</v>
      </c>
      <c r="GP45" s="19">
        <v>21.3</v>
      </c>
      <c r="GQ45" s="19">
        <v>20.3</v>
      </c>
      <c r="GR45" s="19">
        <v>19.3</v>
      </c>
      <c r="GS45" s="19">
        <v>18.3</v>
      </c>
    </row>
    <row r="46">
      <c r="A46" s="2" t="s">
        <v>419</v>
      </c>
      <c r="B46" s="2" t="s">
        <v>245</v>
      </c>
      <c r="C46" s="2" t="s">
        <v>246</v>
      </c>
      <c r="D46" s="2" t="s">
        <v>247</v>
      </c>
      <c r="E46" s="2" t="s">
        <v>248</v>
      </c>
      <c r="F46" s="2" t="s">
        <v>383</v>
      </c>
      <c r="G46" s="2" t="s">
        <v>383</v>
      </c>
      <c r="H46" s="2" t="s">
        <v>383</v>
      </c>
      <c r="I46" s="2" t="s">
        <v>384</v>
      </c>
      <c r="J46" s="2" t="s">
        <v>194</v>
      </c>
      <c r="K46" s="2" t="s">
        <v>371</v>
      </c>
      <c r="L46" s="3">
        <v>13.44</v>
      </c>
      <c r="M46" s="3">
        <v>14.11</v>
      </c>
      <c r="N46" s="3">
        <v>27.99</v>
      </c>
      <c r="O46" s="2" t="s">
        <v>196</v>
      </c>
      <c r="P46" s="2" t="s">
        <v>197</v>
      </c>
      <c r="Q46" s="2" t="s">
        <v>198</v>
      </c>
      <c r="R46" s="2" t="s">
        <v>199</v>
      </c>
      <c r="S46" s="2" t="s">
        <v>420</v>
      </c>
      <c r="T46" s="2" t="s">
        <v>386</v>
      </c>
      <c r="U46" s="2" t="s">
        <v>199</v>
      </c>
      <c r="V46" s="2" t="s">
        <v>202</v>
      </c>
      <c r="W46" s="2" t="s">
        <v>203</v>
      </c>
      <c r="X46" s="2" t="s">
        <v>199</v>
      </c>
      <c r="Y46" s="2" t="s">
        <v>204</v>
      </c>
      <c r="Z46" s="4">
        <v>164</v>
      </c>
      <c r="AA46" s="4">
        <f>=ROUNDDOWN(54.6666666666667,0)</f>
      </c>
      <c r="AB46" s="5">
        <v>3</v>
      </c>
      <c r="AC46" s="2" t="s">
        <v>199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199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199</v>
      </c>
      <c r="AW46" s="8" t="s">
        <v>199</v>
      </c>
      <c r="AX46" s="4" t="s">
        <v>199</v>
      </c>
      <c r="AY46" s="8" t="s">
        <v>199</v>
      </c>
      <c r="AZ46" s="7" t="s">
        <v>199</v>
      </c>
      <c r="BA46" s="7" t="s">
        <v>199</v>
      </c>
      <c r="BB46" s="7"/>
      <c r="BC46" s="4" t="s">
        <v>199</v>
      </c>
      <c r="BD46" s="8" t="s">
        <v>199</v>
      </c>
      <c r="BE46" s="4" t="s">
        <v>199</v>
      </c>
      <c r="BF46" s="8" t="s">
        <v>199</v>
      </c>
      <c r="BG46" s="7" t="s">
        <v>199</v>
      </c>
      <c r="BH46" s="7" t="s">
        <v>199</v>
      </c>
      <c r="BI46" s="7"/>
      <c r="BJ46" s="4">
        <v>20</v>
      </c>
      <c r="BK46" s="8">
        <v>264.06</v>
      </c>
      <c r="BL46" s="2" t="s">
        <v>421</v>
      </c>
      <c r="BM46" s="7"/>
      <c r="BN46" s="7"/>
      <c r="BO46" s="4"/>
      <c r="BP46" s="8"/>
      <c r="BQ46" s="4"/>
      <c r="BR46" s="8"/>
      <c r="BS46" s="7"/>
      <c r="BT46" s="7"/>
      <c r="BU46" s="2" t="s">
        <v>389</v>
      </c>
      <c r="BV46" s="2" t="s">
        <v>199</v>
      </c>
      <c r="BW46" s="2" t="s">
        <v>199</v>
      </c>
      <c r="BX46" s="2" t="s">
        <v>208</v>
      </c>
      <c r="BY46" s="2" t="s">
        <v>209</v>
      </c>
      <c r="BZ46" s="2" t="s">
        <v>196</v>
      </c>
      <c r="CA46" s="2" t="s">
        <v>210</v>
      </c>
      <c r="CB46" s="2" t="s">
        <v>422</v>
      </c>
      <c r="CC46" s="2" t="s">
        <v>212</v>
      </c>
      <c r="CD46" s="2" t="s">
        <v>199</v>
      </c>
      <c r="CE46" s="4">
        <v>164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>
        <v>166</v>
      </c>
      <c r="EU46" s="4">
        <v>161</v>
      </c>
      <c r="EV46" s="4">
        <v>158</v>
      </c>
      <c r="EW46" s="4">
        <v>155</v>
      </c>
      <c r="EX46" s="4">
        <v>152</v>
      </c>
      <c r="EY46" s="4">
        <v>149</v>
      </c>
      <c r="EZ46" s="4">
        <v>146</v>
      </c>
      <c r="FA46" s="4">
        <v>143</v>
      </c>
      <c r="FB46" s="4">
        <v>139</v>
      </c>
      <c r="FC46" s="4">
        <v>136</v>
      </c>
      <c r="FD46" s="4">
        <v>133</v>
      </c>
      <c r="FE46" s="4">
        <v>130</v>
      </c>
      <c r="FF46" s="4">
        <v>127</v>
      </c>
      <c r="FG46" s="4">
        <v>124</v>
      </c>
      <c r="FH46" s="4">
        <v>121</v>
      </c>
      <c r="FI46" s="4">
        <v>118</v>
      </c>
      <c r="FJ46" s="4">
        <v>115</v>
      </c>
      <c r="FK46" s="4">
        <v>112</v>
      </c>
      <c r="FL46" s="4">
        <v>109</v>
      </c>
      <c r="FM46" s="4">
        <v>106</v>
      </c>
      <c r="FN46" s="4">
        <v>103</v>
      </c>
      <c r="FO46" s="4">
        <v>100</v>
      </c>
      <c r="FP46" s="4">
        <v>97</v>
      </c>
      <c r="FQ46" s="4">
        <v>94</v>
      </c>
      <c r="FR46" s="4">
        <v>91</v>
      </c>
      <c r="FS46" s="4">
        <v>88</v>
      </c>
      <c r="FT46" s="19">
        <v>41.5</v>
      </c>
      <c r="FU46" s="19">
        <v>53.7</v>
      </c>
      <c r="FV46" s="19">
        <v>52.7</v>
      </c>
      <c r="FW46" s="19">
        <v>51.7</v>
      </c>
      <c r="FX46" s="19">
        <v>50.7</v>
      </c>
      <c r="FY46" s="19">
        <v>49.7</v>
      </c>
      <c r="FZ46" s="19">
        <v>48.7</v>
      </c>
      <c r="GA46" s="19">
        <v>47.7</v>
      </c>
      <c r="GB46" s="19">
        <v>46.3</v>
      </c>
      <c r="GC46" s="19">
        <v>45.3</v>
      </c>
      <c r="GD46" s="19">
        <v>44.3</v>
      </c>
      <c r="GE46" s="19">
        <v>43.3</v>
      </c>
      <c r="GF46" s="19">
        <v>42.3</v>
      </c>
      <c r="GG46" s="19">
        <v>41.3</v>
      </c>
      <c r="GH46" s="19">
        <v>40.3</v>
      </c>
      <c r="GI46" s="19">
        <v>39.3</v>
      </c>
      <c r="GJ46" s="19">
        <v>38.3</v>
      </c>
      <c r="GK46" s="19">
        <v>37.3</v>
      </c>
      <c r="GL46" s="19">
        <v>36.3</v>
      </c>
      <c r="GM46" s="19">
        <v>35.3</v>
      </c>
      <c r="GN46" s="19">
        <v>34.3</v>
      </c>
      <c r="GO46" s="19">
        <v>33.3</v>
      </c>
      <c r="GP46" s="19">
        <v>32.3</v>
      </c>
      <c r="GQ46" s="19">
        <v>31.3</v>
      </c>
      <c r="GR46" s="19">
        <v>22.8</v>
      </c>
      <c r="GS46" s="19">
        <v>22</v>
      </c>
    </row>
    <row r="47">
      <c r="A47" s="2" t="s">
        <v>423</v>
      </c>
      <c r="B47" s="2" t="s">
        <v>245</v>
      </c>
      <c r="C47" s="2" t="s">
        <v>246</v>
      </c>
      <c r="D47" s="2" t="s">
        <v>247</v>
      </c>
      <c r="E47" s="2" t="s">
        <v>248</v>
      </c>
      <c r="F47" s="2" t="s">
        <v>383</v>
      </c>
      <c r="G47" s="2" t="s">
        <v>383</v>
      </c>
      <c r="H47" s="2" t="s">
        <v>383</v>
      </c>
      <c r="I47" s="2" t="s">
        <v>384</v>
      </c>
      <c r="J47" s="2" t="s">
        <v>214</v>
      </c>
      <c r="K47" s="2" t="s">
        <v>371</v>
      </c>
      <c r="L47" s="3">
        <v>15.19</v>
      </c>
      <c r="M47" s="3">
        <v>15.95</v>
      </c>
      <c r="N47" s="3">
        <v>30.99</v>
      </c>
      <c r="O47" s="2" t="s">
        <v>196</v>
      </c>
      <c r="P47" s="2" t="s">
        <v>197</v>
      </c>
      <c r="Q47" s="2" t="s">
        <v>198</v>
      </c>
      <c r="R47" s="2" t="s">
        <v>199</v>
      </c>
      <c r="S47" s="2" t="s">
        <v>420</v>
      </c>
      <c r="T47" s="2" t="s">
        <v>386</v>
      </c>
      <c r="U47" s="2" t="s">
        <v>199</v>
      </c>
      <c r="V47" s="2" t="s">
        <v>202</v>
      </c>
      <c r="W47" s="2" t="s">
        <v>203</v>
      </c>
      <c r="X47" s="2" t="s">
        <v>199</v>
      </c>
      <c r="Y47" s="2" t="s">
        <v>204</v>
      </c>
      <c r="Z47" s="4">
        <v>250</v>
      </c>
      <c r="AA47" s="4">
        <f>=ROUNDDOWN(41.6666666666667,0)</f>
      </c>
      <c r="AB47" s="5">
        <v>6</v>
      </c>
      <c r="AC47" s="2" t="s">
        <v>398</v>
      </c>
      <c r="AD47" s="4">
        <v>120</v>
      </c>
      <c r="AE47" s="4">
        <v>120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199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199</v>
      </c>
      <c r="AW47" s="8" t="s">
        <v>199</v>
      </c>
      <c r="AX47" s="4" t="s">
        <v>199</v>
      </c>
      <c r="AY47" s="8" t="s">
        <v>199</v>
      </c>
      <c r="AZ47" s="7" t="s">
        <v>199</v>
      </c>
      <c r="BA47" s="7" t="s">
        <v>199</v>
      </c>
      <c r="BB47" s="7"/>
      <c r="BC47" s="4" t="s">
        <v>199</v>
      </c>
      <c r="BD47" s="8" t="s">
        <v>199</v>
      </c>
      <c r="BE47" s="4" t="s">
        <v>199</v>
      </c>
      <c r="BF47" s="8" t="s">
        <v>199</v>
      </c>
      <c r="BG47" s="7" t="s">
        <v>199</v>
      </c>
      <c r="BH47" s="7" t="s">
        <v>199</v>
      </c>
      <c r="BI47" s="7"/>
      <c r="BJ47" s="4">
        <v>46</v>
      </c>
      <c r="BK47" s="8">
        <v>733.61</v>
      </c>
      <c r="BL47" s="2" t="s">
        <v>424</v>
      </c>
      <c r="BM47" s="7"/>
      <c r="BN47" s="7"/>
      <c r="BO47" s="4"/>
      <c r="BP47" s="8"/>
      <c r="BQ47" s="4"/>
      <c r="BR47" s="8"/>
      <c r="BS47" s="7"/>
      <c r="BT47" s="7"/>
      <c r="BU47" s="2" t="s">
        <v>389</v>
      </c>
      <c r="BV47" s="2" t="s">
        <v>199</v>
      </c>
      <c r="BW47" s="2" t="s">
        <v>199</v>
      </c>
      <c r="BX47" s="2" t="s">
        <v>208</v>
      </c>
      <c r="BY47" s="2" t="s">
        <v>209</v>
      </c>
      <c r="BZ47" s="2" t="s">
        <v>196</v>
      </c>
      <c r="CA47" s="2" t="s">
        <v>210</v>
      </c>
      <c r="CB47" s="2" t="s">
        <v>390</v>
      </c>
      <c r="CC47" s="2" t="s">
        <v>212</v>
      </c>
      <c r="CD47" s="2" t="s">
        <v>199</v>
      </c>
      <c r="CE47" s="4">
        <v>250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>
        <v>120</v>
      </c>
      <c r="ER47" s="4"/>
      <c r="ES47" s="4"/>
      <c r="ET47" s="4">
        <v>255</v>
      </c>
      <c r="EU47" s="4">
        <v>244</v>
      </c>
      <c r="EV47" s="4">
        <v>238</v>
      </c>
      <c r="EW47" s="4">
        <v>232</v>
      </c>
      <c r="EX47" s="4">
        <v>226</v>
      </c>
      <c r="EY47" s="4">
        <v>220</v>
      </c>
      <c r="EZ47" s="4">
        <v>214</v>
      </c>
      <c r="FA47" s="4">
        <v>208</v>
      </c>
      <c r="FB47" s="4">
        <v>201</v>
      </c>
      <c r="FC47" s="4">
        <v>195</v>
      </c>
      <c r="FD47" s="4">
        <v>189</v>
      </c>
      <c r="FE47" s="4">
        <v>183</v>
      </c>
      <c r="FF47" s="4">
        <v>177</v>
      </c>
      <c r="FG47" s="4">
        <v>171</v>
      </c>
      <c r="FH47" s="4">
        <v>165</v>
      </c>
      <c r="FI47" s="4">
        <v>158</v>
      </c>
      <c r="FJ47" s="4">
        <v>151</v>
      </c>
      <c r="FK47" s="4">
        <v>144</v>
      </c>
      <c r="FL47" s="4">
        <v>137</v>
      </c>
      <c r="FM47" s="4">
        <v>248</v>
      </c>
      <c r="FN47" s="4">
        <v>239</v>
      </c>
      <c r="FO47" s="4">
        <v>230</v>
      </c>
      <c r="FP47" s="4">
        <v>221</v>
      </c>
      <c r="FQ47" s="4">
        <v>197</v>
      </c>
      <c r="FR47" s="4">
        <v>173</v>
      </c>
      <c r="FS47" s="4">
        <v>149</v>
      </c>
      <c r="FT47" s="19">
        <v>36.4</v>
      </c>
      <c r="FU47" s="19">
        <v>40.7</v>
      </c>
      <c r="FV47" s="19">
        <v>39.7</v>
      </c>
      <c r="FW47" s="19">
        <v>38.7</v>
      </c>
      <c r="FX47" s="19">
        <v>37.7</v>
      </c>
      <c r="FY47" s="19">
        <v>36.7</v>
      </c>
      <c r="FZ47" s="19">
        <v>35.7</v>
      </c>
      <c r="GA47" s="19">
        <v>34.7</v>
      </c>
      <c r="GB47" s="19">
        <v>33.5</v>
      </c>
      <c r="GC47" s="19">
        <v>32.5</v>
      </c>
      <c r="GD47" s="19">
        <v>31.5</v>
      </c>
      <c r="GE47" s="19">
        <v>30.5</v>
      </c>
      <c r="GF47" s="19">
        <v>29.5</v>
      </c>
      <c r="GG47" s="19">
        <v>24.4</v>
      </c>
      <c r="GH47" s="19">
        <v>23.6</v>
      </c>
      <c r="GI47" s="19">
        <v>19.8</v>
      </c>
      <c r="GJ47" s="19">
        <v>18.9</v>
      </c>
      <c r="GK47" s="19">
        <v>18</v>
      </c>
      <c r="GL47" s="19">
        <v>15.2</v>
      </c>
      <c r="GM47" s="19">
        <v>19.1</v>
      </c>
      <c r="GN47" s="19">
        <v>14.9</v>
      </c>
      <c r="GO47" s="19">
        <v>11.5</v>
      </c>
      <c r="GP47" s="19">
        <v>9.2</v>
      </c>
      <c r="GQ47" s="19">
        <v>7.3</v>
      </c>
      <c r="GR47" s="19">
        <v>5.8</v>
      </c>
      <c r="GS47" s="19">
        <v>4.4</v>
      </c>
    </row>
    <row r="48">
      <c r="A48" s="2" t="s">
        <v>425</v>
      </c>
      <c r="B48" s="2" t="s">
        <v>245</v>
      </c>
      <c r="C48" s="2" t="s">
        <v>246</v>
      </c>
      <c r="D48" s="2" t="s">
        <v>247</v>
      </c>
      <c r="E48" s="2" t="s">
        <v>248</v>
      </c>
      <c r="F48" s="2" t="s">
        <v>383</v>
      </c>
      <c r="G48" s="2" t="s">
        <v>383</v>
      </c>
      <c r="H48" s="2" t="s">
        <v>383</v>
      </c>
      <c r="I48" s="2" t="s">
        <v>384</v>
      </c>
      <c r="J48" s="2" t="s">
        <v>194</v>
      </c>
      <c r="K48" s="2" t="s">
        <v>252</v>
      </c>
      <c r="L48" s="3">
        <v>13.44</v>
      </c>
      <c r="M48" s="3">
        <v>14.11</v>
      </c>
      <c r="N48" s="3">
        <v>27.99</v>
      </c>
      <c r="O48" s="2" t="s">
        <v>196</v>
      </c>
      <c r="P48" s="2" t="s">
        <v>197</v>
      </c>
      <c r="Q48" s="2" t="s">
        <v>198</v>
      </c>
      <c r="R48" s="2" t="s">
        <v>199</v>
      </c>
      <c r="S48" s="2" t="s">
        <v>426</v>
      </c>
      <c r="T48" s="2" t="s">
        <v>386</v>
      </c>
      <c r="U48" s="2" t="s">
        <v>199</v>
      </c>
      <c r="V48" s="2" t="s">
        <v>202</v>
      </c>
      <c r="W48" s="2" t="s">
        <v>203</v>
      </c>
      <c r="X48" s="2" t="s">
        <v>199</v>
      </c>
      <c r="Y48" s="2" t="s">
        <v>204</v>
      </c>
      <c r="Z48" s="4">
        <v>58</v>
      </c>
      <c r="AA48" s="4">
        <f>=ROUNDDOWN(19.3333333333333,0)</f>
      </c>
      <c r="AB48" s="5">
        <v>3</v>
      </c>
      <c r="AC48" s="2" t="s">
        <v>387</v>
      </c>
      <c r="AD48" s="4">
        <v>50</v>
      </c>
      <c r="AE48" s="4">
        <v>50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199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199</v>
      </c>
      <c r="AW48" s="8" t="s">
        <v>199</v>
      </c>
      <c r="AX48" s="4" t="s">
        <v>199</v>
      </c>
      <c r="AY48" s="8" t="s">
        <v>199</v>
      </c>
      <c r="AZ48" s="7" t="s">
        <v>199</v>
      </c>
      <c r="BA48" s="7" t="s">
        <v>199</v>
      </c>
      <c r="BB48" s="7"/>
      <c r="BC48" s="4" t="s">
        <v>199</v>
      </c>
      <c r="BD48" s="8" t="s">
        <v>199</v>
      </c>
      <c r="BE48" s="4" t="s">
        <v>199</v>
      </c>
      <c r="BF48" s="8" t="s">
        <v>199</v>
      </c>
      <c r="BG48" s="7" t="s">
        <v>199</v>
      </c>
      <c r="BH48" s="7" t="s">
        <v>199</v>
      </c>
      <c r="BI48" s="7"/>
      <c r="BJ48" s="4">
        <v>17</v>
      </c>
      <c r="BK48" s="8">
        <v>238.85</v>
      </c>
      <c r="BL48" s="2" t="s">
        <v>424</v>
      </c>
      <c r="BM48" s="7"/>
      <c r="BN48" s="7"/>
      <c r="BO48" s="4"/>
      <c r="BP48" s="8"/>
      <c r="BQ48" s="4"/>
      <c r="BR48" s="8"/>
      <c r="BS48" s="7"/>
      <c r="BT48" s="7"/>
      <c r="BU48" s="2" t="s">
        <v>389</v>
      </c>
      <c r="BV48" s="2" t="s">
        <v>199</v>
      </c>
      <c r="BW48" s="2" t="s">
        <v>199</v>
      </c>
      <c r="BX48" s="2" t="s">
        <v>208</v>
      </c>
      <c r="BY48" s="2" t="s">
        <v>209</v>
      </c>
      <c r="BZ48" s="2" t="s">
        <v>196</v>
      </c>
      <c r="CA48" s="2" t="s">
        <v>210</v>
      </c>
      <c r="CB48" s="2" t="s">
        <v>427</v>
      </c>
      <c r="CC48" s="2" t="s">
        <v>212</v>
      </c>
      <c r="CD48" s="2" t="s">
        <v>199</v>
      </c>
      <c r="CE48" s="4">
        <v>58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>
        <v>50</v>
      </c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>
        <v>59</v>
      </c>
      <c r="EU48" s="4">
        <v>55</v>
      </c>
      <c r="EV48" s="4">
        <v>52</v>
      </c>
      <c r="EW48" s="4">
        <v>99</v>
      </c>
      <c r="EX48" s="4">
        <v>96</v>
      </c>
      <c r="EY48" s="4">
        <v>93</v>
      </c>
      <c r="EZ48" s="4">
        <v>90</v>
      </c>
      <c r="FA48" s="4">
        <v>87</v>
      </c>
      <c r="FB48" s="4">
        <v>83</v>
      </c>
      <c r="FC48" s="4">
        <v>80</v>
      </c>
      <c r="FD48" s="4">
        <v>77</v>
      </c>
      <c r="FE48" s="4">
        <v>74</v>
      </c>
      <c r="FF48" s="4">
        <v>71</v>
      </c>
      <c r="FG48" s="4">
        <v>68</v>
      </c>
      <c r="FH48" s="4">
        <v>65</v>
      </c>
      <c r="FI48" s="4">
        <v>62</v>
      </c>
      <c r="FJ48" s="4">
        <v>59</v>
      </c>
      <c r="FK48" s="4">
        <v>56</v>
      </c>
      <c r="FL48" s="4">
        <v>53</v>
      </c>
      <c r="FM48" s="4">
        <v>50</v>
      </c>
      <c r="FN48" s="4">
        <v>47</v>
      </c>
      <c r="FO48" s="4">
        <v>44</v>
      </c>
      <c r="FP48" s="4">
        <v>41</v>
      </c>
      <c r="FQ48" s="4">
        <v>75</v>
      </c>
      <c r="FR48" s="4">
        <v>72</v>
      </c>
      <c r="FS48" s="4">
        <v>69</v>
      </c>
      <c r="FT48" s="19">
        <v>19.7</v>
      </c>
      <c r="FU48" s="19">
        <v>18.3</v>
      </c>
      <c r="FV48" s="19">
        <v>17.3</v>
      </c>
      <c r="FW48" s="19">
        <v>33</v>
      </c>
      <c r="FX48" s="19">
        <v>32</v>
      </c>
      <c r="FY48" s="19">
        <v>31</v>
      </c>
      <c r="FZ48" s="19">
        <v>30</v>
      </c>
      <c r="GA48" s="19">
        <v>29</v>
      </c>
      <c r="GB48" s="19">
        <v>27.7</v>
      </c>
      <c r="GC48" s="19">
        <v>26.7</v>
      </c>
      <c r="GD48" s="19">
        <v>25.7</v>
      </c>
      <c r="GE48" s="19">
        <v>24.7</v>
      </c>
      <c r="GF48" s="19">
        <v>23.7</v>
      </c>
      <c r="GG48" s="19">
        <v>22.7</v>
      </c>
      <c r="GH48" s="19">
        <v>21.7</v>
      </c>
      <c r="GI48" s="19">
        <v>20.7</v>
      </c>
      <c r="GJ48" s="19">
        <v>19.7</v>
      </c>
      <c r="GK48" s="19">
        <v>18.7</v>
      </c>
      <c r="GL48" s="19">
        <v>17.7</v>
      </c>
      <c r="GM48" s="19">
        <v>16.7</v>
      </c>
      <c r="GN48" s="19">
        <v>15.7</v>
      </c>
      <c r="GO48" s="19">
        <v>14.7</v>
      </c>
      <c r="GP48" s="19">
        <v>13.7</v>
      </c>
      <c r="GQ48" s="19">
        <v>25</v>
      </c>
      <c r="GR48" s="19">
        <v>18</v>
      </c>
      <c r="GS48" s="19">
        <v>17.3</v>
      </c>
    </row>
    <row r="49">
      <c r="A49" s="2" t="s">
        <v>428</v>
      </c>
      <c r="B49" s="2" t="s">
        <v>245</v>
      </c>
      <c r="C49" s="2" t="s">
        <v>246</v>
      </c>
      <c r="D49" s="2" t="s">
        <v>247</v>
      </c>
      <c r="E49" s="2" t="s">
        <v>248</v>
      </c>
      <c r="F49" s="2" t="s">
        <v>383</v>
      </c>
      <c r="G49" s="2" t="s">
        <v>383</v>
      </c>
      <c r="H49" s="2" t="s">
        <v>383</v>
      </c>
      <c r="I49" s="2" t="s">
        <v>384</v>
      </c>
      <c r="J49" s="2" t="s">
        <v>214</v>
      </c>
      <c r="K49" s="2" t="s">
        <v>252</v>
      </c>
      <c r="L49" s="3">
        <v>15.19</v>
      </c>
      <c r="M49" s="3">
        <v>15.95</v>
      </c>
      <c r="N49" s="3">
        <v>30.99</v>
      </c>
      <c r="O49" s="2" t="s">
        <v>196</v>
      </c>
      <c r="P49" s="2" t="s">
        <v>197</v>
      </c>
      <c r="Q49" s="2" t="s">
        <v>198</v>
      </c>
      <c r="R49" s="2" t="s">
        <v>199</v>
      </c>
      <c r="S49" s="2" t="s">
        <v>426</v>
      </c>
      <c r="T49" s="2" t="s">
        <v>386</v>
      </c>
      <c r="U49" s="2" t="s">
        <v>199</v>
      </c>
      <c r="V49" s="2" t="s">
        <v>202</v>
      </c>
      <c r="W49" s="2" t="s">
        <v>203</v>
      </c>
      <c r="X49" s="2" t="s">
        <v>199</v>
      </c>
      <c r="Y49" s="2" t="s">
        <v>204</v>
      </c>
      <c r="Z49" s="4">
        <v>312</v>
      </c>
      <c r="AA49" s="4">
        <f>=ROUNDDOWN(78,0)</f>
      </c>
      <c r="AB49" s="5">
        <v>4</v>
      </c>
      <c r="AC49" s="2" t="s">
        <v>199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199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199</v>
      </c>
      <c r="AW49" s="8" t="s">
        <v>199</v>
      </c>
      <c r="AX49" s="4" t="s">
        <v>199</v>
      </c>
      <c r="AY49" s="8" t="s">
        <v>199</v>
      </c>
      <c r="AZ49" s="7" t="s">
        <v>199</v>
      </c>
      <c r="BA49" s="7" t="s">
        <v>199</v>
      </c>
      <c r="BB49" s="7"/>
      <c r="BC49" s="4" t="s">
        <v>199</v>
      </c>
      <c r="BD49" s="8" t="s">
        <v>199</v>
      </c>
      <c r="BE49" s="4" t="s">
        <v>199</v>
      </c>
      <c r="BF49" s="8" t="s">
        <v>199</v>
      </c>
      <c r="BG49" s="7" t="s">
        <v>199</v>
      </c>
      <c r="BH49" s="7" t="s">
        <v>199</v>
      </c>
      <c r="BI49" s="7"/>
      <c r="BJ49" s="4">
        <v>17</v>
      </c>
      <c r="BK49" s="8">
        <v>276.15</v>
      </c>
      <c r="BL49" s="2" t="s">
        <v>429</v>
      </c>
      <c r="BM49" s="7"/>
      <c r="BN49" s="7"/>
      <c r="BO49" s="4"/>
      <c r="BP49" s="8"/>
      <c r="BQ49" s="4"/>
      <c r="BR49" s="8"/>
      <c r="BS49" s="7"/>
      <c r="BT49" s="7"/>
      <c r="BU49" s="2" t="s">
        <v>389</v>
      </c>
      <c r="BV49" s="2" t="s">
        <v>199</v>
      </c>
      <c r="BW49" s="2" t="s">
        <v>199</v>
      </c>
      <c r="BX49" s="2" t="s">
        <v>208</v>
      </c>
      <c r="BY49" s="2" t="s">
        <v>209</v>
      </c>
      <c r="BZ49" s="2" t="s">
        <v>196</v>
      </c>
      <c r="CA49" s="2" t="s">
        <v>210</v>
      </c>
      <c r="CB49" s="2" t="s">
        <v>430</v>
      </c>
      <c r="CC49" s="2" t="s">
        <v>212</v>
      </c>
      <c r="CD49" s="2" t="s">
        <v>199</v>
      </c>
      <c r="CE49" s="4">
        <v>312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>
        <v>313</v>
      </c>
      <c r="EU49" s="4">
        <v>308</v>
      </c>
      <c r="EV49" s="4">
        <v>304</v>
      </c>
      <c r="EW49" s="4">
        <v>300</v>
      </c>
      <c r="EX49" s="4">
        <v>296</v>
      </c>
      <c r="EY49" s="4">
        <v>292</v>
      </c>
      <c r="EZ49" s="4">
        <v>288</v>
      </c>
      <c r="FA49" s="4">
        <v>284</v>
      </c>
      <c r="FB49" s="4">
        <v>279</v>
      </c>
      <c r="FC49" s="4">
        <v>275</v>
      </c>
      <c r="FD49" s="4">
        <v>271</v>
      </c>
      <c r="FE49" s="4">
        <v>267</v>
      </c>
      <c r="FF49" s="4">
        <v>263</v>
      </c>
      <c r="FG49" s="4">
        <v>259</v>
      </c>
      <c r="FH49" s="4">
        <v>255</v>
      </c>
      <c r="FI49" s="4">
        <v>250</v>
      </c>
      <c r="FJ49" s="4">
        <v>245</v>
      </c>
      <c r="FK49" s="4">
        <v>240</v>
      </c>
      <c r="FL49" s="4">
        <v>235</v>
      </c>
      <c r="FM49" s="4">
        <v>229</v>
      </c>
      <c r="FN49" s="4">
        <v>223</v>
      </c>
      <c r="FO49" s="4">
        <v>217</v>
      </c>
      <c r="FP49" s="4">
        <v>211</v>
      </c>
      <c r="FQ49" s="4">
        <v>300</v>
      </c>
      <c r="FR49" s="4">
        <v>284</v>
      </c>
      <c r="FS49" s="4">
        <v>268</v>
      </c>
      <c r="FT49" s="19">
        <v>78.3</v>
      </c>
      <c r="FU49" s="19">
        <v>77</v>
      </c>
      <c r="FV49" s="19">
        <v>76</v>
      </c>
      <c r="FW49" s="19">
        <v>75</v>
      </c>
      <c r="FX49" s="19">
        <v>74</v>
      </c>
      <c r="FY49" s="19">
        <v>73</v>
      </c>
      <c r="FZ49" s="19">
        <v>72</v>
      </c>
      <c r="GA49" s="19">
        <v>71</v>
      </c>
      <c r="GB49" s="19">
        <v>69.8</v>
      </c>
      <c r="GC49" s="19">
        <v>68.8</v>
      </c>
      <c r="GD49" s="19">
        <v>67.8</v>
      </c>
      <c r="GE49" s="19">
        <v>66.8</v>
      </c>
      <c r="GF49" s="19">
        <v>65.8</v>
      </c>
      <c r="GG49" s="19">
        <v>51.8</v>
      </c>
      <c r="GH49" s="19">
        <v>51</v>
      </c>
      <c r="GI49" s="19">
        <v>50</v>
      </c>
      <c r="GJ49" s="19">
        <v>40.8</v>
      </c>
      <c r="GK49" s="19">
        <v>40</v>
      </c>
      <c r="GL49" s="19">
        <v>39.2</v>
      </c>
      <c r="GM49" s="19">
        <v>28.6</v>
      </c>
      <c r="GN49" s="19">
        <v>20.3</v>
      </c>
      <c r="GO49" s="19">
        <v>15.5</v>
      </c>
      <c r="GP49" s="19">
        <v>13.2</v>
      </c>
      <c r="GQ49" s="19">
        <v>16.7</v>
      </c>
      <c r="GR49" s="19">
        <v>14.2</v>
      </c>
      <c r="GS49" s="19">
        <v>12.2</v>
      </c>
    </row>
    <row r="50">
      <c r="A50" s="2" t="s">
        <v>431</v>
      </c>
      <c r="B50" s="2" t="s">
        <v>245</v>
      </c>
      <c r="C50" s="2" t="s">
        <v>246</v>
      </c>
      <c r="D50" s="2" t="s">
        <v>247</v>
      </c>
      <c r="E50" s="2" t="s">
        <v>248</v>
      </c>
      <c r="F50" s="2" t="s">
        <v>383</v>
      </c>
      <c r="G50" s="2" t="s">
        <v>383</v>
      </c>
      <c r="H50" s="2" t="s">
        <v>383</v>
      </c>
      <c r="I50" s="2" t="s">
        <v>384</v>
      </c>
      <c r="J50" s="2" t="s">
        <v>285</v>
      </c>
      <c r="K50" s="2" t="s">
        <v>252</v>
      </c>
      <c r="L50" s="3">
        <v>16.5</v>
      </c>
      <c r="M50" s="3">
        <v>17.32</v>
      </c>
      <c r="N50" s="3">
        <v>32.99</v>
      </c>
      <c r="O50" s="2" t="s">
        <v>196</v>
      </c>
      <c r="P50" s="2" t="s">
        <v>197</v>
      </c>
      <c r="Q50" s="2" t="s">
        <v>198</v>
      </c>
      <c r="R50" s="2" t="s">
        <v>199</v>
      </c>
      <c r="S50" s="2" t="s">
        <v>426</v>
      </c>
      <c r="T50" s="2" t="s">
        <v>386</v>
      </c>
      <c r="U50" s="2" t="s">
        <v>199</v>
      </c>
      <c r="V50" s="2" t="s">
        <v>202</v>
      </c>
      <c r="W50" s="2" t="s">
        <v>203</v>
      </c>
      <c r="X50" s="2" t="s">
        <v>199</v>
      </c>
      <c r="Y50" s="2" t="s">
        <v>204</v>
      </c>
      <c r="Z50" s="4">
        <v>99</v>
      </c>
      <c r="AA50" s="4">
        <f>=ROUNDDOWN(19.8,0)</f>
      </c>
      <c r="AB50" s="5">
        <v>5</v>
      </c>
      <c r="AC50" s="2" t="s">
        <v>387</v>
      </c>
      <c r="AD50" s="4">
        <v>50</v>
      </c>
      <c r="AE50" s="4">
        <v>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199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199</v>
      </c>
      <c r="AW50" s="8" t="s">
        <v>199</v>
      </c>
      <c r="AX50" s="4" t="s">
        <v>199</v>
      </c>
      <c r="AY50" s="8" t="s">
        <v>199</v>
      </c>
      <c r="AZ50" s="7" t="s">
        <v>199</v>
      </c>
      <c r="BA50" s="7" t="s">
        <v>199</v>
      </c>
      <c r="BB50" s="7"/>
      <c r="BC50" s="4" t="s">
        <v>199</v>
      </c>
      <c r="BD50" s="8" t="s">
        <v>199</v>
      </c>
      <c r="BE50" s="4" t="s">
        <v>199</v>
      </c>
      <c r="BF50" s="8" t="s">
        <v>199</v>
      </c>
      <c r="BG50" s="7" t="s">
        <v>199</v>
      </c>
      <c r="BH50" s="7" t="s">
        <v>199</v>
      </c>
      <c r="BI50" s="7"/>
      <c r="BJ50" s="4">
        <v>28</v>
      </c>
      <c r="BK50" s="8">
        <v>488.97</v>
      </c>
      <c r="BL50" s="2" t="s">
        <v>432</v>
      </c>
      <c r="BM50" s="7"/>
      <c r="BN50" s="7"/>
      <c r="BO50" s="4"/>
      <c r="BP50" s="8"/>
      <c r="BQ50" s="4"/>
      <c r="BR50" s="8"/>
      <c r="BS50" s="7"/>
      <c r="BT50" s="7"/>
      <c r="BU50" s="2" t="s">
        <v>389</v>
      </c>
      <c r="BV50" s="2" t="s">
        <v>199</v>
      </c>
      <c r="BW50" s="2" t="s">
        <v>199</v>
      </c>
      <c r="BX50" s="2" t="s">
        <v>208</v>
      </c>
      <c r="BY50" s="2" t="s">
        <v>209</v>
      </c>
      <c r="BZ50" s="2" t="s">
        <v>196</v>
      </c>
      <c r="CA50" s="2" t="s">
        <v>210</v>
      </c>
      <c r="CB50" s="2" t="s">
        <v>433</v>
      </c>
      <c r="CC50" s="2" t="s">
        <v>212</v>
      </c>
      <c r="CD50" s="2" t="s">
        <v>199</v>
      </c>
      <c r="CE50" s="4">
        <v>99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>
        <v>50</v>
      </c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>
        <v>102</v>
      </c>
      <c r="EU50" s="4">
        <v>94</v>
      </c>
      <c r="EV50" s="4">
        <v>89</v>
      </c>
      <c r="EW50" s="4">
        <v>134</v>
      </c>
      <c r="EX50" s="4">
        <v>129</v>
      </c>
      <c r="EY50" s="4">
        <v>124</v>
      </c>
      <c r="EZ50" s="4">
        <v>119</v>
      </c>
      <c r="FA50" s="4">
        <v>114</v>
      </c>
      <c r="FB50" s="4">
        <v>108</v>
      </c>
      <c r="FC50" s="4">
        <v>103</v>
      </c>
      <c r="FD50" s="4">
        <v>98</v>
      </c>
      <c r="FE50" s="4">
        <v>93</v>
      </c>
      <c r="FF50" s="4">
        <v>88</v>
      </c>
      <c r="FG50" s="4">
        <v>83</v>
      </c>
      <c r="FH50" s="4">
        <v>78</v>
      </c>
      <c r="FI50" s="4">
        <v>73</v>
      </c>
      <c r="FJ50" s="4">
        <v>68</v>
      </c>
      <c r="FK50" s="4">
        <v>63</v>
      </c>
      <c r="FL50" s="4">
        <v>58</v>
      </c>
      <c r="FM50" s="4">
        <v>52</v>
      </c>
      <c r="FN50" s="4">
        <v>46</v>
      </c>
      <c r="FO50" s="4">
        <v>40</v>
      </c>
      <c r="FP50" s="4">
        <v>34</v>
      </c>
      <c r="FQ50" s="4">
        <v>122</v>
      </c>
      <c r="FR50" s="4">
        <v>116</v>
      </c>
      <c r="FS50" s="4">
        <v>110</v>
      </c>
      <c r="FT50" s="19">
        <v>17</v>
      </c>
      <c r="FU50" s="19">
        <v>18.8</v>
      </c>
      <c r="FV50" s="19">
        <v>17.8</v>
      </c>
      <c r="FW50" s="19">
        <v>26.8</v>
      </c>
      <c r="FX50" s="19">
        <v>25.8</v>
      </c>
      <c r="FY50" s="19">
        <v>24.8</v>
      </c>
      <c r="FZ50" s="19">
        <v>23.8</v>
      </c>
      <c r="GA50" s="19">
        <v>22.8</v>
      </c>
      <c r="GB50" s="19">
        <v>21.6</v>
      </c>
      <c r="GC50" s="19">
        <v>20.6</v>
      </c>
      <c r="GD50" s="19">
        <v>19.6</v>
      </c>
      <c r="GE50" s="19">
        <v>18.6</v>
      </c>
      <c r="GF50" s="19">
        <v>17.6</v>
      </c>
      <c r="GG50" s="19">
        <v>16.6</v>
      </c>
      <c r="GH50" s="19">
        <v>15.6</v>
      </c>
      <c r="GI50" s="19">
        <v>14.6</v>
      </c>
      <c r="GJ50" s="19">
        <v>11.3</v>
      </c>
      <c r="GK50" s="19">
        <v>10.5</v>
      </c>
      <c r="GL50" s="19">
        <v>9.7</v>
      </c>
      <c r="GM50" s="19">
        <v>8.7</v>
      </c>
      <c r="GN50" s="19">
        <v>7.7</v>
      </c>
      <c r="GO50" s="19">
        <v>6.7</v>
      </c>
      <c r="GP50" s="19">
        <v>5.7</v>
      </c>
      <c r="GQ50" s="19">
        <v>20.3</v>
      </c>
      <c r="GR50" s="19">
        <v>19.3</v>
      </c>
      <c r="GS50" s="19">
        <v>18.3</v>
      </c>
    </row>
    <row r="51">
      <c r="A51" s="2" t="s">
        <v>434</v>
      </c>
      <c r="B51" s="2" t="s">
        <v>245</v>
      </c>
      <c r="C51" s="2" t="s">
        <v>246</v>
      </c>
      <c r="D51" s="2" t="s">
        <v>247</v>
      </c>
      <c r="E51" s="2" t="s">
        <v>248</v>
      </c>
      <c r="F51" s="2" t="s">
        <v>383</v>
      </c>
      <c r="G51" s="2" t="s">
        <v>383</v>
      </c>
      <c r="H51" s="2" t="s">
        <v>383</v>
      </c>
      <c r="I51" s="2" t="s">
        <v>384</v>
      </c>
      <c r="J51" s="2" t="s">
        <v>251</v>
      </c>
      <c r="K51" s="2" t="s">
        <v>252</v>
      </c>
      <c r="L51" s="3">
        <v>21.5</v>
      </c>
      <c r="M51" s="3">
        <v>22.58</v>
      </c>
      <c r="N51" s="3">
        <v>42.99</v>
      </c>
      <c r="O51" s="2" t="s">
        <v>196</v>
      </c>
      <c r="P51" s="2" t="s">
        <v>197</v>
      </c>
      <c r="Q51" s="2" t="s">
        <v>198</v>
      </c>
      <c r="R51" s="2" t="s">
        <v>199</v>
      </c>
      <c r="S51" s="2" t="s">
        <v>426</v>
      </c>
      <c r="T51" s="2" t="s">
        <v>386</v>
      </c>
      <c r="U51" s="2" t="s">
        <v>199</v>
      </c>
      <c r="V51" s="2" t="s">
        <v>202</v>
      </c>
      <c r="W51" s="2" t="s">
        <v>203</v>
      </c>
      <c r="X51" s="2" t="s">
        <v>199</v>
      </c>
      <c r="Y51" s="2" t="s">
        <v>204</v>
      </c>
      <c r="Z51" s="4">
        <v>71</v>
      </c>
      <c r="AA51" s="4">
        <f>=ROUNDDOWN(23.6666666666667,0)</f>
      </c>
      <c r="AB51" s="5">
        <v>3</v>
      </c>
      <c r="AC51" s="2" t="s">
        <v>387</v>
      </c>
      <c r="AD51" s="4">
        <v>30</v>
      </c>
      <c r="AE51" s="4">
        <v>30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199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199</v>
      </c>
      <c r="AW51" s="8" t="s">
        <v>199</v>
      </c>
      <c r="AX51" s="4" t="s">
        <v>199</v>
      </c>
      <c r="AY51" s="8" t="s">
        <v>199</v>
      </c>
      <c r="AZ51" s="7" t="s">
        <v>199</v>
      </c>
      <c r="BA51" s="7" t="s">
        <v>199</v>
      </c>
      <c r="BB51" s="7"/>
      <c r="BC51" s="4" t="s">
        <v>199</v>
      </c>
      <c r="BD51" s="8" t="s">
        <v>199</v>
      </c>
      <c r="BE51" s="4" t="s">
        <v>199</v>
      </c>
      <c r="BF51" s="8" t="s">
        <v>199</v>
      </c>
      <c r="BG51" s="7" t="s">
        <v>199</v>
      </c>
      <c r="BH51" s="7" t="s">
        <v>199</v>
      </c>
      <c r="BI51" s="7"/>
      <c r="BJ51" s="4">
        <v>10</v>
      </c>
      <c r="BK51" s="8">
        <v>217.28</v>
      </c>
      <c r="BL51" s="2" t="s">
        <v>435</v>
      </c>
      <c r="BM51" s="7"/>
      <c r="BN51" s="7"/>
      <c r="BO51" s="4"/>
      <c r="BP51" s="8"/>
      <c r="BQ51" s="4"/>
      <c r="BR51" s="8"/>
      <c r="BS51" s="7"/>
      <c r="BT51" s="7"/>
      <c r="BU51" s="2" t="s">
        <v>389</v>
      </c>
      <c r="BV51" s="2" t="s">
        <v>199</v>
      </c>
      <c r="BW51" s="2" t="s">
        <v>199</v>
      </c>
      <c r="BX51" s="2" t="s">
        <v>208</v>
      </c>
      <c r="BY51" s="2" t="s">
        <v>209</v>
      </c>
      <c r="BZ51" s="2" t="s">
        <v>196</v>
      </c>
      <c r="CA51" s="2" t="s">
        <v>210</v>
      </c>
      <c r="CB51" s="2" t="s">
        <v>436</v>
      </c>
      <c r="CC51" s="2" t="s">
        <v>212</v>
      </c>
      <c r="CD51" s="2" t="s">
        <v>199</v>
      </c>
      <c r="CE51" s="4">
        <v>71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>
        <v>30</v>
      </c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>
        <v>72</v>
      </c>
      <c r="EU51" s="4">
        <v>69</v>
      </c>
      <c r="EV51" s="4">
        <v>66</v>
      </c>
      <c r="EW51" s="4">
        <v>93</v>
      </c>
      <c r="EX51" s="4">
        <v>90</v>
      </c>
      <c r="EY51" s="4">
        <v>87</v>
      </c>
      <c r="EZ51" s="4">
        <v>84</v>
      </c>
      <c r="FA51" s="4">
        <v>81</v>
      </c>
      <c r="FB51" s="4">
        <v>77</v>
      </c>
      <c r="FC51" s="4">
        <v>74</v>
      </c>
      <c r="FD51" s="4">
        <v>71</v>
      </c>
      <c r="FE51" s="4">
        <v>68</v>
      </c>
      <c r="FF51" s="4">
        <v>65</v>
      </c>
      <c r="FG51" s="4">
        <v>62</v>
      </c>
      <c r="FH51" s="4">
        <v>59</v>
      </c>
      <c r="FI51" s="4">
        <v>56</v>
      </c>
      <c r="FJ51" s="4">
        <v>53</v>
      </c>
      <c r="FK51" s="4">
        <v>50</v>
      </c>
      <c r="FL51" s="4">
        <v>47</v>
      </c>
      <c r="FM51" s="4">
        <v>44</v>
      </c>
      <c r="FN51" s="4">
        <v>41</v>
      </c>
      <c r="FO51" s="4">
        <v>38</v>
      </c>
      <c r="FP51" s="4">
        <v>34</v>
      </c>
      <c r="FQ51" s="4">
        <v>66</v>
      </c>
      <c r="FR51" s="4">
        <v>63</v>
      </c>
      <c r="FS51" s="4">
        <v>60</v>
      </c>
      <c r="FT51" s="19">
        <v>24</v>
      </c>
      <c r="FU51" s="19">
        <v>23</v>
      </c>
      <c r="FV51" s="19">
        <v>22</v>
      </c>
      <c r="FW51" s="19">
        <v>31</v>
      </c>
      <c r="FX51" s="19">
        <v>30</v>
      </c>
      <c r="FY51" s="19">
        <v>29</v>
      </c>
      <c r="FZ51" s="19">
        <v>28</v>
      </c>
      <c r="GA51" s="19">
        <v>27</v>
      </c>
      <c r="GB51" s="19">
        <v>25.7</v>
      </c>
      <c r="GC51" s="19">
        <v>24.7</v>
      </c>
      <c r="GD51" s="19">
        <v>23.7</v>
      </c>
      <c r="GE51" s="19">
        <v>22.7</v>
      </c>
      <c r="GF51" s="19">
        <v>21.7</v>
      </c>
      <c r="GG51" s="19">
        <v>20.7</v>
      </c>
      <c r="GH51" s="19">
        <v>19.7</v>
      </c>
      <c r="GI51" s="19">
        <v>18.7</v>
      </c>
      <c r="GJ51" s="19">
        <v>17.7</v>
      </c>
      <c r="GK51" s="19">
        <v>16.7</v>
      </c>
      <c r="GL51" s="19">
        <v>15.7</v>
      </c>
      <c r="GM51" s="19">
        <v>14.7</v>
      </c>
      <c r="GN51" s="19">
        <v>13.7</v>
      </c>
      <c r="GO51" s="19">
        <v>12.7</v>
      </c>
      <c r="GP51" s="19">
        <v>11.3</v>
      </c>
      <c r="GQ51" s="19">
        <v>22</v>
      </c>
      <c r="GR51" s="19">
        <v>21</v>
      </c>
      <c r="GS51" s="19">
        <v>20</v>
      </c>
    </row>
    <row r="52">
      <c r="A52" s="2" t="s">
        <v>437</v>
      </c>
      <c r="B52" s="2" t="s">
        <v>245</v>
      </c>
      <c r="C52" s="2" t="s">
        <v>246</v>
      </c>
      <c r="D52" s="2" t="s">
        <v>247</v>
      </c>
      <c r="E52" s="2" t="s">
        <v>248</v>
      </c>
      <c r="F52" s="2" t="s">
        <v>383</v>
      </c>
      <c r="G52" s="2" t="s">
        <v>383</v>
      </c>
      <c r="H52" s="2" t="s">
        <v>383</v>
      </c>
      <c r="I52" s="2" t="s">
        <v>384</v>
      </c>
      <c r="J52" s="2" t="s">
        <v>194</v>
      </c>
      <c r="K52" s="2" t="s">
        <v>438</v>
      </c>
      <c r="L52" s="3">
        <v>13.44</v>
      </c>
      <c r="M52" s="3">
        <v>14.11</v>
      </c>
      <c r="N52" s="3">
        <v>27.99</v>
      </c>
      <c r="O52" s="2" t="s">
        <v>196</v>
      </c>
      <c r="P52" s="2" t="s">
        <v>197</v>
      </c>
      <c r="Q52" s="2" t="s">
        <v>198</v>
      </c>
      <c r="R52" s="2" t="s">
        <v>199</v>
      </c>
      <c r="S52" s="2" t="s">
        <v>439</v>
      </c>
      <c r="T52" s="2" t="s">
        <v>386</v>
      </c>
      <c r="U52" s="2" t="s">
        <v>199</v>
      </c>
      <c r="V52" s="2" t="s">
        <v>202</v>
      </c>
      <c r="W52" s="2" t="s">
        <v>203</v>
      </c>
      <c r="X52" s="2" t="s">
        <v>199</v>
      </c>
      <c r="Y52" s="2" t="s">
        <v>204</v>
      </c>
      <c r="Z52" s="4">
        <v>92</v>
      </c>
      <c r="AA52" s="4">
        <f>=ROUNDDOWN(61.3333333333333,0)</f>
      </c>
      <c r="AB52" s="5">
        <v>1.5</v>
      </c>
      <c r="AC52" s="2" t="s">
        <v>387</v>
      </c>
      <c r="AD52" s="4">
        <v>20</v>
      </c>
      <c r="AE52" s="4">
        <v>20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199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199</v>
      </c>
      <c r="AW52" s="8" t="s">
        <v>199</v>
      </c>
      <c r="AX52" s="4" t="s">
        <v>199</v>
      </c>
      <c r="AY52" s="8" t="s">
        <v>199</v>
      </c>
      <c r="AZ52" s="7" t="s">
        <v>199</v>
      </c>
      <c r="BA52" s="7" t="s">
        <v>199</v>
      </c>
      <c r="BB52" s="7"/>
      <c r="BC52" s="4" t="s">
        <v>199</v>
      </c>
      <c r="BD52" s="8" t="s">
        <v>199</v>
      </c>
      <c r="BE52" s="4" t="s">
        <v>199</v>
      </c>
      <c r="BF52" s="8" t="s">
        <v>199</v>
      </c>
      <c r="BG52" s="7" t="s">
        <v>199</v>
      </c>
      <c r="BH52" s="7" t="s">
        <v>199</v>
      </c>
      <c r="BI52" s="7"/>
      <c r="BJ52" s="4">
        <v>11</v>
      </c>
      <c r="BK52" s="8">
        <v>156.01</v>
      </c>
      <c r="BL52" s="2" t="s">
        <v>440</v>
      </c>
      <c r="BM52" s="7"/>
      <c r="BN52" s="7"/>
      <c r="BO52" s="4"/>
      <c r="BP52" s="8"/>
      <c r="BQ52" s="4"/>
      <c r="BR52" s="8"/>
      <c r="BS52" s="7"/>
      <c r="BT52" s="7"/>
      <c r="BU52" s="2" t="s">
        <v>389</v>
      </c>
      <c r="BV52" s="2" t="s">
        <v>199</v>
      </c>
      <c r="BW52" s="2" t="s">
        <v>199</v>
      </c>
      <c r="BX52" s="2" t="s">
        <v>208</v>
      </c>
      <c r="BY52" s="2" t="s">
        <v>209</v>
      </c>
      <c r="BZ52" s="2" t="s">
        <v>196</v>
      </c>
      <c r="CA52" s="2" t="s">
        <v>210</v>
      </c>
      <c r="CB52" s="2" t="s">
        <v>436</v>
      </c>
      <c r="CC52" s="2" t="s">
        <v>212</v>
      </c>
      <c r="CD52" s="2" t="s">
        <v>199</v>
      </c>
      <c r="CE52" s="4">
        <v>92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>
        <v>20</v>
      </c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>
        <v>92</v>
      </c>
      <c r="EU52" s="4">
        <v>90</v>
      </c>
      <c r="EV52" s="4">
        <v>88</v>
      </c>
      <c r="EW52" s="4">
        <v>106</v>
      </c>
      <c r="EX52" s="4">
        <v>104</v>
      </c>
      <c r="EY52" s="4">
        <v>102</v>
      </c>
      <c r="EZ52" s="4">
        <v>100</v>
      </c>
      <c r="FA52" s="4">
        <v>98</v>
      </c>
      <c r="FB52" s="4">
        <v>96</v>
      </c>
      <c r="FC52" s="4">
        <v>94</v>
      </c>
      <c r="FD52" s="4">
        <v>92</v>
      </c>
      <c r="FE52" s="4">
        <v>90</v>
      </c>
      <c r="FF52" s="4">
        <v>88</v>
      </c>
      <c r="FG52" s="4">
        <v>86</v>
      </c>
      <c r="FH52" s="4">
        <v>84</v>
      </c>
      <c r="FI52" s="4">
        <v>82</v>
      </c>
      <c r="FJ52" s="4">
        <v>80</v>
      </c>
      <c r="FK52" s="4">
        <v>78</v>
      </c>
      <c r="FL52" s="4">
        <v>76</v>
      </c>
      <c r="FM52" s="4">
        <v>74</v>
      </c>
      <c r="FN52" s="4">
        <v>72</v>
      </c>
      <c r="FO52" s="4">
        <v>70</v>
      </c>
      <c r="FP52" s="4">
        <v>68</v>
      </c>
      <c r="FQ52" s="4">
        <v>66</v>
      </c>
      <c r="FR52" s="4">
        <v>64</v>
      </c>
      <c r="FS52" s="4">
        <v>62</v>
      </c>
      <c r="FT52" s="19">
        <v>46</v>
      </c>
      <c r="FU52" s="19">
        <v>45</v>
      </c>
      <c r="FV52" s="19">
        <v>44</v>
      </c>
      <c r="FW52" s="19">
        <v>53</v>
      </c>
      <c r="FX52" s="19">
        <v>52</v>
      </c>
      <c r="FY52" s="19">
        <v>51</v>
      </c>
      <c r="FZ52" s="19">
        <v>50</v>
      </c>
      <c r="GA52" s="19">
        <v>49</v>
      </c>
      <c r="GB52" s="19">
        <v>48</v>
      </c>
      <c r="GC52" s="19">
        <v>47</v>
      </c>
      <c r="GD52" s="19">
        <v>46</v>
      </c>
      <c r="GE52" s="19">
        <v>45</v>
      </c>
      <c r="GF52" s="19">
        <v>44</v>
      </c>
      <c r="GG52" s="19">
        <v>43</v>
      </c>
      <c r="GH52" s="19">
        <v>42</v>
      </c>
      <c r="GI52" s="19">
        <v>41</v>
      </c>
      <c r="GJ52" s="19">
        <v>40</v>
      </c>
      <c r="GK52" s="19">
        <v>39</v>
      </c>
      <c r="GL52" s="19">
        <v>38</v>
      </c>
      <c r="GM52" s="19">
        <v>37</v>
      </c>
      <c r="GN52" s="19">
        <v>36</v>
      </c>
      <c r="GO52" s="19">
        <v>35</v>
      </c>
      <c r="GP52" s="19">
        <v>34</v>
      </c>
      <c r="GQ52" s="19">
        <v>33</v>
      </c>
      <c r="GR52" s="19">
        <v>32</v>
      </c>
      <c r="GS52" s="19">
        <v>31</v>
      </c>
    </row>
    <row r="53">
      <c r="A53" s="2" t="s">
        <v>441</v>
      </c>
      <c r="B53" s="2" t="s">
        <v>245</v>
      </c>
      <c r="C53" s="2" t="s">
        <v>246</v>
      </c>
      <c r="D53" s="2" t="s">
        <v>247</v>
      </c>
      <c r="E53" s="2" t="s">
        <v>248</v>
      </c>
      <c r="F53" s="2" t="s">
        <v>383</v>
      </c>
      <c r="G53" s="2" t="s">
        <v>383</v>
      </c>
      <c r="H53" s="2" t="s">
        <v>383</v>
      </c>
      <c r="I53" s="2" t="s">
        <v>384</v>
      </c>
      <c r="J53" s="2" t="s">
        <v>285</v>
      </c>
      <c r="K53" s="2" t="s">
        <v>438</v>
      </c>
      <c r="L53" s="3">
        <v>16.5</v>
      </c>
      <c r="M53" s="3">
        <v>17.32</v>
      </c>
      <c r="N53" s="3">
        <v>32.99</v>
      </c>
      <c r="O53" s="2" t="s">
        <v>196</v>
      </c>
      <c r="P53" s="2" t="s">
        <v>197</v>
      </c>
      <c r="Q53" s="2" t="s">
        <v>198</v>
      </c>
      <c r="R53" s="2" t="s">
        <v>199</v>
      </c>
      <c r="S53" s="2" t="s">
        <v>439</v>
      </c>
      <c r="T53" s="2" t="s">
        <v>386</v>
      </c>
      <c r="U53" s="2" t="s">
        <v>199</v>
      </c>
      <c r="V53" s="2" t="s">
        <v>202</v>
      </c>
      <c r="W53" s="2" t="s">
        <v>203</v>
      </c>
      <c r="X53" s="2" t="s">
        <v>199</v>
      </c>
      <c r="Y53" s="2" t="s">
        <v>204</v>
      </c>
      <c r="Z53" s="4">
        <v>77</v>
      </c>
      <c r="AA53" s="4">
        <f>=ROUNDDOWN(24.8387096774194,0)</f>
      </c>
      <c r="AB53" s="5">
        <v>3.1</v>
      </c>
      <c r="AC53" s="2" t="s">
        <v>387</v>
      </c>
      <c r="AD53" s="4">
        <v>30</v>
      </c>
      <c r="AE53" s="4">
        <v>60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199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199</v>
      </c>
      <c r="AW53" s="8" t="s">
        <v>199</v>
      </c>
      <c r="AX53" s="4" t="s">
        <v>199</v>
      </c>
      <c r="AY53" s="8" t="s">
        <v>199</v>
      </c>
      <c r="AZ53" s="7" t="s">
        <v>199</v>
      </c>
      <c r="BA53" s="7" t="s">
        <v>199</v>
      </c>
      <c r="BB53" s="7"/>
      <c r="BC53" s="4" t="s">
        <v>199</v>
      </c>
      <c r="BD53" s="8" t="s">
        <v>199</v>
      </c>
      <c r="BE53" s="4" t="s">
        <v>199</v>
      </c>
      <c r="BF53" s="8" t="s">
        <v>199</v>
      </c>
      <c r="BG53" s="7" t="s">
        <v>199</v>
      </c>
      <c r="BH53" s="7" t="s">
        <v>199</v>
      </c>
      <c r="BI53" s="7"/>
      <c r="BJ53" s="4">
        <v>21</v>
      </c>
      <c r="BK53" s="8">
        <v>354.95</v>
      </c>
      <c r="BL53" s="2" t="s">
        <v>442</v>
      </c>
      <c r="BM53" s="7"/>
      <c r="BN53" s="7"/>
      <c r="BO53" s="4"/>
      <c r="BP53" s="8"/>
      <c r="BQ53" s="4"/>
      <c r="BR53" s="8"/>
      <c r="BS53" s="7"/>
      <c r="BT53" s="7"/>
      <c r="BU53" s="2" t="s">
        <v>389</v>
      </c>
      <c r="BV53" s="2" t="s">
        <v>199</v>
      </c>
      <c r="BW53" s="2" t="s">
        <v>199</v>
      </c>
      <c r="BX53" s="2" t="s">
        <v>208</v>
      </c>
      <c r="BY53" s="2" t="s">
        <v>209</v>
      </c>
      <c r="BZ53" s="2" t="s">
        <v>196</v>
      </c>
      <c r="CA53" s="2" t="s">
        <v>210</v>
      </c>
      <c r="CB53" s="2" t="s">
        <v>443</v>
      </c>
      <c r="CC53" s="2" t="s">
        <v>212</v>
      </c>
      <c r="CD53" s="2" t="s">
        <v>199</v>
      </c>
      <c r="CE53" s="4">
        <v>77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>
        <v>30</v>
      </c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>
        <v>30</v>
      </c>
      <c r="ER53" s="4"/>
      <c r="ES53" s="4"/>
      <c r="ET53" s="4">
        <v>80</v>
      </c>
      <c r="EU53" s="4">
        <v>74</v>
      </c>
      <c r="EV53" s="4">
        <v>71</v>
      </c>
      <c r="EW53" s="4">
        <v>98</v>
      </c>
      <c r="EX53" s="4">
        <v>95</v>
      </c>
      <c r="EY53" s="4">
        <v>92</v>
      </c>
      <c r="EZ53" s="4">
        <v>89</v>
      </c>
      <c r="FA53" s="4">
        <v>86</v>
      </c>
      <c r="FB53" s="4">
        <v>82</v>
      </c>
      <c r="FC53" s="4">
        <v>79</v>
      </c>
      <c r="FD53" s="4">
        <v>76</v>
      </c>
      <c r="FE53" s="4">
        <v>73</v>
      </c>
      <c r="FF53" s="4">
        <v>70</v>
      </c>
      <c r="FG53" s="4">
        <v>67</v>
      </c>
      <c r="FH53" s="4">
        <v>64</v>
      </c>
      <c r="FI53" s="4">
        <v>61</v>
      </c>
      <c r="FJ53" s="4">
        <v>58</v>
      </c>
      <c r="FK53" s="4">
        <v>55</v>
      </c>
      <c r="FL53" s="4">
        <v>52</v>
      </c>
      <c r="FM53" s="4">
        <v>79</v>
      </c>
      <c r="FN53" s="4">
        <v>76</v>
      </c>
      <c r="FO53" s="4">
        <v>73</v>
      </c>
      <c r="FP53" s="4">
        <v>70</v>
      </c>
      <c r="FQ53" s="4">
        <v>67</v>
      </c>
      <c r="FR53" s="4">
        <v>64</v>
      </c>
      <c r="FS53" s="4">
        <v>61</v>
      </c>
      <c r="FT53" s="19">
        <v>20</v>
      </c>
      <c r="FU53" s="19">
        <v>24.7</v>
      </c>
      <c r="FV53" s="19">
        <v>23.7</v>
      </c>
      <c r="FW53" s="19">
        <v>32.7</v>
      </c>
      <c r="FX53" s="19">
        <v>31.7</v>
      </c>
      <c r="FY53" s="19">
        <v>30.7</v>
      </c>
      <c r="FZ53" s="19">
        <v>29.7</v>
      </c>
      <c r="GA53" s="19">
        <v>28.7</v>
      </c>
      <c r="GB53" s="19">
        <v>27.3</v>
      </c>
      <c r="GC53" s="19">
        <v>26.3</v>
      </c>
      <c r="GD53" s="19">
        <v>25.3</v>
      </c>
      <c r="GE53" s="19">
        <v>24.3</v>
      </c>
      <c r="GF53" s="19">
        <v>23.3</v>
      </c>
      <c r="GG53" s="19">
        <v>22.3</v>
      </c>
      <c r="GH53" s="19">
        <v>21.3</v>
      </c>
      <c r="GI53" s="19">
        <v>20.3</v>
      </c>
      <c r="GJ53" s="19">
        <v>19.3</v>
      </c>
      <c r="GK53" s="19">
        <v>18.3</v>
      </c>
      <c r="GL53" s="19">
        <v>17.3</v>
      </c>
      <c r="GM53" s="19">
        <v>26.3</v>
      </c>
      <c r="GN53" s="19">
        <v>25.3</v>
      </c>
      <c r="GO53" s="19">
        <v>24.3</v>
      </c>
      <c r="GP53" s="19">
        <v>23.3</v>
      </c>
      <c r="GQ53" s="19">
        <v>22.3</v>
      </c>
      <c r="GR53" s="19">
        <v>21.3</v>
      </c>
      <c r="GS53" s="19">
        <v>20.3</v>
      </c>
    </row>
    <row r="54">
      <c r="A54" s="2" t="s">
        <v>444</v>
      </c>
      <c r="B54" s="2" t="s">
        <v>245</v>
      </c>
      <c r="C54" s="2" t="s">
        <v>246</v>
      </c>
      <c r="D54" s="2" t="s">
        <v>247</v>
      </c>
      <c r="E54" s="2" t="s">
        <v>248</v>
      </c>
      <c r="F54" s="2" t="s">
        <v>383</v>
      </c>
      <c r="G54" s="2" t="s">
        <v>383</v>
      </c>
      <c r="H54" s="2" t="s">
        <v>383</v>
      </c>
      <c r="I54" s="2" t="s">
        <v>384</v>
      </c>
      <c r="J54" s="2" t="s">
        <v>223</v>
      </c>
      <c r="K54" s="2" t="s">
        <v>438</v>
      </c>
      <c r="L54" s="3">
        <v>21.5</v>
      </c>
      <c r="M54" s="3">
        <v>22.58</v>
      </c>
      <c r="N54" s="3">
        <v>42.99</v>
      </c>
      <c r="O54" s="2" t="s">
        <v>196</v>
      </c>
      <c r="P54" s="2" t="s">
        <v>197</v>
      </c>
      <c r="Q54" s="2" t="s">
        <v>198</v>
      </c>
      <c r="R54" s="2" t="s">
        <v>199</v>
      </c>
      <c r="S54" s="2" t="s">
        <v>439</v>
      </c>
      <c r="T54" s="2" t="s">
        <v>386</v>
      </c>
      <c r="U54" s="2" t="s">
        <v>199</v>
      </c>
      <c r="V54" s="2" t="s">
        <v>202</v>
      </c>
      <c r="W54" s="2" t="s">
        <v>203</v>
      </c>
      <c r="X54" s="2" t="s">
        <v>199</v>
      </c>
      <c r="Y54" s="2" t="s">
        <v>204</v>
      </c>
      <c r="Z54" s="4">
        <v>158</v>
      </c>
      <c r="AA54" s="4">
        <f>=ROUNDDOWN(15.1923076923077,0)</f>
      </c>
      <c r="AB54" s="5">
        <v>10.4</v>
      </c>
      <c r="AC54" s="2" t="s">
        <v>387</v>
      </c>
      <c r="AD54" s="4">
        <v>170</v>
      </c>
      <c r="AE54" s="4">
        <v>310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199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199</v>
      </c>
      <c r="AW54" s="8" t="s">
        <v>199</v>
      </c>
      <c r="AX54" s="4" t="s">
        <v>199</v>
      </c>
      <c r="AY54" s="8" t="s">
        <v>199</v>
      </c>
      <c r="AZ54" s="7" t="s">
        <v>199</v>
      </c>
      <c r="BA54" s="7" t="s">
        <v>199</v>
      </c>
      <c r="BB54" s="7"/>
      <c r="BC54" s="4" t="s">
        <v>199</v>
      </c>
      <c r="BD54" s="8" t="s">
        <v>199</v>
      </c>
      <c r="BE54" s="4" t="s">
        <v>199</v>
      </c>
      <c r="BF54" s="8" t="s">
        <v>199</v>
      </c>
      <c r="BG54" s="7" t="s">
        <v>199</v>
      </c>
      <c r="BH54" s="7" t="s">
        <v>199</v>
      </c>
      <c r="BI54" s="7"/>
      <c r="BJ54" s="4">
        <v>77</v>
      </c>
      <c r="BK54" s="8">
        <v>1680.9</v>
      </c>
      <c r="BL54" s="2" t="s">
        <v>445</v>
      </c>
      <c r="BM54" s="7"/>
      <c r="BN54" s="7"/>
      <c r="BO54" s="4"/>
      <c r="BP54" s="8"/>
      <c r="BQ54" s="4"/>
      <c r="BR54" s="8"/>
      <c r="BS54" s="7"/>
      <c r="BT54" s="7"/>
      <c r="BU54" s="2" t="s">
        <v>389</v>
      </c>
      <c r="BV54" s="2" t="s">
        <v>199</v>
      </c>
      <c r="BW54" s="2" t="s">
        <v>199</v>
      </c>
      <c r="BX54" s="2" t="s">
        <v>208</v>
      </c>
      <c r="BY54" s="2" t="s">
        <v>209</v>
      </c>
      <c r="BZ54" s="2" t="s">
        <v>196</v>
      </c>
      <c r="CA54" s="2" t="s">
        <v>210</v>
      </c>
      <c r="CB54" s="2" t="s">
        <v>446</v>
      </c>
      <c r="CC54" s="2" t="s">
        <v>212</v>
      </c>
      <c r="CD54" s="2" t="s">
        <v>199</v>
      </c>
      <c r="CE54" s="4">
        <v>158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>
        <v>170</v>
      </c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>
        <v>140</v>
      </c>
      <c r="ER54" s="4"/>
      <c r="ES54" s="4"/>
      <c r="ET54" s="4">
        <v>162</v>
      </c>
      <c r="EU54" s="4">
        <v>149</v>
      </c>
      <c r="EV54" s="4">
        <v>139</v>
      </c>
      <c r="EW54" s="4">
        <v>299</v>
      </c>
      <c r="EX54" s="4">
        <v>289</v>
      </c>
      <c r="EY54" s="4">
        <v>279</v>
      </c>
      <c r="EZ54" s="4">
        <v>269</v>
      </c>
      <c r="FA54" s="4">
        <v>259</v>
      </c>
      <c r="FB54" s="4">
        <v>247</v>
      </c>
      <c r="FC54" s="4">
        <v>237</v>
      </c>
      <c r="FD54" s="4">
        <v>227</v>
      </c>
      <c r="FE54" s="4">
        <v>217</v>
      </c>
      <c r="FF54" s="4">
        <v>207</v>
      </c>
      <c r="FG54" s="4">
        <v>197</v>
      </c>
      <c r="FH54" s="4">
        <v>187</v>
      </c>
      <c r="FI54" s="4">
        <v>177</v>
      </c>
      <c r="FJ54" s="4">
        <v>167</v>
      </c>
      <c r="FK54" s="4">
        <v>157</v>
      </c>
      <c r="FL54" s="4">
        <v>147</v>
      </c>
      <c r="FM54" s="4">
        <v>277</v>
      </c>
      <c r="FN54" s="4">
        <v>267</v>
      </c>
      <c r="FO54" s="4">
        <v>257</v>
      </c>
      <c r="FP54" s="4">
        <v>245</v>
      </c>
      <c r="FQ54" s="4">
        <v>235</v>
      </c>
      <c r="FR54" s="4">
        <v>225</v>
      </c>
      <c r="FS54" s="4">
        <v>215</v>
      </c>
      <c r="FT54" s="19">
        <v>14.7</v>
      </c>
      <c r="FU54" s="19">
        <v>14.9</v>
      </c>
      <c r="FV54" s="19">
        <v>13.9</v>
      </c>
      <c r="FW54" s="19">
        <v>29.9</v>
      </c>
      <c r="FX54" s="19">
        <v>28.9</v>
      </c>
      <c r="FY54" s="19">
        <v>27.9</v>
      </c>
      <c r="FZ54" s="19">
        <v>26.9</v>
      </c>
      <c r="GA54" s="19">
        <v>25.9</v>
      </c>
      <c r="GB54" s="19">
        <v>24.7</v>
      </c>
      <c r="GC54" s="19">
        <v>23.7</v>
      </c>
      <c r="GD54" s="19">
        <v>22.7</v>
      </c>
      <c r="GE54" s="19">
        <v>21.7</v>
      </c>
      <c r="GF54" s="19">
        <v>20.7</v>
      </c>
      <c r="GG54" s="19">
        <v>19.7</v>
      </c>
      <c r="GH54" s="19">
        <v>18.7</v>
      </c>
      <c r="GI54" s="19">
        <v>17.7</v>
      </c>
      <c r="GJ54" s="19">
        <v>16.7</v>
      </c>
      <c r="GK54" s="19">
        <v>15.7</v>
      </c>
      <c r="GL54" s="19">
        <v>14.7</v>
      </c>
      <c r="GM54" s="19">
        <v>27.7</v>
      </c>
      <c r="GN54" s="19">
        <v>26.7</v>
      </c>
      <c r="GO54" s="19">
        <v>25.7</v>
      </c>
      <c r="GP54" s="19">
        <v>24.5</v>
      </c>
      <c r="GQ54" s="19">
        <v>23.5</v>
      </c>
      <c r="GR54" s="19">
        <v>22.5</v>
      </c>
      <c r="GS54" s="19">
        <v>19.5</v>
      </c>
    </row>
    <row r="55">
      <c r="A55" s="2" t="s">
        <v>447</v>
      </c>
      <c r="B55" s="2" t="s">
        <v>245</v>
      </c>
      <c r="C55" s="2" t="s">
        <v>246</v>
      </c>
      <c r="D55" s="2" t="s">
        <v>247</v>
      </c>
      <c r="E55" s="2" t="s">
        <v>248</v>
      </c>
      <c r="F55" s="2" t="s">
        <v>383</v>
      </c>
      <c r="G55" s="2" t="s">
        <v>383</v>
      </c>
      <c r="H55" s="2" t="s">
        <v>383</v>
      </c>
      <c r="I55" s="2" t="s">
        <v>384</v>
      </c>
      <c r="J55" s="2" t="s">
        <v>251</v>
      </c>
      <c r="K55" s="2" t="s">
        <v>438</v>
      </c>
      <c r="L55" s="3">
        <v>21.5</v>
      </c>
      <c r="M55" s="3">
        <v>22.58</v>
      </c>
      <c r="N55" s="3">
        <v>42.99</v>
      </c>
      <c r="O55" s="2" t="s">
        <v>196</v>
      </c>
      <c r="P55" s="2" t="s">
        <v>197</v>
      </c>
      <c r="Q55" s="2" t="s">
        <v>198</v>
      </c>
      <c r="R55" s="2" t="s">
        <v>199</v>
      </c>
      <c r="S55" s="2" t="s">
        <v>439</v>
      </c>
      <c r="T55" s="2" t="s">
        <v>386</v>
      </c>
      <c r="U55" s="2" t="s">
        <v>199</v>
      </c>
      <c r="V55" s="2" t="s">
        <v>202</v>
      </c>
      <c r="W55" s="2" t="s">
        <v>203</v>
      </c>
      <c r="X55" s="2" t="s">
        <v>199</v>
      </c>
      <c r="Y55" s="2" t="s">
        <v>204</v>
      </c>
      <c r="Z55" s="4">
        <v>64</v>
      </c>
      <c r="AA55" s="4">
        <f>=ROUNDDOWN(21.3333333333333,0)</f>
      </c>
      <c r="AB55" s="5">
        <v>3</v>
      </c>
      <c r="AC55" s="2" t="s">
        <v>398</v>
      </c>
      <c r="AD55" s="4">
        <v>60</v>
      </c>
      <c r="AE55" s="4">
        <v>60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199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199</v>
      </c>
      <c r="AW55" s="8" t="s">
        <v>199</v>
      </c>
      <c r="AX55" s="4" t="s">
        <v>199</v>
      </c>
      <c r="AY55" s="8" t="s">
        <v>199</v>
      </c>
      <c r="AZ55" s="7" t="s">
        <v>199</v>
      </c>
      <c r="BA55" s="7" t="s">
        <v>199</v>
      </c>
      <c r="BB55" s="7"/>
      <c r="BC55" s="4" t="s">
        <v>199</v>
      </c>
      <c r="BD55" s="8" t="s">
        <v>199</v>
      </c>
      <c r="BE55" s="4" t="s">
        <v>199</v>
      </c>
      <c r="BF55" s="8" t="s">
        <v>199</v>
      </c>
      <c r="BG55" s="7" t="s">
        <v>199</v>
      </c>
      <c r="BH55" s="7" t="s">
        <v>199</v>
      </c>
      <c r="BI55" s="7"/>
      <c r="BJ55" s="4">
        <v>21</v>
      </c>
      <c r="BK55" s="8">
        <v>470.23</v>
      </c>
      <c r="BL55" s="2" t="s">
        <v>448</v>
      </c>
      <c r="BM55" s="7"/>
      <c r="BN55" s="7"/>
      <c r="BO55" s="4"/>
      <c r="BP55" s="8"/>
      <c r="BQ55" s="4"/>
      <c r="BR55" s="8"/>
      <c r="BS55" s="7"/>
      <c r="BT55" s="7"/>
      <c r="BU55" s="2" t="s">
        <v>389</v>
      </c>
      <c r="BV55" s="2" t="s">
        <v>199</v>
      </c>
      <c r="BW55" s="2" t="s">
        <v>199</v>
      </c>
      <c r="BX55" s="2" t="s">
        <v>208</v>
      </c>
      <c r="BY55" s="2" t="s">
        <v>209</v>
      </c>
      <c r="BZ55" s="2" t="s">
        <v>196</v>
      </c>
      <c r="CA55" s="2" t="s">
        <v>210</v>
      </c>
      <c r="CB55" s="2" t="s">
        <v>436</v>
      </c>
      <c r="CC55" s="2" t="s">
        <v>212</v>
      </c>
      <c r="CD55" s="2" t="s">
        <v>199</v>
      </c>
      <c r="CE55" s="4">
        <v>64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>
        <v>60</v>
      </c>
      <c r="ER55" s="4"/>
      <c r="ES55" s="4"/>
      <c r="ET55" s="4">
        <v>68</v>
      </c>
      <c r="EU55" s="4">
        <v>62</v>
      </c>
      <c r="EV55" s="4">
        <v>59</v>
      </c>
      <c r="EW55" s="4">
        <v>56</v>
      </c>
      <c r="EX55" s="4">
        <v>53</v>
      </c>
      <c r="EY55" s="4">
        <v>50</v>
      </c>
      <c r="EZ55" s="4">
        <v>47</v>
      </c>
      <c r="FA55" s="4">
        <v>44</v>
      </c>
      <c r="FB55" s="4">
        <v>40</v>
      </c>
      <c r="FC55" s="4">
        <v>37</v>
      </c>
      <c r="FD55" s="4">
        <v>34</v>
      </c>
      <c r="FE55" s="4">
        <v>31</v>
      </c>
      <c r="FF55" s="4">
        <v>28</v>
      </c>
      <c r="FG55" s="4">
        <v>25</v>
      </c>
      <c r="FH55" s="4">
        <v>22</v>
      </c>
      <c r="FI55" s="4">
        <v>19</v>
      </c>
      <c r="FJ55" s="4">
        <v>16</v>
      </c>
      <c r="FK55" s="4">
        <v>13</v>
      </c>
      <c r="FL55" s="4">
        <v>10</v>
      </c>
      <c r="FM55" s="4">
        <v>67</v>
      </c>
      <c r="FN55" s="4">
        <v>64</v>
      </c>
      <c r="FO55" s="4">
        <v>61</v>
      </c>
      <c r="FP55" s="4">
        <v>57</v>
      </c>
      <c r="FQ55" s="4">
        <v>54</v>
      </c>
      <c r="FR55" s="4">
        <v>51</v>
      </c>
      <c r="FS55" s="4">
        <v>48</v>
      </c>
      <c r="FT55" s="19">
        <v>17</v>
      </c>
      <c r="FU55" s="19">
        <v>20.7</v>
      </c>
      <c r="FV55" s="19">
        <v>19.7</v>
      </c>
      <c r="FW55" s="19">
        <v>18.7</v>
      </c>
      <c r="FX55" s="19">
        <v>17.7</v>
      </c>
      <c r="FY55" s="19">
        <v>16.7</v>
      </c>
      <c r="FZ55" s="19">
        <v>15.7</v>
      </c>
      <c r="GA55" s="19">
        <v>14.7</v>
      </c>
      <c r="GB55" s="19">
        <v>13.3</v>
      </c>
      <c r="GC55" s="19">
        <v>12.3</v>
      </c>
      <c r="GD55" s="19">
        <v>11.3</v>
      </c>
      <c r="GE55" s="19">
        <v>10.3</v>
      </c>
      <c r="GF55" s="19">
        <v>9.3</v>
      </c>
      <c r="GG55" s="19">
        <v>8.3</v>
      </c>
      <c r="GH55" s="19">
        <v>7.3</v>
      </c>
      <c r="GI55" s="19">
        <v>6.3</v>
      </c>
      <c r="GJ55" s="19">
        <v>5.3</v>
      </c>
      <c r="GK55" s="19">
        <v>4.3</v>
      </c>
      <c r="GL55" s="9"/>
      <c r="GM55" s="19">
        <v>22.3</v>
      </c>
      <c r="GN55" s="19">
        <v>21.3</v>
      </c>
      <c r="GO55" s="19">
        <v>20.3</v>
      </c>
      <c r="GP55" s="19">
        <v>19</v>
      </c>
      <c r="GQ55" s="19">
        <v>18</v>
      </c>
      <c r="GR55" s="19">
        <v>17</v>
      </c>
      <c r="GS55" s="19">
        <v>16</v>
      </c>
    </row>
    <row r="56">
      <c r="A56" s="2" t="s">
        <v>449</v>
      </c>
      <c r="B56" s="2" t="s">
        <v>245</v>
      </c>
      <c r="C56" s="2" t="s">
        <v>246</v>
      </c>
      <c r="D56" s="2" t="s">
        <v>247</v>
      </c>
      <c r="E56" s="2" t="s">
        <v>248</v>
      </c>
      <c r="F56" s="2" t="s">
        <v>383</v>
      </c>
      <c r="G56" s="2" t="s">
        <v>383</v>
      </c>
      <c r="H56" s="2" t="s">
        <v>383</v>
      </c>
      <c r="I56" s="2" t="s">
        <v>384</v>
      </c>
      <c r="J56" s="2" t="s">
        <v>194</v>
      </c>
      <c r="K56" s="2" t="s">
        <v>450</v>
      </c>
      <c r="L56" s="3">
        <v>13.44</v>
      </c>
      <c r="M56" s="3">
        <v>14.11</v>
      </c>
      <c r="N56" s="3">
        <v>27.99</v>
      </c>
      <c r="O56" s="2" t="s">
        <v>196</v>
      </c>
      <c r="P56" s="2" t="s">
        <v>197</v>
      </c>
      <c r="Q56" s="2" t="s">
        <v>198</v>
      </c>
      <c r="R56" s="2" t="s">
        <v>199</v>
      </c>
      <c r="S56" s="2" t="s">
        <v>451</v>
      </c>
      <c r="T56" s="2" t="s">
        <v>386</v>
      </c>
      <c r="U56" s="2" t="s">
        <v>199</v>
      </c>
      <c r="V56" s="2" t="s">
        <v>202</v>
      </c>
      <c r="W56" s="2" t="s">
        <v>203</v>
      </c>
      <c r="X56" s="2" t="s">
        <v>199</v>
      </c>
      <c r="Y56" s="2" t="s">
        <v>204</v>
      </c>
      <c r="Z56" s="4">
        <v>203</v>
      </c>
      <c r="AA56" s="4">
        <f>=ROUNDDOWN(40.6,0)</f>
      </c>
      <c r="AB56" s="5">
        <v>5</v>
      </c>
      <c r="AC56" s="2" t="s">
        <v>236</v>
      </c>
      <c r="AD56" s="4">
        <v>80</v>
      </c>
      <c r="AE56" s="4">
        <v>80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199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199</v>
      </c>
      <c r="AW56" s="8" t="s">
        <v>199</v>
      </c>
      <c r="AX56" s="4" t="s">
        <v>199</v>
      </c>
      <c r="AY56" s="8" t="s">
        <v>199</v>
      </c>
      <c r="AZ56" s="7" t="s">
        <v>199</v>
      </c>
      <c r="BA56" s="7" t="s">
        <v>199</v>
      </c>
      <c r="BB56" s="7"/>
      <c r="BC56" s="4" t="s">
        <v>199</v>
      </c>
      <c r="BD56" s="8" t="s">
        <v>199</v>
      </c>
      <c r="BE56" s="4" t="s">
        <v>199</v>
      </c>
      <c r="BF56" s="8" t="s">
        <v>199</v>
      </c>
      <c r="BG56" s="7" t="s">
        <v>199</v>
      </c>
      <c r="BH56" s="7" t="s">
        <v>199</v>
      </c>
      <c r="BI56" s="7"/>
      <c r="BJ56" s="4">
        <v>28</v>
      </c>
      <c r="BK56" s="8">
        <v>399.99</v>
      </c>
      <c r="BL56" s="2" t="s">
        <v>452</v>
      </c>
      <c r="BM56" s="7"/>
      <c r="BN56" s="7"/>
      <c r="BO56" s="4"/>
      <c r="BP56" s="8"/>
      <c r="BQ56" s="4"/>
      <c r="BR56" s="8"/>
      <c r="BS56" s="7"/>
      <c r="BT56" s="7"/>
      <c r="BU56" s="2" t="s">
        <v>389</v>
      </c>
      <c r="BV56" s="2" t="s">
        <v>199</v>
      </c>
      <c r="BW56" s="2" t="s">
        <v>199</v>
      </c>
      <c r="BX56" s="2" t="s">
        <v>208</v>
      </c>
      <c r="BY56" s="2" t="s">
        <v>209</v>
      </c>
      <c r="BZ56" s="2" t="s">
        <v>196</v>
      </c>
      <c r="CA56" s="2" t="s">
        <v>210</v>
      </c>
      <c r="CB56" s="2" t="s">
        <v>453</v>
      </c>
      <c r="CC56" s="2" t="s">
        <v>212</v>
      </c>
      <c r="CD56" s="2" t="s">
        <v>199</v>
      </c>
      <c r="CE56" s="4">
        <v>203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>
        <v>80</v>
      </c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>
        <v>205</v>
      </c>
      <c r="EU56" s="4">
        <v>201</v>
      </c>
      <c r="EV56" s="4">
        <v>198</v>
      </c>
      <c r="EW56" s="4">
        <v>195</v>
      </c>
      <c r="EX56" s="4">
        <v>192</v>
      </c>
      <c r="EY56" s="4">
        <v>189</v>
      </c>
      <c r="EZ56" s="4">
        <v>186</v>
      </c>
      <c r="FA56" s="4">
        <v>183</v>
      </c>
      <c r="FB56" s="4">
        <v>179</v>
      </c>
      <c r="FC56" s="4">
        <v>176</v>
      </c>
      <c r="FD56" s="4">
        <v>252</v>
      </c>
      <c r="FE56" s="4">
        <v>247</v>
      </c>
      <c r="FF56" s="4">
        <v>242</v>
      </c>
      <c r="FG56" s="4">
        <v>237</v>
      </c>
      <c r="FH56" s="4">
        <v>232</v>
      </c>
      <c r="FI56" s="4">
        <v>227</v>
      </c>
      <c r="FJ56" s="4">
        <v>222</v>
      </c>
      <c r="FK56" s="4">
        <v>217</v>
      </c>
      <c r="FL56" s="4">
        <v>212</v>
      </c>
      <c r="FM56" s="4">
        <v>207</v>
      </c>
      <c r="FN56" s="4">
        <v>202</v>
      </c>
      <c r="FO56" s="4">
        <v>197</v>
      </c>
      <c r="FP56" s="4">
        <v>192</v>
      </c>
      <c r="FQ56" s="4">
        <v>187</v>
      </c>
      <c r="FR56" s="4">
        <v>182</v>
      </c>
      <c r="FS56" s="4">
        <v>177</v>
      </c>
      <c r="FT56" s="19">
        <v>68.3</v>
      </c>
      <c r="FU56" s="19">
        <v>67</v>
      </c>
      <c r="FV56" s="19">
        <v>66</v>
      </c>
      <c r="FW56" s="19">
        <v>65</v>
      </c>
      <c r="FX56" s="19">
        <v>64</v>
      </c>
      <c r="FY56" s="19">
        <v>63</v>
      </c>
      <c r="FZ56" s="19">
        <v>46.5</v>
      </c>
      <c r="GA56" s="19">
        <v>45.8</v>
      </c>
      <c r="GB56" s="19">
        <v>44.8</v>
      </c>
      <c r="GC56" s="19">
        <v>35.2</v>
      </c>
      <c r="GD56" s="19">
        <v>50.4</v>
      </c>
      <c r="GE56" s="19">
        <v>49.4</v>
      </c>
      <c r="GF56" s="19">
        <v>48.4</v>
      </c>
      <c r="GG56" s="19">
        <v>47.4</v>
      </c>
      <c r="GH56" s="19">
        <v>46.4</v>
      </c>
      <c r="GI56" s="19">
        <v>45.4</v>
      </c>
      <c r="GJ56" s="19">
        <v>44.4</v>
      </c>
      <c r="GK56" s="19">
        <v>43.4</v>
      </c>
      <c r="GL56" s="19">
        <v>42.4</v>
      </c>
      <c r="GM56" s="19">
        <v>41.4</v>
      </c>
      <c r="GN56" s="19">
        <v>40.4</v>
      </c>
      <c r="GO56" s="19">
        <v>39.4</v>
      </c>
      <c r="GP56" s="19">
        <v>38.4</v>
      </c>
      <c r="GQ56" s="19">
        <v>37.4</v>
      </c>
      <c r="GR56" s="19">
        <v>30.3</v>
      </c>
      <c r="GS56" s="19">
        <v>29.5</v>
      </c>
    </row>
    <row r="57">
      <c r="A57" s="2" t="s">
        <v>454</v>
      </c>
      <c r="B57" s="2" t="s">
        <v>245</v>
      </c>
      <c r="C57" s="2" t="s">
        <v>246</v>
      </c>
      <c r="D57" s="2" t="s">
        <v>247</v>
      </c>
      <c r="E57" s="2" t="s">
        <v>248</v>
      </c>
      <c r="F57" s="2" t="s">
        <v>383</v>
      </c>
      <c r="G57" s="2" t="s">
        <v>383</v>
      </c>
      <c r="H57" s="2" t="s">
        <v>383</v>
      </c>
      <c r="I57" s="2" t="s">
        <v>384</v>
      </c>
      <c r="J57" s="2" t="s">
        <v>214</v>
      </c>
      <c r="K57" s="2" t="s">
        <v>450</v>
      </c>
      <c r="L57" s="3">
        <v>15.19</v>
      </c>
      <c r="M57" s="3">
        <v>15.95</v>
      </c>
      <c r="N57" s="3">
        <v>30.99</v>
      </c>
      <c r="O57" s="2" t="s">
        <v>196</v>
      </c>
      <c r="P57" s="2" t="s">
        <v>197</v>
      </c>
      <c r="Q57" s="2" t="s">
        <v>198</v>
      </c>
      <c r="R57" s="2" t="s">
        <v>199</v>
      </c>
      <c r="S57" s="2" t="s">
        <v>451</v>
      </c>
      <c r="T57" s="2" t="s">
        <v>386</v>
      </c>
      <c r="U57" s="2" t="s">
        <v>199</v>
      </c>
      <c r="V57" s="2" t="s">
        <v>202</v>
      </c>
      <c r="W57" s="2" t="s">
        <v>203</v>
      </c>
      <c r="X57" s="2" t="s">
        <v>199</v>
      </c>
      <c r="Y57" s="2" t="s">
        <v>204</v>
      </c>
      <c r="Z57" s="4">
        <v>482</v>
      </c>
      <c r="AA57" s="4">
        <f>=ROUNDDOWN(96.4,0)</f>
      </c>
      <c r="AB57" s="5">
        <v>5</v>
      </c>
      <c r="AC57" s="2" t="s">
        <v>199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199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199</v>
      </c>
      <c r="AW57" s="8" t="s">
        <v>199</v>
      </c>
      <c r="AX57" s="4" t="s">
        <v>199</v>
      </c>
      <c r="AY57" s="8" t="s">
        <v>199</v>
      </c>
      <c r="AZ57" s="7" t="s">
        <v>199</v>
      </c>
      <c r="BA57" s="7" t="s">
        <v>199</v>
      </c>
      <c r="BB57" s="7"/>
      <c r="BC57" s="4" t="s">
        <v>199</v>
      </c>
      <c r="BD57" s="8" t="s">
        <v>199</v>
      </c>
      <c r="BE57" s="4" t="s">
        <v>199</v>
      </c>
      <c r="BF57" s="8" t="s">
        <v>199</v>
      </c>
      <c r="BG57" s="7" t="s">
        <v>199</v>
      </c>
      <c r="BH57" s="7" t="s">
        <v>199</v>
      </c>
      <c r="BI57" s="7"/>
      <c r="BJ57" s="4">
        <v>42</v>
      </c>
      <c r="BK57" s="8">
        <v>696.1</v>
      </c>
      <c r="BL57" s="2" t="s">
        <v>455</v>
      </c>
      <c r="BM57" s="7"/>
      <c r="BN57" s="7"/>
      <c r="BO57" s="4"/>
      <c r="BP57" s="8"/>
      <c r="BQ57" s="4"/>
      <c r="BR57" s="8"/>
      <c r="BS57" s="7"/>
      <c r="BT57" s="7"/>
      <c r="BU57" s="2" t="s">
        <v>389</v>
      </c>
      <c r="BV57" s="2" t="s">
        <v>199</v>
      </c>
      <c r="BW57" s="2" t="s">
        <v>199</v>
      </c>
      <c r="BX57" s="2" t="s">
        <v>208</v>
      </c>
      <c r="BY57" s="2" t="s">
        <v>209</v>
      </c>
      <c r="BZ57" s="2" t="s">
        <v>196</v>
      </c>
      <c r="CA57" s="2" t="s">
        <v>210</v>
      </c>
      <c r="CB57" s="2" t="s">
        <v>456</v>
      </c>
      <c r="CC57" s="2" t="s">
        <v>212</v>
      </c>
      <c r="CD57" s="2" t="s">
        <v>199</v>
      </c>
      <c r="CE57" s="4">
        <v>482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>
        <v>495</v>
      </c>
      <c r="EU57" s="4">
        <v>483</v>
      </c>
      <c r="EV57" s="4">
        <v>478</v>
      </c>
      <c r="EW57" s="4">
        <v>473</v>
      </c>
      <c r="EX57" s="4">
        <v>468</v>
      </c>
      <c r="EY57" s="4">
        <v>463</v>
      </c>
      <c r="EZ57" s="4">
        <v>458</v>
      </c>
      <c r="FA57" s="4">
        <v>453</v>
      </c>
      <c r="FB57" s="4">
        <v>447</v>
      </c>
      <c r="FC57" s="4">
        <v>441</v>
      </c>
      <c r="FD57" s="4">
        <v>435</v>
      </c>
      <c r="FE57" s="4">
        <v>429</v>
      </c>
      <c r="FF57" s="4">
        <v>422</v>
      </c>
      <c r="FG57" s="4">
        <v>415</v>
      </c>
      <c r="FH57" s="4">
        <v>408</v>
      </c>
      <c r="FI57" s="4">
        <v>400</v>
      </c>
      <c r="FJ57" s="4">
        <v>390</v>
      </c>
      <c r="FK57" s="4">
        <v>380</v>
      </c>
      <c r="FL57" s="4">
        <v>370</v>
      </c>
      <c r="FM57" s="4">
        <v>358</v>
      </c>
      <c r="FN57" s="4">
        <v>344</v>
      </c>
      <c r="FO57" s="4">
        <v>330</v>
      </c>
      <c r="FP57" s="4">
        <v>316</v>
      </c>
      <c r="FQ57" s="4">
        <v>290</v>
      </c>
      <c r="FR57" s="4">
        <v>264</v>
      </c>
      <c r="FS57" s="4">
        <v>238</v>
      </c>
      <c r="FT57" s="19">
        <v>70.7</v>
      </c>
      <c r="FU57" s="9"/>
      <c r="FV57" s="19">
        <v>95.6</v>
      </c>
      <c r="FW57" s="19">
        <v>94.6</v>
      </c>
      <c r="FX57" s="19">
        <v>93.6</v>
      </c>
      <c r="FY57" s="19">
        <v>77.2</v>
      </c>
      <c r="FZ57" s="19">
        <v>76.3</v>
      </c>
      <c r="GA57" s="19">
        <v>75.5</v>
      </c>
      <c r="GB57" s="19">
        <v>74.5</v>
      </c>
      <c r="GC57" s="19">
        <v>73.5</v>
      </c>
      <c r="GD57" s="19">
        <v>62.1</v>
      </c>
      <c r="GE57" s="19">
        <v>61.3</v>
      </c>
      <c r="GF57" s="19">
        <v>52.8</v>
      </c>
      <c r="GG57" s="19">
        <v>46.1</v>
      </c>
      <c r="GH57" s="19">
        <v>40.8</v>
      </c>
      <c r="GI57" s="19">
        <v>40</v>
      </c>
      <c r="GJ57" s="19">
        <v>32.5</v>
      </c>
      <c r="GK57" s="19">
        <v>31.7</v>
      </c>
      <c r="GL57" s="19">
        <v>26.4</v>
      </c>
      <c r="GM57" s="9"/>
      <c r="GN57" s="19">
        <v>17.2</v>
      </c>
      <c r="GO57" s="19">
        <v>14.3</v>
      </c>
      <c r="GP57" s="19">
        <v>12.2</v>
      </c>
      <c r="GQ57" s="19">
        <v>10</v>
      </c>
      <c r="GR57" s="19">
        <v>8.3</v>
      </c>
      <c r="GS57" s="19">
        <v>7.2</v>
      </c>
    </row>
    <row r="58">
      <c r="A58" s="2" t="s">
        <v>457</v>
      </c>
      <c r="B58" s="2" t="s">
        <v>245</v>
      </c>
      <c r="C58" s="2" t="s">
        <v>246</v>
      </c>
      <c r="D58" s="2" t="s">
        <v>247</v>
      </c>
      <c r="E58" s="2" t="s">
        <v>248</v>
      </c>
      <c r="F58" s="2" t="s">
        <v>383</v>
      </c>
      <c r="G58" s="2" t="s">
        <v>383</v>
      </c>
      <c r="H58" s="2" t="s">
        <v>383</v>
      </c>
      <c r="I58" s="2" t="s">
        <v>384</v>
      </c>
      <c r="J58" s="2" t="s">
        <v>285</v>
      </c>
      <c r="K58" s="2" t="s">
        <v>450</v>
      </c>
      <c r="L58" s="3">
        <v>16.5</v>
      </c>
      <c r="M58" s="3">
        <v>17.32</v>
      </c>
      <c r="N58" s="3">
        <v>32.99</v>
      </c>
      <c r="O58" s="2" t="s">
        <v>196</v>
      </c>
      <c r="P58" s="2" t="s">
        <v>197</v>
      </c>
      <c r="Q58" s="2" t="s">
        <v>198</v>
      </c>
      <c r="R58" s="2" t="s">
        <v>199</v>
      </c>
      <c r="S58" s="2" t="s">
        <v>451</v>
      </c>
      <c r="T58" s="2" t="s">
        <v>386</v>
      </c>
      <c r="U58" s="2" t="s">
        <v>199</v>
      </c>
      <c r="V58" s="2" t="s">
        <v>202</v>
      </c>
      <c r="W58" s="2" t="s">
        <v>203</v>
      </c>
      <c r="X58" s="2" t="s">
        <v>199</v>
      </c>
      <c r="Y58" s="2" t="s">
        <v>204</v>
      </c>
      <c r="Z58" s="4">
        <v>207</v>
      </c>
      <c r="AA58" s="4">
        <f>=ROUNDDOWN(31.8461538461538,0)</f>
      </c>
      <c r="AB58" s="5">
        <v>6.5</v>
      </c>
      <c r="AC58" s="2" t="s">
        <v>236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199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199</v>
      </c>
      <c r="AW58" s="8" t="s">
        <v>199</v>
      </c>
      <c r="AX58" s="4" t="s">
        <v>199</v>
      </c>
      <c r="AY58" s="8" t="s">
        <v>199</v>
      </c>
      <c r="AZ58" s="7" t="s">
        <v>199</v>
      </c>
      <c r="BA58" s="7" t="s">
        <v>199</v>
      </c>
      <c r="BB58" s="7"/>
      <c r="BC58" s="4" t="s">
        <v>199</v>
      </c>
      <c r="BD58" s="8" t="s">
        <v>199</v>
      </c>
      <c r="BE58" s="4" t="s">
        <v>199</v>
      </c>
      <c r="BF58" s="8" t="s">
        <v>199</v>
      </c>
      <c r="BG58" s="7" t="s">
        <v>199</v>
      </c>
      <c r="BH58" s="7" t="s">
        <v>199</v>
      </c>
      <c r="BI58" s="7"/>
      <c r="BJ58" s="4">
        <v>21</v>
      </c>
      <c r="BK58" s="8">
        <v>415.92</v>
      </c>
      <c r="BL58" s="2" t="s">
        <v>458</v>
      </c>
      <c r="BM58" s="7"/>
      <c r="BN58" s="7"/>
      <c r="BO58" s="4"/>
      <c r="BP58" s="8"/>
      <c r="BQ58" s="4"/>
      <c r="BR58" s="8"/>
      <c r="BS58" s="7"/>
      <c r="BT58" s="7"/>
      <c r="BU58" s="2" t="s">
        <v>389</v>
      </c>
      <c r="BV58" s="2" t="s">
        <v>199</v>
      </c>
      <c r="BW58" s="2" t="s">
        <v>199</v>
      </c>
      <c r="BX58" s="2" t="s">
        <v>208</v>
      </c>
      <c r="BY58" s="2" t="s">
        <v>209</v>
      </c>
      <c r="BZ58" s="2" t="s">
        <v>196</v>
      </c>
      <c r="CA58" s="2" t="s">
        <v>210</v>
      </c>
      <c r="CB58" s="2" t="s">
        <v>217</v>
      </c>
      <c r="CC58" s="2" t="s">
        <v>212</v>
      </c>
      <c r="CD58" s="2" t="s">
        <v>199</v>
      </c>
      <c r="CE58" s="4">
        <v>207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>
        <v>120</v>
      </c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>
        <v>217</v>
      </c>
      <c r="EU58" s="4">
        <v>205</v>
      </c>
      <c r="EV58" s="4">
        <v>200</v>
      </c>
      <c r="EW58" s="4">
        <v>195</v>
      </c>
      <c r="EX58" s="4">
        <v>190</v>
      </c>
      <c r="EY58" s="4">
        <v>185</v>
      </c>
      <c r="EZ58" s="4">
        <v>180</v>
      </c>
      <c r="FA58" s="4">
        <v>175</v>
      </c>
      <c r="FB58" s="4">
        <v>169</v>
      </c>
      <c r="FC58" s="4">
        <v>164</v>
      </c>
      <c r="FD58" s="4">
        <v>279</v>
      </c>
      <c r="FE58" s="4">
        <v>274</v>
      </c>
      <c r="FF58" s="4">
        <v>269</v>
      </c>
      <c r="FG58" s="4">
        <v>264</v>
      </c>
      <c r="FH58" s="4">
        <v>259</v>
      </c>
      <c r="FI58" s="4">
        <v>253</v>
      </c>
      <c r="FJ58" s="4">
        <v>247</v>
      </c>
      <c r="FK58" s="4">
        <v>241</v>
      </c>
      <c r="FL58" s="4">
        <v>235</v>
      </c>
      <c r="FM58" s="4">
        <v>228</v>
      </c>
      <c r="FN58" s="4">
        <v>221</v>
      </c>
      <c r="FO58" s="4">
        <v>214</v>
      </c>
      <c r="FP58" s="4">
        <v>207</v>
      </c>
      <c r="FQ58" s="4">
        <v>200</v>
      </c>
      <c r="FR58" s="4">
        <v>193</v>
      </c>
      <c r="FS58" s="4">
        <v>186</v>
      </c>
      <c r="FT58" s="19">
        <v>31</v>
      </c>
      <c r="FU58" s="19">
        <v>41</v>
      </c>
      <c r="FV58" s="19">
        <v>40</v>
      </c>
      <c r="FW58" s="19">
        <v>39</v>
      </c>
      <c r="FX58" s="19">
        <v>38</v>
      </c>
      <c r="FY58" s="19">
        <v>37</v>
      </c>
      <c r="FZ58" s="19">
        <v>36</v>
      </c>
      <c r="GA58" s="19">
        <v>35</v>
      </c>
      <c r="GB58" s="19">
        <v>33.8</v>
      </c>
      <c r="GC58" s="19">
        <v>32.8</v>
      </c>
      <c r="GD58" s="19">
        <v>55.8</v>
      </c>
      <c r="GE58" s="19">
        <v>54.8</v>
      </c>
      <c r="GF58" s="19">
        <v>44.8</v>
      </c>
      <c r="GG58" s="19">
        <v>44</v>
      </c>
      <c r="GH58" s="19">
        <v>43.2</v>
      </c>
      <c r="GI58" s="19">
        <v>42.2</v>
      </c>
      <c r="GJ58" s="19">
        <v>41.2</v>
      </c>
      <c r="GK58" s="19">
        <v>34.4</v>
      </c>
      <c r="GL58" s="19">
        <v>33.6</v>
      </c>
      <c r="GM58" s="19">
        <v>32.6</v>
      </c>
      <c r="GN58" s="19">
        <v>31.6</v>
      </c>
      <c r="GO58" s="19">
        <v>30.6</v>
      </c>
      <c r="GP58" s="19">
        <v>29.6</v>
      </c>
      <c r="GQ58" s="19">
        <v>28.6</v>
      </c>
      <c r="GR58" s="19">
        <v>27.6</v>
      </c>
      <c r="GS58" s="19">
        <v>26.6</v>
      </c>
    </row>
    <row r="59">
      <c r="A59" s="2" t="s">
        <v>459</v>
      </c>
      <c r="B59" s="2" t="s">
        <v>245</v>
      </c>
      <c r="C59" s="2" t="s">
        <v>246</v>
      </c>
      <c r="D59" s="2" t="s">
        <v>247</v>
      </c>
      <c r="E59" s="2" t="s">
        <v>248</v>
      </c>
      <c r="F59" s="2" t="s">
        <v>383</v>
      </c>
      <c r="G59" s="2" t="s">
        <v>383</v>
      </c>
      <c r="H59" s="2" t="s">
        <v>383</v>
      </c>
      <c r="I59" s="2" t="s">
        <v>384</v>
      </c>
      <c r="J59" s="2" t="s">
        <v>251</v>
      </c>
      <c r="K59" s="2" t="s">
        <v>450</v>
      </c>
      <c r="L59" s="3">
        <v>21.5</v>
      </c>
      <c r="M59" s="3">
        <v>22.58</v>
      </c>
      <c r="N59" s="3">
        <v>42.99</v>
      </c>
      <c r="O59" s="2" t="s">
        <v>196</v>
      </c>
      <c r="P59" s="2" t="s">
        <v>197</v>
      </c>
      <c r="Q59" s="2" t="s">
        <v>198</v>
      </c>
      <c r="R59" s="2" t="s">
        <v>199</v>
      </c>
      <c r="S59" s="2" t="s">
        <v>451</v>
      </c>
      <c r="T59" s="2" t="s">
        <v>386</v>
      </c>
      <c r="U59" s="2" t="s">
        <v>199</v>
      </c>
      <c r="V59" s="2" t="s">
        <v>202</v>
      </c>
      <c r="W59" s="2" t="s">
        <v>203</v>
      </c>
      <c r="X59" s="2" t="s">
        <v>199</v>
      </c>
      <c r="Y59" s="2" t="s">
        <v>204</v>
      </c>
      <c r="Z59" s="4">
        <v>178</v>
      </c>
      <c r="AA59" s="4">
        <f>=ROUNDDOWN(35.6,0)</f>
      </c>
      <c r="AB59" s="5">
        <v>5</v>
      </c>
      <c r="AC59" s="2" t="s">
        <v>199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199</v>
      </c>
      <c r="AW59" s="8" t="s">
        <v>199</v>
      </c>
      <c r="AX59" s="4" t="s">
        <v>199</v>
      </c>
      <c r="AY59" s="8" t="s">
        <v>199</v>
      </c>
      <c r="AZ59" s="7" t="s">
        <v>199</v>
      </c>
      <c r="BA59" s="7" t="s">
        <v>199</v>
      </c>
      <c r="BB59" s="7"/>
      <c r="BC59" s="4" t="s">
        <v>199</v>
      </c>
      <c r="BD59" s="8" t="s">
        <v>199</v>
      </c>
      <c r="BE59" s="4" t="s">
        <v>199</v>
      </c>
      <c r="BF59" s="8" t="s">
        <v>199</v>
      </c>
      <c r="BG59" s="7" t="s">
        <v>199</v>
      </c>
      <c r="BH59" s="7" t="s">
        <v>199</v>
      </c>
      <c r="BI59" s="7"/>
      <c r="BJ59" s="4">
        <v>18</v>
      </c>
      <c r="BK59" s="8">
        <v>408.88</v>
      </c>
      <c r="BL59" s="2" t="s">
        <v>460</v>
      </c>
      <c r="BM59" s="7"/>
      <c r="BN59" s="7"/>
      <c r="BO59" s="4"/>
      <c r="BP59" s="8"/>
      <c r="BQ59" s="4"/>
      <c r="BR59" s="8"/>
      <c r="BS59" s="7"/>
      <c r="BT59" s="7"/>
      <c r="BU59" s="2" t="s">
        <v>389</v>
      </c>
      <c r="BV59" s="2" t="s">
        <v>199</v>
      </c>
      <c r="BW59" s="2" t="s">
        <v>199</v>
      </c>
      <c r="BX59" s="2" t="s">
        <v>208</v>
      </c>
      <c r="BY59" s="2" t="s">
        <v>209</v>
      </c>
      <c r="BZ59" s="2" t="s">
        <v>196</v>
      </c>
      <c r="CA59" s="2" t="s">
        <v>210</v>
      </c>
      <c r="CB59" s="2" t="s">
        <v>461</v>
      </c>
      <c r="CC59" s="2" t="s">
        <v>212</v>
      </c>
      <c r="CD59" s="2" t="s">
        <v>199</v>
      </c>
      <c r="CE59" s="4">
        <v>178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>
        <v>180</v>
      </c>
      <c r="EU59" s="4">
        <v>175</v>
      </c>
      <c r="EV59" s="4">
        <v>171</v>
      </c>
      <c r="EW59" s="4">
        <v>167</v>
      </c>
      <c r="EX59" s="4">
        <v>163</v>
      </c>
      <c r="EY59" s="4">
        <v>159</v>
      </c>
      <c r="EZ59" s="4">
        <v>155</v>
      </c>
      <c r="FA59" s="4">
        <v>151</v>
      </c>
      <c r="FB59" s="4">
        <v>146</v>
      </c>
      <c r="FC59" s="4">
        <v>142</v>
      </c>
      <c r="FD59" s="4">
        <v>138</v>
      </c>
      <c r="FE59" s="4">
        <v>134</v>
      </c>
      <c r="FF59" s="4">
        <v>129</v>
      </c>
      <c r="FG59" s="4">
        <v>124</v>
      </c>
      <c r="FH59" s="4">
        <v>119</v>
      </c>
      <c r="FI59" s="4">
        <v>114</v>
      </c>
      <c r="FJ59" s="4">
        <v>109</v>
      </c>
      <c r="FK59" s="4">
        <v>104</v>
      </c>
      <c r="FL59" s="4">
        <v>99</v>
      </c>
      <c r="FM59" s="4">
        <v>94</v>
      </c>
      <c r="FN59" s="4">
        <v>89</v>
      </c>
      <c r="FO59" s="4">
        <v>84</v>
      </c>
      <c r="FP59" s="4">
        <v>78</v>
      </c>
      <c r="FQ59" s="4">
        <v>73</v>
      </c>
      <c r="FR59" s="4">
        <v>68</v>
      </c>
      <c r="FS59" s="4">
        <v>63</v>
      </c>
      <c r="FT59" s="19">
        <v>45</v>
      </c>
      <c r="FU59" s="19">
        <v>43.8</v>
      </c>
      <c r="FV59" s="19">
        <v>42.8</v>
      </c>
      <c r="FW59" s="19">
        <v>41.8</v>
      </c>
      <c r="FX59" s="19">
        <v>40.8</v>
      </c>
      <c r="FY59" s="19">
        <v>39.8</v>
      </c>
      <c r="FZ59" s="19">
        <v>38.8</v>
      </c>
      <c r="GA59" s="19">
        <v>37.8</v>
      </c>
      <c r="GB59" s="19">
        <v>36.5</v>
      </c>
      <c r="GC59" s="19">
        <v>35.5</v>
      </c>
      <c r="GD59" s="19">
        <v>27.6</v>
      </c>
      <c r="GE59" s="19">
        <v>26.8</v>
      </c>
      <c r="GF59" s="19">
        <v>25.8</v>
      </c>
      <c r="GG59" s="19">
        <v>24.8</v>
      </c>
      <c r="GH59" s="19">
        <v>23.8</v>
      </c>
      <c r="GI59" s="19">
        <v>22.8</v>
      </c>
      <c r="GJ59" s="19">
        <v>21.8</v>
      </c>
      <c r="GK59" s="19">
        <v>20.8</v>
      </c>
      <c r="GL59" s="19">
        <v>19.8</v>
      </c>
      <c r="GM59" s="19">
        <v>18.8</v>
      </c>
      <c r="GN59" s="19">
        <v>17.8</v>
      </c>
      <c r="GO59" s="19">
        <v>16.8</v>
      </c>
      <c r="GP59" s="19">
        <v>15.6</v>
      </c>
      <c r="GQ59" s="19">
        <v>14.6</v>
      </c>
      <c r="GR59" s="19">
        <v>13.6</v>
      </c>
      <c r="GS59" s="19">
        <v>12.6</v>
      </c>
    </row>
    <row r="60">
      <c r="A60" s="2" t="s">
        <v>462</v>
      </c>
      <c r="B60" s="2" t="s">
        <v>245</v>
      </c>
      <c r="C60" s="2" t="s">
        <v>246</v>
      </c>
      <c r="D60" s="2" t="s">
        <v>247</v>
      </c>
      <c r="E60" s="2" t="s">
        <v>248</v>
      </c>
      <c r="F60" s="2" t="s">
        <v>383</v>
      </c>
      <c r="G60" s="2" t="s">
        <v>383</v>
      </c>
      <c r="H60" s="2" t="s">
        <v>383</v>
      </c>
      <c r="I60" s="2" t="s">
        <v>384</v>
      </c>
      <c r="J60" s="2" t="s">
        <v>194</v>
      </c>
      <c r="K60" s="2" t="s">
        <v>233</v>
      </c>
      <c r="L60" s="3">
        <v>13.44</v>
      </c>
      <c r="M60" s="3">
        <v>14.11</v>
      </c>
      <c r="N60" s="3">
        <v>27.99</v>
      </c>
      <c r="O60" s="2" t="s">
        <v>196</v>
      </c>
      <c r="P60" s="2" t="s">
        <v>197</v>
      </c>
      <c r="Q60" s="2" t="s">
        <v>198</v>
      </c>
      <c r="R60" s="2" t="s">
        <v>199</v>
      </c>
      <c r="S60" s="2" t="s">
        <v>463</v>
      </c>
      <c r="T60" s="2" t="s">
        <v>386</v>
      </c>
      <c r="U60" s="2" t="s">
        <v>199</v>
      </c>
      <c r="V60" s="2" t="s">
        <v>202</v>
      </c>
      <c r="W60" s="2" t="s">
        <v>203</v>
      </c>
      <c r="X60" s="2" t="s">
        <v>199</v>
      </c>
      <c r="Y60" s="2" t="s">
        <v>204</v>
      </c>
      <c r="Z60" s="4">
        <v>133</v>
      </c>
      <c r="AA60" s="4">
        <f>=ROUNDDOWN(44.3333333333333,0)</f>
      </c>
      <c r="AB60" s="5">
        <v>3</v>
      </c>
      <c r="AC60" s="2" t="s">
        <v>199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199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199</v>
      </c>
      <c r="AW60" s="8" t="s">
        <v>199</v>
      </c>
      <c r="AX60" s="4" t="s">
        <v>199</v>
      </c>
      <c r="AY60" s="8" t="s">
        <v>199</v>
      </c>
      <c r="AZ60" s="7" t="s">
        <v>199</v>
      </c>
      <c r="BA60" s="7" t="s">
        <v>199</v>
      </c>
      <c r="BB60" s="7"/>
      <c r="BC60" s="4" t="s">
        <v>199</v>
      </c>
      <c r="BD60" s="8" t="s">
        <v>199</v>
      </c>
      <c r="BE60" s="4" t="s">
        <v>199</v>
      </c>
      <c r="BF60" s="8" t="s">
        <v>199</v>
      </c>
      <c r="BG60" s="7" t="s">
        <v>199</v>
      </c>
      <c r="BH60" s="7" t="s">
        <v>199</v>
      </c>
      <c r="BI60" s="7"/>
      <c r="BJ60" s="4">
        <v>20</v>
      </c>
      <c r="BK60" s="8">
        <v>273.94</v>
      </c>
      <c r="BL60" s="2" t="s">
        <v>464</v>
      </c>
      <c r="BM60" s="7"/>
      <c r="BN60" s="7"/>
      <c r="BO60" s="4"/>
      <c r="BP60" s="8"/>
      <c r="BQ60" s="4"/>
      <c r="BR60" s="8"/>
      <c r="BS60" s="7"/>
      <c r="BT60" s="7"/>
      <c r="BU60" s="2" t="s">
        <v>389</v>
      </c>
      <c r="BV60" s="2" t="s">
        <v>199</v>
      </c>
      <c r="BW60" s="2" t="s">
        <v>199</v>
      </c>
      <c r="BX60" s="2" t="s">
        <v>208</v>
      </c>
      <c r="BY60" s="2" t="s">
        <v>209</v>
      </c>
      <c r="BZ60" s="2" t="s">
        <v>196</v>
      </c>
      <c r="CA60" s="2" t="s">
        <v>210</v>
      </c>
      <c r="CB60" s="2" t="s">
        <v>465</v>
      </c>
      <c r="CC60" s="2" t="s">
        <v>212</v>
      </c>
      <c r="CD60" s="2" t="s">
        <v>199</v>
      </c>
      <c r="CE60" s="4">
        <v>133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>
        <v>135</v>
      </c>
      <c r="EU60" s="4">
        <v>130</v>
      </c>
      <c r="EV60" s="4">
        <v>127</v>
      </c>
      <c r="EW60" s="4">
        <v>124</v>
      </c>
      <c r="EX60" s="4">
        <v>121</v>
      </c>
      <c r="EY60" s="4">
        <v>118</v>
      </c>
      <c r="EZ60" s="4">
        <v>115</v>
      </c>
      <c r="FA60" s="4">
        <v>112</v>
      </c>
      <c r="FB60" s="4">
        <v>108</v>
      </c>
      <c r="FC60" s="4">
        <v>105</v>
      </c>
      <c r="FD60" s="4">
        <v>102</v>
      </c>
      <c r="FE60" s="4">
        <v>99</v>
      </c>
      <c r="FF60" s="4">
        <v>96</v>
      </c>
      <c r="FG60" s="4">
        <v>93</v>
      </c>
      <c r="FH60" s="4">
        <v>90</v>
      </c>
      <c r="FI60" s="4">
        <v>87</v>
      </c>
      <c r="FJ60" s="4">
        <v>84</v>
      </c>
      <c r="FK60" s="4">
        <v>81</v>
      </c>
      <c r="FL60" s="4">
        <v>78</v>
      </c>
      <c r="FM60" s="4">
        <v>75</v>
      </c>
      <c r="FN60" s="4">
        <v>72</v>
      </c>
      <c r="FO60" s="4">
        <v>69</v>
      </c>
      <c r="FP60" s="4">
        <v>66</v>
      </c>
      <c r="FQ60" s="4">
        <v>69</v>
      </c>
      <c r="FR60" s="4">
        <v>66</v>
      </c>
      <c r="FS60" s="4">
        <v>63</v>
      </c>
      <c r="FT60" s="19">
        <v>33.8</v>
      </c>
      <c r="FU60" s="19">
        <v>43.3</v>
      </c>
      <c r="FV60" s="19">
        <v>42.3</v>
      </c>
      <c r="FW60" s="19">
        <v>41.3</v>
      </c>
      <c r="FX60" s="19">
        <v>40.3</v>
      </c>
      <c r="FY60" s="19">
        <v>39.3</v>
      </c>
      <c r="FZ60" s="19">
        <v>38.3</v>
      </c>
      <c r="GA60" s="19">
        <v>37.3</v>
      </c>
      <c r="GB60" s="19">
        <v>36</v>
      </c>
      <c r="GC60" s="19">
        <v>35</v>
      </c>
      <c r="GD60" s="19">
        <v>34</v>
      </c>
      <c r="GE60" s="19">
        <v>33</v>
      </c>
      <c r="GF60" s="19">
        <v>32</v>
      </c>
      <c r="GG60" s="19">
        <v>31</v>
      </c>
      <c r="GH60" s="19">
        <v>30</v>
      </c>
      <c r="GI60" s="19">
        <v>29</v>
      </c>
      <c r="GJ60" s="19">
        <v>28</v>
      </c>
      <c r="GK60" s="19">
        <v>27</v>
      </c>
      <c r="GL60" s="19">
        <v>26</v>
      </c>
      <c r="GM60" s="19">
        <v>25</v>
      </c>
      <c r="GN60" s="19">
        <v>24</v>
      </c>
      <c r="GO60" s="19">
        <v>23</v>
      </c>
      <c r="GP60" s="19">
        <v>22</v>
      </c>
      <c r="GQ60" s="19">
        <v>23</v>
      </c>
      <c r="GR60" s="19">
        <v>16.5</v>
      </c>
      <c r="GS60" s="19">
        <v>15.8</v>
      </c>
    </row>
    <row r="61">
      <c r="A61" s="2" t="s">
        <v>466</v>
      </c>
      <c r="B61" s="2" t="s">
        <v>245</v>
      </c>
      <c r="C61" s="2" t="s">
        <v>246</v>
      </c>
      <c r="D61" s="2" t="s">
        <v>247</v>
      </c>
      <c r="E61" s="2" t="s">
        <v>248</v>
      </c>
      <c r="F61" s="2" t="s">
        <v>383</v>
      </c>
      <c r="G61" s="2" t="s">
        <v>383</v>
      </c>
      <c r="H61" s="2" t="s">
        <v>383</v>
      </c>
      <c r="I61" s="2" t="s">
        <v>384</v>
      </c>
      <c r="J61" s="2" t="s">
        <v>214</v>
      </c>
      <c r="K61" s="2" t="s">
        <v>233</v>
      </c>
      <c r="L61" s="3">
        <v>15.19</v>
      </c>
      <c r="M61" s="3">
        <v>15.95</v>
      </c>
      <c r="N61" s="3">
        <v>30.99</v>
      </c>
      <c r="O61" s="2" t="s">
        <v>196</v>
      </c>
      <c r="P61" s="2" t="s">
        <v>197</v>
      </c>
      <c r="Q61" s="2" t="s">
        <v>198</v>
      </c>
      <c r="R61" s="2" t="s">
        <v>199</v>
      </c>
      <c r="S61" s="2" t="s">
        <v>463</v>
      </c>
      <c r="T61" s="2" t="s">
        <v>386</v>
      </c>
      <c r="U61" s="2" t="s">
        <v>199</v>
      </c>
      <c r="V61" s="2" t="s">
        <v>202</v>
      </c>
      <c r="W61" s="2" t="s">
        <v>203</v>
      </c>
      <c r="X61" s="2" t="s">
        <v>199</v>
      </c>
      <c r="Y61" s="2" t="s">
        <v>204</v>
      </c>
      <c r="Z61" s="4">
        <v>290</v>
      </c>
      <c r="AA61" s="4">
        <f>=ROUNDDOWN(96.6666666666667,0)</f>
      </c>
      <c r="AB61" s="5">
        <v>3</v>
      </c>
      <c r="AC61" s="2" t="s">
        <v>199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199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199</v>
      </c>
      <c r="AW61" s="8" t="s">
        <v>199</v>
      </c>
      <c r="AX61" s="4" t="s">
        <v>199</v>
      </c>
      <c r="AY61" s="8" t="s">
        <v>199</v>
      </c>
      <c r="AZ61" s="7" t="s">
        <v>199</v>
      </c>
      <c r="BA61" s="7" t="s">
        <v>199</v>
      </c>
      <c r="BB61" s="7"/>
      <c r="BC61" s="4" t="s">
        <v>199</v>
      </c>
      <c r="BD61" s="8" t="s">
        <v>199</v>
      </c>
      <c r="BE61" s="4" t="s">
        <v>199</v>
      </c>
      <c r="BF61" s="8" t="s">
        <v>199</v>
      </c>
      <c r="BG61" s="7" t="s">
        <v>199</v>
      </c>
      <c r="BH61" s="7" t="s">
        <v>199</v>
      </c>
      <c r="BI61" s="7"/>
      <c r="BJ61" s="4">
        <v>25</v>
      </c>
      <c r="BK61" s="8">
        <v>402.06</v>
      </c>
      <c r="BL61" s="2" t="s">
        <v>421</v>
      </c>
      <c r="BM61" s="7"/>
      <c r="BN61" s="7"/>
      <c r="BO61" s="4"/>
      <c r="BP61" s="8"/>
      <c r="BQ61" s="4"/>
      <c r="BR61" s="8"/>
      <c r="BS61" s="7"/>
      <c r="BT61" s="7"/>
      <c r="BU61" s="2" t="s">
        <v>389</v>
      </c>
      <c r="BV61" s="2" t="s">
        <v>199</v>
      </c>
      <c r="BW61" s="2" t="s">
        <v>199</v>
      </c>
      <c r="BX61" s="2" t="s">
        <v>208</v>
      </c>
      <c r="BY61" s="2" t="s">
        <v>209</v>
      </c>
      <c r="BZ61" s="2" t="s">
        <v>196</v>
      </c>
      <c r="CA61" s="2" t="s">
        <v>210</v>
      </c>
      <c r="CB61" s="2" t="s">
        <v>430</v>
      </c>
      <c r="CC61" s="2" t="s">
        <v>212</v>
      </c>
      <c r="CD61" s="2" t="s">
        <v>199</v>
      </c>
      <c r="CE61" s="4">
        <v>290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>
        <v>290</v>
      </c>
      <c r="EU61" s="4">
        <v>287</v>
      </c>
      <c r="EV61" s="4">
        <v>284</v>
      </c>
      <c r="EW61" s="4">
        <v>281</v>
      </c>
      <c r="EX61" s="4">
        <v>278</v>
      </c>
      <c r="EY61" s="4">
        <v>275</v>
      </c>
      <c r="EZ61" s="4">
        <v>272</v>
      </c>
      <c r="FA61" s="4">
        <v>269</v>
      </c>
      <c r="FB61" s="4">
        <v>265</v>
      </c>
      <c r="FC61" s="4">
        <v>262</v>
      </c>
      <c r="FD61" s="4">
        <v>259</v>
      </c>
      <c r="FE61" s="4">
        <v>256</v>
      </c>
      <c r="FF61" s="4">
        <v>253</v>
      </c>
      <c r="FG61" s="4">
        <v>250</v>
      </c>
      <c r="FH61" s="4">
        <v>247</v>
      </c>
      <c r="FI61" s="4">
        <v>243</v>
      </c>
      <c r="FJ61" s="4">
        <v>239</v>
      </c>
      <c r="FK61" s="4">
        <v>235</v>
      </c>
      <c r="FL61" s="4">
        <v>231</v>
      </c>
      <c r="FM61" s="4">
        <v>226</v>
      </c>
      <c r="FN61" s="4">
        <v>221</v>
      </c>
      <c r="FO61" s="4">
        <v>216</v>
      </c>
      <c r="FP61" s="4">
        <v>211</v>
      </c>
      <c r="FQ61" s="4">
        <v>228</v>
      </c>
      <c r="FR61" s="4">
        <v>216</v>
      </c>
      <c r="FS61" s="4">
        <v>204</v>
      </c>
      <c r="FT61" s="19">
        <v>96.7</v>
      </c>
      <c r="FU61" s="19">
        <v>95.7</v>
      </c>
      <c r="FV61" s="19">
        <v>94.7</v>
      </c>
      <c r="FW61" s="19">
        <v>93.7</v>
      </c>
      <c r="FX61" s="19">
        <v>92.7</v>
      </c>
      <c r="FY61" s="19">
        <v>91.7</v>
      </c>
      <c r="FZ61" s="19">
        <v>90.7</v>
      </c>
      <c r="GA61" s="19">
        <v>89.7</v>
      </c>
      <c r="GB61" s="19">
        <v>88.3</v>
      </c>
      <c r="GC61" s="19">
        <v>87.3</v>
      </c>
      <c r="GD61" s="19">
        <v>86.3</v>
      </c>
      <c r="GE61" s="19">
        <v>85.3</v>
      </c>
      <c r="GF61" s="19">
        <v>63.3</v>
      </c>
      <c r="GG61" s="19">
        <v>62.5</v>
      </c>
      <c r="GH61" s="19">
        <v>61.8</v>
      </c>
      <c r="GI61" s="19">
        <v>60.8</v>
      </c>
      <c r="GJ61" s="19">
        <v>59.8</v>
      </c>
      <c r="GK61" s="19">
        <v>47</v>
      </c>
      <c r="GL61" s="19">
        <v>46.2</v>
      </c>
      <c r="GM61" s="19">
        <v>32.3</v>
      </c>
      <c r="GN61" s="19">
        <v>27.6</v>
      </c>
      <c r="GO61" s="19">
        <v>21.6</v>
      </c>
      <c r="GP61" s="19">
        <v>17.6</v>
      </c>
      <c r="GQ61" s="19">
        <v>16.3</v>
      </c>
      <c r="GR61" s="19">
        <v>14.4</v>
      </c>
      <c r="GS61" s="19">
        <v>12.8</v>
      </c>
    </row>
    <row r="62">
      <c r="A62" s="2" t="s">
        <v>467</v>
      </c>
      <c r="B62" s="2" t="s">
        <v>245</v>
      </c>
      <c r="C62" s="2" t="s">
        <v>246</v>
      </c>
      <c r="D62" s="2" t="s">
        <v>247</v>
      </c>
      <c r="E62" s="2" t="s">
        <v>248</v>
      </c>
      <c r="F62" s="2" t="s">
        <v>383</v>
      </c>
      <c r="G62" s="2" t="s">
        <v>383</v>
      </c>
      <c r="H62" s="2" t="s">
        <v>383</v>
      </c>
      <c r="I62" s="2" t="s">
        <v>384</v>
      </c>
      <c r="J62" s="2" t="s">
        <v>285</v>
      </c>
      <c r="K62" s="2" t="s">
        <v>233</v>
      </c>
      <c r="L62" s="3">
        <v>16.5</v>
      </c>
      <c r="M62" s="3">
        <v>17.32</v>
      </c>
      <c r="N62" s="3">
        <v>32.99</v>
      </c>
      <c r="O62" s="2" t="s">
        <v>196</v>
      </c>
      <c r="P62" s="2" t="s">
        <v>197</v>
      </c>
      <c r="Q62" s="2" t="s">
        <v>198</v>
      </c>
      <c r="R62" s="2" t="s">
        <v>199</v>
      </c>
      <c r="S62" s="2" t="s">
        <v>463</v>
      </c>
      <c r="T62" s="2" t="s">
        <v>386</v>
      </c>
      <c r="U62" s="2" t="s">
        <v>199</v>
      </c>
      <c r="V62" s="2" t="s">
        <v>202</v>
      </c>
      <c r="W62" s="2" t="s">
        <v>203</v>
      </c>
      <c r="X62" s="2" t="s">
        <v>199</v>
      </c>
      <c r="Y62" s="2" t="s">
        <v>204</v>
      </c>
      <c r="Z62" s="4">
        <v>219</v>
      </c>
      <c r="AA62" s="4">
        <f>=ROUNDDOWN(36.5,0)</f>
      </c>
      <c r="AB62" s="5">
        <v>6</v>
      </c>
      <c r="AC62" s="2" t="s">
        <v>199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199</v>
      </c>
      <c r="AW62" s="8" t="s">
        <v>199</v>
      </c>
      <c r="AX62" s="4" t="s">
        <v>199</v>
      </c>
      <c r="AY62" s="8" t="s">
        <v>199</v>
      </c>
      <c r="AZ62" s="7" t="s">
        <v>199</v>
      </c>
      <c r="BA62" s="7" t="s">
        <v>199</v>
      </c>
      <c r="BB62" s="7"/>
      <c r="BC62" s="4" t="s">
        <v>199</v>
      </c>
      <c r="BD62" s="8" t="s">
        <v>199</v>
      </c>
      <c r="BE62" s="4" t="s">
        <v>199</v>
      </c>
      <c r="BF62" s="8" t="s">
        <v>199</v>
      </c>
      <c r="BG62" s="7" t="s">
        <v>199</v>
      </c>
      <c r="BH62" s="7" t="s">
        <v>199</v>
      </c>
      <c r="BI62" s="7"/>
      <c r="BJ62" s="4">
        <v>23</v>
      </c>
      <c r="BK62" s="8">
        <v>386.63</v>
      </c>
      <c r="BL62" s="2" t="s">
        <v>468</v>
      </c>
      <c r="BM62" s="7"/>
      <c r="BN62" s="7"/>
      <c r="BO62" s="4"/>
      <c r="BP62" s="8"/>
      <c r="BQ62" s="4"/>
      <c r="BR62" s="8"/>
      <c r="BS62" s="7"/>
      <c r="BT62" s="7"/>
      <c r="BU62" s="2" t="s">
        <v>389</v>
      </c>
      <c r="BV62" s="2" t="s">
        <v>199</v>
      </c>
      <c r="BW62" s="2" t="s">
        <v>199</v>
      </c>
      <c r="BX62" s="2" t="s">
        <v>208</v>
      </c>
      <c r="BY62" s="2" t="s">
        <v>209</v>
      </c>
      <c r="BZ62" s="2" t="s">
        <v>196</v>
      </c>
      <c r="CA62" s="2" t="s">
        <v>210</v>
      </c>
      <c r="CB62" s="2" t="s">
        <v>469</v>
      </c>
      <c r="CC62" s="2" t="s">
        <v>212</v>
      </c>
      <c r="CD62" s="2" t="s">
        <v>199</v>
      </c>
      <c r="CE62" s="4">
        <v>219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>
        <v>222</v>
      </c>
      <c r="EU62" s="4">
        <v>214</v>
      </c>
      <c r="EV62" s="4">
        <v>208</v>
      </c>
      <c r="EW62" s="4">
        <v>202</v>
      </c>
      <c r="EX62" s="4">
        <v>196</v>
      </c>
      <c r="EY62" s="4">
        <v>190</v>
      </c>
      <c r="EZ62" s="4">
        <v>184</v>
      </c>
      <c r="FA62" s="4">
        <v>178</v>
      </c>
      <c r="FB62" s="4">
        <v>171</v>
      </c>
      <c r="FC62" s="4">
        <v>165</v>
      </c>
      <c r="FD62" s="4">
        <v>159</v>
      </c>
      <c r="FE62" s="4">
        <v>153</v>
      </c>
      <c r="FF62" s="4">
        <v>147</v>
      </c>
      <c r="FG62" s="4">
        <v>141</v>
      </c>
      <c r="FH62" s="4">
        <v>135</v>
      </c>
      <c r="FI62" s="4">
        <v>129</v>
      </c>
      <c r="FJ62" s="4">
        <v>123</v>
      </c>
      <c r="FK62" s="4">
        <v>117</v>
      </c>
      <c r="FL62" s="4">
        <v>111</v>
      </c>
      <c r="FM62" s="4">
        <v>104</v>
      </c>
      <c r="FN62" s="4">
        <v>97</v>
      </c>
      <c r="FO62" s="4">
        <v>90</v>
      </c>
      <c r="FP62" s="4">
        <v>83</v>
      </c>
      <c r="FQ62" s="4">
        <v>132</v>
      </c>
      <c r="FR62" s="4">
        <v>125</v>
      </c>
      <c r="FS62" s="4">
        <v>118</v>
      </c>
      <c r="FT62" s="19">
        <v>37</v>
      </c>
      <c r="FU62" s="19">
        <v>35.7</v>
      </c>
      <c r="FV62" s="19">
        <v>34.7</v>
      </c>
      <c r="FW62" s="19">
        <v>33.7</v>
      </c>
      <c r="FX62" s="19">
        <v>32.7</v>
      </c>
      <c r="FY62" s="19">
        <v>31.7</v>
      </c>
      <c r="FZ62" s="19">
        <v>30.7</v>
      </c>
      <c r="GA62" s="19">
        <v>29.7</v>
      </c>
      <c r="GB62" s="19">
        <v>28.5</v>
      </c>
      <c r="GC62" s="19">
        <v>27.5</v>
      </c>
      <c r="GD62" s="19">
        <v>26.5</v>
      </c>
      <c r="GE62" s="19">
        <v>25.5</v>
      </c>
      <c r="GF62" s="19">
        <v>24.5</v>
      </c>
      <c r="GG62" s="19">
        <v>23.5</v>
      </c>
      <c r="GH62" s="19">
        <v>22.5</v>
      </c>
      <c r="GI62" s="19">
        <v>21.5</v>
      </c>
      <c r="GJ62" s="19">
        <v>20.5</v>
      </c>
      <c r="GK62" s="19">
        <v>16.7</v>
      </c>
      <c r="GL62" s="19">
        <v>15.9</v>
      </c>
      <c r="GM62" s="19">
        <v>14.9</v>
      </c>
      <c r="GN62" s="19">
        <v>13.9</v>
      </c>
      <c r="GO62" s="19">
        <v>12.9</v>
      </c>
      <c r="GP62" s="19">
        <v>11.9</v>
      </c>
      <c r="GQ62" s="19">
        <v>18.9</v>
      </c>
      <c r="GR62" s="19">
        <v>17.9</v>
      </c>
      <c r="GS62" s="19">
        <v>16.9</v>
      </c>
    </row>
    <row r="63">
      <c r="A63" s="2" t="s">
        <v>470</v>
      </c>
      <c r="B63" s="2" t="s">
        <v>245</v>
      </c>
      <c r="C63" s="2" t="s">
        <v>246</v>
      </c>
      <c r="D63" s="2" t="s">
        <v>247</v>
      </c>
      <c r="E63" s="2" t="s">
        <v>248</v>
      </c>
      <c r="F63" s="2" t="s">
        <v>383</v>
      </c>
      <c r="G63" s="2" t="s">
        <v>383</v>
      </c>
      <c r="H63" s="2" t="s">
        <v>383</v>
      </c>
      <c r="I63" s="2" t="s">
        <v>384</v>
      </c>
      <c r="J63" s="2" t="s">
        <v>219</v>
      </c>
      <c r="K63" s="2" t="s">
        <v>233</v>
      </c>
      <c r="L63" s="3">
        <v>19</v>
      </c>
      <c r="M63" s="3">
        <v>19.95</v>
      </c>
      <c r="N63" s="3">
        <v>37.99</v>
      </c>
      <c r="O63" s="2" t="s">
        <v>196</v>
      </c>
      <c r="P63" s="2" t="s">
        <v>197</v>
      </c>
      <c r="Q63" s="2" t="s">
        <v>198</v>
      </c>
      <c r="R63" s="2" t="s">
        <v>199</v>
      </c>
      <c r="S63" s="2" t="s">
        <v>463</v>
      </c>
      <c r="T63" s="2" t="s">
        <v>386</v>
      </c>
      <c r="U63" s="2" t="s">
        <v>199</v>
      </c>
      <c r="V63" s="2" t="s">
        <v>202</v>
      </c>
      <c r="W63" s="2" t="s">
        <v>203</v>
      </c>
      <c r="X63" s="2" t="s">
        <v>199</v>
      </c>
      <c r="Y63" s="2" t="s">
        <v>204</v>
      </c>
      <c r="Z63" s="4">
        <v>459</v>
      </c>
      <c r="AA63" s="4">
        <f>=ROUNDDOWN(27.9878048780488,0)</f>
      </c>
      <c r="AB63" s="5">
        <v>16.4</v>
      </c>
      <c r="AC63" s="2" t="s">
        <v>387</v>
      </c>
      <c r="AD63" s="4">
        <v>100</v>
      </c>
      <c r="AE63" s="4">
        <v>100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199</v>
      </c>
      <c r="AW63" s="8" t="s">
        <v>199</v>
      </c>
      <c r="AX63" s="4" t="s">
        <v>199</v>
      </c>
      <c r="AY63" s="8" t="s">
        <v>199</v>
      </c>
      <c r="AZ63" s="7" t="s">
        <v>199</v>
      </c>
      <c r="BA63" s="7" t="s">
        <v>199</v>
      </c>
      <c r="BB63" s="7"/>
      <c r="BC63" s="4" t="s">
        <v>199</v>
      </c>
      <c r="BD63" s="8" t="s">
        <v>199</v>
      </c>
      <c r="BE63" s="4" t="s">
        <v>199</v>
      </c>
      <c r="BF63" s="8" t="s">
        <v>199</v>
      </c>
      <c r="BG63" s="7" t="s">
        <v>199</v>
      </c>
      <c r="BH63" s="7" t="s">
        <v>199</v>
      </c>
      <c r="BI63" s="7"/>
      <c r="BJ63" s="4">
        <v>62</v>
      </c>
      <c r="BK63" s="8">
        <v>1222.66</v>
      </c>
      <c r="BL63" s="2" t="s">
        <v>471</v>
      </c>
      <c r="BM63" s="7"/>
      <c r="BN63" s="7"/>
      <c r="BO63" s="4"/>
      <c r="BP63" s="8"/>
      <c r="BQ63" s="4"/>
      <c r="BR63" s="8"/>
      <c r="BS63" s="7"/>
      <c r="BT63" s="7"/>
      <c r="BU63" s="2" t="s">
        <v>389</v>
      </c>
      <c r="BV63" s="2" t="s">
        <v>199</v>
      </c>
      <c r="BW63" s="2" t="s">
        <v>199</v>
      </c>
      <c r="BX63" s="2" t="s">
        <v>208</v>
      </c>
      <c r="BY63" s="2" t="s">
        <v>209</v>
      </c>
      <c r="BZ63" s="2" t="s">
        <v>196</v>
      </c>
      <c r="CA63" s="2" t="s">
        <v>210</v>
      </c>
      <c r="CB63" s="2" t="s">
        <v>443</v>
      </c>
      <c r="CC63" s="2" t="s">
        <v>212</v>
      </c>
      <c r="CD63" s="2" t="s">
        <v>199</v>
      </c>
      <c r="CE63" s="4">
        <v>459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>
        <v>100</v>
      </c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>
        <v>465</v>
      </c>
      <c r="EU63" s="4">
        <v>443</v>
      </c>
      <c r="EV63" s="4">
        <v>427</v>
      </c>
      <c r="EW63" s="4">
        <v>511</v>
      </c>
      <c r="EX63" s="4">
        <v>495</v>
      </c>
      <c r="EY63" s="4">
        <v>479</v>
      </c>
      <c r="EZ63" s="4">
        <v>463</v>
      </c>
      <c r="FA63" s="4">
        <v>447</v>
      </c>
      <c r="FB63" s="4">
        <v>428</v>
      </c>
      <c r="FC63" s="4">
        <v>412</v>
      </c>
      <c r="FD63" s="4">
        <v>396</v>
      </c>
      <c r="FE63" s="4">
        <v>380</v>
      </c>
      <c r="FF63" s="4">
        <v>364</v>
      </c>
      <c r="FG63" s="4">
        <v>348</v>
      </c>
      <c r="FH63" s="4">
        <v>332</v>
      </c>
      <c r="FI63" s="4">
        <v>316</v>
      </c>
      <c r="FJ63" s="4">
        <v>300</v>
      </c>
      <c r="FK63" s="4">
        <v>284</v>
      </c>
      <c r="FL63" s="4">
        <v>268</v>
      </c>
      <c r="FM63" s="4">
        <v>252</v>
      </c>
      <c r="FN63" s="4">
        <v>236</v>
      </c>
      <c r="FO63" s="4">
        <v>220</v>
      </c>
      <c r="FP63" s="4">
        <v>201</v>
      </c>
      <c r="FQ63" s="4">
        <v>343</v>
      </c>
      <c r="FR63" s="4">
        <v>327</v>
      </c>
      <c r="FS63" s="4">
        <v>311</v>
      </c>
      <c r="FT63" s="19">
        <v>25.8</v>
      </c>
      <c r="FU63" s="19">
        <v>27.7</v>
      </c>
      <c r="FV63" s="19">
        <v>26.7</v>
      </c>
      <c r="FW63" s="19">
        <v>31.9</v>
      </c>
      <c r="FX63" s="19">
        <v>29.1</v>
      </c>
      <c r="FY63" s="19">
        <v>28.2</v>
      </c>
      <c r="FZ63" s="19">
        <v>27.2</v>
      </c>
      <c r="GA63" s="19">
        <v>26.3</v>
      </c>
      <c r="GB63" s="19">
        <v>26.8</v>
      </c>
      <c r="GC63" s="19">
        <v>25.8</v>
      </c>
      <c r="GD63" s="19">
        <v>24.8</v>
      </c>
      <c r="GE63" s="19">
        <v>23.8</v>
      </c>
      <c r="GF63" s="19">
        <v>22.8</v>
      </c>
      <c r="GG63" s="19">
        <v>21.8</v>
      </c>
      <c r="GH63" s="19">
        <v>20.8</v>
      </c>
      <c r="GI63" s="19">
        <v>19.8</v>
      </c>
      <c r="GJ63" s="19">
        <v>18.8</v>
      </c>
      <c r="GK63" s="19">
        <v>17.8</v>
      </c>
      <c r="GL63" s="19">
        <v>15.8</v>
      </c>
      <c r="GM63" s="19">
        <v>14.8</v>
      </c>
      <c r="GN63" s="19">
        <v>13.9</v>
      </c>
      <c r="GO63" s="19">
        <v>12.9</v>
      </c>
      <c r="GP63" s="19">
        <v>12.6</v>
      </c>
      <c r="GQ63" s="19">
        <v>20.2</v>
      </c>
      <c r="GR63" s="19">
        <v>18.2</v>
      </c>
      <c r="GS63" s="19">
        <v>17.3</v>
      </c>
    </row>
    <row r="64">
      <c r="A64" s="2" t="s">
        <v>472</v>
      </c>
      <c r="B64" s="2" t="s">
        <v>245</v>
      </c>
      <c r="C64" s="2" t="s">
        <v>246</v>
      </c>
      <c r="D64" s="2" t="s">
        <v>247</v>
      </c>
      <c r="E64" s="2" t="s">
        <v>248</v>
      </c>
      <c r="F64" s="2" t="s">
        <v>383</v>
      </c>
      <c r="G64" s="2" t="s">
        <v>383</v>
      </c>
      <c r="H64" s="2" t="s">
        <v>383</v>
      </c>
      <c r="I64" s="2" t="s">
        <v>384</v>
      </c>
      <c r="J64" s="2" t="s">
        <v>223</v>
      </c>
      <c r="K64" s="2" t="s">
        <v>233</v>
      </c>
      <c r="L64" s="3">
        <v>21.5</v>
      </c>
      <c r="M64" s="3">
        <v>22.58</v>
      </c>
      <c r="N64" s="3">
        <v>42.99</v>
      </c>
      <c r="O64" s="2" t="s">
        <v>196</v>
      </c>
      <c r="P64" s="2" t="s">
        <v>197</v>
      </c>
      <c r="Q64" s="2" t="s">
        <v>198</v>
      </c>
      <c r="R64" s="2" t="s">
        <v>199</v>
      </c>
      <c r="S64" s="2" t="s">
        <v>463</v>
      </c>
      <c r="T64" s="2" t="s">
        <v>386</v>
      </c>
      <c r="U64" s="2" t="s">
        <v>199</v>
      </c>
      <c r="V64" s="2" t="s">
        <v>202</v>
      </c>
      <c r="W64" s="2" t="s">
        <v>203</v>
      </c>
      <c r="X64" s="2" t="s">
        <v>199</v>
      </c>
      <c r="Y64" s="2" t="s">
        <v>204</v>
      </c>
      <c r="Z64" s="4">
        <v>329</v>
      </c>
      <c r="AA64" s="4">
        <f>=ROUNDDOWN(21.9333333333333,0)</f>
      </c>
      <c r="AB64" s="5">
        <v>15</v>
      </c>
      <c r="AC64" s="2" t="s">
        <v>387</v>
      </c>
      <c r="AD64" s="4">
        <v>99</v>
      </c>
      <c r="AE64" s="4">
        <v>99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199</v>
      </c>
      <c r="AW64" s="8" t="s">
        <v>199</v>
      </c>
      <c r="AX64" s="4" t="s">
        <v>199</v>
      </c>
      <c r="AY64" s="8" t="s">
        <v>199</v>
      </c>
      <c r="AZ64" s="7" t="s">
        <v>199</v>
      </c>
      <c r="BA64" s="7" t="s">
        <v>199</v>
      </c>
      <c r="BB64" s="7"/>
      <c r="BC64" s="4" t="s">
        <v>199</v>
      </c>
      <c r="BD64" s="8" t="s">
        <v>199</v>
      </c>
      <c r="BE64" s="4" t="s">
        <v>199</v>
      </c>
      <c r="BF64" s="8" t="s">
        <v>199</v>
      </c>
      <c r="BG64" s="7" t="s">
        <v>199</v>
      </c>
      <c r="BH64" s="7" t="s">
        <v>199</v>
      </c>
      <c r="BI64" s="7"/>
      <c r="BJ64" s="4">
        <v>75</v>
      </c>
      <c r="BK64" s="8">
        <v>1672.65</v>
      </c>
      <c r="BL64" s="2" t="s">
        <v>473</v>
      </c>
      <c r="BM64" s="7"/>
      <c r="BN64" s="7"/>
      <c r="BO64" s="4"/>
      <c r="BP64" s="8"/>
      <c r="BQ64" s="4"/>
      <c r="BR64" s="8"/>
      <c r="BS64" s="7"/>
      <c r="BT64" s="7"/>
      <c r="BU64" s="2" t="s">
        <v>389</v>
      </c>
      <c r="BV64" s="2" t="s">
        <v>199</v>
      </c>
      <c r="BW64" s="2" t="s">
        <v>199</v>
      </c>
      <c r="BX64" s="2" t="s">
        <v>208</v>
      </c>
      <c r="BY64" s="2" t="s">
        <v>209</v>
      </c>
      <c r="BZ64" s="2" t="s">
        <v>196</v>
      </c>
      <c r="CA64" s="2" t="s">
        <v>210</v>
      </c>
      <c r="CB64" s="2" t="s">
        <v>474</v>
      </c>
      <c r="CC64" s="2" t="s">
        <v>212</v>
      </c>
      <c r="CD64" s="2" t="s">
        <v>199</v>
      </c>
      <c r="CE64" s="4">
        <v>329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>
        <v>99</v>
      </c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>
        <v>332</v>
      </c>
      <c r="EU64" s="4">
        <v>306</v>
      </c>
      <c r="EV64" s="4">
        <v>291</v>
      </c>
      <c r="EW64" s="4">
        <v>375</v>
      </c>
      <c r="EX64" s="4">
        <v>360</v>
      </c>
      <c r="EY64" s="4">
        <v>345</v>
      </c>
      <c r="EZ64" s="4">
        <v>330</v>
      </c>
      <c r="FA64" s="4">
        <v>315</v>
      </c>
      <c r="FB64" s="4">
        <v>297</v>
      </c>
      <c r="FC64" s="4">
        <v>282</v>
      </c>
      <c r="FD64" s="4">
        <v>267</v>
      </c>
      <c r="FE64" s="4">
        <v>252</v>
      </c>
      <c r="FF64" s="4">
        <v>237</v>
      </c>
      <c r="FG64" s="4">
        <v>222</v>
      </c>
      <c r="FH64" s="4">
        <v>207</v>
      </c>
      <c r="FI64" s="4">
        <v>192</v>
      </c>
      <c r="FJ64" s="4">
        <v>177</v>
      </c>
      <c r="FK64" s="4">
        <v>162</v>
      </c>
      <c r="FL64" s="4">
        <v>147</v>
      </c>
      <c r="FM64" s="4">
        <v>132</v>
      </c>
      <c r="FN64" s="4">
        <v>117</v>
      </c>
      <c r="FO64" s="4">
        <v>102</v>
      </c>
      <c r="FP64" s="4">
        <v>84</v>
      </c>
      <c r="FQ64" s="4">
        <v>305</v>
      </c>
      <c r="FR64" s="4">
        <v>290</v>
      </c>
      <c r="FS64" s="4">
        <v>275</v>
      </c>
      <c r="FT64" s="19">
        <v>18.4</v>
      </c>
      <c r="FU64" s="19">
        <v>20.4</v>
      </c>
      <c r="FV64" s="19">
        <v>19.4</v>
      </c>
      <c r="FW64" s="19">
        <v>25</v>
      </c>
      <c r="FX64" s="19">
        <v>22.5</v>
      </c>
      <c r="FY64" s="19">
        <v>21.6</v>
      </c>
      <c r="FZ64" s="19">
        <v>20.6</v>
      </c>
      <c r="GA64" s="19">
        <v>19.7</v>
      </c>
      <c r="GB64" s="19">
        <v>19.8</v>
      </c>
      <c r="GC64" s="19">
        <v>18.8</v>
      </c>
      <c r="GD64" s="19">
        <v>17.8</v>
      </c>
      <c r="GE64" s="19">
        <v>16.8</v>
      </c>
      <c r="GF64" s="19">
        <v>15.8</v>
      </c>
      <c r="GG64" s="19">
        <v>14.8</v>
      </c>
      <c r="GH64" s="19">
        <v>13.8</v>
      </c>
      <c r="GI64" s="19">
        <v>12.8</v>
      </c>
      <c r="GJ64" s="19">
        <v>11.8</v>
      </c>
      <c r="GK64" s="19">
        <v>10.8</v>
      </c>
      <c r="GL64" s="19">
        <v>9.2</v>
      </c>
      <c r="GM64" s="19">
        <v>8.3</v>
      </c>
      <c r="GN64" s="19">
        <v>7.3</v>
      </c>
      <c r="GO64" s="19">
        <v>6.4</v>
      </c>
      <c r="GP64" s="19">
        <v>5.6</v>
      </c>
      <c r="GQ64" s="19">
        <v>20.3</v>
      </c>
      <c r="GR64" s="19">
        <v>18.1</v>
      </c>
      <c r="GS64" s="19">
        <v>17.2</v>
      </c>
    </row>
    <row r="65">
      <c r="A65" s="2" t="s">
        <v>475</v>
      </c>
      <c r="B65" s="2" t="s">
        <v>245</v>
      </c>
      <c r="C65" s="2" t="s">
        <v>246</v>
      </c>
      <c r="D65" s="2" t="s">
        <v>247</v>
      </c>
      <c r="E65" s="2" t="s">
        <v>248</v>
      </c>
      <c r="F65" s="2" t="s">
        <v>383</v>
      </c>
      <c r="G65" s="2" t="s">
        <v>383</v>
      </c>
      <c r="H65" s="2" t="s">
        <v>383</v>
      </c>
      <c r="I65" s="2" t="s">
        <v>384</v>
      </c>
      <c r="J65" s="2" t="s">
        <v>251</v>
      </c>
      <c r="K65" s="2" t="s">
        <v>233</v>
      </c>
      <c r="L65" s="3">
        <v>21.5</v>
      </c>
      <c r="M65" s="3">
        <v>22.58</v>
      </c>
      <c r="N65" s="3">
        <v>42.99</v>
      </c>
      <c r="O65" s="2" t="s">
        <v>196</v>
      </c>
      <c r="P65" s="2" t="s">
        <v>197</v>
      </c>
      <c r="Q65" s="2" t="s">
        <v>198</v>
      </c>
      <c r="R65" s="2" t="s">
        <v>199</v>
      </c>
      <c r="S65" s="2" t="s">
        <v>463</v>
      </c>
      <c r="T65" s="2" t="s">
        <v>386</v>
      </c>
      <c r="U65" s="2" t="s">
        <v>199</v>
      </c>
      <c r="V65" s="2" t="s">
        <v>202</v>
      </c>
      <c r="W65" s="2" t="s">
        <v>203</v>
      </c>
      <c r="X65" s="2" t="s">
        <v>199</v>
      </c>
      <c r="Y65" s="2" t="s">
        <v>204</v>
      </c>
      <c r="Z65" s="4">
        <v>46</v>
      </c>
      <c r="AA65" s="4">
        <f>=ROUNDDOWN(15.3333333333333,0)</f>
      </c>
      <c r="AB65" s="5">
        <v>3</v>
      </c>
      <c r="AC65" s="2" t="s">
        <v>387</v>
      </c>
      <c r="AD65" s="4">
        <v>30</v>
      </c>
      <c r="AE65" s="4">
        <v>30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199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199</v>
      </c>
      <c r="AW65" s="8" t="s">
        <v>199</v>
      </c>
      <c r="AX65" s="4" t="s">
        <v>199</v>
      </c>
      <c r="AY65" s="8" t="s">
        <v>199</v>
      </c>
      <c r="AZ65" s="7" t="s">
        <v>199</v>
      </c>
      <c r="BA65" s="7" t="s">
        <v>199</v>
      </c>
      <c r="BB65" s="7"/>
      <c r="BC65" s="4" t="s">
        <v>199</v>
      </c>
      <c r="BD65" s="8" t="s">
        <v>199</v>
      </c>
      <c r="BE65" s="4" t="s">
        <v>199</v>
      </c>
      <c r="BF65" s="8" t="s">
        <v>199</v>
      </c>
      <c r="BG65" s="7" t="s">
        <v>199</v>
      </c>
      <c r="BH65" s="7" t="s">
        <v>199</v>
      </c>
      <c r="BI65" s="7"/>
      <c r="BJ65" s="4">
        <v>21</v>
      </c>
      <c r="BK65" s="8">
        <v>478.58</v>
      </c>
      <c r="BL65" s="2" t="s">
        <v>476</v>
      </c>
      <c r="BM65" s="7"/>
      <c r="BN65" s="7"/>
      <c r="BO65" s="4"/>
      <c r="BP65" s="8"/>
      <c r="BQ65" s="4"/>
      <c r="BR65" s="8"/>
      <c r="BS65" s="7"/>
      <c r="BT65" s="7"/>
      <c r="BU65" s="2" t="s">
        <v>389</v>
      </c>
      <c r="BV65" s="2" t="s">
        <v>199</v>
      </c>
      <c r="BW65" s="2" t="s">
        <v>199</v>
      </c>
      <c r="BX65" s="2" t="s">
        <v>208</v>
      </c>
      <c r="BY65" s="2" t="s">
        <v>209</v>
      </c>
      <c r="BZ65" s="2" t="s">
        <v>196</v>
      </c>
      <c r="CA65" s="2" t="s">
        <v>210</v>
      </c>
      <c r="CB65" s="2" t="s">
        <v>477</v>
      </c>
      <c r="CC65" s="2" t="s">
        <v>212</v>
      </c>
      <c r="CD65" s="2" t="s">
        <v>199</v>
      </c>
      <c r="CE65" s="4">
        <v>46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>
        <v>30</v>
      </c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>
        <v>49</v>
      </c>
      <c r="EU65" s="4">
        <v>43</v>
      </c>
      <c r="EV65" s="4">
        <v>40</v>
      </c>
      <c r="EW65" s="4">
        <v>67</v>
      </c>
      <c r="EX65" s="4">
        <v>64</v>
      </c>
      <c r="EY65" s="4">
        <v>61</v>
      </c>
      <c r="EZ65" s="4">
        <v>58</v>
      </c>
      <c r="FA65" s="4">
        <v>55</v>
      </c>
      <c r="FB65" s="4">
        <v>51</v>
      </c>
      <c r="FC65" s="4">
        <v>48</v>
      </c>
      <c r="FD65" s="4">
        <v>45</v>
      </c>
      <c r="FE65" s="4">
        <v>42</v>
      </c>
      <c r="FF65" s="4">
        <v>39</v>
      </c>
      <c r="FG65" s="4">
        <v>36</v>
      </c>
      <c r="FH65" s="4">
        <v>33</v>
      </c>
      <c r="FI65" s="4">
        <v>30</v>
      </c>
      <c r="FJ65" s="4">
        <v>27</v>
      </c>
      <c r="FK65" s="4">
        <v>24</v>
      </c>
      <c r="FL65" s="4">
        <v>21</v>
      </c>
      <c r="FM65" s="4">
        <v>18</v>
      </c>
      <c r="FN65" s="4">
        <v>15</v>
      </c>
      <c r="FO65" s="4">
        <v>12</v>
      </c>
      <c r="FP65" s="4">
        <v>8</v>
      </c>
      <c r="FQ65" s="4">
        <v>60</v>
      </c>
      <c r="FR65" s="4">
        <v>57</v>
      </c>
      <c r="FS65" s="4">
        <v>54</v>
      </c>
      <c r="FT65" s="19">
        <v>12.3</v>
      </c>
      <c r="FU65" s="19">
        <v>14.3</v>
      </c>
      <c r="FV65" s="19">
        <v>13.3</v>
      </c>
      <c r="FW65" s="19">
        <v>22.3</v>
      </c>
      <c r="FX65" s="19">
        <v>21.3</v>
      </c>
      <c r="FY65" s="19">
        <v>20.3</v>
      </c>
      <c r="FZ65" s="19">
        <v>19.3</v>
      </c>
      <c r="GA65" s="19">
        <v>18.3</v>
      </c>
      <c r="GB65" s="19">
        <v>17</v>
      </c>
      <c r="GC65" s="19">
        <v>16</v>
      </c>
      <c r="GD65" s="19">
        <v>15</v>
      </c>
      <c r="GE65" s="19">
        <v>14</v>
      </c>
      <c r="GF65" s="19">
        <v>13</v>
      </c>
      <c r="GG65" s="19">
        <v>12</v>
      </c>
      <c r="GH65" s="19">
        <v>11</v>
      </c>
      <c r="GI65" s="19">
        <v>10</v>
      </c>
      <c r="GJ65" s="19">
        <v>9</v>
      </c>
      <c r="GK65" s="19">
        <v>8</v>
      </c>
      <c r="GL65" s="19">
        <v>7</v>
      </c>
      <c r="GM65" s="19">
        <v>6</v>
      </c>
      <c r="GN65" s="19">
        <v>5</v>
      </c>
      <c r="GO65" s="19">
        <v>4</v>
      </c>
      <c r="GP65" s="19">
        <v>2.7</v>
      </c>
      <c r="GQ65" s="19">
        <v>20</v>
      </c>
      <c r="GR65" s="19">
        <v>19</v>
      </c>
      <c r="GS65" s="19">
        <v>18</v>
      </c>
    </row>
    <row r="66">
      <c r="A66" s="2" t="s">
        <v>478</v>
      </c>
      <c r="B66" s="2" t="s">
        <v>188</v>
      </c>
      <c r="C66" s="2" t="s">
        <v>189</v>
      </c>
      <c r="D66" s="2" t="s">
        <v>190</v>
      </c>
      <c r="E66" s="2" t="s">
        <v>191</v>
      </c>
      <c r="F66" s="2" t="s">
        <v>479</v>
      </c>
      <c r="G66" s="2" t="s">
        <v>479</v>
      </c>
      <c r="H66" s="2" t="s">
        <v>479</v>
      </c>
      <c r="I66" s="2" t="s">
        <v>480</v>
      </c>
      <c r="J66" s="2" t="s">
        <v>251</v>
      </c>
      <c r="K66" s="2" t="s">
        <v>233</v>
      </c>
      <c r="L66" s="3">
        <v>126.77</v>
      </c>
      <c r="M66" s="3">
        <v>133.11</v>
      </c>
      <c r="N66" s="3">
        <v>249.99</v>
      </c>
      <c r="O66" s="2" t="s">
        <v>196</v>
      </c>
      <c r="P66" s="2" t="s">
        <v>197</v>
      </c>
      <c r="Q66" s="2" t="s">
        <v>198</v>
      </c>
      <c r="R66" s="2" t="s">
        <v>199</v>
      </c>
      <c r="S66" s="2" t="s">
        <v>481</v>
      </c>
      <c r="T66" s="2" t="s">
        <v>201</v>
      </c>
      <c r="U66" s="2" t="s">
        <v>199</v>
      </c>
      <c r="V66" s="2" t="s">
        <v>202</v>
      </c>
      <c r="W66" s="2" t="s">
        <v>203</v>
      </c>
      <c r="X66" s="2" t="s">
        <v>199</v>
      </c>
      <c r="Y66" s="2" t="s">
        <v>204</v>
      </c>
      <c r="Z66" s="4">
        <v>84</v>
      </c>
      <c r="AA66" s="4">
        <f>=ROUNDDOWN(21,0)</f>
      </c>
      <c r="AB66" s="5">
        <v>4</v>
      </c>
      <c r="AC66" s="2" t="s">
        <v>205</v>
      </c>
      <c r="AD66" s="4">
        <v>30</v>
      </c>
      <c r="AE66" s="4">
        <v>30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199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18</v>
      </c>
      <c r="BK66" s="8">
        <v>2456.91</v>
      </c>
      <c r="BL66" s="2" t="s">
        <v>482</v>
      </c>
      <c r="BM66" s="7"/>
      <c r="BN66" s="7"/>
      <c r="BO66" s="4"/>
      <c r="BP66" s="8"/>
      <c r="BQ66" s="4"/>
      <c r="BR66" s="8"/>
      <c r="BS66" s="7"/>
      <c r="BT66" s="7"/>
      <c r="BU66" s="2" t="s">
        <v>483</v>
      </c>
      <c r="BV66" s="2" t="s">
        <v>199</v>
      </c>
      <c r="BW66" s="2" t="s">
        <v>199</v>
      </c>
      <c r="BX66" s="2" t="s">
        <v>208</v>
      </c>
      <c r="BY66" s="2" t="s">
        <v>209</v>
      </c>
      <c r="BZ66" s="2" t="s">
        <v>196</v>
      </c>
      <c r="CA66" s="2" t="s">
        <v>484</v>
      </c>
      <c r="CB66" s="2" t="s">
        <v>485</v>
      </c>
      <c r="CC66" s="2" t="s">
        <v>212</v>
      </c>
      <c r="CD66" s="2" t="s">
        <v>199</v>
      </c>
      <c r="CE66" s="4">
        <v>84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>
        <v>30</v>
      </c>
      <c r="EP66" s="4"/>
      <c r="EQ66" s="4"/>
      <c r="ER66" s="4"/>
      <c r="ES66" s="4"/>
      <c r="ET66" s="4">
        <v>87</v>
      </c>
      <c r="EU66" s="4">
        <v>82</v>
      </c>
      <c r="EV66" s="4">
        <v>80</v>
      </c>
      <c r="EW66" s="4">
        <v>78</v>
      </c>
      <c r="EX66" s="4">
        <v>76</v>
      </c>
      <c r="EY66" s="4">
        <v>74</v>
      </c>
      <c r="EZ66" s="4">
        <v>70</v>
      </c>
      <c r="FA66" s="4">
        <v>66</v>
      </c>
      <c r="FB66" s="4">
        <v>62</v>
      </c>
      <c r="FC66" s="4">
        <v>58</v>
      </c>
      <c r="FD66" s="4">
        <v>54</v>
      </c>
      <c r="FE66" s="4">
        <v>50</v>
      </c>
      <c r="FF66" s="4">
        <v>46</v>
      </c>
      <c r="FG66" s="4">
        <v>42</v>
      </c>
      <c r="FH66" s="4">
        <v>38</v>
      </c>
      <c r="FI66" s="4">
        <v>34</v>
      </c>
      <c r="FJ66" s="4">
        <v>30</v>
      </c>
      <c r="FK66" s="4">
        <v>56</v>
      </c>
      <c r="FL66" s="4">
        <v>52</v>
      </c>
      <c r="FM66" s="4">
        <v>49</v>
      </c>
      <c r="FN66" s="4">
        <v>46</v>
      </c>
      <c r="FO66" s="4">
        <v>43</v>
      </c>
      <c r="FP66" s="4">
        <v>40</v>
      </c>
      <c r="FQ66" s="4">
        <v>39</v>
      </c>
      <c r="FR66" s="4">
        <v>36</v>
      </c>
      <c r="FS66" s="4">
        <v>33</v>
      </c>
      <c r="FT66" s="19">
        <v>29</v>
      </c>
      <c r="FU66" s="19">
        <v>41</v>
      </c>
      <c r="FV66" s="19">
        <v>40</v>
      </c>
      <c r="FW66" s="19">
        <v>26</v>
      </c>
      <c r="FX66" s="19">
        <v>19</v>
      </c>
      <c r="FY66" s="19">
        <v>18.5</v>
      </c>
      <c r="FZ66" s="19">
        <v>17.5</v>
      </c>
      <c r="GA66" s="19">
        <v>16.5</v>
      </c>
      <c r="GB66" s="19">
        <v>15.5</v>
      </c>
      <c r="GC66" s="19">
        <v>14.5</v>
      </c>
      <c r="GD66" s="19">
        <v>13.5</v>
      </c>
      <c r="GE66" s="19">
        <v>12.5</v>
      </c>
      <c r="GF66" s="19">
        <v>11.5</v>
      </c>
      <c r="GG66" s="19">
        <v>10.5</v>
      </c>
      <c r="GH66" s="19">
        <v>9.5</v>
      </c>
      <c r="GI66" s="19">
        <v>8.5</v>
      </c>
      <c r="GJ66" s="19">
        <v>7.5</v>
      </c>
      <c r="GK66" s="19">
        <v>18.7</v>
      </c>
      <c r="GL66" s="19">
        <v>17.3</v>
      </c>
      <c r="GM66" s="19">
        <v>16.3</v>
      </c>
      <c r="GN66" s="19">
        <v>15.3</v>
      </c>
      <c r="GO66" s="19">
        <v>14.3</v>
      </c>
      <c r="GP66" s="19">
        <v>13.3</v>
      </c>
      <c r="GQ66" s="19">
        <v>13</v>
      </c>
      <c r="GR66" s="19">
        <v>9</v>
      </c>
      <c r="GS66" s="19">
        <v>8.3</v>
      </c>
    </row>
    <row r="67">
      <c r="A67" s="2" t="s">
        <v>486</v>
      </c>
      <c r="B67" s="2" t="s">
        <v>188</v>
      </c>
      <c r="C67" s="2" t="s">
        <v>227</v>
      </c>
      <c r="D67" s="2" t="s">
        <v>228</v>
      </c>
      <c r="E67" s="2" t="s">
        <v>487</v>
      </c>
      <c r="F67" s="2" t="s">
        <v>488</v>
      </c>
      <c r="G67" s="2" t="s">
        <v>488</v>
      </c>
      <c r="H67" s="2" t="s">
        <v>488</v>
      </c>
      <c r="I67" s="2" t="s">
        <v>489</v>
      </c>
      <c r="J67" s="2" t="s">
        <v>232</v>
      </c>
      <c r="K67" s="2" t="s">
        <v>490</v>
      </c>
      <c r="L67" s="3">
        <v>80.95</v>
      </c>
      <c r="M67" s="3">
        <v>85</v>
      </c>
      <c r="N67" s="3">
        <v>169.99</v>
      </c>
      <c r="O67" s="2" t="s">
        <v>196</v>
      </c>
      <c r="P67" s="2" t="s">
        <v>197</v>
      </c>
      <c r="Q67" s="2" t="s">
        <v>198</v>
      </c>
      <c r="R67" s="2" t="s">
        <v>199</v>
      </c>
      <c r="S67" s="2" t="s">
        <v>491</v>
      </c>
      <c r="T67" s="2" t="s">
        <v>300</v>
      </c>
      <c r="U67" s="2" t="s">
        <v>492</v>
      </c>
      <c r="V67" s="2" t="s">
        <v>493</v>
      </c>
      <c r="W67" s="2" t="s">
        <v>255</v>
      </c>
      <c r="X67" s="2" t="s">
        <v>203</v>
      </c>
      <c r="Y67" s="2" t="s">
        <v>494</v>
      </c>
      <c r="Z67" s="4">
        <v>223</v>
      </c>
      <c r="AA67" s="4">
        <f>=ROUNDDOWN(74.3333333333333,0)</f>
      </c>
      <c r="AB67" s="5">
        <v>3</v>
      </c>
      <c r="AC67" s="2" t="s">
        <v>199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199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14</v>
      </c>
      <c r="BK67" s="8">
        <v>1263.57</v>
      </c>
      <c r="BL67" s="2" t="s">
        <v>495</v>
      </c>
      <c r="BM67" s="7"/>
      <c r="BN67" s="7"/>
      <c r="BO67" s="4"/>
      <c r="BP67" s="8"/>
      <c r="BQ67" s="4"/>
      <c r="BR67" s="8"/>
      <c r="BS67" s="7"/>
      <c r="BT67" s="7"/>
      <c r="BU67" s="2" t="s">
        <v>496</v>
      </c>
      <c r="BV67" s="2" t="s">
        <v>199</v>
      </c>
      <c r="BW67" s="2" t="s">
        <v>199</v>
      </c>
      <c r="BX67" s="2" t="s">
        <v>260</v>
      </c>
      <c r="BY67" s="2" t="s">
        <v>209</v>
      </c>
      <c r="BZ67" s="2" t="s">
        <v>196</v>
      </c>
      <c r="CA67" s="2" t="s">
        <v>497</v>
      </c>
      <c r="CB67" s="2" t="s">
        <v>498</v>
      </c>
      <c r="CC67" s="2" t="s">
        <v>212</v>
      </c>
      <c r="CD67" s="2" t="s">
        <v>199</v>
      </c>
      <c r="CE67" s="4">
        <v>182</v>
      </c>
      <c r="CF67" s="4">
        <v>41</v>
      </c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>
        <v>182</v>
      </c>
      <c r="EU67" s="4">
        <v>179</v>
      </c>
      <c r="EV67" s="4">
        <v>177</v>
      </c>
      <c r="EW67" s="4">
        <v>175</v>
      </c>
      <c r="EX67" s="4">
        <v>173</v>
      </c>
      <c r="EY67" s="4">
        <v>171</v>
      </c>
      <c r="EZ67" s="4">
        <v>168</v>
      </c>
      <c r="FA67" s="4">
        <v>165</v>
      </c>
      <c r="FB67" s="4">
        <v>162</v>
      </c>
      <c r="FC67" s="4">
        <v>159</v>
      </c>
      <c r="FD67" s="4">
        <v>155</v>
      </c>
      <c r="FE67" s="4">
        <v>151</v>
      </c>
      <c r="FF67" s="4">
        <v>147</v>
      </c>
      <c r="FG67" s="4">
        <v>143</v>
      </c>
      <c r="FH67" s="4">
        <v>140</v>
      </c>
      <c r="FI67" s="4">
        <v>137</v>
      </c>
      <c r="FJ67" s="4">
        <v>134</v>
      </c>
      <c r="FK67" s="4">
        <v>131</v>
      </c>
      <c r="FL67" s="4">
        <v>128</v>
      </c>
      <c r="FM67" s="4">
        <v>126</v>
      </c>
      <c r="FN67" s="4">
        <v>124</v>
      </c>
      <c r="FO67" s="4">
        <v>122</v>
      </c>
      <c r="FP67" s="4">
        <v>120</v>
      </c>
      <c r="FQ67" s="4">
        <v>117</v>
      </c>
      <c r="FR67" s="4">
        <v>114</v>
      </c>
      <c r="FS67" s="4">
        <v>111</v>
      </c>
      <c r="FT67" s="19">
        <v>91</v>
      </c>
      <c r="FU67" s="19">
        <v>89.5</v>
      </c>
      <c r="FV67" s="19">
        <v>88.5</v>
      </c>
      <c r="FW67" s="19">
        <v>87.5</v>
      </c>
      <c r="FX67" s="19">
        <v>57.7</v>
      </c>
      <c r="FY67" s="19">
        <v>57</v>
      </c>
      <c r="FZ67" s="19">
        <v>56</v>
      </c>
      <c r="GA67" s="19">
        <v>41.3</v>
      </c>
      <c r="GB67" s="19">
        <v>40.5</v>
      </c>
      <c r="GC67" s="19">
        <v>39.8</v>
      </c>
      <c r="GD67" s="19">
        <v>38.8</v>
      </c>
      <c r="GE67" s="19">
        <v>37.8</v>
      </c>
      <c r="GF67" s="19">
        <v>49</v>
      </c>
      <c r="GG67" s="19">
        <v>47.7</v>
      </c>
      <c r="GH67" s="19">
        <v>46.7</v>
      </c>
      <c r="GI67" s="19">
        <v>45.7</v>
      </c>
      <c r="GJ67" s="19">
        <v>67</v>
      </c>
      <c r="GK67" s="19">
        <v>65.5</v>
      </c>
      <c r="GL67" s="19">
        <v>64</v>
      </c>
      <c r="GM67" s="19">
        <v>63</v>
      </c>
      <c r="GN67" s="19">
        <v>62</v>
      </c>
      <c r="GO67" s="19">
        <v>40.7</v>
      </c>
      <c r="GP67" s="19">
        <v>40</v>
      </c>
      <c r="GQ67" s="19">
        <v>39</v>
      </c>
      <c r="GR67" s="19">
        <v>57</v>
      </c>
      <c r="GS67" s="19">
        <v>55.5</v>
      </c>
    </row>
    <row r="68">
      <c r="A68" s="2" t="s">
        <v>499</v>
      </c>
      <c r="B68" s="2" t="s">
        <v>245</v>
      </c>
      <c r="C68" s="2" t="s">
        <v>246</v>
      </c>
      <c r="D68" s="2" t="s">
        <v>247</v>
      </c>
      <c r="E68" s="2" t="s">
        <v>248</v>
      </c>
      <c r="F68" s="2" t="s">
        <v>500</v>
      </c>
      <c r="G68" s="2" t="s">
        <v>500</v>
      </c>
      <c r="H68" s="2" t="s">
        <v>500</v>
      </c>
      <c r="I68" s="2" t="s">
        <v>501</v>
      </c>
      <c r="J68" s="2" t="s">
        <v>251</v>
      </c>
      <c r="K68" s="2" t="s">
        <v>502</v>
      </c>
      <c r="L68" s="3">
        <v>63</v>
      </c>
      <c r="M68" s="3">
        <v>66.15</v>
      </c>
      <c r="N68" s="3">
        <v>124.99</v>
      </c>
      <c r="O68" s="2" t="s">
        <v>196</v>
      </c>
      <c r="P68" s="2" t="s">
        <v>197</v>
      </c>
      <c r="Q68" s="2" t="s">
        <v>198</v>
      </c>
      <c r="R68" s="2" t="s">
        <v>199</v>
      </c>
      <c r="S68" s="2" t="s">
        <v>503</v>
      </c>
      <c r="T68" s="2" t="s">
        <v>300</v>
      </c>
      <c r="U68" s="2" t="s">
        <v>199</v>
      </c>
      <c r="V68" s="2" t="s">
        <v>202</v>
      </c>
      <c r="W68" s="2" t="s">
        <v>203</v>
      </c>
      <c r="X68" s="2" t="s">
        <v>199</v>
      </c>
      <c r="Y68" s="2" t="s">
        <v>204</v>
      </c>
      <c r="Z68" s="4">
        <v>82</v>
      </c>
      <c r="AA68" s="4">
        <f>=ROUNDDOWN(41,0)</f>
      </c>
      <c r="AB68" s="5">
        <v>2</v>
      </c>
      <c r="AC68" s="2" t="s">
        <v>199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199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199</v>
      </c>
      <c r="AW68" s="8" t="s">
        <v>199</v>
      </c>
      <c r="AX68" s="4" t="s">
        <v>199</v>
      </c>
      <c r="AY68" s="8" t="s">
        <v>199</v>
      </c>
      <c r="AZ68" s="7" t="s">
        <v>199</v>
      </c>
      <c r="BA68" s="7" t="s">
        <v>199</v>
      </c>
      <c r="BB68" s="7"/>
      <c r="BC68" s="4" t="s">
        <v>199</v>
      </c>
      <c r="BD68" s="8" t="s">
        <v>199</v>
      </c>
      <c r="BE68" s="4" t="s">
        <v>199</v>
      </c>
      <c r="BF68" s="8" t="s">
        <v>199</v>
      </c>
      <c r="BG68" s="7" t="s">
        <v>199</v>
      </c>
      <c r="BH68" s="7" t="s">
        <v>199</v>
      </c>
      <c r="BI68" s="7"/>
      <c r="BJ68" s="4">
        <v>32</v>
      </c>
      <c r="BK68" s="8">
        <v>2245.11</v>
      </c>
      <c r="BL68" s="2" t="s">
        <v>504</v>
      </c>
      <c r="BM68" s="7"/>
      <c r="BN68" s="7"/>
      <c r="BO68" s="4"/>
      <c r="BP68" s="8"/>
      <c r="BQ68" s="4"/>
      <c r="BR68" s="8"/>
      <c r="BS68" s="7"/>
      <c r="BT68" s="7"/>
      <c r="BU68" s="2" t="s">
        <v>505</v>
      </c>
      <c r="BV68" s="2" t="s">
        <v>199</v>
      </c>
      <c r="BW68" s="2" t="s">
        <v>199</v>
      </c>
      <c r="BX68" s="2" t="s">
        <v>208</v>
      </c>
      <c r="BY68" s="2" t="s">
        <v>209</v>
      </c>
      <c r="BZ68" s="2" t="s">
        <v>196</v>
      </c>
      <c r="CA68" s="2" t="s">
        <v>210</v>
      </c>
      <c r="CB68" s="2" t="s">
        <v>506</v>
      </c>
      <c r="CC68" s="2" t="s">
        <v>212</v>
      </c>
      <c r="CD68" s="2" t="s">
        <v>199</v>
      </c>
      <c r="CE68" s="4">
        <v>51</v>
      </c>
      <c r="CF68" s="4">
        <v>31</v>
      </c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>
        <v>83</v>
      </c>
      <c r="EU68" s="4">
        <v>80</v>
      </c>
      <c r="EV68" s="4">
        <v>78</v>
      </c>
      <c r="EW68" s="4">
        <v>76</v>
      </c>
      <c r="EX68" s="4">
        <v>74</v>
      </c>
      <c r="EY68" s="4">
        <v>72</v>
      </c>
      <c r="EZ68" s="4">
        <v>70</v>
      </c>
      <c r="FA68" s="4">
        <v>68</v>
      </c>
      <c r="FB68" s="4">
        <v>66</v>
      </c>
      <c r="FC68" s="4">
        <v>64</v>
      </c>
      <c r="FD68" s="4">
        <v>62</v>
      </c>
      <c r="FE68" s="4">
        <v>60</v>
      </c>
      <c r="FF68" s="4">
        <v>58</v>
      </c>
      <c r="FG68" s="4">
        <v>56</v>
      </c>
      <c r="FH68" s="4">
        <v>54</v>
      </c>
      <c r="FI68" s="4">
        <v>52</v>
      </c>
      <c r="FJ68" s="4">
        <v>50</v>
      </c>
      <c r="FK68" s="4">
        <v>48</v>
      </c>
      <c r="FL68" s="4">
        <v>46</v>
      </c>
      <c r="FM68" s="4">
        <v>44</v>
      </c>
      <c r="FN68" s="4">
        <v>42</v>
      </c>
      <c r="FO68" s="4">
        <v>40</v>
      </c>
      <c r="FP68" s="4">
        <v>38</v>
      </c>
      <c r="FQ68" s="4">
        <v>36</v>
      </c>
      <c r="FR68" s="4">
        <v>34</v>
      </c>
      <c r="FS68" s="4">
        <v>32</v>
      </c>
      <c r="FT68" s="19">
        <v>41.5</v>
      </c>
      <c r="FU68" s="19">
        <v>40</v>
      </c>
      <c r="FV68" s="19">
        <v>39</v>
      </c>
      <c r="FW68" s="19">
        <v>38</v>
      </c>
      <c r="FX68" s="19">
        <v>37</v>
      </c>
      <c r="FY68" s="19">
        <v>36</v>
      </c>
      <c r="FZ68" s="19">
        <v>35</v>
      </c>
      <c r="GA68" s="19">
        <v>34</v>
      </c>
      <c r="GB68" s="19">
        <v>33</v>
      </c>
      <c r="GC68" s="19">
        <v>32</v>
      </c>
      <c r="GD68" s="19">
        <v>31</v>
      </c>
      <c r="GE68" s="19">
        <v>30</v>
      </c>
      <c r="GF68" s="19">
        <v>29</v>
      </c>
      <c r="GG68" s="19">
        <v>28</v>
      </c>
      <c r="GH68" s="19">
        <v>27</v>
      </c>
      <c r="GI68" s="19">
        <v>26</v>
      </c>
      <c r="GJ68" s="19">
        <v>25</v>
      </c>
      <c r="GK68" s="19">
        <v>24</v>
      </c>
      <c r="GL68" s="19">
        <v>23</v>
      </c>
      <c r="GM68" s="19">
        <v>22</v>
      </c>
      <c r="GN68" s="19">
        <v>21</v>
      </c>
      <c r="GO68" s="19">
        <v>20</v>
      </c>
      <c r="GP68" s="19">
        <v>19</v>
      </c>
      <c r="GQ68" s="19">
        <v>18</v>
      </c>
      <c r="GR68" s="19">
        <v>17</v>
      </c>
      <c r="GS68" s="19">
        <v>16</v>
      </c>
    </row>
    <row r="69">
      <c r="A69" s="2" t="s">
        <v>507</v>
      </c>
      <c r="B69" s="2" t="s">
        <v>245</v>
      </c>
      <c r="C69" s="2" t="s">
        <v>246</v>
      </c>
      <c r="D69" s="2" t="s">
        <v>247</v>
      </c>
      <c r="E69" s="2" t="s">
        <v>248</v>
      </c>
      <c r="F69" s="2" t="s">
        <v>500</v>
      </c>
      <c r="G69" s="2" t="s">
        <v>500</v>
      </c>
      <c r="H69" s="2" t="s">
        <v>500</v>
      </c>
      <c r="I69" s="2" t="s">
        <v>501</v>
      </c>
      <c r="J69" s="2" t="s">
        <v>508</v>
      </c>
      <c r="K69" s="2" t="s">
        <v>502</v>
      </c>
      <c r="L69" s="3">
        <v>72.03</v>
      </c>
      <c r="M69" s="3">
        <v>75.63</v>
      </c>
      <c r="N69" s="3">
        <v>139.99</v>
      </c>
      <c r="O69" s="2" t="s">
        <v>196</v>
      </c>
      <c r="P69" s="2" t="s">
        <v>197</v>
      </c>
      <c r="Q69" s="2" t="s">
        <v>198</v>
      </c>
      <c r="R69" s="2" t="s">
        <v>199</v>
      </c>
      <c r="S69" s="2" t="s">
        <v>503</v>
      </c>
      <c r="T69" s="2" t="s">
        <v>300</v>
      </c>
      <c r="U69" s="2" t="s">
        <v>509</v>
      </c>
      <c r="V69" s="2" t="s">
        <v>202</v>
      </c>
      <c r="W69" s="2" t="s">
        <v>203</v>
      </c>
      <c r="X69" s="2" t="s">
        <v>510</v>
      </c>
      <c r="Y69" s="2" t="s">
        <v>511</v>
      </c>
      <c r="Z69" s="4">
        <v>186</v>
      </c>
      <c r="AA69" s="4">
        <f>=ROUNDDOWN(46.5,0)</f>
      </c>
      <c r="AB69" s="5">
        <v>4</v>
      </c>
      <c r="AC69" s="2" t="s">
        <v>199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199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199</v>
      </c>
      <c r="AW69" s="8" t="s">
        <v>199</v>
      </c>
      <c r="AX69" s="4" t="s">
        <v>199</v>
      </c>
      <c r="AY69" s="8" t="s">
        <v>199</v>
      </c>
      <c r="AZ69" s="7" t="s">
        <v>199</v>
      </c>
      <c r="BA69" s="7" t="s">
        <v>199</v>
      </c>
      <c r="BB69" s="7"/>
      <c r="BC69" s="4" t="s">
        <v>199</v>
      </c>
      <c r="BD69" s="8" t="s">
        <v>199</v>
      </c>
      <c r="BE69" s="4" t="s">
        <v>199</v>
      </c>
      <c r="BF69" s="8" t="s">
        <v>199</v>
      </c>
      <c r="BG69" s="7" t="s">
        <v>199</v>
      </c>
      <c r="BH69" s="7" t="s">
        <v>199</v>
      </c>
      <c r="BI69" s="7"/>
      <c r="BJ69" s="4">
        <v>17</v>
      </c>
      <c r="BK69" s="8">
        <v>1377.81</v>
      </c>
      <c r="BL69" s="2" t="s">
        <v>512</v>
      </c>
      <c r="BM69" s="7"/>
      <c r="BN69" s="7"/>
      <c r="BO69" s="4"/>
      <c r="BP69" s="8"/>
      <c r="BQ69" s="4"/>
      <c r="BR69" s="8"/>
      <c r="BS69" s="7"/>
      <c r="BT69" s="7"/>
      <c r="BU69" s="2" t="s">
        <v>505</v>
      </c>
      <c r="BV69" s="2" t="s">
        <v>199</v>
      </c>
      <c r="BW69" s="2" t="s">
        <v>199</v>
      </c>
      <c r="BX69" s="2" t="s">
        <v>208</v>
      </c>
      <c r="BY69" s="2" t="s">
        <v>209</v>
      </c>
      <c r="BZ69" s="2" t="s">
        <v>196</v>
      </c>
      <c r="CA69" s="2" t="s">
        <v>513</v>
      </c>
      <c r="CB69" s="2" t="s">
        <v>514</v>
      </c>
      <c r="CC69" s="2" t="s">
        <v>212</v>
      </c>
      <c r="CD69" s="2" t="s">
        <v>199</v>
      </c>
      <c r="CE69" s="4">
        <v>141</v>
      </c>
      <c r="CF69" s="4">
        <v>45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>
        <v>187</v>
      </c>
      <c r="EU69" s="4">
        <v>182</v>
      </c>
      <c r="EV69" s="4">
        <v>178</v>
      </c>
      <c r="EW69" s="4">
        <v>174</v>
      </c>
      <c r="EX69" s="4">
        <v>170</v>
      </c>
      <c r="EY69" s="4">
        <v>166</v>
      </c>
      <c r="EZ69" s="4">
        <v>162</v>
      </c>
      <c r="FA69" s="4">
        <v>158</v>
      </c>
      <c r="FB69" s="4">
        <v>153</v>
      </c>
      <c r="FC69" s="4">
        <v>149</v>
      </c>
      <c r="FD69" s="4">
        <v>145</v>
      </c>
      <c r="FE69" s="4">
        <v>141</v>
      </c>
      <c r="FF69" s="4">
        <v>137</v>
      </c>
      <c r="FG69" s="4">
        <v>133</v>
      </c>
      <c r="FH69" s="4">
        <v>129</v>
      </c>
      <c r="FI69" s="4">
        <v>125</v>
      </c>
      <c r="FJ69" s="4">
        <v>121</v>
      </c>
      <c r="FK69" s="4">
        <v>117</v>
      </c>
      <c r="FL69" s="4">
        <v>113</v>
      </c>
      <c r="FM69" s="4">
        <v>109</v>
      </c>
      <c r="FN69" s="4">
        <v>105</v>
      </c>
      <c r="FO69" s="4">
        <v>101</v>
      </c>
      <c r="FP69" s="4">
        <v>96</v>
      </c>
      <c r="FQ69" s="4">
        <v>92</v>
      </c>
      <c r="FR69" s="4">
        <v>88</v>
      </c>
      <c r="FS69" s="4">
        <v>84</v>
      </c>
      <c r="FT69" s="19">
        <v>46.8</v>
      </c>
      <c r="FU69" s="19">
        <v>45.5</v>
      </c>
      <c r="FV69" s="19">
        <v>44.5</v>
      </c>
      <c r="FW69" s="19">
        <v>43.5</v>
      </c>
      <c r="FX69" s="19">
        <v>42.5</v>
      </c>
      <c r="FY69" s="19">
        <v>41.5</v>
      </c>
      <c r="FZ69" s="19">
        <v>40.5</v>
      </c>
      <c r="GA69" s="19">
        <v>39.5</v>
      </c>
      <c r="GB69" s="19">
        <v>38.3</v>
      </c>
      <c r="GC69" s="19">
        <v>37.3</v>
      </c>
      <c r="GD69" s="19">
        <v>36.3</v>
      </c>
      <c r="GE69" s="19">
        <v>35.3</v>
      </c>
      <c r="GF69" s="19">
        <v>34.3</v>
      </c>
      <c r="GG69" s="19">
        <v>33.3</v>
      </c>
      <c r="GH69" s="19">
        <v>32.3</v>
      </c>
      <c r="GI69" s="19">
        <v>31.3</v>
      </c>
      <c r="GJ69" s="19">
        <v>30.3</v>
      </c>
      <c r="GK69" s="19">
        <v>29.3</v>
      </c>
      <c r="GL69" s="19">
        <v>28.3</v>
      </c>
      <c r="GM69" s="19">
        <v>27.3</v>
      </c>
      <c r="GN69" s="19">
        <v>26.3</v>
      </c>
      <c r="GO69" s="19">
        <v>25.3</v>
      </c>
      <c r="GP69" s="19">
        <v>24</v>
      </c>
      <c r="GQ69" s="19">
        <v>23</v>
      </c>
      <c r="GR69" s="19">
        <v>22</v>
      </c>
      <c r="GS69" s="19">
        <v>21</v>
      </c>
    </row>
    <row r="70">
      <c r="A70" s="2" t="s">
        <v>515</v>
      </c>
      <c r="B70" s="2" t="s">
        <v>245</v>
      </c>
      <c r="C70" s="2" t="s">
        <v>246</v>
      </c>
      <c r="D70" s="2" t="s">
        <v>247</v>
      </c>
      <c r="E70" s="2" t="s">
        <v>248</v>
      </c>
      <c r="F70" s="2" t="s">
        <v>500</v>
      </c>
      <c r="G70" s="2" t="s">
        <v>500</v>
      </c>
      <c r="H70" s="2" t="s">
        <v>500</v>
      </c>
      <c r="I70" s="2" t="s">
        <v>501</v>
      </c>
      <c r="J70" s="2" t="s">
        <v>223</v>
      </c>
      <c r="K70" s="2" t="s">
        <v>516</v>
      </c>
      <c r="L70" s="3">
        <v>63</v>
      </c>
      <c r="M70" s="3">
        <v>66.15</v>
      </c>
      <c r="N70" s="3">
        <v>124.99</v>
      </c>
      <c r="O70" s="2" t="s">
        <v>196</v>
      </c>
      <c r="P70" s="2" t="s">
        <v>517</v>
      </c>
      <c r="Q70" s="2" t="s">
        <v>198</v>
      </c>
      <c r="R70" s="2" t="s">
        <v>199</v>
      </c>
      <c r="S70" s="2" t="s">
        <v>518</v>
      </c>
      <c r="T70" s="2" t="s">
        <v>300</v>
      </c>
      <c r="U70" s="2" t="s">
        <v>199</v>
      </c>
      <c r="V70" s="2" t="s">
        <v>202</v>
      </c>
      <c r="W70" s="2" t="s">
        <v>203</v>
      </c>
      <c r="X70" s="2" t="s">
        <v>199</v>
      </c>
      <c r="Y70" s="2" t="s">
        <v>519</v>
      </c>
      <c r="Z70" s="4">
        <v>280</v>
      </c>
      <c r="AA70" s="4">
        <f>=ROUNDDOWN(35,0)</f>
      </c>
      <c r="AB70" s="5">
        <v>8</v>
      </c>
      <c r="AC70" s="2" t="s">
        <v>199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199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199</v>
      </c>
      <c r="AW70" s="8" t="s">
        <v>199</v>
      </c>
      <c r="AX70" s="4" t="s">
        <v>199</v>
      </c>
      <c r="AY70" s="8" t="s">
        <v>199</v>
      </c>
      <c r="AZ70" s="7" t="s">
        <v>199</v>
      </c>
      <c r="BA70" s="7" t="s">
        <v>199</v>
      </c>
      <c r="BB70" s="7"/>
      <c r="BC70" s="4" t="s">
        <v>199</v>
      </c>
      <c r="BD70" s="8" t="s">
        <v>199</v>
      </c>
      <c r="BE70" s="4" t="s">
        <v>199</v>
      </c>
      <c r="BF70" s="8" t="s">
        <v>199</v>
      </c>
      <c r="BG70" s="7" t="s">
        <v>199</v>
      </c>
      <c r="BH70" s="7" t="s">
        <v>199</v>
      </c>
      <c r="BI70" s="7"/>
      <c r="BJ70" s="4">
        <v>57</v>
      </c>
      <c r="BK70" s="8">
        <v>4108.87</v>
      </c>
      <c r="BL70" s="2" t="s">
        <v>520</v>
      </c>
      <c r="BM70" s="7"/>
      <c r="BN70" s="7"/>
      <c r="BO70" s="4"/>
      <c r="BP70" s="8"/>
      <c r="BQ70" s="4"/>
      <c r="BR70" s="8"/>
      <c r="BS70" s="7"/>
      <c r="BT70" s="7"/>
      <c r="BU70" s="2" t="s">
        <v>505</v>
      </c>
      <c r="BV70" s="2" t="s">
        <v>199</v>
      </c>
      <c r="BW70" s="2" t="s">
        <v>199</v>
      </c>
      <c r="BX70" s="2" t="s">
        <v>208</v>
      </c>
      <c r="BY70" s="2" t="s">
        <v>209</v>
      </c>
      <c r="BZ70" s="2" t="s">
        <v>196</v>
      </c>
      <c r="CA70" s="2" t="s">
        <v>521</v>
      </c>
      <c r="CB70" s="2" t="s">
        <v>522</v>
      </c>
      <c r="CC70" s="2" t="s">
        <v>212</v>
      </c>
      <c r="CD70" s="2" t="s">
        <v>199</v>
      </c>
      <c r="CE70" s="4">
        <v>176</v>
      </c>
      <c r="CF70" s="4">
        <v>104</v>
      </c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>
        <v>284</v>
      </c>
      <c r="EU70" s="4">
        <v>273</v>
      </c>
      <c r="EV70" s="4">
        <v>265</v>
      </c>
      <c r="EW70" s="4">
        <v>257</v>
      </c>
      <c r="EX70" s="4">
        <v>249</v>
      </c>
      <c r="EY70" s="4">
        <v>241</v>
      </c>
      <c r="EZ70" s="4">
        <v>233</v>
      </c>
      <c r="FA70" s="4">
        <v>225</v>
      </c>
      <c r="FB70" s="4">
        <v>215</v>
      </c>
      <c r="FC70" s="4">
        <v>207</v>
      </c>
      <c r="FD70" s="4">
        <v>199</v>
      </c>
      <c r="FE70" s="4">
        <v>191</v>
      </c>
      <c r="FF70" s="4">
        <v>183</v>
      </c>
      <c r="FG70" s="4">
        <v>175</v>
      </c>
      <c r="FH70" s="4">
        <v>167</v>
      </c>
      <c r="FI70" s="4">
        <v>159</v>
      </c>
      <c r="FJ70" s="4">
        <v>151</v>
      </c>
      <c r="FK70" s="4">
        <v>143</v>
      </c>
      <c r="FL70" s="4">
        <v>135</v>
      </c>
      <c r="FM70" s="4">
        <v>127</v>
      </c>
      <c r="FN70" s="4">
        <v>119</v>
      </c>
      <c r="FO70" s="4">
        <v>111</v>
      </c>
      <c r="FP70" s="4">
        <v>101</v>
      </c>
      <c r="FQ70" s="4">
        <v>93</v>
      </c>
      <c r="FR70" s="4">
        <v>85</v>
      </c>
      <c r="FS70" s="4">
        <v>77</v>
      </c>
      <c r="FT70" s="19">
        <v>31.6</v>
      </c>
      <c r="FU70" s="19">
        <v>34.1</v>
      </c>
      <c r="FV70" s="19">
        <v>33.1</v>
      </c>
      <c r="FW70" s="19">
        <v>32.1</v>
      </c>
      <c r="FX70" s="19">
        <v>31.1</v>
      </c>
      <c r="FY70" s="19">
        <v>30.1</v>
      </c>
      <c r="FZ70" s="19">
        <v>29.1</v>
      </c>
      <c r="GA70" s="19">
        <v>28.1</v>
      </c>
      <c r="GB70" s="19">
        <v>26.9</v>
      </c>
      <c r="GC70" s="19">
        <v>25.9</v>
      </c>
      <c r="GD70" s="19">
        <v>24.9</v>
      </c>
      <c r="GE70" s="19">
        <v>23.9</v>
      </c>
      <c r="GF70" s="19">
        <v>22.9</v>
      </c>
      <c r="GG70" s="19">
        <v>21.9</v>
      </c>
      <c r="GH70" s="19">
        <v>20.9</v>
      </c>
      <c r="GI70" s="19">
        <v>19.9</v>
      </c>
      <c r="GJ70" s="19">
        <v>18.9</v>
      </c>
      <c r="GK70" s="19">
        <v>17.9</v>
      </c>
      <c r="GL70" s="19">
        <v>16.9</v>
      </c>
      <c r="GM70" s="19">
        <v>15.9</v>
      </c>
      <c r="GN70" s="19">
        <v>14.9</v>
      </c>
      <c r="GO70" s="19">
        <v>13.9</v>
      </c>
      <c r="GP70" s="19">
        <v>12.6</v>
      </c>
      <c r="GQ70" s="19">
        <v>11.6</v>
      </c>
      <c r="GR70" s="19">
        <v>10.6</v>
      </c>
      <c r="GS70" s="19">
        <v>9.6</v>
      </c>
    </row>
    <row r="71">
      <c r="A71" s="2" t="s">
        <v>523</v>
      </c>
      <c r="B71" s="2" t="s">
        <v>245</v>
      </c>
      <c r="C71" s="2" t="s">
        <v>246</v>
      </c>
      <c r="D71" s="2" t="s">
        <v>247</v>
      </c>
      <c r="E71" s="2" t="s">
        <v>248</v>
      </c>
      <c r="F71" s="2" t="s">
        <v>500</v>
      </c>
      <c r="G71" s="2" t="s">
        <v>500</v>
      </c>
      <c r="H71" s="2" t="s">
        <v>500</v>
      </c>
      <c r="I71" s="2" t="s">
        <v>501</v>
      </c>
      <c r="J71" s="2" t="s">
        <v>251</v>
      </c>
      <c r="K71" s="2" t="s">
        <v>516</v>
      </c>
      <c r="L71" s="3">
        <v>63</v>
      </c>
      <c r="M71" s="3">
        <v>66.15</v>
      </c>
      <c r="N71" s="3">
        <v>124.99</v>
      </c>
      <c r="O71" s="2" t="s">
        <v>196</v>
      </c>
      <c r="P71" s="2" t="s">
        <v>197</v>
      </c>
      <c r="Q71" s="2" t="s">
        <v>198</v>
      </c>
      <c r="R71" s="2" t="s">
        <v>199</v>
      </c>
      <c r="S71" s="2" t="s">
        <v>518</v>
      </c>
      <c r="T71" s="2" t="s">
        <v>300</v>
      </c>
      <c r="U71" s="2" t="s">
        <v>199</v>
      </c>
      <c r="V71" s="2" t="s">
        <v>202</v>
      </c>
      <c r="W71" s="2" t="s">
        <v>203</v>
      </c>
      <c r="X71" s="2" t="s">
        <v>199</v>
      </c>
      <c r="Y71" s="2" t="s">
        <v>519</v>
      </c>
      <c r="Z71" s="4">
        <v>107</v>
      </c>
      <c r="AA71" s="4">
        <f>=ROUNDDOWN(35.6666666666667,0)</f>
      </c>
      <c r="AB71" s="5">
        <v>3</v>
      </c>
      <c r="AC71" s="2" t="s">
        <v>199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199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199</v>
      </c>
      <c r="AW71" s="8" t="s">
        <v>199</v>
      </c>
      <c r="AX71" s="4" t="s">
        <v>199</v>
      </c>
      <c r="AY71" s="8" t="s">
        <v>199</v>
      </c>
      <c r="AZ71" s="7" t="s">
        <v>199</v>
      </c>
      <c r="BA71" s="7" t="s">
        <v>199</v>
      </c>
      <c r="BB71" s="7"/>
      <c r="BC71" s="4" t="s">
        <v>199</v>
      </c>
      <c r="BD71" s="8" t="s">
        <v>199</v>
      </c>
      <c r="BE71" s="4" t="s">
        <v>199</v>
      </c>
      <c r="BF71" s="8" t="s">
        <v>199</v>
      </c>
      <c r="BG71" s="7" t="s">
        <v>199</v>
      </c>
      <c r="BH71" s="7" t="s">
        <v>199</v>
      </c>
      <c r="BI71" s="7"/>
      <c r="BJ71" s="4">
        <v>24</v>
      </c>
      <c r="BK71" s="8">
        <v>1707.96</v>
      </c>
      <c r="BL71" s="2" t="s">
        <v>524</v>
      </c>
      <c r="BM71" s="7"/>
      <c r="BN71" s="7"/>
      <c r="BO71" s="4"/>
      <c r="BP71" s="8"/>
      <c r="BQ71" s="4"/>
      <c r="BR71" s="8"/>
      <c r="BS71" s="7"/>
      <c r="BT71" s="7"/>
      <c r="BU71" s="2" t="s">
        <v>505</v>
      </c>
      <c r="BV71" s="2" t="s">
        <v>199</v>
      </c>
      <c r="BW71" s="2" t="s">
        <v>199</v>
      </c>
      <c r="BX71" s="2" t="s">
        <v>208</v>
      </c>
      <c r="BY71" s="2" t="s">
        <v>209</v>
      </c>
      <c r="BZ71" s="2" t="s">
        <v>196</v>
      </c>
      <c r="CA71" s="2" t="s">
        <v>521</v>
      </c>
      <c r="CB71" s="2" t="s">
        <v>525</v>
      </c>
      <c r="CC71" s="2" t="s">
        <v>212</v>
      </c>
      <c r="CD71" s="2" t="s">
        <v>199</v>
      </c>
      <c r="CE71" s="4">
        <v>77</v>
      </c>
      <c r="CF71" s="4">
        <v>30</v>
      </c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>
        <v>108</v>
      </c>
      <c r="EU71" s="4">
        <v>104</v>
      </c>
      <c r="EV71" s="4">
        <v>101</v>
      </c>
      <c r="EW71" s="4">
        <v>98</v>
      </c>
      <c r="EX71" s="4">
        <v>95</v>
      </c>
      <c r="EY71" s="4">
        <v>92</v>
      </c>
      <c r="EZ71" s="4">
        <v>89</v>
      </c>
      <c r="FA71" s="4">
        <v>86</v>
      </c>
      <c r="FB71" s="4">
        <v>82</v>
      </c>
      <c r="FC71" s="4">
        <v>79</v>
      </c>
      <c r="FD71" s="4">
        <v>76</v>
      </c>
      <c r="FE71" s="4">
        <v>73</v>
      </c>
      <c r="FF71" s="4">
        <v>70</v>
      </c>
      <c r="FG71" s="4">
        <v>67</v>
      </c>
      <c r="FH71" s="4">
        <v>64</v>
      </c>
      <c r="FI71" s="4">
        <v>61</v>
      </c>
      <c r="FJ71" s="4">
        <v>58</v>
      </c>
      <c r="FK71" s="4">
        <v>55</v>
      </c>
      <c r="FL71" s="4">
        <v>52</v>
      </c>
      <c r="FM71" s="4">
        <v>49</v>
      </c>
      <c r="FN71" s="4">
        <v>46</v>
      </c>
      <c r="FO71" s="4">
        <v>43</v>
      </c>
      <c r="FP71" s="4">
        <v>39</v>
      </c>
      <c r="FQ71" s="4">
        <v>36</v>
      </c>
      <c r="FR71" s="4">
        <v>33</v>
      </c>
      <c r="FS71" s="4">
        <v>30</v>
      </c>
      <c r="FT71" s="19">
        <v>36</v>
      </c>
      <c r="FU71" s="19">
        <v>34.7</v>
      </c>
      <c r="FV71" s="19">
        <v>33.7</v>
      </c>
      <c r="FW71" s="19">
        <v>32.7</v>
      </c>
      <c r="FX71" s="19">
        <v>31.7</v>
      </c>
      <c r="FY71" s="19">
        <v>30.7</v>
      </c>
      <c r="FZ71" s="19">
        <v>29.7</v>
      </c>
      <c r="GA71" s="19">
        <v>28.7</v>
      </c>
      <c r="GB71" s="19">
        <v>27.3</v>
      </c>
      <c r="GC71" s="19">
        <v>26.3</v>
      </c>
      <c r="GD71" s="19">
        <v>25.3</v>
      </c>
      <c r="GE71" s="19">
        <v>24.3</v>
      </c>
      <c r="GF71" s="19">
        <v>23.3</v>
      </c>
      <c r="GG71" s="19">
        <v>22.3</v>
      </c>
      <c r="GH71" s="19">
        <v>21.3</v>
      </c>
      <c r="GI71" s="19">
        <v>20.3</v>
      </c>
      <c r="GJ71" s="19">
        <v>19.3</v>
      </c>
      <c r="GK71" s="19">
        <v>18.3</v>
      </c>
      <c r="GL71" s="19">
        <v>17.3</v>
      </c>
      <c r="GM71" s="19">
        <v>16.3</v>
      </c>
      <c r="GN71" s="19">
        <v>15.3</v>
      </c>
      <c r="GO71" s="19">
        <v>14.3</v>
      </c>
      <c r="GP71" s="19">
        <v>13</v>
      </c>
      <c r="GQ71" s="19">
        <v>12</v>
      </c>
      <c r="GR71" s="19">
        <v>11</v>
      </c>
      <c r="GS71" s="19">
        <v>10</v>
      </c>
    </row>
    <row r="72">
      <c r="A72" s="2" t="s">
        <v>526</v>
      </c>
      <c r="B72" s="2" t="s">
        <v>245</v>
      </c>
      <c r="C72" s="2" t="s">
        <v>246</v>
      </c>
      <c r="D72" s="2" t="s">
        <v>247</v>
      </c>
      <c r="E72" s="2" t="s">
        <v>248</v>
      </c>
      <c r="F72" s="2" t="s">
        <v>500</v>
      </c>
      <c r="G72" s="2" t="s">
        <v>500</v>
      </c>
      <c r="H72" s="2" t="s">
        <v>500</v>
      </c>
      <c r="I72" s="2" t="s">
        <v>501</v>
      </c>
      <c r="J72" s="2" t="s">
        <v>223</v>
      </c>
      <c r="K72" s="2" t="s">
        <v>527</v>
      </c>
      <c r="L72" s="3">
        <v>63</v>
      </c>
      <c r="M72" s="3">
        <v>66.15</v>
      </c>
      <c r="N72" s="3">
        <v>124.99</v>
      </c>
      <c r="O72" s="2" t="s">
        <v>196</v>
      </c>
      <c r="P72" s="2" t="s">
        <v>197</v>
      </c>
      <c r="Q72" s="2" t="s">
        <v>198</v>
      </c>
      <c r="R72" s="2" t="s">
        <v>199</v>
      </c>
      <c r="S72" s="2" t="s">
        <v>528</v>
      </c>
      <c r="T72" s="2" t="s">
        <v>300</v>
      </c>
      <c r="U72" s="2" t="s">
        <v>254</v>
      </c>
      <c r="V72" s="2" t="s">
        <v>202</v>
      </c>
      <c r="W72" s="2" t="s">
        <v>203</v>
      </c>
      <c r="X72" s="2" t="s">
        <v>529</v>
      </c>
      <c r="Y72" s="2" t="s">
        <v>530</v>
      </c>
      <c r="Z72" s="4">
        <v>295</v>
      </c>
      <c r="AA72" s="4">
        <f>=ROUNDDOWN(36.875,0)</f>
      </c>
      <c r="AB72" s="5">
        <v>8</v>
      </c>
      <c r="AC72" s="2" t="s">
        <v>199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199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199</v>
      </c>
      <c r="AW72" s="8" t="s">
        <v>199</v>
      </c>
      <c r="AX72" s="4" t="s">
        <v>199</v>
      </c>
      <c r="AY72" s="8" t="s">
        <v>199</v>
      </c>
      <c r="AZ72" s="7" t="s">
        <v>199</v>
      </c>
      <c r="BA72" s="7" t="s">
        <v>199</v>
      </c>
      <c r="BB72" s="7"/>
      <c r="BC72" s="4" t="s">
        <v>199</v>
      </c>
      <c r="BD72" s="8" t="s">
        <v>199</v>
      </c>
      <c r="BE72" s="4" t="s">
        <v>199</v>
      </c>
      <c r="BF72" s="8" t="s">
        <v>199</v>
      </c>
      <c r="BG72" s="7" t="s">
        <v>199</v>
      </c>
      <c r="BH72" s="7" t="s">
        <v>199</v>
      </c>
      <c r="BI72" s="7"/>
      <c r="BJ72" s="4">
        <v>49</v>
      </c>
      <c r="BK72" s="8">
        <v>3565.39</v>
      </c>
      <c r="BL72" s="2" t="s">
        <v>531</v>
      </c>
      <c r="BM72" s="7"/>
      <c r="BN72" s="7"/>
      <c r="BO72" s="4"/>
      <c r="BP72" s="8"/>
      <c r="BQ72" s="4"/>
      <c r="BR72" s="8"/>
      <c r="BS72" s="7"/>
      <c r="BT72" s="7"/>
      <c r="BU72" s="2" t="s">
        <v>505</v>
      </c>
      <c r="BV72" s="2" t="s">
        <v>199</v>
      </c>
      <c r="BW72" s="2" t="s">
        <v>199</v>
      </c>
      <c r="BX72" s="2" t="s">
        <v>208</v>
      </c>
      <c r="BY72" s="2" t="s">
        <v>209</v>
      </c>
      <c r="BZ72" s="2" t="s">
        <v>196</v>
      </c>
      <c r="CA72" s="2" t="s">
        <v>532</v>
      </c>
      <c r="CB72" s="2" t="s">
        <v>533</v>
      </c>
      <c r="CC72" s="2" t="s">
        <v>212</v>
      </c>
      <c r="CD72" s="2" t="s">
        <v>199</v>
      </c>
      <c r="CE72" s="4">
        <v>295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>
        <v>298</v>
      </c>
      <c r="EU72" s="4">
        <v>289</v>
      </c>
      <c r="EV72" s="4">
        <v>281</v>
      </c>
      <c r="EW72" s="4">
        <v>273</v>
      </c>
      <c r="EX72" s="4">
        <v>265</v>
      </c>
      <c r="EY72" s="4">
        <v>257</v>
      </c>
      <c r="EZ72" s="4">
        <v>249</v>
      </c>
      <c r="FA72" s="4">
        <v>241</v>
      </c>
      <c r="FB72" s="4">
        <v>231</v>
      </c>
      <c r="FC72" s="4">
        <v>223</v>
      </c>
      <c r="FD72" s="4">
        <v>215</v>
      </c>
      <c r="FE72" s="4">
        <v>207</v>
      </c>
      <c r="FF72" s="4">
        <v>199</v>
      </c>
      <c r="FG72" s="4">
        <v>191</v>
      </c>
      <c r="FH72" s="4">
        <v>183</v>
      </c>
      <c r="FI72" s="4">
        <v>175</v>
      </c>
      <c r="FJ72" s="4">
        <v>167</v>
      </c>
      <c r="FK72" s="4">
        <v>159</v>
      </c>
      <c r="FL72" s="4">
        <v>151</v>
      </c>
      <c r="FM72" s="4">
        <v>143</v>
      </c>
      <c r="FN72" s="4">
        <v>135</v>
      </c>
      <c r="FO72" s="4">
        <v>127</v>
      </c>
      <c r="FP72" s="4">
        <v>117</v>
      </c>
      <c r="FQ72" s="4">
        <v>109</v>
      </c>
      <c r="FR72" s="4">
        <v>101</v>
      </c>
      <c r="FS72" s="4">
        <v>93</v>
      </c>
      <c r="FT72" s="19">
        <v>37.3</v>
      </c>
      <c r="FU72" s="19">
        <v>36.1</v>
      </c>
      <c r="FV72" s="19">
        <v>35.1</v>
      </c>
      <c r="FW72" s="19">
        <v>34.1</v>
      </c>
      <c r="FX72" s="19">
        <v>33.1</v>
      </c>
      <c r="FY72" s="19">
        <v>32.1</v>
      </c>
      <c r="FZ72" s="19">
        <v>31.1</v>
      </c>
      <c r="GA72" s="19">
        <v>30.1</v>
      </c>
      <c r="GB72" s="19">
        <v>28.9</v>
      </c>
      <c r="GC72" s="19">
        <v>27.9</v>
      </c>
      <c r="GD72" s="19">
        <v>26.9</v>
      </c>
      <c r="GE72" s="19">
        <v>25.9</v>
      </c>
      <c r="GF72" s="19">
        <v>24.9</v>
      </c>
      <c r="GG72" s="19">
        <v>23.9</v>
      </c>
      <c r="GH72" s="19">
        <v>22.9</v>
      </c>
      <c r="GI72" s="19">
        <v>21.9</v>
      </c>
      <c r="GJ72" s="19">
        <v>20.9</v>
      </c>
      <c r="GK72" s="19">
        <v>19.9</v>
      </c>
      <c r="GL72" s="19">
        <v>18.9</v>
      </c>
      <c r="GM72" s="19">
        <v>17.9</v>
      </c>
      <c r="GN72" s="19">
        <v>16.9</v>
      </c>
      <c r="GO72" s="19">
        <v>15.9</v>
      </c>
      <c r="GP72" s="19">
        <v>14.6</v>
      </c>
      <c r="GQ72" s="19">
        <v>13.6</v>
      </c>
      <c r="GR72" s="19">
        <v>12.6</v>
      </c>
      <c r="GS72" s="19">
        <v>11.6</v>
      </c>
    </row>
    <row r="73">
      <c r="A73" s="2" t="s">
        <v>534</v>
      </c>
      <c r="B73" s="2" t="s">
        <v>245</v>
      </c>
      <c r="C73" s="2" t="s">
        <v>246</v>
      </c>
      <c r="D73" s="2" t="s">
        <v>247</v>
      </c>
      <c r="E73" s="2" t="s">
        <v>248</v>
      </c>
      <c r="F73" s="2" t="s">
        <v>500</v>
      </c>
      <c r="G73" s="2" t="s">
        <v>500</v>
      </c>
      <c r="H73" s="2" t="s">
        <v>500</v>
      </c>
      <c r="I73" s="2" t="s">
        <v>501</v>
      </c>
      <c r="J73" s="2" t="s">
        <v>251</v>
      </c>
      <c r="K73" s="2" t="s">
        <v>527</v>
      </c>
      <c r="L73" s="3">
        <v>63</v>
      </c>
      <c r="M73" s="3">
        <v>66.15</v>
      </c>
      <c r="N73" s="3">
        <v>124.99</v>
      </c>
      <c r="O73" s="2" t="s">
        <v>196</v>
      </c>
      <c r="P73" s="2" t="s">
        <v>197</v>
      </c>
      <c r="Q73" s="2" t="s">
        <v>198</v>
      </c>
      <c r="R73" s="2" t="s">
        <v>199</v>
      </c>
      <c r="S73" s="2" t="s">
        <v>528</v>
      </c>
      <c r="T73" s="2" t="s">
        <v>300</v>
      </c>
      <c r="U73" s="2" t="s">
        <v>254</v>
      </c>
      <c r="V73" s="2" t="s">
        <v>202</v>
      </c>
      <c r="W73" s="2" t="s">
        <v>203</v>
      </c>
      <c r="X73" s="2" t="s">
        <v>529</v>
      </c>
      <c r="Y73" s="2" t="s">
        <v>530</v>
      </c>
      <c r="Z73" s="4">
        <v>115</v>
      </c>
      <c r="AA73" s="4">
        <f>=ROUNDDOWN(38.3333333333333,0)</f>
      </c>
      <c r="AB73" s="5">
        <v>3</v>
      </c>
      <c r="AC73" s="2" t="s">
        <v>199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199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199</v>
      </c>
      <c r="AW73" s="8" t="s">
        <v>199</v>
      </c>
      <c r="AX73" s="4" t="s">
        <v>199</v>
      </c>
      <c r="AY73" s="8" t="s">
        <v>199</v>
      </c>
      <c r="AZ73" s="7" t="s">
        <v>199</v>
      </c>
      <c r="BA73" s="7" t="s">
        <v>199</v>
      </c>
      <c r="BB73" s="7"/>
      <c r="BC73" s="4" t="s">
        <v>199</v>
      </c>
      <c r="BD73" s="8" t="s">
        <v>199</v>
      </c>
      <c r="BE73" s="4" t="s">
        <v>199</v>
      </c>
      <c r="BF73" s="8" t="s">
        <v>199</v>
      </c>
      <c r="BG73" s="7" t="s">
        <v>199</v>
      </c>
      <c r="BH73" s="7" t="s">
        <v>199</v>
      </c>
      <c r="BI73" s="7"/>
      <c r="BJ73" s="4">
        <v>19</v>
      </c>
      <c r="BK73" s="8">
        <v>1320.63</v>
      </c>
      <c r="BL73" s="2" t="s">
        <v>535</v>
      </c>
      <c r="BM73" s="7"/>
      <c r="BN73" s="7"/>
      <c r="BO73" s="4"/>
      <c r="BP73" s="8"/>
      <c r="BQ73" s="4"/>
      <c r="BR73" s="8"/>
      <c r="BS73" s="7"/>
      <c r="BT73" s="7"/>
      <c r="BU73" s="2" t="s">
        <v>505</v>
      </c>
      <c r="BV73" s="2" t="s">
        <v>199</v>
      </c>
      <c r="BW73" s="2" t="s">
        <v>199</v>
      </c>
      <c r="BX73" s="2" t="s">
        <v>208</v>
      </c>
      <c r="BY73" s="2" t="s">
        <v>209</v>
      </c>
      <c r="BZ73" s="2" t="s">
        <v>196</v>
      </c>
      <c r="CA73" s="2" t="s">
        <v>532</v>
      </c>
      <c r="CB73" s="2" t="s">
        <v>536</v>
      </c>
      <c r="CC73" s="2" t="s">
        <v>212</v>
      </c>
      <c r="CD73" s="2" t="s">
        <v>199</v>
      </c>
      <c r="CE73" s="4">
        <v>97</v>
      </c>
      <c r="CF73" s="4">
        <v>18</v>
      </c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>
        <v>117</v>
      </c>
      <c r="EU73" s="4">
        <v>112</v>
      </c>
      <c r="EV73" s="4">
        <v>109</v>
      </c>
      <c r="EW73" s="4">
        <v>106</v>
      </c>
      <c r="EX73" s="4">
        <v>103</v>
      </c>
      <c r="EY73" s="4">
        <v>100</v>
      </c>
      <c r="EZ73" s="4">
        <v>97</v>
      </c>
      <c r="FA73" s="4">
        <v>94</v>
      </c>
      <c r="FB73" s="4">
        <v>90</v>
      </c>
      <c r="FC73" s="4">
        <v>87</v>
      </c>
      <c r="FD73" s="4">
        <v>84</v>
      </c>
      <c r="FE73" s="4">
        <v>81</v>
      </c>
      <c r="FF73" s="4">
        <v>78</v>
      </c>
      <c r="FG73" s="4">
        <v>75</v>
      </c>
      <c r="FH73" s="4">
        <v>72</v>
      </c>
      <c r="FI73" s="4">
        <v>69</v>
      </c>
      <c r="FJ73" s="4">
        <v>66</v>
      </c>
      <c r="FK73" s="4">
        <v>63</v>
      </c>
      <c r="FL73" s="4">
        <v>60</v>
      </c>
      <c r="FM73" s="4">
        <v>57</v>
      </c>
      <c r="FN73" s="4">
        <v>54</v>
      </c>
      <c r="FO73" s="4">
        <v>51</v>
      </c>
      <c r="FP73" s="4">
        <v>47</v>
      </c>
      <c r="FQ73" s="4">
        <v>44</v>
      </c>
      <c r="FR73" s="4">
        <v>41</v>
      </c>
      <c r="FS73" s="4">
        <v>38</v>
      </c>
      <c r="FT73" s="19">
        <v>29.3</v>
      </c>
      <c r="FU73" s="19">
        <v>37.3</v>
      </c>
      <c r="FV73" s="19">
        <v>36.3</v>
      </c>
      <c r="FW73" s="19">
        <v>35.3</v>
      </c>
      <c r="FX73" s="19">
        <v>34.3</v>
      </c>
      <c r="FY73" s="19">
        <v>33.3</v>
      </c>
      <c r="FZ73" s="19">
        <v>32.3</v>
      </c>
      <c r="GA73" s="19">
        <v>31.3</v>
      </c>
      <c r="GB73" s="19">
        <v>30</v>
      </c>
      <c r="GC73" s="19">
        <v>29</v>
      </c>
      <c r="GD73" s="19">
        <v>28</v>
      </c>
      <c r="GE73" s="19">
        <v>27</v>
      </c>
      <c r="GF73" s="19">
        <v>26</v>
      </c>
      <c r="GG73" s="19">
        <v>25</v>
      </c>
      <c r="GH73" s="19">
        <v>24</v>
      </c>
      <c r="GI73" s="19">
        <v>23</v>
      </c>
      <c r="GJ73" s="19">
        <v>22</v>
      </c>
      <c r="GK73" s="19">
        <v>21</v>
      </c>
      <c r="GL73" s="19">
        <v>20</v>
      </c>
      <c r="GM73" s="19">
        <v>19</v>
      </c>
      <c r="GN73" s="19">
        <v>18</v>
      </c>
      <c r="GO73" s="19">
        <v>17</v>
      </c>
      <c r="GP73" s="19">
        <v>15.7</v>
      </c>
      <c r="GQ73" s="19">
        <v>14.7</v>
      </c>
      <c r="GR73" s="19">
        <v>13.7</v>
      </c>
      <c r="GS73" s="19">
        <v>12.7</v>
      </c>
    </row>
    <row r="74">
      <c r="A74" s="2" t="s">
        <v>537</v>
      </c>
      <c r="B74" s="2" t="s">
        <v>245</v>
      </c>
      <c r="C74" s="2" t="s">
        <v>246</v>
      </c>
      <c r="D74" s="2" t="s">
        <v>247</v>
      </c>
      <c r="E74" s="2" t="s">
        <v>248</v>
      </c>
      <c r="F74" s="2" t="s">
        <v>500</v>
      </c>
      <c r="G74" s="2" t="s">
        <v>500</v>
      </c>
      <c r="H74" s="2" t="s">
        <v>500</v>
      </c>
      <c r="I74" s="2" t="s">
        <v>501</v>
      </c>
      <c r="J74" s="2" t="s">
        <v>251</v>
      </c>
      <c r="K74" s="2" t="s">
        <v>233</v>
      </c>
      <c r="L74" s="3">
        <v>63</v>
      </c>
      <c r="M74" s="3">
        <v>66.15</v>
      </c>
      <c r="N74" s="3">
        <v>124.99</v>
      </c>
      <c r="O74" s="2" t="s">
        <v>196</v>
      </c>
      <c r="P74" s="2" t="s">
        <v>197</v>
      </c>
      <c r="Q74" s="2" t="s">
        <v>198</v>
      </c>
      <c r="R74" s="2" t="s">
        <v>199</v>
      </c>
      <c r="S74" s="2" t="s">
        <v>538</v>
      </c>
      <c r="T74" s="2" t="s">
        <v>300</v>
      </c>
      <c r="U74" s="2" t="s">
        <v>199</v>
      </c>
      <c r="V74" s="2" t="s">
        <v>202</v>
      </c>
      <c r="W74" s="2" t="s">
        <v>203</v>
      </c>
      <c r="X74" s="2" t="s">
        <v>199</v>
      </c>
      <c r="Y74" s="2" t="s">
        <v>204</v>
      </c>
      <c r="Z74" s="4">
        <v>125</v>
      </c>
      <c r="AA74" s="4">
        <f>=ROUNDDOWN(25,0)</f>
      </c>
      <c r="AB74" s="5">
        <v>5</v>
      </c>
      <c r="AC74" s="2" t="s">
        <v>199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199</v>
      </c>
      <c r="BD74" s="8" t="s">
        <v>199</v>
      </c>
      <c r="BE74" s="4" t="s">
        <v>199</v>
      </c>
      <c r="BF74" s="8" t="s">
        <v>199</v>
      </c>
      <c r="BG74" s="7" t="s">
        <v>199</v>
      </c>
      <c r="BH74" s="7" t="s">
        <v>199</v>
      </c>
      <c r="BI74" s="7"/>
      <c r="BJ74" s="4">
        <v>20</v>
      </c>
      <c r="BK74" s="8">
        <v>1507.3</v>
      </c>
      <c r="BL74" s="2" t="s">
        <v>539</v>
      </c>
      <c r="BM74" s="7"/>
      <c r="BN74" s="7"/>
      <c r="BO74" s="4"/>
      <c r="BP74" s="8"/>
      <c r="BQ74" s="4"/>
      <c r="BR74" s="8"/>
      <c r="BS74" s="7"/>
      <c r="BT74" s="7"/>
      <c r="BU74" s="2" t="s">
        <v>505</v>
      </c>
      <c r="BV74" s="2" t="s">
        <v>199</v>
      </c>
      <c r="BW74" s="2" t="s">
        <v>199</v>
      </c>
      <c r="BX74" s="2" t="s">
        <v>208</v>
      </c>
      <c r="BY74" s="2" t="s">
        <v>209</v>
      </c>
      <c r="BZ74" s="2" t="s">
        <v>196</v>
      </c>
      <c r="CA74" s="2" t="s">
        <v>210</v>
      </c>
      <c r="CB74" s="2" t="s">
        <v>540</v>
      </c>
      <c r="CC74" s="2" t="s">
        <v>212</v>
      </c>
      <c r="CD74" s="2" t="s">
        <v>199</v>
      </c>
      <c r="CE74" s="4">
        <v>72</v>
      </c>
      <c r="CF74" s="4">
        <v>3</v>
      </c>
      <c r="CG74" s="4"/>
      <c r="CH74" s="4"/>
      <c r="CI74" s="4"/>
      <c r="CJ74" s="4"/>
      <c r="CK74" s="4"/>
      <c r="CL74" s="4">
        <v>50</v>
      </c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>
        <v>129</v>
      </c>
      <c r="EU74" s="4">
        <v>120</v>
      </c>
      <c r="EV74" s="4">
        <v>115</v>
      </c>
      <c r="EW74" s="4">
        <v>110</v>
      </c>
      <c r="EX74" s="4">
        <v>105</v>
      </c>
      <c r="EY74" s="4">
        <v>100</v>
      </c>
      <c r="EZ74" s="4">
        <v>95</v>
      </c>
      <c r="FA74" s="4">
        <v>90</v>
      </c>
      <c r="FB74" s="4">
        <v>84</v>
      </c>
      <c r="FC74" s="4">
        <v>79</v>
      </c>
      <c r="FD74" s="4">
        <v>74</v>
      </c>
      <c r="FE74" s="4">
        <v>69</v>
      </c>
      <c r="FF74" s="4">
        <v>64</v>
      </c>
      <c r="FG74" s="4">
        <v>59</v>
      </c>
      <c r="FH74" s="4">
        <v>54</v>
      </c>
      <c r="FI74" s="4">
        <v>49</v>
      </c>
      <c r="FJ74" s="4">
        <v>44</v>
      </c>
      <c r="FK74" s="4">
        <v>39</v>
      </c>
      <c r="FL74" s="4">
        <v>34</v>
      </c>
      <c r="FM74" s="4">
        <v>29</v>
      </c>
      <c r="FN74" s="4">
        <v>24</v>
      </c>
      <c r="FO74" s="4">
        <v>19</v>
      </c>
      <c r="FP74" s="4">
        <v>13</v>
      </c>
      <c r="FQ74" s="4">
        <v>45</v>
      </c>
      <c r="FR74" s="4">
        <v>40</v>
      </c>
      <c r="FS74" s="4">
        <v>35</v>
      </c>
      <c r="FT74" s="19">
        <v>21.5</v>
      </c>
      <c r="FU74" s="19">
        <v>24</v>
      </c>
      <c r="FV74" s="19">
        <v>23</v>
      </c>
      <c r="FW74" s="19">
        <v>22</v>
      </c>
      <c r="FX74" s="19">
        <v>21</v>
      </c>
      <c r="FY74" s="19">
        <v>20</v>
      </c>
      <c r="FZ74" s="19">
        <v>19</v>
      </c>
      <c r="GA74" s="19">
        <v>18</v>
      </c>
      <c r="GB74" s="19">
        <v>16.8</v>
      </c>
      <c r="GC74" s="19">
        <v>15.8</v>
      </c>
      <c r="GD74" s="19">
        <v>14.8</v>
      </c>
      <c r="GE74" s="19">
        <v>13.8</v>
      </c>
      <c r="GF74" s="19">
        <v>12.8</v>
      </c>
      <c r="GG74" s="19">
        <v>11.8</v>
      </c>
      <c r="GH74" s="19">
        <v>10.8</v>
      </c>
      <c r="GI74" s="19">
        <v>9.8</v>
      </c>
      <c r="GJ74" s="19">
        <v>8.8</v>
      </c>
      <c r="GK74" s="19">
        <v>7.8</v>
      </c>
      <c r="GL74" s="19">
        <v>6.8</v>
      </c>
      <c r="GM74" s="19">
        <v>5.8</v>
      </c>
      <c r="GN74" s="19">
        <v>4.8</v>
      </c>
      <c r="GO74" s="19">
        <v>3.8</v>
      </c>
      <c r="GP74" s="19">
        <v>2.6</v>
      </c>
      <c r="GQ74" s="19">
        <v>9</v>
      </c>
      <c r="GR74" s="19">
        <v>8</v>
      </c>
      <c r="GS74" s="19">
        <v>7</v>
      </c>
    </row>
    <row r="75">
      <c r="A75" s="2" t="s">
        <v>541</v>
      </c>
      <c r="B75" s="2" t="s">
        <v>245</v>
      </c>
      <c r="C75" s="2" t="s">
        <v>246</v>
      </c>
      <c r="D75" s="2" t="s">
        <v>247</v>
      </c>
      <c r="E75" s="2" t="s">
        <v>248</v>
      </c>
      <c r="F75" s="2" t="s">
        <v>542</v>
      </c>
      <c r="G75" s="2" t="s">
        <v>542</v>
      </c>
      <c r="H75" s="2" t="s">
        <v>542</v>
      </c>
      <c r="I75" s="2" t="s">
        <v>543</v>
      </c>
      <c r="J75" s="2" t="s">
        <v>251</v>
      </c>
      <c r="K75" s="2" t="s">
        <v>544</v>
      </c>
      <c r="L75" s="3">
        <v>39.84</v>
      </c>
      <c r="M75" s="3">
        <v>41.83</v>
      </c>
      <c r="N75" s="3">
        <v>82.99</v>
      </c>
      <c r="O75" s="2" t="s">
        <v>196</v>
      </c>
      <c r="P75" s="2" t="s">
        <v>197</v>
      </c>
      <c r="Q75" s="2" t="s">
        <v>198</v>
      </c>
      <c r="R75" s="2" t="s">
        <v>199</v>
      </c>
      <c r="S75" s="2" t="s">
        <v>545</v>
      </c>
      <c r="T75" s="2" t="s">
        <v>235</v>
      </c>
      <c r="U75" s="2" t="s">
        <v>546</v>
      </c>
      <c r="V75" s="2" t="s">
        <v>202</v>
      </c>
      <c r="W75" s="2" t="s">
        <v>203</v>
      </c>
      <c r="X75" s="2" t="s">
        <v>199</v>
      </c>
      <c r="Y75" s="2" t="s">
        <v>547</v>
      </c>
      <c r="Z75" s="4">
        <v>94</v>
      </c>
      <c r="AA75" s="4">
        <f>=ROUNDDOWN(31.3333333333333,0)</f>
      </c>
      <c r="AB75" s="5">
        <v>3</v>
      </c>
      <c r="AC75" s="2" t="s">
        <v>548</v>
      </c>
      <c r="AD75" s="4">
        <v>20</v>
      </c>
      <c r="AE75" s="4">
        <v>20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32</v>
      </c>
      <c r="BK75" s="8">
        <v>1394.38</v>
      </c>
      <c r="BL75" s="2" t="s">
        <v>549</v>
      </c>
      <c r="BM75" s="7"/>
      <c r="BN75" s="7"/>
      <c r="BO75" s="4"/>
      <c r="BP75" s="8"/>
      <c r="BQ75" s="4"/>
      <c r="BR75" s="8"/>
      <c r="BS75" s="7"/>
      <c r="BT75" s="7"/>
      <c r="BU75" s="2" t="s">
        <v>550</v>
      </c>
      <c r="BV75" s="2" t="s">
        <v>199</v>
      </c>
      <c r="BW75" s="2" t="s">
        <v>199</v>
      </c>
      <c r="BX75" s="2" t="s">
        <v>208</v>
      </c>
      <c r="BY75" s="2" t="s">
        <v>209</v>
      </c>
      <c r="BZ75" s="2" t="s">
        <v>196</v>
      </c>
      <c r="CA75" s="2" t="s">
        <v>551</v>
      </c>
      <c r="CB75" s="2" t="s">
        <v>552</v>
      </c>
      <c r="CC75" s="2" t="s">
        <v>212</v>
      </c>
      <c r="CD75" s="2" t="s">
        <v>199</v>
      </c>
      <c r="CE75" s="4">
        <v>94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>
        <v>20</v>
      </c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>
        <v>95</v>
      </c>
      <c r="EU75" s="4">
        <v>92</v>
      </c>
      <c r="EV75" s="4">
        <v>89</v>
      </c>
      <c r="EW75" s="4">
        <v>86</v>
      </c>
      <c r="EX75" s="4">
        <v>83</v>
      </c>
      <c r="EY75" s="4">
        <v>80</v>
      </c>
      <c r="EZ75" s="4">
        <v>77</v>
      </c>
      <c r="FA75" s="4">
        <v>74</v>
      </c>
      <c r="FB75" s="4">
        <v>70</v>
      </c>
      <c r="FC75" s="4">
        <v>67</v>
      </c>
      <c r="FD75" s="4">
        <v>64</v>
      </c>
      <c r="FE75" s="4">
        <v>61</v>
      </c>
      <c r="FF75" s="4">
        <v>78</v>
      </c>
      <c r="FG75" s="4">
        <v>75</v>
      </c>
      <c r="FH75" s="4">
        <v>72</v>
      </c>
      <c r="FI75" s="4">
        <v>69</v>
      </c>
      <c r="FJ75" s="4">
        <v>66</v>
      </c>
      <c r="FK75" s="4">
        <v>63</v>
      </c>
      <c r="FL75" s="4">
        <v>60</v>
      </c>
      <c r="FM75" s="4">
        <v>57</v>
      </c>
      <c r="FN75" s="4">
        <v>54</v>
      </c>
      <c r="FO75" s="4">
        <v>51</v>
      </c>
      <c r="FP75" s="4">
        <v>47</v>
      </c>
      <c r="FQ75" s="4">
        <v>44</v>
      </c>
      <c r="FR75" s="4">
        <v>41</v>
      </c>
      <c r="FS75" s="4">
        <v>38</v>
      </c>
      <c r="FT75" s="19">
        <v>31.7</v>
      </c>
      <c r="FU75" s="19">
        <v>30.7</v>
      </c>
      <c r="FV75" s="19">
        <v>29.7</v>
      </c>
      <c r="FW75" s="19">
        <v>28.7</v>
      </c>
      <c r="FX75" s="19">
        <v>27.7</v>
      </c>
      <c r="FY75" s="19">
        <v>26.7</v>
      </c>
      <c r="FZ75" s="19">
        <v>25.7</v>
      </c>
      <c r="GA75" s="19">
        <v>24.7</v>
      </c>
      <c r="GB75" s="19">
        <v>23.3</v>
      </c>
      <c r="GC75" s="19">
        <v>22.3</v>
      </c>
      <c r="GD75" s="19">
        <v>21.3</v>
      </c>
      <c r="GE75" s="19">
        <v>20.3</v>
      </c>
      <c r="GF75" s="19">
        <v>26</v>
      </c>
      <c r="GG75" s="19">
        <v>25</v>
      </c>
      <c r="GH75" s="19">
        <v>24</v>
      </c>
      <c r="GI75" s="19">
        <v>23</v>
      </c>
      <c r="GJ75" s="19">
        <v>22</v>
      </c>
      <c r="GK75" s="19">
        <v>21</v>
      </c>
      <c r="GL75" s="19">
        <v>20</v>
      </c>
      <c r="GM75" s="19">
        <v>19</v>
      </c>
      <c r="GN75" s="19">
        <v>18</v>
      </c>
      <c r="GO75" s="19">
        <v>17</v>
      </c>
      <c r="GP75" s="19">
        <v>15.7</v>
      </c>
      <c r="GQ75" s="19">
        <v>14.7</v>
      </c>
      <c r="GR75" s="19">
        <v>13.7</v>
      </c>
      <c r="GS75" s="19">
        <v>12.7</v>
      </c>
    </row>
    <row r="76">
      <c r="A76" s="2" t="s">
        <v>553</v>
      </c>
      <c r="B76" s="2" t="s">
        <v>554</v>
      </c>
      <c r="C76" s="2" t="s">
        <v>246</v>
      </c>
      <c r="D76" s="2" t="s">
        <v>555</v>
      </c>
      <c r="E76" s="2" t="s">
        <v>556</v>
      </c>
      <c r="F76" s="2" t="s">
        <v>557</v>
      </c>
      <c r="G76" s="2" t="s">
        <v>557</v>
      </c>
      <c r="H76" s="2" t="s">
        <v>557</v>
      </c>
      <c r="I76" s="2" t="s">
        <v>558</v>
      </c>
      <c r="J76" s="2" t="s">
        <v>559</v>
      </c>
      <c r="K76" s="2" t="s">
        <v>560</v>
      </c>
      <c r="L76" s="3">
        <v>42.43</v>
      </c>
      <c r="M76" s="3">
        <v>44.55</v>
      </c>
      <c r="N76" s="3">
        <v>89.99</v>
      </c>
      <c r="O76" s="2" t="s">
        <v>196</v>
      </c>
      <c r="P76" s="2" t="s">
        <v>197</v>
      </c>
      <c r="Q76" s="2" t="s">
        <v>198</v>
      </c>
      <c r="R76" s="2" t="s">
        <v>199</v>
      </c>
      <c r="S76" s="2" t="s">
        <v>561</v>
      </c>
      <c r="T76" s="2" t="s">
        <v>199</v>
      </c>
      <c r="U76" s="2" t="s">
        <v>280</v>
      </c>
      <c r="V76" s="2" t="s">
        <v>562</v>
      </c>
      <c r="W76" s="2" t="s">
        <v>510</v>
      </c>
      <c r="X76" s="2" t="s">
        <v>199</v>
      </c>
      <c r="Y76" s="2" t="s">
        <v>563</v>
      </c>
      <c r="Z76" s="4">
        <v>96</v>
      </c>
      <c r="AA76" s="4">
        <f>=ROUNDDOWN(16,0)</f>
      </c>
      <c r="AB76" s="5">
        <v>6</v>
      </c>
      <c r="AC76" s="2" t="s">
        <v>564</v>
      </c>
      <c r="AD76" s="4">
        <v>100</v>
      </c>
      <c r="AE76" s="4">
        <v>100</v>
      </c>
      <c r="AF76" s="6">
        <v>61</v>
      </c>
      <c r="AG76" s="6"/>
      <c r="AH76" s="7">
        <v>0.4516</v>
      </c>
      <c r="AI76" s="4"/>
      <c r="AJ76" s="4">
        <f>=ROUNDDOWN({0},0)</f>
      </c>
      <c r="AK76" s="5"/>
      <c r="AL76" s="2" t="s">
        <v>199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5</v>
      </c>
      <c r="BK76" s="8">
        <v>225.56</v>
      </c>
      <c r="BL76" s="2" t="s">
        <v>565</v>
      </c>
      <c r="BM76" s="7"/>
      <c r="BN76" s="7"/>
      <c r="BO76" s="4"/>
      <c r="BP76" s="8"/>
      <c r="BQ76" s="4"/>
      <c r="BR76" s="8"/>
      <c r="BS76" s="7"/>
      <c r="BT76" s="7"/>
      <c r="BU76" s="2" t="s">
        <v>566</v>
      </c>
      <c r="BV76" s="2" t="s">
        <v>199</v>
      </c>
      <c r="BW76" s="2" t="s">
        <v>199</v>
      </c>
      <c r="BX76" s="2" t="s">
        <v>208</v>
      </c>
      <c r="BY76" s="2" t="s">
        <v>209</v>
      </c>
      <c r="BZ76" s="2" t="s">
        <v>196</v>
      </c>
      <c r="CA76" s="2" t="s">
        <v>567</v>
      </c>
      <c r="CB76" s="2" t="s">
        <v>568</v>
      </c>
      <c r="CC76" s="2" t="s">
        <v>212</v>
      </c>
      <c r="CD76" s="2" t="s">
        <v>199</v>
      </c>
      <c r="CE76" s="4"/>
      <c r="CF76" s="4">
        <v>96</v>
      </c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>
        <v>100</v>
      </c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>
        <v>98</v>
      </c>
      <c r="EU76" s="4">
        <v>89</v>
      </c>
      <c r="EV76" s="4">
        <v>83</v>
      </c>
      <c r="EW76" s="4">
        <v>77</v>
      </c>
      <c r="EX76" s="4">
        <v>71</v>
      </c>
      <c r="EY76" s="4">
        <v>65</v>
      </c>
      <c r="EZ76" s="4">
        <v>59</v>
      </c>
      <c r="FA76" s="4">
        <v>53</v>
      </c>
      <c r="FB76" s="4">
        <v>146</v>
      </c>
      <c r="FC76" s="4">
        <v>140</v>
      </c>
      <c r="FD76" s="4">
        <v>134</v>
      </c>
      <c r="FE76" s="4">
        <v>128</v>
      </c>
      <c r="FF76" s="4">
        <v>122</v>
      </c>
      <c r="FG76" s="4">
        <v>116</v>
      </c>
      <c r="FH76" s="4">
        <v>110</v>
      </c>
      <c r="FI76" s="4">
        <v>104</v>
      </c>
      <c r="FJ76" s="4">
        <v>98</v>
      </c>
      <c r="FK76" s="4">
        <v>92</v>
      </c>
      <c r="FL76" s="4">
        <v>86</v>
      </c>
      <c r="FM76" s="4">
        <v>80</v>
      </c>
      <c r="FN76" s="4">
        <v>74</v>
      </c>
      <c r="FO76" s="4">
        <v>68</v>
      </c>
      <c r="FP76" s="4">
        <v>61</v>
      </c>
      <c r="FQ76" s="4">
        <v>55</v>
      </c>
      <c r="FR76" s="4">
        <v>49</v>
      </c>
      <c r="FS76" s="4">
        <v>43</v>
      </c>
      <c r="FT76" s="19">
        <v>14</v>
      </c>
      <c r="FU76" s="19">
        <v>14.8</v>
      </c>
      <c r="FV76" s="19">
        <v>13.8</v>
      </c>
      <c r="FW76" s="19">
        <v>12.8</v>
      </c>
      <c r="FX76" s="19">
        <v>11.8</v>
      </c>
      <c r="FY76" s="19">
        <v>10.8</v>
      </c>
      <c r="FZ76" s="19">
        <v>9.8</v>
      </c>
      <c r="GA76" s="19">
        <v>8.8</v>
      </c>
      <c r="GB76" s="19">
        <v>24.3</v>
      </c>
      <c r="GC76" s="19">
        <v>23.3</v>
      </c>
      <c r="GD76" s="19">
        <v>22.3</v>
      </c>
      <c r="GE76" s="19">
        <v>21.3</v>
      </c>
      <c r="GF76" s="19">
        <v>20.3</v>
      </c>
      <c r="GG76" s="19">
        <v>19.3</v>
      </c>
      <c r="GH76" s="19">
        <v>18.3</v>
      </c>
      <c r="GI76" s="19">
        <v>17.3</v>
      </c>
      <c r="GJ76" s="19">
        <v>16.3</v>
      </c>
      <c r="GK76" s="19">
        <v>15.3</v>
      </c>
      <c r="GL76" s="19">
        <v>14.3</v>
      </c>
      <c r="GM76" s="19">
        <v>13.3</v>
      </c>
      <c r="GN76" s="19">
        <v>12.3</v>
      </c>
      <c r="GO76" s="19">
        <v>11.3</v>
      </c>
      <c r="GP76" s="19">
        <v>10.2</v>
      </c>
      <c r="GQ76" s="19">
        <v>9.2</v>
      </c>
      <c r="GR76" s="19">
        <v>8.2</v>
      </c>
      <c r="GS76" s="19">
        <v>7.2</v>
      </c>
    </row>
    <row r="77">
      <c r="A77" s="2" t="s">
        <v>569</v>
      </c>
      <c r="B77" s="2" t="s">
        <v>570</v>
      </c>
      <c r="C77" s="2" t="s">
        <v>571</v>
      </c>
      <c r="D77" s="2" t="s">
        <v>572</v>
      </c>
      <c r="E77" s="2" t="s">
        <v>573</v>
      </c>
      <c r="F77" s="2" t="s">
        <v>574</v>
      </c>
      <c r="G77" s="2" t="s">
        <v>574</v>
      </c>
      <c r="H77" s="2" t="s">
        <v>574</v>
      </c>
      <c r="I77" s="2" t="s">
        <v>575</v>
      </c>
      <c r="J77" s="2" t="s">
        <v>576</v>
      </c>
      <c r="K77" s="2" t="s">
        <v>360</v>
      </c>
      <c r="L77" s="3">
        <v>22</v>
      </c>
      <c r="M77" s="3">
        <v>23.1</v>
      </c>
      <c r="N77" s="3">
        <v>49.99</v>
      </c>
      <c r="O77" s="2" t="s">
        <v>196</v>
      </c>
      <c r="P77" s="2" t="s">
        <v>197</v>
      </c>
      <c r="Q77" s="2" t="s">
        <v>198</v>
      </c>
      <c r="R77" s="2" t="s">
        <v>199</v>
      </c>
      <c r="S77" s="2" t="s">
        <v>577</v>
      </c>
      <c r="T77" s="2" t="s">
        <v>300</v>
      </c>
      <c r="U77" s="2" t="s">
        <v>546</v>
      </c>
      <c r="V77" s="2" t="s">
        <v>202</v>
      </c>
      <c r="W77" s="2" t="s">
        <v>203</v>
      </c>
      <c r="X77" s="2" t="s">
        <v>199</v>
      </c>
      <c r="Y77" s="2" t="s">
        <v>578</v>
      </c>
      <c r="Z77" s="4">
        <v>641</v>
      </c>
      <c r="AA77" s="4">
        <f>=ROUNDDOWN(58.2727272727273,0)</f>
      </c>
      <c r="AB77" s="5">
        <v>11</v>
      </c>
      <c r="AC77" s="2" t="s">
        <v>199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199</v>
      </c>
      <c r="BD77" s="8" t="s">
        <v>199</v>
      </c>
      <c r="BE77" s="4" t="s">
        <v>199</v>
      </c>
      <c r="BF77" s="8" t="s">
        <v>199</v>
      </c>
      <c r="BG77" s="7" t="s">
        <v>199</v>
      </c>
      <c r="BH77" s="7" t="s">
        <v>199</v>
      </c>
      <c r="BI77" s="7"/>
      <c r="BJ77" s="4">
        <v>39</v>
      </c>
      <c r="BK77" s="8">
        <v>931.04</v>
      </c>
      <c r="BL77" s="2" t="s">
        <v>579</v>
      </c>
      <c r="BM77" s="7"/>
      <c r="BN77" s="7"/>
      <c r="BO77" s="4"/>
      <c r="BP77" s="8"/>
      <c r="BQ77" s="4"/>
      <c r="BR77" s="8"/>
      <c r="BS77" s="7"/>
      <c r="BT77" s="7"/>
      <c r="BU77" s="2" t="s">
        <v>580</v>
      </c>
      <c r="BV77" s="2" t="s">
        <v>199</v>
      </c>
      <c r="BW77" s="2" t="s">
        <v>199</v>
      </c>
      <c r="BX77" s="2" t="s">
        <v>208</v>
      </c>
      <c r="BY77" s="2" t="s">
        <v>209</v>
      </c>
      <c r="BZ77" s="2" t="s">
        <v>196</v>
      </c>
      <c r="CA77" s="2" t="s">
        <v>581</v>
      </c>
      <c r="CB77" s="2" t="s">
        <v>582</v>
      </c>
      <c r="CC77" s="2" t="s">
        <v>212</v>
      </c>
      <c r="CD77" s="2" t="s">
        <v>199</v>
      </c>
      <c r="CE77" s="4">
        <v>641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>
        <v>643</v>
      </c>
      <c r="EU77" s="4">
        <v>630</v>
      </c>
      <c r="EV77" s="4">
        <v>619</v>
      </c>
      <c r="EW77" s="4">
        <v>608</v>
      </c>
      <c r="EX77" s="4">
        <v>597</v>
      </c>
      <c r="EY77" s="4">
        <v>586</v>
      </c>
      <c r="EZ77" s="4">
        <v>575</v>
      </c>
      <c r="FA77" s="4">
        <v>564</v>
      </c>
      <c r="FB77" s="4">
        <v>552</v>
      </c>
      <c r="FC77" s="4">
        <v>541</v>
      </c>
      <c r="FD77" s="4">
        <v>530</v>
      </c>
      <c r="FE77" s="4">
        <v>519</v>
      </c>
      <c r="FF77" s="4">
        <v>508</v>
      </c>
      <c r="FG77" s="4">
        <v>497</v>
      </c>
      <c r="FH77" s="4">
        <v>486</v>
      </c>
      <c r="FI77" s="4">
        <v>475</v>
      </c>
      <c r="FJ77" s="4">
        <v>464</v>
      </c>
      <c r="FK77" s="4">
        <v>453</v>
      </c>
      <c r="FL77" s="4">
        <v>442</v>
      </c>
      <c r="FM77" s="4">
        <v>431</v>
      </c>
      <c r="FN77" s="4">
        <v>420</v>
      </c>
      <c r="FO77" s="4">
        <v>409</v>
      </c>
      <c r="FP77" s="4">
        <v>397</v>
      </c>
      <c r="FQ77" s="4">
        <v>386</v>
      </c>
      <c r="FR77" s="4">
        <v>375</v>
      </c>
      <c r="FS77" s="4">
        <v>364</v>
      </c>
      <c r="FT77" s="19">
        <v>53.6</v>
      </c>
      <c r="FU77" s="19">
        <v>57.3</v>
      </c>
      <c r="FV77" s="19">
        <v>56.3</v>
      </c>
      <c r="FW77" s="19">
        <v>55.3</v>
      </c>
      <c r="FX77" s="19">
        <v>54.3</v>
      </c>
      <c r="FY77" s="19">
        <v>53.3</v>
      </c>
      <c r="FZ77" s="19">
        <v>52.3</v>
      </c>
      <c r="GA77" s="19">
        <v>51.3</v>
      </c>
      <c r="GB77" s="19">
        <v>50.2</v>
      </c>
      <c r="GC77" s="19">
        <v>49.2</v>
      </c>
      <c r="GD77" s="19">
        <v>48.2</v>
      </c>
      <c r="GE77" s="19">
        <v>47.2</v>
      </c>
      <c r="GF77" s="19">
        <v>46.2</v>
      </c>
      <c r="GG77" s="19">
        <v>45.2</v>
      </c>
      <c r="GH77" s="19">
        <v>44.2</v>
      </c>
      <c r="GI77" s="19">
        <v>43.2</v>
      </c>
      <c r="GJ77" s="19">
        <v>42.2</v>
      </c>
      <c r="GK77" s="19">
        <v>41.2</v>
      </c>
      <c r="GL77" s="19">
        <v>40.2</v>
      </c>
      <c r="GM77" s="19">
        <v>39.2</v>
      </c>
      <c r="GN77" s="19">
        <v>38.2</v>
      </c>
      <c r="GO77" s="19">
        <v>37.2</v>
      </c>
      <c r="GP77" s="19">
        <v>36.1</v>
      </c>
      <c r="GQ77" s="19">
        <v>32.2</v>
      </c>
      <c r="GR77" s="19">
        <v>26.8</v>
      </c>
      <c r="GS77" s="19">
        <v>22.8</v>
      </c>
    </row>
    <row r="78">
      <c r="A78" s="2" t="s">
        <v>583</v>
      </c>
      <c r="B78" s="2" t="s">
        <v>570</v>
      </c>
      <c r="C78" s="2" t="s">
        <v>571</v>
      </c>
      <c r="D78" s="2" t="s">
        <v>572</v>
      </c>
      <c r="E78" s="2" t="s">
        <v>573</v>
      </c>
      <c r="F78" s="2" t="s">
        <v>574</v>
      </c>
      <c r="G78" s="2" t="s">
        <v>574</v>
      </c>
      <c r="H78" s="2" t="s">
        <v>574</v>
      </c>
      <c r="I78" s="2" t="s">
        <v>575</v>
      </c>
      <c r="J78" s="2" t="s">
        <v>576</v>
      </c>
      <c r="K78" s="2" t="s">
        <v>584</v>
      </c>
      <c r="L78" s="3">
        <v>22</v>
      </c>
      <c r="M78" s="3">
        <v>23.1</v>
      </c>
      <c r="N78" s="3">
        <v>49.99</v>
      </c>
      <c r="O78" s="2" t="s">
        <v>196</v>
      </c>
      <c r="P78" s="2" t="s">
        <v>197</v>
      </c>
      <c r="Q78" s="2" t="s">
        <v>198</v>
      </c>
      <c r="R78" s="2" t="s">
        <v>199</v>
      </c>
      <c r="S78" s="2" t="s">
        <v>585</v>
      </c>
      <c r="T78" s="2" t="s">
        <v>300</v>
      </c>
      <c r="U78" s="2" t="s">
        <v>546</v>
      </c>
      <c r="V78" s="2" t="s">
        <v>202</v>
      </c>
      <c r="W78" s="2" t="s">
        <v>203</v>
      </c>
      <c r="X78" s="2" t="s">
        <v>199</v>
      </c>
      <c r="Y78" s="2" t="s">
        <v>578</v>
      </c>
      <c r="Z78" s="4">
        <v>515</v>
      </c>
      <c r="AA78" s="4">
        <f>=ROUNDDOWN(64.375,0)</f>
      </c>
      <c r="AB78" s="5">
        <v>8</v>
      </c>
      <c r="AC78" s="2" t="s">
        <v>199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199</v>
      </c>
      <c r="BD78" s="8" t="s">
        <v>199</v>
      </c>
      <c r="BE78" s="4" t="s">
        <v>199</v>
      </c>
      <c r="BF78" s="8" t="s">
        <v>199</v>
      </c>
      <c r="BG78" s="7" t="s">
        <v>199</v>
      </c>
      <c r="BH78" s="7" t="s">
        <v>199</v>
      </c>
      <c r="BI78" s="7"/>
      <c r="BJ78" s="4">
        <v>30</v>
      </c>
      <c r="BK78" s="8">
        <v>703.43</v>
      </c>
      <c r="BL78" s="2" t="s">
        <v>586</v>
      </c>
      <c r="BM78" s="7"/>
      <c r="BN78" s="7"/>
      <c r="BO78" s="4"/>
      <c r="BP78" s="8"/>
      <c r="BQ78" s="4"/>
      <c r="BR78" s="8"/>
      <c r="BS78" s="7"/>
      <c r="BT78" s="7"/>
      <c r="BU78" s="2" t="s">
        <v>580</v>
      </c>
      <c r="BV78" s="2" t="s">
        <v>199</v>
      </c>
      <c r="BW78" s="2" t="s">
        <v>199</v>
      </c>
      <c r="BX78" s="2" t="s">
        <v>208</v>
      </c>
      <c r="BY78" s="2" t="s">
        <v>209</v>
      </c>
      <c r="BZ78" s="2" t="s">
        <v>196</v>
      </c>
      <c r="CA78" s="2" t="s">
        <v>581</v>
      </c>
      <c r="CB78" s="2" t="s">
        <v>199</v>
      </c>
      <c r="CC78" s="2" t="s">
        <v>212</v>
      </c>
      <c r="CD78" s="2" t="s">
        <v>199</v>
      </c>
      <c r="CE78" s="4">
        <v>515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>
        <v>517</v>
      </c>
      <c r="EU78" s="4">
        <v>505</v>
      </c>
      <c r="EV78" s="4">
        <v>497</v>
      </c>
      <c r="EW78" s="4">
        <v>489</v>
      </c>
      <c r="EX78" s="4">
        <v>481</v>
      </c>
      <c r="EY78" s="4">
        <v>473</v>
      </c>
      <c r="EZ78" s="4">
        <v>465</v>
      </c>
      <c r="FA78" s="4">
        <v>457</v>
      </c>
      <c r="FB78" s="4">
        <v>448</v>
      </c>
      <c r="FC78" s="4">
        <v>440</v>
      </c>
      <c r="FD78" s="4">
        <v>432</v>
      </c>
      <c r="FE78" s="4">
        <v>424</v>
      </c>
      <c r="FF78" s="4">
        <v>416</v>
      </c>
      <c r="FG78" s="4">
        <v>408</v>
      </c>
      <c r="FH78" s="4">
        <v>400</v>
      </c>
      <c r="FI78" s="4">
        <v>392</v>
      </c>
      <c r="FJ78" s="4">
        <v>384</v>
      </c>
      <c r="FK78" s="4">
        <v>376</v>
      </c>
      <c r="FL78" s="4">
        <v>368</v>
      </c>
      <c r="FM78" s="4">
        <v>360</v>
      </c>
      <c r="FN78" s="4">
        <v>352</v>
      </c>
      <c r="FO78" s="4">
        <v>344</v>
      </c>
      <c r="FP78" s="4">
        <v>335</v>
      </c>
      <c r="FQ78" s="4">
        <v>327</v>
      </c>
      <c r="FR78" s="4">
        <v>319</v>
      </c>
      <c r="FS78" s="4">
        <v>311</v>
      </c>
      <c r="FT78" s="19">
        <v>57.4</v>
      </c>
      <c r="FU78" s="19">
        <v>63.1</v>
      </c>
      <c r="FV78" s="19">
        <v>62.1</v>
      </c>
      <c r="FW78" s="19">
        <v>61.1</v>
      </c>
      <c r="FX78" s="19">
        <v>60.1</v>
      </c>
      <c r="FY78" s="19">
        <v>59.1</v>
      </c>
      <c r="FZ78" s="19">
        <v>58.1</v>
      </c>
      <c r="GA78" s="19">
        <v>57.1</v>
      </c>
      <c r="GB78" s="19">
        <v>56</v>
      </c>
      <c r="GC78" s="19">
        <v>55</v>
      </c>
      <c r="GD78" s="19">
        <v>54</v>
      </c>
      <c r="GE78" s="19">
        <v>53</v>
      </c>
      <c r="GF78" s="19">
        <v>52</v>
      </c>
      <c r="GG78" s="19">
        <v>51</v>
      </c>
      <c r="GH78" s="19">
        <v>50</v>
      </c>
      <c r="GI78" s="19">
        <v>49</v>
      </c>
      <c r="GJ78" s="19">
        <v>48</v>
      </c>
      <c r="GK78" s="19">
        <v>47</v>
      </c>
      <c r="GL78" s="19">
        <v>46</v>
      </c>
      <c r="GM78" s="19">
        <v>45</v>
      </c>
      <c r="GN78" s="19">
        <v>44</v>
      </c>
      <c r="GO78" s="19">
        <v>43</v>
      </c>
      <c r="GP78" s="19">
        <v>41.9</v>
      </c>
      <c r="GQ78" s="19">
        <v>36.3</v>
      </c>
      <c r="GR78" s="19">
        <v>31.9</v>
      </c>
      <c r="GS78" s="19">
        <v>28.3</v>
      </c>
    </row>
    <row r="79">
      <c r="A79" s="2" t="s">
        <v>587</v>
      </c>
      <c r="B79" s="2" t="s">
        <v>570</v>
      </c>
      <c r="C79" s="2" t="s">
        <v>571</v>
      </c>
      <c r="D79" s="2" t="s">
        <v>572</v>
      </c>
      <c r="E79" s="2" t="s">
        <v>573</v>
      </c>
      <c r="F79" s="2" t="s">
        <v>574</v>
      </c>
      <c r="G79" s="2" t="s">
        <v>574</v>
      </c>
      <c r="H79" s="2" t="s">
        <v>574</v>
      </c>
      <c r="I79" s="2" t="s">
        <v>575</v>
      </c>
      <c r="J79" s="2" t="s">
        <v>576</v>
      </c>
      <c r="K79" s="2" t="s">
        <v>233</v>
      </c>
      <c r="L79" s="3">
        <v>22</v>
      </c>
      <c r="M79" s="3">
        <v>23.1</v>
      </c>
      <c r="N79" s="3">
        <v>49.99</v>
      </c>
      <c r="O79" s="2" t="s">
        <v>196</v>
      </c>
      <c r="P79" s="2" t="s">
        <v>197</v>
      </c>
      <c r="Q79" s="2" t="s">
        <v>198</v>
      </c>
      <c r="R79" s="2" t="s">
        <v>199</v>
      </c>
      <c r="S79" s="2" t="s">
        <v>588</v>
      </c>
      <c r="T79" s="2" t="s">
        <v>300</v>
      </c>
      <c r="U79" s="2" t="s">
        <v>546</v>
      </c>
      <c r="V79" s="2" t="s">
        <v>202</v>
      </c>
      <c r="W79" s="2" t="s">
        <v>203</v>
      </c>
      <c r="X79" s="2" t="s">
        <v>199</v>
      </c>
      <c r="Y79" s="2" t="s">
        <v>578</v>
      </c>
      <c r="Z79" s="4">
        <v>818</v>
      </c>
      <c r="AA79" s="4">
        <f>=ROUNDDOWN(163.6,0)</f>
      </c>
      <c r="AB79" s="5">
        <v>5</v>
      </c>
      <c r="AC79" s="2" t="s">
        <v>199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199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199</v>
      </c>
      <c r="BD79" s="8" t="s">
        <v>199</v>
      </c>
      <c r="BE79" s="4" t="s">
        <v>199</v>
      </c>
      <c r="BF79" s="8" t="s">
        <v>199</v>
      </c>
      <c r="BG79" s="7" t="s">
        <v>199</v>
      </c>
      <c r="BH79" s="7" t="s">
        <v>199</v>
      </c>
      <c r="BI79" s="7"/>
      <c r="BJ79" s="4">
        <v>18</v>
      </c>
      <c r="BK79" s="8">
        <v>433.14</v>
      </c>
      <c r="BL79" s="2" t="s">
        <v>586</v>
      </c>
      <c r="BM79" s="7"/>
      <c r="BN79" s="7"/>
      <c r="BO79" s="4"/>
      <c r="BP79" s="8"/>
      <c r="BQ79" s="4"/>
      <c r="BR79" s="8"/>
      <c r="BS79" s="7"/>
      <c r="BT79" s="7"/>
      <c r="BU79" s="2" t="s">
        <v>580</v>
      </c>
      <c r="BV79" s="2" t="s">
        <v>199</v>
      </c>
      <c r="BW79" s="2" t="s">
        <v>199</v>
      </c>
      <c r="BX79" s="2" t="s">
        <v>208</v>
      </c>
      <c r="BY79" s="2" t="s">
        <v>209</v>
      </c>
      <c r="BZ79" s="2" t="s">
        <v>196</v>
      </c>
      <c r="CA79" s="2" t="s">
        <v>581</v>
      </c>
      <c r="CB79" s="2" t="s">
        <v>589</v>
      </c>
      <c r="CC79" s="2" t="s">
        <v>212</v>
      </c>
      <c r="CD79" s="2" t="s">
        <v>199</v>
      </c>
      <c r="CE79" s="4">
        <v>818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>
        <v>819</v>
      </c>
      <c r="EU79" s="4">
        <v>813</v>
      </c>
      <c r="EV79" s="4">
        <v>808</v>
      </c>
      <c r="EW79" s="4">
        <v>803</v>
      </c>
      <c r="EX79" s="4">
        <v>798</v>
      </c>
      <c r="EY79" s="4">
        <v>793</v>
      </c>
      <c r="EZ79" s="4">
        <v>788</v>
      </c>
      <c r="FA79" s="4">
        <v>783</v>
      </c>
      <c r="FB79" s="4">
        <v>777</v>
      </c>
      <c r="FC79" s="4">
        <v>772</v>
      </c>
      <c r="FD79" s="4">
        <v>767</v>
      </c>
      <c r="FE79" s="4">
        <v>762</v>
      </c>
      <c r="FF79" s="4">
        <v>757</v>
      </c>
      <c r="FG79" s="4">
        <v>752</v>
      </c>
      <c r="FH79" s="4">
        <v>747</v>
      </c>
      <c r="FI79" s="4">
        <v>742</v>
      </c>
      <c r="FJ79" s="4">
        <v>737</v>
      </c>
      <c r="FK79" s="4">
        <v>732</v>
      </c>
      <c r="FL79" s="4">
        <v>727</v>
      </c>
      <c r="FM79" s="4">
        <v>722</v>
      </c>
      <c r="FN79" s="4">
        <v>717</v>
      </c>
      <c r="FO79" s="4">
        <v>712</v>
      </c>
      <c r="FP79" s="4">
        <v>706</v>
      </c>
      <c r="FQ79" s="4">
        <v>701</v>
      </c>
      <c r="FR79" s="4">
        <v>696</v>
      </c>
      <c r="FS79" s="4">
        <v>691</v>
      </c>
      <c r="FT79" s="19">
        <v>163.8</v>
      </c>
      <c r="FU79" s="19">
        <v>162.6</v>
      </c>
      <c r="FV79" s="19">
        <v>161.6</v>
      </c>
      <c r="FW79" s="19">
        <v>160.6</v>
      </c>
      <c r="FX79" s="19">
        <v>159.6</v>
      </c>
      <c r="FY79" s="19">
        <v>158.6</v>
      </c>
      <c r="FZ79" s="19">
        <v>157.6</v>
      </c>
      <c r="GA79" s="19">
        <v>156.6</v>
      </c>
      <c r="GB79" s="19">
        <v>155.4</v>
      </c>
      <c r="GC79" s="19">
        <v>154.4</v>
      </c>
      <c r="GD79" s="19">
        <v>153.4</v>
      </c>
      <c r="GE79" s="19">
        <v>152.4</v>
      </c>
      <c r="GF79" s="19">
        <v>151.4</v>
      </c>
      <c r="GG79" s="19">
        <v>150.4</v>
      </c>
      <c r="GH79" s="19">
        <v>149.4</v>
      </c>
      <c r="GI79" s="19">
        <v>148.4</v>
      </c>
      <c r="GJ79" s="19">
        <v>147.4</v>
      </c>
      <c r="GK79" s="19">
        <v>146.4</v>
      </c>
      <c r="GL79" s="19">
        <v>145.4</v>
      </c>
      <c r="GM79" s="19">
        <v>144.4</v>
      </c>
      <c r="GN79" s="19">
        <v>143.4</v>
      </c>
      <c r="GO79" s="19">
        <v>142.4</v>
      </c>
      <c r="GP79" s="19">
        <v>141.2</v>
      </c>
      <c r="GQ79" s="19">
        <v>116.8</v>
      </c>
      <c r="GR79" s="19">
        <v>116</v>
      </c>
      <c r="GS79" s="19">
        <v>98.7</v>
      </c>
    </row>
    <row r="80">
      <c r="A80" s="2" t="s">
        <v>590</v>
      </c>
      <c r="B80" s="2" t="s">
        <v>591</v>
      </c>
      <c r="C80" s="2" t="s">
        <v>592</v>
      </c>
      <c r="D80" s="2" t="s">
        <v>593</v>
      </c>
      <c r="E80" s="2" t="s">
        <v>594</v>
      </c>
      <c r="F80" s="2" t="s">
        <v>595</v>
      </c>
      <c r="G80" s="2" t="s">
        <v>595</v>
      </c>
      <c r="H80" s="2" t="s">
        <v>595</v>
      </c>
      <c r="I80" s="2" t="s">
        <v>596</v>
      </c>
      <c r="J80" s="2" t="s">
        <v>559</v>
      </c>
      <c r="K80" s="2" t="s">
        <v>597</v>
      </c>
      <c r="L80" s="3">
        <v>39.85</v>
      </c>
      <c r="M80" s="3">
        <v>41.84</v>
      </c>
      <c r="N80" s="3">
        <v>79.99</v>
      </c>
      <c r="O80" s="2" t="s">
        <v>196</v>
      </c>
      <c r="P80" s="2" t="s">
        <v>197</v>
      </c>
      <c r="Q80" s="2" t="s">
        <v>198</v>
      </c>
      <c r="R80" s="2" t="s">
        <v>199</v>
      </c>
      <c r="S80" s="2" t="s">
        <v>199</v>
      </c>
      <c r="T80" s="2" t="s">
        <v>199</v>
      </c>
      <c r="U80" s="2" t="s">
        <v>280</v>
      </c>
      <c r="V80" s="2" t="s">
        <v>493</v>
      </c>
      <c r="W80" s="2" t="s">
        <v>529</v>
      </c>
      <c r="X80" s="2" t="s">
        <v>598</v>
      </c>
      <c r="Y80" s="2" t="s">
        <v>599</v>
      </c>
      <c r="Z80" s="4">
        <v>80</v>
      </c>
      <c r="AA80" s="4">
        <f>=ROUNDDOWN(32,0)</f>
      </c>
      <c r="AB80" s="5">
        <v>2.5</v>
      </c>
      <c r="AC80" s="2" t="s">
        <v>199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199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16</v>
      </c>
      <c r="BK80" s="8">
        <v>736.77</v>
      </c>
      <c r="BL80" s="2" t="s">
        <v>600</v>
      </c>
      <c r="BM80" s="7"/>
      <c r="BN80" s="7"/>
      <c r="BO80" s="4"/>
      <c r="BP80" s="8"/>
      <c r="BQ80" s="4"/>
      <c r="BR80" s="8"/>
      <c r="BS80" s="7"/>
      <c r="BT80" s="7"/>
      <c r="BU80" s="2" t="s">
        <v>601</v>
      </c>
      <c r="BV80" s="2" t="s">
        <v>199</v>
      </c>
      <c r="BW80" s="2" t="s">
        <v>199</v>
      </c>
      <c r="BX80" s="2" t="s">
        <v>208</v>
      </c>
      <c r="BY80" s="2" t="s">
        <v>209</v>
      </c>
      <c r="BZ80" s="2" t="s">
        <v>196</v>
      </c>
      <c r="CA80" s="2" t="s">
        <v>602</v>
      </c>
      <c r="CB80" s="2" t="s">
        <v>199</v>
      </c>
      <c r="CC80" s="2" t="s">
        <v>212</v>
      </c>
      <c r="CD80" s="2" t="s">
        <v>199</v>
      </c>
      <c r="CE80" s="4"/>
      <c r="CF80" s="4">
        <v>80</v>
      </c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>
        <v>81</v>
      </c>
      <c r="EU80" s="4">
        <v>79</v>
      </c>
      <c r="EV80" s="4">
        <v>77</v>
      </c>
      <c r="EW80" s="4">
        <v>75</v>
      </c>
      <c r="EX80" s="4">
        <v>73</v>
      </c>
      <c r="EY80" s="4">
        <v>71</v>
      </c>
      <c r="EZ80" s="4">
        <v>69</v>
      </c>
      <c r="FA80" s="4">
        <v>67</v>
      </c>
      <c r="FB80" s="4">
        <v>65</v>
      </c>
      <c r="FC80" s="4">
        <v>63</v>
      </c>
      <c r="FD80" s="4">
        <v>61</v>
      </c>
      <c r="FE80" s="4">
        <v>59</v>
      </c>
      <c r="FF80" s="4">
        <v>57</v>
      </c>
      <c r="FG80" s="4">
        <v>55</v>
      </c>
      <c r="FH80" s="4">
        <v>53</v>
      </c>
      <c r="FI80" s="4">
        <v>51</v>
      </c>
      <c r="FJ80" s="4">
        <v>49</v>
      </c>
      <c r="FK80" s="4">
        <v>47</v>
      </c>
      <c r="FL80" s="4">
        <v>45</v>
      </c>
      <c r="FM80" s="4">
        <v>43</v>
      </c>
      <c r="FN80" s="4">
        <v>40</v>
      </c>
      <c r="FO80" s="4">
        <v>37</v>
      </c>
      <c r="FP80" s="4">
        <v>34</v>
      </c>
      <c r="FQ80" s="4">
        <v>31</v>
      </c>
      <c r="FR80" s="4">
        <v>28</v>
      </c>
      <c r="FS80" s="4">
        <v>25</v>
      </c>
      <c r="FT80" s="19">
        <v>40.5</v>
      </c>
      <c r="FU80" s="19">
        <v>39.5</v>
      </c>
      <c r="FV80" s="19">
        <v>38.5</v>
      </c>
      <c r="FW80" s="19">
        <v>37.5</v>
      </c>
      <c r="FX80" s="19">
        <v>36.5</v>
      </c>
      <c r="FY80" s="19">
        <v>35.5</v>
      </c>
      <c r="FZ80" s="19">
        <v>34.5</v>
      </c>
      <c r="GA80" s="19">
        <v>33.5</v>
      </c>
      <c r="GB80" s="19">
        <v>32.5</v>
      </c>
      <c r="GC80" s="19">
        <v>31.5</v>
      </c>
      <c r="GD80" s="19">
        <v>30.5</v>
      </c>
      <c r="GE80" s="19">
        <v>29.5</v>
      </c>
      <c r="GF80" s="19">
        <v>28.5</v>
      </c>
      <c r="GG80" s="19">
        <v>27.5</v>
      </c>
      <c r="GH80" s="19">
        <v>26.5</v>
      </c>
      <c r="GI80" s="19">
        <v>25.5</v>
      </c>
      <c r="GJ80" s="19">
        <v>24.5</v>
      </c>
      <c r="GK80" s="19">
        <v>23.5</v>
      </c>
      <c r="GL80" s="19">
        <v>15</v>
      </c>
      <c r="GM80" s="19">
        <v>14.3</v>
      </c>
      <c r="GN80" s="19">
        <v>13.3</v>
      </c>
      <c r="GO80" s="19">
        <v>12.3</v>
      </c>
      <c r="GP80" s="19">
        <v>11.3</v>
      </c>
      <c r="GQ80" s="19">
        <v>10.3</v>
      </c>
      <c r="GR80" s="19">
        <v>9.3</v>
      </c>
      <c r="GS80" s="19">
        <v>8.3</v>
      </c>
    </row>
    <row r="81">
      <c r="A81" s="2" t="s">
        <v>603</v>
      </c>
      <c r="B81" s="2" t="s">
        <v>591</v>
      </c>
      <c r="C81" s="2" t="s">
        <v>604</v>
      </c>
      <c r="D81" s="2" t="s">
        <v>593</v>
      </c>
      <c r="E81" s="2" t="s">
        <v>594</v>
      </c>
      <c r="F81" s="2" t="s">
        <v>605</v>
      </c>
      <c r="G81" s="2" t="s">
        <v>605</v>
      </c>
      <c r="H81" s="2" t="s">
        <v>605</v>
      </c>
      <c r="I81" s="2" t="s">
        <v>606</v>
      </c>
      <c r="J81" s="2" t="s">
        <v>559</v>
      </c>
      <c r="K81" s="2" t="s">
        <v>233</v>
      </c>
      <c r="L81" s="3">
        <v>46.17</v>
      </c>
      <c r="M81" s="3">
        <v>48.48</v>
      </c>
      <c r="N81" s="3">
        <v>104.99</v>
      </c>
      <c r="O81" s="2" t="s">
        <v>196</v>
      </c>
      <c r="P81" s="2" t="s">
        <v>197</v>
      </c>
      <c r="Q81" s="2" t="s">
        <v>198</v>
      </c>
      <c r="R81" s="2" t="s">
        <v>199</v>
      </c>
      <c r="S81" s="2" t="s">
        <v>199</v>
      </c>
      <c r="T81" s="2" t="s">
        <v>199</v>
      </c>
      <c r="U81" s="2" t="s">
        <v>280</v>
      </c>
      <c r="V81" s="2" t="s">
        <v>493</v>
      </c>
      <c r="W81" s="2" t="s">
        <v>510</v>
      </c>
      <c r="X81" s="2" t="s">
        <v>199</v>
      </c>
      <c r="Y81" s="2" t="s">
        <v>607</v>
      </c>
      <c r="Z81" s="4">
        <v>78</v>
      </c>
      <c r="AA81" s="4">
        <f>=ROUNDDOWN(39,0)</f>
      </c>
      <c r="AB81" s="5">
        <v>2</v>
      </c>
      <c r="AC81" s="2" t="s">
        <v>199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199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11</v>
      </c>
      <c r="BK81" s="8">
        <v>591.12</v>
      </c>
      <c r="BL81" s="2" t="s">
        <v>608</v>
      </c>
      <c r="BM81" s="7"/>
      <c r="BN81" s="7"/>
      <c r="BO81" s="4"/>
      <c r="BP81" s="8"/>
      <c r="BQ81" s="4"/>
      <c r="BR81" s="8"/>
      <c r="BS81" s="7"/>
      <c r="BT81" s="7"/>
      <c r="BU81" s="2" t="s">
        <v>609</v>
      </c>
      <c r="BV81" s="2" t="s">
        <v>199</v>
      </c>
      <c r="BW81" s="2" t="s">
        <v>199</v>
      </c>
      <c r="BX81" s="2" t="s">
        <v>208</v>
      </c>
      <c r="BY81" s="2" t="s">
        <v>209</v>
      </c>
      <c r="BZ81" s="2" t="s">
        <v>196</v>
      </c>
      <c r="CA81" s="2" t="s">
        <v>610</v>
      </c>
      <c r="CB81" s="2" t="s">
        <v>611</v>
      </c>
      <c r="CC81" s="2" t="s">
        <v>212</v>
      </c>
      <c r="CD81" s="2" t="s">
        <v>199</v>
      </c>
      <c r="CE81" s="4"/>
      <c r="CF81" s="4">
        <v>78</v>
      </c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>
        <v>82</v>
      </c>
      <c r="EU81" s="4">
        <v>76</v>
      </c>
      <c r="EV81" s="4">
        <v>74</v>
      </c>
      <c r="EW81" s="4">
        <v>72</v>
      </c>
      <c r="EX81" s="4">
        <v>70</v>
      </c>
      <c r="EY81" s="4">
        <v>68</v>
      </c>
      <c r="EZ81" s="4">
        <v>66</v>
      </c>
      <c r="FA81" s="4">
        <v>64</v>
      </c>
      <c r="FB81" s="4">
        <v>62</v>
      </c>
      <c r="FC81" s="4">
        <v>60</v>
      </c>
      <c r="FD81" s="4">
        <v>58</v>
      </c>
      <c r="FE81" s="4">
        <v>56</v>
      </c>
      <c r="FF81" s="4">
        <v>54</v>
      </c>
      <c r="FG81" s="4">
        <v>52</v>
      </c>
      <c r="FH81" s="4">
        <v>50</v>
      </c>
      <c r="FI81" s="4">
        <v>48</v>
      </c>
      <c r="FJ81" s="4">
        <v>46</v>
      </c>
      <c r="FK81" s="4">
        <v>44</v>
      </c>
      <c r="FL81" s="4">
        <v>42</v>
      </c>
      <c r="FM81" s="4">
        <v>40</v>
      </c>
      <c r="FN81" s="4">
        <v>38</v>
      </c>
      <c r="FO81" s="4">
        <v>36</v>
      </c>
      <c r="FP81" s="4">
        <v>34</v>
      </c>
      <c r="FQ81" s="4">
        <v>32</v>
      </c>
      <c r="FR81" s="4">
        <v>30</v>
      </c>
      <c r="FS81" s="4">
        <v>28</v>
      </c>
      <c r="FT81" s="19">
        <v>27.3</v>
      </c>
      <c r="FU81" s="19">
        <v>38</v>
      </c>
      <c r="FV81" s="19">
        <v>37</v>
      </c>
      <c r="FW81" s="19">
        <v>36</v>
      </c>
      <c r="FX81" s="19">
        <v>35</v>
      </c>
      <c r="FY81" s="19">
        <v>34</v>
      </c>
      <c r="FZ81" s="19">
        <v>33</v>
      </c>
      <c r="GA81" s="19">
        <v>32</v>
      </c>
      <c r="GB81" s="19">
        <v>31</v>
      </c>
      <c r="GC81" s="19">
        <v>30</v>
      </c>
      <c r="GD81" s="19">
        <v>29</v>
      </c>
      <c r="GE81" s="19">
        <v>28</v>
      </c>
      <c r="GF81" s="19">
        <v>27</v>
      </c>
      <c r="GG81" s="19">
        <v>26</v>
      </c>
      <c r="GH81" s="19">
        <v>25</v>
      </c>
      <c r="GI81" s="19">
        <v>24</v>
      </c>
      <c r="GJ81" s="19">
        <v>23</v>
      </c>
      <c r="GK81" s="19">
        <v>22</v>
      </c>
      <c r="GL81" s="19">
        <v>21</v>
      </c>
      <c r="GM81" s="19">
        <v>20</v>
      </c>
      <c r="GN81" s="19">
        <v>19</v>
      </c>
      <c r="GO81" s="19">
        <v>18</v>
      </c>
      <c r="GP81" s="19">
        <v>17</v>
      </c>
      <c r="GQ81" s="19">
        <v>16</v>
      </c>
      <c r="GR81" s="19">
        <v>15</v>
      </c>
      <c r="GS81" s="19">
        <v>14</v>
      </c>
    </row>
    <row r="82">
      <c r="A82" s="2" t="s">
        <v>612</v>
      </c>
      <c r="B82" s="2" t="s">
        <v>613</v>
      </c>
      <c r="C82" s="2" t="s">
        <v>246</v>
      </c>
      <c r="D82" s="2" t="s">
        <v>614</v>
      </c>
      <c r="E82" s="2" t="s">
        <v>615</v>
      </c>
      <c r="F82" s="2" t="s">
        <v>616</v>
      </c>
      <c r="G82" s="2" t="s">
        <v>617</v>
      </c>
      <c r="H82" s="2" t="s">
        <v>618</v>
      </c>
      <c r="I82" s="2" t="s">
        <v>619</v>
      </c>
      <c r="J82" s="2" t="s">
        <v>559</v>
      </c>
      <c r="K82" s="2" t="s">
        <v>620</v>
      </c>
      <c r="L82" s="3">
        <v>262.35</v>
      </c>
      <c r="M82" s="3">
        <v>275.47</v>
      </c>
      <c r="N82" s="3">
        <v>549</v>
      </c>
      <c r="O82" s="2" t="s">
        <v>196</v>
      </c>
      <c r="P82" s="2" t="s">
        <v>621</v>
      </c>
      <c r="Q82" s="2" t="s">
        <v>198</v>
      </c>
      <c r="R82" s="2" t="s">
        <v>199</v>
      </c>
      <c r="S82" s="2" t="s">
        <v>199</v>
      </c>
      <c r="T82" s="2" t="s">
        <v>199</v>
      </c>
      <c r="U82" s="2" t="s">
        <v>199</v>
      </c>
      <c r="V82" s="2" t="s">
        <v>622</v>
      </c>
      <c r="W82" s="2" t="s">
        <v>623</v>
      </c>
      <c r="X82" s="2" t="s">
        <v>199</v>
      </c>
      <c r="Y82" s="2" t="s">
        <v>624</v>
      </c>
      <c r="Z82" s="4">
        <v>199</v>
      </c>
      <c r="AA82" s="4">
        <f>=ROUNDDOWN(24.875,0)</f>
      </c>
      <c r="AB82" s="5">
        <v>8</v>
      </c>
      <c r="AC82" s="2" t="s">
        <v>236</v>
      </c>
      <c r="AD82" s="4">
        <v>235</v>
      </c>
      <c r="AE82" s="4">
        <v>334</v>
      </c>
      <c r="AF82" s="6">
        <v>69</v>
      </c>
      <c r="AG82" s="6">
        <v>52</v>
      </c>
      <c r="AH82" s="7">
        <v>1</v>
      </c>
      <c r="AI82" s="4"/>
      <c r="AJ82" s="4">
        <f>=ROUNDDOWN({0},0)</f>
      </c>
      <c r="AK82" s="5"/>
      <c r="AL82" s="2" t="s">
        <v>199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47</v>
      </c>
      <c r="BK82" s="8">
        <v>12149.58</v>
      </c>
      <c r="BL82" s="2" t="s">
        <v>625</v>
      </c>
      <c r="BM82" s="7"/>
      <c r="BN82" s="7"/>
      <c r="BO82" s="4"/>
      <c r="BP82" s="8"/>
      <c r="BQ82" s="4"/>
      <c r="BR82" s="8"/>
      <c r="BS82" s="7"/>
      <c r="BT82" s="7"/>
      <c r="BU82" s="2" t="s">
        <v>626</v>
      </c>
      <c r="BV82" s="2" t="s">
        <v>199</v>
      </c>
      <c r="BW82" s="2" t="s">
        <v>199</v>
      </c>
      <c r="BX82" s="2" t="s">
        <v>208</v>
      </c>
      <c r="BY82" s="2" t="s">
        <v>209</v>
      </c>
      <c r="BZ82" s="2" t="s">
        <v>196</v>
      </c>
      <c r="CA82" s="2" t="s">
        <v>627</v>
      </c>
      <c r="CB82" s="2" t="s">
        <v>628</v>
      </c>
      <c r="CC82" s="2" t="s">
        <v>212</v>
      </c>
      <c r="CD82" s="2" t="s">
        <v>199</v>
      </c>
      <c r="CE82" s="4"/>
      <c r="CF82" s="4">
        <v>103</v>
      </c>
      <c r="CG82" s="4"/>
      <c r="CH82" s="4"/>
      <c r="CI82" s="4"/>
      <c r="CJ82" s="4"/>
      <c r="CK82" s="4"/>
      <c r="CL82" s="4"/>
      <c r="CM82" s="4">
        <v>96</v>
      </c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>
        <v>235</v>
      </c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>
        <v>99</v>
      </c>
      <c r="ER82" s="4"/>
      <c r="ES82" s="4"/>
      <c r="ET82" s="4">
        <v>223</v>
      </c>
      <c r="EU82" s="4">
        <v>189</v>
      </c>
      <c r="EV82" s="4">
        <v>182</v>
      </c>
      <c r="EW82" s="4">
        <v>176</v>
      </c>
      <c r="EX82" s="4">
        <v>170</v>
      </c>
      <c r="EY82" s="4">
        <v>162</v>
      </c>
      <c r="EZ82" s="4">
        <v>154</v>
      </c>
      <c r="FA82" s="4">
        <v>146</v>
      </c>
      <c r="FB82" s="4">
        <v>137</v>
      </c>
      <c r="FC82" s="4">
        <v>129</v>
      </c>
      <c r="FD82" s="4">
        <v>355</v>
      </c>
      <c r="FE82" s="4">
        <v>346</v>
      </c>
      <c r="FF82" s="4">
        <v>337</v>
      </c>
      <c r="FG82" s="4">
        <v>328</v>
      </c>
      <c r="FH82" s="4">
        <v>319</v>
      </c>
      <c r="FI82" s="4">
        <v>310</v>
      </c>
      <c r="FJ82" s="4">
        <v>301</v>
      </c>
      <c r="FK82" s="4">
        <v>292</v>
      </c>
      <c r="FL82" s="4">
        <v>284</v>
      </c>
      <c r="FM82" s="4">
        <v>375</v>
      </c>
      <c r="FN82" s="4">
        <v>367</v>
      </c>
      <c r="FO82" s="4">
        <v>254</v>
      </c>
      <c r="FP82" s="4">
        <v>245</v>
      </c>
      <c r="FQ82" s="4">
        <v>238</v>
      </c>
      <c r="FR82" s="4">
        <v>230</v>
      </c>
      <c r="FS82" s="4">
        <v>222</v>
      </c>
      <c r="FT82" s="19">
        <v>8.6</v>
      </c>
      <c r="FU82" s="19">
        <v>13.5</v>
      </c>
      <c r="FV82" s="19">
        <v>13</v>
      </c>
      <c r="FW82" s="19">
        <v>11</v>
      </c>
      <c r="FX82" s="19">
        <v>10.7</v>
      </c>
      <c r="FY82" s="19">
        <v>10.2</v>
      </c>
      <c r="FZ82" s="19">
        <v>9.7</v>
      </c>
      <c r="GA82" s="19">
        <v>8.1</v>
      </c>
      <c r="GB82" s="19">
        <v>7.6</v>
      </c>
      <c r="GC82" s="19">
        <v>7.2</v>
      </c>
      <c r="GD82" s="19">
        <v>19.7</v>
      </c>
      <c r="GE82" s="19">
        <v>19.2</v>
      </c>
      <c r="GF82" s="19">
        <v>18.7</v>
      </c>
      <c r="GG82" s="19">
        <v>18.2</v>
      </c>
      <c r="GH82" s="19">
        <v>17.7</v>
      </c>
      <c r="GI82" s="19">
        <v>19.4</v>
      </c>
      <c r="GJ82" s="19">
        <v>18.8</v>
      </c>
      <c r="GK82" s="19">
        <v>4.3</v>
      </c>
      <c r="GL82" s="19">
        <v>4.2</v>
      </c>
      <c r="GM82" s="19">
        <v>5.5</v>
      </c>
      <c r="GN82" s="19">
        <v>5.4</v>
      </c>
      <c r="GO82" s="19">
        <v>15.9</v>
      </c>
      <c r="GP82" s="19">
        <v>15.3</v>
      </c>
      <c r="GQ82" s="19">
        <v>14.9</v>
      </c>
      <c r="GR82" s="19">
        <v>14.4</v>
      </c>
      <c r="GS82" s="19">
        <v>13.9</v>
      </c>
    </row>
    <row r="83">
      <c r="A83" s="2" t="s">
        <v>629</v>
      </c>
      <c r="B83" s="2" t="s">
        <v>630</v>
      </c>
      <c r="C83" s="2" t="s">
        <v>604</v>
      </c>
      <c r="D83" s="2" t="s">
        <v>631</v>
      </c>
      <c r="E83" s="2" t="s">
        <v>632</v>
      </c>
      <c r="F83" s="2" t="s">
        <v>633</v>
      </c>
      <c r="G83" s="2" t="s">
        <v>633</v>
      </c>
      <c r="H83" s="2" t="s">
        <v>633</v>
      </c>
      <c r="I83" s="2" t="s">
        <v>634</v>
      </c>
      <c r="J83" s="2" t="s">
        <v>232</v>
      </c>
      <c r="K83" s="2" t="s">
        <v>360</v>
      </c>
      <c r="L83" s="3">
        <v>44.1</v>
      </c>
      <c r="M83" s="3">
        <v>46.3</v>
      </c>
      <c r="N83" s="3">
        <v>89.99</v>
      </c>
      <c r="O83" s="2" t="s">
        <v>196</v>
      </c>
      <c r="P83" s="2" t="s">
        <v>197</v>
      </c>
      <c r="Q83" s="2" t="s">
        <v>198</v>
      </c>
      <c r="R83" s="2" t="s">
        <v>199</v>
      </c>
      <c r="S83" s="2" t="s">
        <v>635</v>
      </c>
      <c r="T83" s="2" t="s">
        <v>636</v>
      </c>
      <c r="U83" s="2" t="s">
        <v>637</v>
      </c>
      <c r="V83" s="2" t="s">
        <v>638</v>
      </c>
      <c r="W83" s="2" t="s">
        <v>639</v>
      </c>
      <c r="X83" s="2" t="s">
        <v>640</v>
      </c>
      <c r="Y83" s="2" t="s">
        <v>204</v>
      </c>
      <c r="Z83" s="4">
        <v>126</v>
      </c>
      <c r="AA83" s="4">
        <f>=ROUNDDOWN(31.5,0)</f>
      </c>
      <c r="AB83" s="5">
        <v>4</v>
      </c>
      <c r="AC83" s="2" t="s">
        <v>199</v>
      </c>
      <c r="AD83" s="4"/>
      <c r="AE83" s="4"/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199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199</v>
      </c>
      <c r="AW83" s="8" t="s">
        <v>199</v>
      </c>
      <c r="AX83" s="4" t="s">
        <v>199</v>
      </c>
      <c r="AY83" s="8" t="s">
        <v>199</v>
      </c>
      <c r="AZ83" s="7" t="s">
        <v>199</v>
      </c>
      <c r="BA83" s="7" t="s">
        <v>199</v>
      </c>
      <c r="BB83" s="7"/>
      <c r="BC83" s="4" t="s">
        <v>199</v>
      </c>
      <c r="BD83" s="8" t="s">
        <v>199</v>
      </c>
      <c r="BE83" s="4" t="s">
        <v>199</v>
      </c>
      <c r="BF83" s="8" t="s">
        <v>199</v>
      </c>
      <c r="BG83" s="7" t="s">
        <v>199</v>
      </c>
      <c r="BH83" s="7" t="s">
        <v>199</v>
      </c>
      <c r="BI83" s="7"/>
      <c r="BJ83" s="4">
        <v>26</v>
      </c>
      <c r="BK83" s="8">
        <v>1287.88</v>
      </c>
      <c r="BL83" s="2" t="s">
        <v>641</v>
      </c>
      <c r="BM83" s="7"/>
      <c r="BN83" s="7"/>
      <c r="BO83" s="4"/>
      <c r="BP83" s="8"/>
      <c r="BQ83" s="4"/>
      <c r="BR83" s="8"/>
      <c r="BS83" s="7"/>
      <c r="BT83" s="7"/>
      <c r="BU83" s="2" t="s">
        <v>642</v>
      </c>
      <c r="BV83" s="2" t="s">
        <v>199</v>
      </c>
      <c r="BW83" s="2" t="s">
        <v>199</v>
      </c>
      <c r="BX83" s="2" t="s">
        <v>208</v>
      </c>
      <c r="BY83" s="2" t="s">
        <v>209</v>
      </c>
      <c r="BZ83" s="2" t="s">
        <v>196</v>
      </c>
      <c r="CA83" s="2" t="s">
        <v>643</v>
      </c>
      <c r="CB83" s="2" t="s">
        <v>644</v>
      </c>
      <c r="CC83" s="2" t="s">
        <v>212</v>
      </c>
      <c r="CD83" s="2" t="s">
        <v>199</v>
      </c>
      <c r="CE83" s="4">
        <v>120</v>
      </c>
      <c r="CF83" s="4">
        <v>3</v>
      </c>
      <c r="CG83" s="4"/>
      <c r="CH83" s="4">
        <v>3</v>
      </c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>
        <v>127</v>
      </c>
      <c r="EU83" s="4">
        <v>123</v>
      </c>
      <c r="EV83" s="4">
        <v>120</v>
      </c>
      <c r="EW83" s="4">
        <v>116</v>
      </c>
      <c r="EX83" s="4">
        <v>112</v>
      </c>
      <c r="EY83" s="4">
        <v>108</v>
      </c>
      <c r="EZ83" s="4">
        <v>104</v>
      </c>
      <c r="FA83" s="4">
        <v>100</v>
      </c>
      <c r="FB83" s="4">
        <v>96</v>
      </c>
      <c r="FC83" s="4">
        <v>92</v>
      </c>
      <c r="FD83" s="4">
        <v>88</v>
      </c>
      <c r="FE83" s="4">
        <v>84</v>
      </c>
      <c r="FF83" s="4">
        <v>80</v>
      </c>
      <c r="FG83" s="4">
        <v>76</v>
      </c>
      <c r="FH83" s="4">
        <v>72</v>
      </c>
      <c r="FI83" s="4">
        <v>68</v>
      </c>
      <c r="FJ83" s="4">
        <v>64</v>
      </c>
      <c r="FK83" s="4">
        <v>60</v>
      </c>
      <c r="FL83" s="4">
        <v>56</v>
      </c>
      <c r="FM83" s="4">
        <v>52</v>
      </c>
      <c r="FN83" s="4">
        <v>48</v>
      </c>
      <c r="FO83" s="4">
        <v>44</v>
      </c>
      <c r="FP83" s="4">
        <v>40</v>
      </c>
      <c r="FQ83" s="4">
        <v>36</v>
      </c>
      <c r="FR83" s="4">
        <v>32</v>
      </c>
      <c r="FS83" s="4">
        <v>28</v>
      </c>
      <c r="FT83" s="19">
        <v>22.2</v>
      </c>
      <c r="FU83" s="19">
        <v>20.2</v>
      </c>
      <c r="FV83" s="19">
        <v>14.9</v>
      </c>
      <c r="FW83" s="19">
        <v>14.5</v>
      </c>
      <c r="FX83" s="19">
        <v>14</v>
      </c>
      <c r="FY83" s="19">
        <v>13.5</v>
      </c>
      <c r="FZ83" s="19">
        <v>13</v>
      </c>
      <c r="GA83" s="19">
        <v>12.5</v>
      </c>
      <c r="GB83" s="19">
        <v>12</v>
      </c>
      <c r="GC83" s="19">
        <v>11.5</v>
      </c>
      <c r="GD83" s="19">
        <v>11</v>
      </c>
      <c r="GE83" s="19">
        <v>10.5</v>
      </c>
      <c r="GF83" s="19">
        <v>10</v>
      </c>
      <c r="GG83" s="19">
        <v>9.5</v>
      </c>
      <c r="GH83" s="19">
        <v>9</v>
      </c>
      <c r="GI83" s="19">
        <v>8.5</v>
      </c>
      <c r="GJ83" s="19">
        <v>8</v>
      </c>
      <c r="GK83" s="19">
        <v>7.5</v>
      </c>
      <c r="GL83" s="19">
        <v>7</v>
      </c>
      <c r="GM83" s="19">
        <v>6.5</v>
      </c>
      <c r="GN83" s="19">
        <v>6</v>
      </c>
      <c r="GO83" s="19">
        <v>5.5</v>
      </c>
      <c r="GP83" s="19">
        <v>5</v>
      </c>
      <c r="GQ83" s="19">
        <v>4.5</v>
      </c>
      <c r="GR83" s="19">
        <v>4</v>
      </c>
      <c r="GS83" s="19">
        <v>3.5</v>
      </c>
    </row>
    <row r="84">
      <c r="A84" s="2" t="s">
        <v>645</v>
      </c>
      <c r="B84" s="2" t="s">
        <v>630</v>
      </c>
      <c r="C84" s="2" t="s">
        <v>604</v>
      </c>
      <c r="D84" s="2" t="s">
        <v>631</v>
      </c>
      <c r="E84" s="2" t="s">
        <v>632</v>
      </c>
      <c r="F84" s="2" t="s">
        <v>633</v>
      </c>
      <c r="G84" s="2" t="s">
        <v>633</v>
      </c>
      <c r="H84" s="2" t="s">
        <v>633</v>
      </c>
      <c r="I84" s="2" t="s">
        <v>634</v>
      </c>
      <c r="J84" s="2" t="s">
        <v>241</v>
      </c>
      <c r="K84" s="2" t="s">
        <v>360</v>
      </c>
      <c r="L84" s="3">
        <v>58.5</v>
      </c>
      <c r="M84" s="3">
        <v>61.42</v>
      </c>
      <c r="N84" s="3">
        <v>119.99</v>
      </c>
      <c r="O84" s="2" t="s">
        <v>196</v>
      </c>
      <c r="P84" s="2" t="s">
        <v>197</v>
      </c>
      <c r="Q84" s="2" t="s">
        <v>198</v>
      </c>
      <c r="R84" s="2" t="s">
        <v>199</v>
      </c>
      <c r="S84" s="2" t="s">
        <v>635</v>
      </c>
      <c r="T84" s="2" t="s">
        <v>636</v>
      </c>
      <c r="U84" s="2" t="s">
        <v>637</v>
      </c>
      <c r="V84" s="2" t="s">
        <v>638</v>
      </c>
      <c r="W84" s="2" t="s">
        <v>639</v>
      </c>
      <c r="X84" s="2" t="s">
        <v>640</v>
      </c>
      <c r="Y84" s="2" t="s">
        <v>204</v>
      </c>
      <c r="Z84" s="4">
        <v>84</v>
      </c>
      <c r="AA84" s="4">
        <f>=ROUNDDOWN(28,0)</f>
      </c>
      <c r="AB84" s="5">
        <v>3</v>
      </c>
      <c r="AC84" s="2" t="s">
        <v>199</v>
      </c>
      <c r="AD84" s="4"/>
      <c r="AE84" s="4"/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199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199</v>
      </c>
      <c r="AW84" s="8" t="s">
        <v>199</v>
      </c>
      <c r="AX84" s="4" t="s">
        <v>199</v>
      </c>
      <c r="AY84" s="8" t="s">
        <v>199</v>
      </c>
      <c r="AZ84" s="7" t="s">
        <v>199</v>
      </c>
      <c r="BA84" s="7" t="s">
        <v>199</v>
      </c>
      <c r="BB84" s="7"/>
      <c r="BC84" s="4" t="s">
        <v>199</v>
      </c>
      <c r="BD84" s="8" t="s">
        <v>199</v>
      </c>
      <c r="BE84" s="4" t="s">
        <v>199</v>
      </c>
      <c r="BF84" s="8" t="s">
        <v>199</v>
      </c>
      <c r="BG84" s="7" t="s">
        <v>199</v>
      </c>
      <c r="BH84" s="7" t="s">
        <v>199</v>
      </c>
      <c r="BI84" s="7"/>
      <c r="BJ84" s="4">
        <v>21</v>
      </c>
      <c r="BK84" s="8">
        <v>1358.02</v>
      </c>
      <c r="BL84" s="2" t="s">
        <v>304</v>
      </c>
      <c r="BM84" s="7"/>
      <c r="BN84" s="7"/>
      <c r="BO84" s="4"/>
      <c r="BP84" s="8"/>
      <c r="BQ84" s="4"/>
      <c r="BR84" s="8"/>
      <c r="BS84" s="7"/>
      <c r="BT84" s="7"/>
      <c r="BU84" s="2" t="s">
        <v>642</v>
      </c>
      <c r="BV84" s="2" t="s">
        <v>199</v>
      </c>
      <c r="BW84" s="2" t="s">
        <v>199</v>
      </c>
      <c r="BX84" s="2" t="s">
        <v>208</v>
      </c>
      <c r="BY84" s="2" t="s">
        <v>209</v>
      </c>
      <c r="BZ84" s="2" t="s">
        <v>196</v>
      </c>
      <c r="CA84" s="2" t="s">
        <v>643</v>
      </c>
      <c r="CB84" s="2" t="s">
        <v>646</v>
      </c>
      <c r="CC84" s="2" t="s">
        <v>212</v>
      </c>
      <c r="CD84" s="2" t="s">
        <v>199</v>
      </c>
      <c r="CE84" s="4">
        <v>57</v>
      </c>
      <c r="CF84" s="4">
        <v>23</v>
      </c>
      <c r="CG84" s="4"/>
      <c r="CH84" s="4">
        <v>4</v>
      </c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>
        <v>86</v>
      </c>
      <c r="EU84" s="4">
        <v>82</v>
      </c>
      <c r="EV84" s="4">
        <v>80</v>
      </c>
      <c r="EW84" s="4">
        <v>78</v>
      </c>
      <c r="EX84" s="4">
        <v>76</v>
      </c>
      <c r="EY84" s="4">
        <v>74</v>
      </c>
      <c r="EZ84" s="4">
        <v>72</v>
      </c>
      <c r="FA84" s="4">
        <v>69</v>
      </c>
      <c r="FB84" s="4">
        <v>66</v>
      </c>
      <c r="FC84" s="4">
        <v>63</v>
      </c>
      <c r="FD84" s="4">
        <v>60</v>
      </c>
      <c r="FE84" s="4">
        <v>57</v>
      </c>
      <c r="FF84" s="4">
        <v>54</v>
      </c>
      <c r="FG84" s="4">
        <v>51</v>
      </c>
      <c r="FH84" s="4">
        <v>48</v>
      </c>
      <c r="FI84" s="4">
        <v>45</v>
      </c>
      <c r="FJ84" s="4">
        <v>42</v>
      </c>
      <c r="FK84" s="4">
        <v>39</v>
      </c>
      <c r="FL84" s="4">
        <v>36</v>
      </c>
      <c r="FM84" s="4">
        <v>33</v>
      </c>
      <c r="FN84" s="4">
        <v>30</v>
      </c>
      <c r="FO84" s="4">
        <v>27</v>
      </c>
      <c r="FP84" s="4">
        <v>24</v>
      </c>
      <c r="FQ84" s="4">
        <v>21</v>
      </c>
      <c r="FR84" s="4">
        <v>18</v>
      </c>
      <c r="FS84" s="4">
        <v>15</v>
      </c>
      <c r="FT84" s="19">
        <v>43</v>
      </c>
      <c r="FU84" s="19">
        <v>41</v>
      </c>
      <c r="FV84" s="19">
        <v>19.5</v>
      </c>
      <c r="FW84" s="19">
        <v>19.3</v>
      </c>
      <c r="FX84" s="19">
        <v>19</v>
      </c>
      <c r="FY84" s="19">
        <v>12.4</v>
      </c>
      <c r="FZ84" s="19">
        <v>12</v>
      </c>
      <c r="GA84" s="19">
        <v>11.5</v>
      </c>
      <c r="GB84" s="19">
        <v>11</v>
      </c>
      <c r="GC84" s="19">
        <v>10.5</v>
      </c>
      <c r="GD84" s="19">
        <v>10</v>
      </c>
      <c r="GE84" s="19">
        <v>9.5</v>
      </c>
      <c r="GF84" s="19">
        <v>9</v>
      </c>
      <c r="GG84" s="19">
        <v>8.5</v>
      </c>
      <c r="GH84" s="19">
        <v>8</v>
      </c>
      <c r="GI84" s="19">
        <v>7.5</v>
      </c>
      <c r="GJ84" s="19">
        <v>7</v>
      </c>
      <c r="GK84" s="19">
        <v>6.5</v>
      </c>
      <c r="GL84" s="19">
        <v>6</v>
      </c>
      <c r="GM84" s="19">
        <v>5.5</v>
      </c>
      <c r="GN84" s="19">
        <v>5</v>
      </c>
      <c r="GO84" s="19">
        <v>4.5</v>
      </c>
      <c r="GP84" s="19">
        <v>4</v>
      </c>
      <c r="GQ84" s="19">
        <v>3.5</v>
      </c>
      <c r="GR84" s="19">
        <v>3</v>
      </c>
      <c r="GS84" s="19">
        <v>2.5</v>
      </c>
    </row>
    <row r="85">
      <c r="A85" s="2" t="s">
        <v>647</v>
      </c>
      <c r="B85" s="2" t="s">
        <v>648</v>
      </c>
      <c r="C85" s="2" t="s">
        <v>246</v>
      </c>
      <c r="D85" s="2" t="s">
        <v>649</v>
      </c>
      <c r="E85" s="2" t="s">
        <v>650</v>
      </c>
      <c r="F85" s="2" t="s">
        <v>651</v>
      </c>
      <c r="G85" s="2" t="s">
        <v>652</v>
      </c>
      <c r="H85" s="2" t="s">
        <v>653</v>
      </c>
      <c r="I85" s="2" t="s">
        <v>654</v>
      </c>
      <c r="J85" s="2" t="s">
        <v>655</v>
      </c>
      <c r="K85" s="2" t="s">
        <v>656</v>
      </c>
      <c r="L85" s="3">
        <v>20.64</v>
      </c>
      <c r="M85" s="3">
        <v>21.67</v>
      </c>
      <c r="N85" s="3">
        <v>42.99</v>
      </c>
      <c r="O85" s="2" t="s">
        <v>196</v>
      </c>
      <c r="P85" s="2" t="s">
        <v>197</v>
      </c>
      <c r="Q85" s="2" t="s">
        <v>198</v>
      </c>
      <c r="R85" s="2" t="s">
        <v>199</v>
      </c>
      <c r="S85" s="2" t="s">
        <v>657</v>
      </c>
      <c r="T85" s="2" t="s">
        <v>300</v>
      </c>
      <c r="U85" s="2" t="s">
        <v>280</v>
      </c>
      <c r="V85" s="2" t="s">
        <v>658</v>
      </c>
      <c r="W85" s="2" t="s">
        <v>623</v>
      </c>
      <c r="X85" s="2" t="s">
        <v>199</v>
      </c>
      <c r="Y85" s="2" t="s">
        <v>204</v>
      </c>
      <c r="Z85" s="4">
        <v>292</v>
      </c>
      <c r="AA85" s="4">
        <f>=ROUNDDOWN(41.7142857142857,0)</f>
      </c>
      <c r="AB85" s="5">
        <v>7</v>
      </c>
      <c r="AC85" s="2" t="s">
        <v>659</v>
      </c>
      <c r="AD85" s="4">
        <v>228</v>
      </c>
      <c r="AE85" s="4">
        <v>228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199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199</v>
      </c>
      <c r="BD85" s="8" t="s">
        <v>199</v>
      </c>
      <c r="BE85" s="4" t="s">
        <v>199</v>
      </c>
      <c r="BF85" s="8" t="s">
        <v>199</v>
      </c>
      <c r="BG85" s="7" t="s">
        <v>199</v>
      </c>
      <c r="BH85" s="7" t="s">
        <v>199</v>
      </c>
      <c r="BI85" s="7"/>
      <c r="BJ85" s="4">
        <v>25</v>
      </c>
      <c r="BK85" s="8">
        <v>555.88</v>
      </c>
      <c r="BL85" s="2" t="s">
        <v>660</v>
      </c>
      <c r="BM85" s="7"/>
      <c r="BN85" s="7"/>
      <c r="BO85" s="4"/>
      <c r="BP85" s="8"/>
      <c r="BQ85" s="4"/>
      <c r="BR85" s="8"/>
      <c r="BS85" s="7"/>
      <c r="BT85" s="7"/>
      <c r="BU85" s="2" t="s">
        <v>661</v>
      </c>
      <c r="BV85" s="2" t="s">
        <v>199</v>
      </c>
      <c r="BW85" s="2" t="s">
        <v>199</v>
      </c>
      <c r="BX85" s="2" t="s">
        <v>208</v>
      </c>
      <c r="BY85" s="2" t="s">
        <v>209</v>
      </c>
      <c r="BZ85" s="2" t="s">
        <v>196</v>
      </c>
      <c r="CA85" s="2" t="s">
        <v>210</v>
      </c>
      <c r="CB85" s="2" t="s">
        <v>662</v>
      </c>
      <c r="CC85" s="2" t="s">
        <v>212</v>
      </c>
      <c r="CD85" s="2" t="s">
        <v>199</v>
      </c>
      <c r="CE85" s="4">
        <v>192</v>
      </c>
      <c r="CF85" s="4">
        <v>100</v>
      </c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>
        <v>228</v>
      </c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>
        <v>292</v>
      </c>
      <c r="EU85" s="4">
        <v>270</v>
      </c>
      <c r="EV85" s="4">
        <v>263</v>
      </c>
      <c r="EW85" s="4">
        <v>256</v>
      </c>
      <c r="EX85" s="4">
        <v>249</v>
      </c>
      <c r="EY85" s="4">
        <v>242</v>
      </c>
      <c r="EZ85" s="4">
        <v>235</v>
      </c>
      <c r="FA85" s="4">
        <v>228</v>
      </c>
      <c r="FB85" s="4">
        <v>220</v>
      </c>
      <c r="FC85" s="4">
        <v>213</v>
      </c>
      <c r="FD85" s="4">
        <v>206</v>
      </c>
      <c r="FE85" s="4">
        <v>199</v>
      </c>
      <c r="FF85" s="4">
        <v>192</v>
      </c>
      <c r="FG85" s="4">
        <v>185</v>
      </c>
      <c r="FH85" s="4">
        <v>406</v>
      </c>
      <c r="FI85" s="4">
        <v>399</v>
      </c>
      <c r="FJ85" s="4">
        <v>392</v>
      </c>
      <c r="FK85" s="4">
        <v>385</v>
      </c>
      <c r="FL85" s="4">
        <v>378</v>
      </c>
      <c r="FM85" s="4">
        <v>371</v>
      </c>
      <c r="FN85" s="4">
        <v>363</v>
      </c>
      <c r="FO85" s="4">
        <v>355</v>
      </c>
      <c r="FP85" s="4">
        <v>346</v>
      </c>
      <c r="FQ85" s="4">
        <v>338</v>
      </c>
      <c r="FR85" s="4">
        <v>330</v>
      </c>
      <c r="FS85" s="4">
        <v>323</v>
      </c>
      <c r="FT85" s="19">
        <v>26.5</v>
      </c>
      <c r="FU85" s="19">
        <v>38.6</v>
      </c>
      <c r="FV85" s="19">
        <v>37.6</v>
      </c>
      <c r="FW85" s="19">
        <v>36.6</v>
      </c>
      <c r="FX85" s="19">
        <v>35.6</v>
      </c>
      <c r="FY85" s="19">
        <v>34.6</v>
      </c>
      <c r="FZ85" s="19">
        <v>33.6</v>
      </c>
      <c r="GA85" s="19">
        <v>32.6</v>
      </c>
      <c r="GB85" s="19">
        <v>31.4</v>
      </c>
      <c r="GC85" s="19">
        <v>30.4</v>
      </c>
      <c r="GD85" s="19">
        <v>29.4</v>
      </c>
      <c r="GE85" s="19">
        <v>28.4</v>
      </c>
      <c r="GF85" s="19">
        <v>27.4</v>
      </c>
      <c r="GG85" s="19">
        <v>26.4</v>
      </c>
      <c r="GH85" s="19">
        <v>58</v>
      </c>
      <c r="GI85" s="19">
        <v>57</v>
      </c>
      <c r="GJ85" s="19">
        <v>56</v>
      </c>
      <c r="GK85" s="19">
        <v>48.1</v>
      </c>
      <c r="GL85" s="19">
        <v>47.3</v>
      </c>
      <c r="GM85" s="19">
        <v>46.4</v>
      </c>
      <c r="GN85" s="19">
        <v>45.4</v>
      </c>
      <c r="GO85" s="19">
        <v>44.4</v>
      </c>
      <c r="GP85" s="19">
        <v>43.3</v>
      </c>
      <c r="GQ85" s="19">
        <v>42.3</v>
      </c>
      <c r="GR85" s="19">
        <v>41.3</v>
      </c>
      <c r="GS85" s="19">
        <v>40.4</v>
      </c>
    </row>
    <row r="86">
      <c r="A86" s="2" t="s">
        <v>663</v>
      </c>
      <c r="B86" s="2" t="s">
        <v>648</v>
      </c>
      <c r="C86" s="2" t="s">
        <v>246</v>
      </c>
      <c r="D86" s="2" t="s">
        <v>649</v>
      </c>
      <c r="E86" s="2" t="s">
        <v>650</v>
      </c>
      <c r="F86" s="2" t="s">
        <v>651</v>
      </c>
      <c r="G86" s="2" t="s">
        <v>652</v>
      </c>
      <c r="H86" s="2" t="s">
        <v>653</v>
      </c>
      <c r="I86" s="2" t="s">
        <v>654</v>
      </c>
      <c r="J86" s="2" t="s">
        <v>664</v>
      </c>
      <c r="K86" s="2" t="s">
        <v>665</v>
      </c>
      <c r="L86" s="3">
        <v>13.8</v>
      </c>
      <c r="M86" s="3">
        <v>14.49</v>
      </c>
      <c r="N86" s="3">
        <v>29.99</v>
      </c>
      <c r="O86" s="2" t="s">
        <v>196</v>
      </c>
      <c r="P86" s="2" t="s">
        <v>197</v>
      </c>
      <c r="Q86" s="2" t="s">
        <v>198</v>
      </c>
      <c r="R86" s="2" t="s">
        <v>199</v>
      </c>
      <c r="S86" s="2" t="s">
        <v>666</v>
      </c>
      <c r="T86" s="2" t="s">
        <v>300</v>
      </c>
      <c r="U86" s="2" t="s">
        <v>280</v>
      </c>
      <c r="V86" s="2" t="s">
        <v>658</v>
      </c>
      <c r="W86" s="2" t="s">
        <v>623</v>
      </c>
      <c r="X86" s="2" t="s">
        <v>199</v>
      </c>
      <c r="Y86" s="2" t="s">
        <v>667</v>
      </c>
      <c r="Z86" s="4">
        <v>472</v>
      </c>
      <c r="AA86" s="4">
        <f>=ROUNDDOWN(27.7647058823529,0)</f>
      </c>
      <c r="AB86" s="5">
        <v>17</v>
      </c>
      <c r="AC86" s="2" t="s">
        <v>659</v>
      </c>
      <c r="AD86" s="4">
        <v>348</v>
      </c>
      <c r="AE86" s="4">
        <v>348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199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199</v>
      </c>
      <c r="BD86" s="8" t="s">
        <v>199</v>
      </c>
      <c r="BE86" s="4" t="s">
        <v>199</v>
      </c>
      <c r="BF86" s="8" t="s">
        <v>199</v>
      </c>
      <c r="BG86" s="7" t="s">
        <v>199</v>
      </c>
      <c r="BH86" s="7" t="s">
        <v>199</v>
      </c>
      <c r="BI86" s="7"/>
      <c r="BJ86" s="4">
        <v>66</v>
      </c>
      <c r="BK86" s="8">
        <v>995.49</v>
      </c>
      <c r="BL86" s="2" t="s">
        <v>668</v>
      </c>
      <c r="BM86" s="7"/>
      <c r="BN86" s="7"/>
      <c r="BO86" s="4"/>
      <c r="BP86" s="8"/>
      <c r="BQ86" s="4"/>
      <c r="BR86" s="8"/>
      <c r="BS86" s="7"/>
      <c r="BT86" s="7"/>
      <c r="BU86" s="2" t="s">
        <v>661</v>
      </c>
      <c r="BV86" s="2" t="s">
        <v>199</v>
      </c>
      <c r="BW86" s="2" t="s">
        <v>199</v>
      </c>
      <c r="BX86" s="2" t="s">
        <v>208</v>
      </c>
      <c r="BY86" s="2" t="s">
        <v>209</v>
      </c>
      <c r="BZ86" s="2" t="s">
        <v>196</v>
      </c>
      <c r="CA86" s="2" t="s">
        <v>669</v>
      </c>
      <c r="CB86" s="2" t="s">
        <v>670</v>
      </c>
      <c r="CC86" s="2" t="s">
        <v>212</v>
      </c>
      <c r="CD86" s="2" t="s">
        <v>199</v>
      </c>
      <c r="CE86" s="4">
        <v>298</v>
      </c>
      <c r="CF86" s="4"/>
      <c r="CG86" s="4"/>
      <c r="CH86" s="4"/>
      <c r="CI86" s="4"/>
      <c r="CJ86" s="4"/>
      <c r="CK86" s="4"/>
      <c r="CL86" s="4">
        <v>174</v>
      </c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>
        <v>348</v>
      </c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>
        <v>487</v>
      </c>
      <c r="EU86" s="4">
        <v>466</v>
      </c>
      <c r="EV86" s="4">
        <v>456</v>
      </c>
      <c r="EW86" s="4">
        <v>446</v>
      </c>
      <c r="EX86" s="4">
        <v>436</v>
      </c>
      <c r="EY86" s="4">
        <v>426</v>
      </c>
      <c r="EZ86" s="4">
        <v>416</v>
      </c>
      <c r="FA86" s="4">
        <v>402</v>
      </c>
      <c r="FB86" s="4">
        <v>384</v>
      </c>
      <c r="FC86" s="4">
        <v>367</v>
      </c>
      <c r="FD86" s="4">
        <v>350</v>
      </c>
      <c r="FE86" s="4">
        <v>333</v>
      </c>
      <c r="FF86" s="4">
        <v>316</v>
      </c>
      <c r="FG86" s="4">
        <v>299</v>
      </c>
      <c r="FH86" s="4">
        <v>630</v>
      </c>
      <c r="FI86" s="4">
        <v>612</v>
      </c>
      <c r="FJ86" s="4">
        <v>595</v>
      </c>
      <c r="FK86" s="4">
        <v>578</v>
      </c>
      <c r="FL86" s="4">
        <v>561</v>
      </c>
      <c r="FM86" s="4">
        <v>544</v>
      </c>
      <c r="FN86" s="4">
        <v>526</v>
      </c>
      <c r="FO86" s="4">
        <v>509</v>
      </c>
      <c r="FP86" s="4">
        <v>491</v>
      </c>
      <c r="FQ86" s="4">
        <v>474</v>
      </c>
      <c r="FR86" s="4">
        <v>457</v>
      </c>
      <c r="FS86" s="4">
        <v>440</v>
      </c>
      <c r="FT86" s="19">
        <v>37.5</v>
      </c>
      <c r="FU86" s="19">
        <v>46.6</v>
      </c>
      <c r="FV86" s="19">
        <v>45.6</v>
      </c>
      <c r="FW86" s="19">
        <v>40.5</v>
      </c>
      <c r="FX86" s="19">
        <v>33.5</v>
      </c>
      <c r="FY86" s="19">
        <v>28.4</v>
      </c>
      <c r="FZ86" s="19">
        <v>26</v>
      </c>
      <c r="GA86" s="19">
        <v>23.6</v>
      </c>
      <c r="GB86" s="19">
        <v>22.6</v>
      </c>
      <c r="GC86" s="19">
        <v>21.6</v>
      </c>
      <c r="GD86" s="19">
        <v>20.6</v>
      </c>
      <c r="GE86" s="19">
        <v>19.6</v>
      </c>
      <c r="GF86" s="19">
        <v>18.6</v>
      </c>
      <c r="GG86" s="19">
        <v>17.6</v>
      </c>
      <c r="GH86" s="19">
        <v>37.1</v>
      </c>
      <c r="GI86" s="19">
        <v>36</v>
      </c>
      <c r="GJ86" s="19">
        <v>35</v>
      </c>
      <c r="GK86" s="19">
        <v>34</v>
      </c>
      <c r="GL86" s="19">
        <v>31.2</v>
      </c>
      <c r="GM86" s="19">
        <v>30.2</v>
      </c>
      <c r="GN86" s="19">
        <v>30.9</v>
      </c>
      <c r="GO86" s="19">
        <v>29.9</v>
      </c>
      <c r="GP86" s="19">
        <v>28.9</v>
      </c>
      <c r="GQ86" s="19">
        <v>27.9</v>
      </c>
      <c r="GR86" s="19">
        <v>26.9</v>
      </c>
      <c r="GS86" s="19">
        <v>24.4</v>
      </c>
    </row>
    <row r="87">
      <c r="A87" s="2" t="s">
        <v>671</v>
      </c>
      <c r="B87" s="2" t="s">
        <v>672</v>
      </c>
      <c r="C87" s="2" t="s">
        <v>246</v>
      </c>
      <c r="D87" s="2" t="s">
        <v>673</v>
      </c>
      <c r="E87" s="2" t="s">
        <v>674</v>
      </c>
      <c r="F87" s="2" t="s">
        <v>675</v>
      </c>
      <c r="G87" s="2" t="s">
        <v>676</v>
      </c>
      <c r="H87" s="2" t="s">
        <v>677</v>
      </c>
      <c r="I87" s="2" t="s">
        <v>678</v>
      </c>
      <c r="J87" s="2" t="s">
        <v>679</v>
      </c>
      <c r="K87" s="2" t="s">
        <v>371</v>
      </c>
      <c r="L87" s="3">
        <v>18.24</v>
      </c>
      <c r="M87" s="3">
        <v>19.15</v>
      </c>
      <c r="N87" s="3">
        <v>37.99</v>
      </c>
      <c r="O87" s="2" t="s">
        <v>196</v>
      </c>
      <c r="P87" s="2" t="s">
        <v>197</v>
      </c>
      <c r="Q87" s="2" t="s">
        <v>198</v>
      </c>
      <c r="R87" s="2" t="s">
        <v>199</v>
      </c>
      <c r="S87" s="2" t="s">
        <v>680</v>
      </c>
      <c r="T87" s="2" t="s">
        <v>199</v>
      </c>
      <c r="U87" s="2" t="s">
        <v>280</v>
      </c>
      <c r="V87" s="2" t="s">
        <v>681</v>
      </c>
      <c r="W87" s="2" t="s">
        <v>203</v>
      </c>
      <c r="X87" s="2" t="s">
        <v>682</v>
      </c>
      <c r="Y87" s="2" t="s">
        <v>683</v>
      </c>
      <c r="Z87" s="4">
        <v>158</v>
      </c>
      <c r="AA87" s="4">
        <f>=ROUNDDOWN(39.5,0)</f>
      </c>
      <c r="AB87" s="5">
        <v>4</v>
      </c>
      <c r="AC87" s="2" t="s">
        <v>199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199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16</v>
      </c>
      <c r="BK87" s="8">
        <v>309.36</v>
      </c>
      <c r="BL87" s="2" t="s">
        <v>684</v>
      </c>
      <c r="BM87" s="7"/>
      <c r="BN87" s="7"/>
      <c r="BO87" s="4"/>
      <c r="BP87" s="8"/>
      <c r="BQ87" s="4"/>
      <c r="BR87" s="8"/>
      <c r="BS87" s="7"/>
      <c r="BT87" s="7"/>
      <c r="BU87" s="2" t="s">
        <v>685</v>
      </c>
      <c r="BV87" s="2" t="s">
        <v>199</v>
      </c>
      <c r="BW87" s="2" t="s">
        <v>199</v>
      </c>
      <c r="BX87" s="2" t="s">
        <v>686</v>
      </c>
      <c r="BY87" s="2" t="s">
        <v>209</v>
      </c>
      <c r="BZ87" s="2" t="s">
        <v>196</v>
      </c>
      <c r="CA87" s="2" t="s">
        <v>687</v>
      </c>
      <c r="CB87" s="2" t="s">
        <v>688</v>
      </c>
      <c r="CC87" s="2" t="s">
        <v>212</v>
      </c>
      <c r="CD87" s="2" t="s">
        <v>199</v>
      </c>
      <c r="CE87" s="4">
        <v>158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>
        <v>158</v>
      </c>
      <c r="EU87" s="4">
        <v>155</v>
      </c>
      <c r="EV87" s="4">
        <v>152</v>
      </c>
      <c r="EW87" s="4">
        <v>149</v>
      </c>
      <c r="EX87" s="4">
        <v>146</v>
      </c>
      <c r="EY87" s="4">
        <v>143</v>
      </c>
      <c r="EZ87" s="4">
        <v>140</v>
      </c>
      <c r="FA87" s="4">
        <v>137</v>
      </c>
      <c r="FB87" s="4">
        <v>133</v>
      </c>
      <c r="FC87" s="4">
        <v>130</v>
      </c>
      <c r="FD87" s="4">
        <v>127</v>
      </c>
      <c r="FE87" s="4">
        <v>124</v>
      </c>
      <c r="FF87" s="4">
        <v>121</v>
      </c>
      <c r="FG87" s="4">
        <v>118</v>
      </c>
      <c r="FH87" s="4">
        <v>115</v>
      </c>
      <c r="FI87" s="4">
        <v>112</v>
      </c>
      <c r="FJ87" s="4">
        <v>109</v>
      </c>
      <c r="FK87" s="4">
        <v>106</v>
      </c>
      <c r="FL87" s="4">
        <v>103</v>
      </c>
      <c r="FM87" s="4">
        <v>100</v>
      </c>
      <c r="FN87" s="4">
        <v>97</v>
      </c>
      <c r="FO87" s="4">
        <v>94</v>
      </c>
      <c r="FP87" s="4">
        <v>90</v>
      </c>
      <c r="FQ87" s="4">
        <v>87</v>
      </c>
      <c r="FR87" s="4">
        <v>84</v>
      </c>
      <c r="FS87" s="4">
        <v>81</v>
      </c>
      <c r="FT87" s="19">
        <v>52.7</v>
      </c>
      <c r="FU87" s="19">
        <v>51.7</v>
      </c>
      <c r="FV87" s="19">
        <v>50.7</v>
      </c>
      <c r="FW87" s="19">
        <v>49.7</v>
      </c>
      <c r="FX87" s="19">
        <v>48.7</v>
      </c>
      <c r="FY87" s="19">
        <v>47.7</v>
      </c>
      <c r="FZ87" s="19">
        <v>46.7</v>
      </c>
      <c r="GA87" s="19">
        <v>45.7</v>
      </c>
      <c r="GB87" s="19">
        <v>44.3</v>
      </c>
      <c r="GC87" s="19">
        <v>43.3</v>
      </c>
      <c r="GD87" s="19">
        <v>42.3</v>
      </c>
      <c r="GE87" s="19">
        <v>41.3</v>
      </c>
      <c r="GF87" s="19">
        <v>40.3</v>
      </c>
      <c r="GG87" s="19">
        <v>39.3</v>
      </c>
      <c r="GH87" s="19">
        <v>38.3</v>
      </c>
      <c r="GI87" s="19">
        <v>37.3</v>
      </c>
      <c r="GJ87" s="19">
        <v>36.3</v>
      </c>
      <c r="GK87" s="19">
        <v>35.3</v>
      </c>
      <c r="GL87" s="19">
        <v>34.3</v>
      </c>
      <c r="GM87" s="19">
        <v>33.3</v>
      </c>
      <c r="GN87" s="19">
        <v>32.3</v>
      </c>
      <c r="GO87" s="19">
        <v>31.3</v>
      </c>
      <c r="GP87" s="19">
        <v>30</v>
      </c>
      <c r="GQ87" s="19">
        <v>29</v>
      </c>
      <c r="GR87" s="19">
        <v>28</v>
      </c>
      <c r="GS87" s="19">
        <v>27</v>
      </c>
    </row>
    <row r="88">
      <c r="A88" s="2" t="s">
        <v>689</v>
      </c>
      <c r="B88" s="2" t="s">
        <v>672</v>
      </c>
      <c r="C88" s="2" t="s">
        <v>246</v>
      </c>
      <c r="D88" s="2" t="s">
        <v>673</v>
      </c>
      <c r="E88" s="2" t="s">
        <v>674</v>
      </c>
      <c r="F88" s="2" t="s">
        <v>690</v>
      </c>
      <c r="G88" s="2" t="s">
        <v>691</v>
      </c>
      <c r="H88" s="2" t="s">
        <v>692</v>
      </c>
      <c r="I88" s="2" t="s">
        <v>693</v>
      </c>
      <c r="J88" s="2" t="s">
        <v>694</v>
      </c>
      <c r="K88" s="2" t="s">
        <v>195</v>
      </c>
      <c r="L88" s="3">
        <v>19.35</v>
      </c>
      <c r="M88" s="3">
        <v>20.32</v>
      </c>
      <c r="N88" s="3">
        <v>42.99</v>
      </c>
      <c r="O88" s="2" t="s">
        <v>196</v>
      </c>
      <c r="P88" s="2" t="s">
        <v>197</v>
      </c>
      <c r="Q88" s="2" t="s">
        <v>198</v>
      </c>
      <c r="R88" s="2" t="s">
        <v>199</v>
      </c>
      <c r="S88" s="2" t="s">
        <v>695</v>
      </c>
      <c r="T88" s="2" t="s">
        <v>199</v>
      </c>
      <c r="U88" s="2" t="s">
        <v>199</v>
      </c>
      <c r="V88" s="2" t="s">
        <v>696</v>
      </c>
      <c r="W88" s="2" t="s">
        <v>623</v>
      </c>
      <c r="X88" s="2" t="s">
        <v>682</v>
      </c>
      <c r="Y88" s="2" t="s">
        <v>204</v>
      </c>
      <c r="Z88" s="4">
        <v>117</v>
      </c>
      <c r="AA88" s="4">
        <f>=ROUNDDOWN(11.7,0)</f>
      </c>
      <c r="AB88" s="5">
        <v>10</v>
      </c>
      <c r="AC88" s="2" t="s">
        <v>697</v>
      </c>
      <c r="AD88" s="4">
        <v>168</v>
      </c>
      <c r="AE88" s="4">
        <v>168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199</v>
      </c>
      <c r="BD88" s="8" t="s">
        <v>199</v>
      </c>
      <c r="BE88" s="4" t="s">
        <v>199</v>
      </c>
      <c r="BF88" s="8" t="s">
        <v>199</v>
      </c>
      <c r="BG88" s="7" t="s">
        <v>199</v>
      </c>
      <c r="BH88" s="7" t="s">
        <v>199</v>
      </c>
      <c r="BI88" s="7"/>
      <c r="BJ88" s="4">
        <v>60</v>
      </c>
      <c r="BK88" s="8">
        <v>1560.84</v>
      </c>
      <c r="BL88" s="2" t="s">
        <v>698</v>
      </c>
      <c r="BM88" s="7"/>
      <c r="BN88" s="7"/>
      <c r="BO88" s="4"/>
      <c r="BP88" s="8"/>
      <c r="BQ88" s="4"/>
      <c r="BR88" s="8"/>
      <c r="BS88" s="7"/>
      <c r="BT88" s="7"/>
      <c r="BU88" s="2" t="s">
        <v>699</v>
      </c>
      <c r="BV88" s="2" t="s">
        <v>199</v>
      </c>
      <c r="BW88" s="2" t="s">
        <v>199</v>
      </c>
      <c r="BX88" s="2" t="s">
        <v>208</v>
      </c>
      <c r="BY88" s="2" t="s">
        <v>209</v>
      </c>
      <c r="BZ88" s="2" t="s">
        <v>196</v>
      </c>
      <c r="CA88" s="2" t="s">
        <v>210</v>
      </c>
      <c r="CB88" s="2" t="s">
        <v>700</v>
      </c>
      <c r="CC88" s="2" t="s">
        <v>212</v>
      </c>
      <c r="CD88" s="2" t="s">
        <v>199</v>
      </c>
      <c r="CE88" s="4">
        <v>117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>
        <v>168</v>
      </c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>
        <v>118</v>
      </c>
      <c r="EU88" s="4">
        <v>109</v>
      </c>
      <c r="EV88" s="4">
        <v>101</v>
      </c>
      <c r="EW88" s="4">
        <v>93</v>
      </c>
      <c r="EX88" s="4">
        <v>253</v>
      </c>
      <c r="EY88" s="4">
        <v>245</v>
      </c>
      <c r="EZ88" s="4">
        <v>237</v>
      </c>
      <c r="FA88" s="4">
        <v>228</v>
      </c>
      <c r="FB88" s="4">
        <v>216</v>
      </c>
      <c r="FC88" s="4">
        <v>206</v>
      </c>
      <c r="FD88" s="4">
        <v>196</v>
      </c>
      <c r="FE88" s="4">
        <v>186</v>
      </c>
      <c r="FF88" s="4">
        <v>176</v>
      </c>
      <c r="FG88" s="4">
        <v>166</v>
      </c>
      <c r="FH88" s="4">
        <v>156</v>
      </c>
      <c r="FI88" s="4">
        <v>146</v>
      </c>
      <c r="FJ88" s="4">
        <v>136</v>
      </c>
      <c r="FK88" s="4">
        <v>126</v>
      </c>
      <c r="FL88" s="4">
        <v>116</v>
      </c>
      <c r="FM88" s="4">
        <v>106</v>
      </c>
      <c r="FN88" s="4">
        <v>96</v>
      </c>
      <c r="FO88" s="4">
        <v>86</v>
      </c>
      <c r="FP88" s="4">
        <v>74</v>
      </c>
      <c r="FQ88" s="4">
        <v>64</v>
      </c>
      <c r="FR88" s="4">
        <v>54</v>
      </c>
      <c r="FS88" s="4">
        <v>44</v>
      </c>
      <c r="FT88" s="19">
        <v>14.8</v>
      </c>
      <c r="FU88" s="19">
        <v>13.6</v>
      </c>
      <c r="FV88" s="19">
        <v>12.6</v>
      </c>
      <c r="FW88" s="19">
        <v>11.6</v>
      </c>
      <c r="FX88" s="19">
        <v>28.1</v>
      </c>
      <c r="FY88" s="19">
        <v>24.5</v>
      </c>
      <c r="FZ88" s="19">
        <v>23.7</v>
      </c>
      <c r="GA88" s="19">
        <v>22.8</v>
      </c>
      <c r="GB88" s="19">
        <v>21.6</v>
      </c>
      <c r="GC88" s="19">
        <v>20.6</v>
      </c>
      <c r="GD88" s="19">
        <v>19.6</v>
      </c>
      <c r="GE88" s="19">
        <v>18.6</v>
      </c>
      <c r="GF88" s="19">
        <v>17.6</v>
      </c>
      <c r="GG88" s="19">
        <v>16.6</v>
      </c>
      <c r="GH88" s="19">
        <v>15.6</v>
      </c>
      <c r="GI88" s="19">
        <v>14.6</v>
      </c>
      <c r="GJ88" s="19">
        <v>13.6</v>
      </c>
      <c r="GK88" s="19">
        <v>12.6</v>
      </c>
      <c r="GL88" s="19">
        <v>11.6</v>
      </c>
      <c r="GM88" s="19">
        <v>10.6</v>
      </c>
      <c r="GN88" s="19">
        <v>9.6</v>
      </c>
      <c r="GO88" s="19">
        <v>8.6</v>
      </c>
      <c r="GP88" s="19">
        <v>7.4</v>
      </c>
      <c r="GQ88" s="19">
        <v>6.4</v>
      </c>
      <c r="GR88" s="19">
        <v>5.4</v>
      </c>
      <c r="GS88" s="19">
        <v>4.4</v>
      </c>
    </row>
    <row r="89">
      <c r="A89" s="2" t="s">
        <v>701</v>
      </c>
      <c r="B89" s="2" t="s">
        <v>672</v>
      </c>
      <c r="C89" s="2" t="s">
        <v>246</v>
      </c>
      <c r="D89" s="2" t="s">
        <v>673</v>
      </c>
      <c r="E89" s="2" t="s">
        <v>674</v>
      </c>
      <c r="F89" s="2" t="s">
        <v>690</v>
      </c>
      <c r="G89" s="2" t="s">
        <v>691</v>
      </c>
      <c r="H89" s="2" t="s">
        <v>692</v>
      </c>
      <c r="I89" s="2" t="s">
        <v>693</v>
      </c>
      <c r="J89" s="2" t="s">
        <v>694</v>
      </c>
      <c r="K89" s="2" t="s">
        <v>371</v>
      </c>
      <c r="L89" s="3">
        <v>19.35</v>
      </c>
      <c r="M89" s="3">
        <v>20.32</v>
      </c>
      <c r="N89" s="3">
        <v>42.99</v>
      </c>
      <c r="O89" s="2" t="s">
        <v>196</v>
      </c>
      <c r="P89" s="2" t="s">
        <v>197</v>
      </c>
      <c r="Q89" s="2" t="s">
        <v>198</v>
      </c>
      <c r="R89" s="2" t="s">
        <v>199</v>
      </c>
      <c r="S89" s="2" t="s">
        <v>702</v>
      </c>
      <c r="T89" s="2" t="s">
        <v>199</v>
      </c>
      <c r="U89" s="2" t="s">
        <v>199</v>
      </c>
      <c r="V89" s="2" t="s">
        <v>696</v>
      </c>
      <c r="W89" s="2" t="s">
        <v>623</v>
      </c>
      <c r="X89" s="2" t="s">
        <v>682</v>
      </c>
      <c r="Y89" s="2" t="s">
        <v>204</v>
      </c>
      <c r="Z89" s="4">
        <v>76</v>
      </c>
      <c r="AA89" s="4">
        <f>=ROUNDDOWN(19,0)</f>
      </c>
      <c r="AB89" s="5">
        <v>4</v>
      </c>
      <c r="AC89" s="2" t="s">
        <v>697</v>
      </c>
      <c r="AD89" s="4">
        <v>124</v>
      </c>
      <c r="AE89" s="4">
        <v>124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199</v>
      </c>
      <c r="BD89" s="8" t="s">
        <v>199</v>
      </c>
      <c r="BE89" s="4" t="s">
        <v>199</v>
      </c>
      <c r="BF89" s="8" t="s">
        <v>199</v>
      </c>
      <c r="BG89" s="7" t="s">
        <v>199</v>
      </c>
      <c r="BH89" s="7" t="s">
        <v>199</v>
      </c>
      <c r="BI89" s="7"/>
      <c r="BJ89" s="4">
        <v>33</v>
      </c>
      <c r="BK89" s="8">
        <v>827.22</v>
      </c>
      <c r="BL89" s="2" t="s">
        <v>703</v>
      </c>
      <c r="BM89" s="7"/>
      <c r="BN89" s="7"/>
      <c r="BO89" s="4"/>
      <c r="BP89" s="8"/>
      <c r="BQ89" s="4"/>
      <c r="BR89" s="8"/>
      <c r="BS89" s="7"/>
      <c r="BT89" s="7"/>
      <c r="BU89" s="2" t="s">
        <v>699</v>
      </c>
      <c r="BV89" s="2" t="s">
        <v>199</v>
      </c>
      <c r="BW89" s="2" t="s">
        <v>199</v>
      </c>
      <c r="BX89" s="2" t="s">
        <v>208</v>
      </c>
      <c r="BY89" s="2" t="s">
        <v>209</v>
      </c>
      <c r="BZ89" s="2" t="s">
        <v>196</v>
      </c>
      <c r="CA89" s="2" t="s">
        <v>210</v>
      </c>
      <c r="CB89" s="2" t="s">
        <v>704</v>
      </c>
      <c r="CC89" s="2" t="s">
        <v>212</v>
      </c>
      <c r="CD89" s="2" t="s">
        <v>199</v>
      </c>
      <c r="CE89" s="4">
        <v>76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>
        <v>124</v>
      </c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>
        <v>81</v>
      </c>
      <c r="EU89" s="4">
        <v>77</v>
      </c>
      <c r="EV89" s="4">
        <v>74</v>
      </c>
      <c r="EW89" s="4">
        <v>71</v>
      </c>
      <c r="EX89" s="4">
        <v>192</v>
      </c>
      <c r="EY89" s="4">
        <v>189</v>
      </c>
      <c r="EZ89" s="4">
        <v>186</v>
      </c>
      <c r="FA89" s="4">
        <v>183</v>
      </c>
      <c r="FB89" s="4">
        <v>179</v>
      </c>
      <c r="FC89" s="4">
        <v>176</v>
      </c>
      <c r="FD89" s="4">
        <v>173</v>
      </c>
      <c r="FE89" s="4">
        <v>170</v>
      </c>
      <c r="FF89" s="4">
        <v>167</v>
      </c>
      <c r="FG89" s="4">
        <v>163</v>
      </c>
      <c r="FH89" s="4">
        <v>159</v>
      </c>
      <c r="FI89" s="4">
        <v>155</v>
      </c>
      <c r="FJ89" s="4">
        <v>151</v>
      </c>
      <c r="FK89" s="4">
        <v>147</v>
      </c>
      <c r="FL89" s="4">
        <v>143</v>
      </c>
      <c r="FM89" s="4">
        <v>139</v>
      </c>
      <c r="FN89" s="4">
        <v>135</v>
      </c>
      <c r="FO89" s="4">
        <v>131</v>
      </c>
      <c r="FP89" s="4">
        <v>126</v>
      </c>
      <c r="FQ89" s="4">
        <v>122</v>
      </c>
      <c r="FR89" s="4">
        <v>118</v>
      </c>
      <c r="FS89" s="4">
        <v>114</v>
      </c>
      <c r="FT89" s="19">
        <v>27</v>
      </c>
      <c r="FU89" s="19">
        <v>25.7</v>
      </c>
      <c r="FV89" s="19">
        <v>24.7</v>
      </c>
      <c r="FW89" s="19">
        <v>23.7</v>
      </c>
      <c r="FX89" s="19">
        <v>64</v>
      </c>
      <c r="FY89" s="19">
        <v>63</v>
      </c>
      <c r="FZ89" s="19">
        <v>62</v>
      </c>
      <c r="GA89" s="19">
        <v>61</v>
      </c>
      <c r="GB89" s="19">
        <v>59.7</v>
      </c>
      <c r="GC89" s="19">
        <v>58.7</v>
      </c>
      <c r="GD89" s="19">
        <v>43.3</v>
      </c>
      <c r="GE89" s="19">
        <v>42.5</v>
      </c>
      <c r="GF89" s="19">
        <v>41.8</v>
      </c>
      <c r="GG89" s="19">
        <v>40.8</v>
      </c>
      <c r="GH89" s="19">
        <v>39.8</v>
      </c>
      <c r="GI89" s="19">
        <v>38.8</v>
      </c>
      <c r="GJ89" s="19">
        <v>37.8</v>
      </c>
      <c r="GK89" s="19">
        <v>36.8</v>
      </c>
      <c r="GL89" s="19">
        <v>35.8</v>
      </c>
      <c r="GM89" s="19">
        <v>34.8</v>
      </c>
      <c r="GN89" s="19">
        <v>33.8</v>
      </c>
      <c r="GO89" s="19">
        <v>32.8</v>
      </c>
      <c r="GP89" s="19">
        <v>31.5</v>
      </c>
      <c r="GQ89" s="19">
        <v>30.5</v>
      </c>
      <c r="GR89" s="19">
        <v>29.5</v>
      </c>
      <c r="GS89" s="19">
        <v>28.5</v>
      </c>
    </row>
    <row r="90">
      <c r="A90" s="2" t="s">
        <v>705</v>
      </c>
      <c r="B90" s="2" t="s">
        <v>672</v>
      </c>
      <c r="C90" s="2" t="s">
        <v>246</v>
      </c>
      <c r="D90" s="2" t="s">
        <v>673</v>
      </c>
      <c r="E90" s="2" t="s">
        <v>674</v>
      </c>
      <c r="F90" s="2" t="s">
        <v>706</v>
      </c>
      <c r="G90" s="2" t="s">
        <v>707</v>
      </c>
      <c r="H90" s="2" t="s">
        <v>708</v>
      </c>
      <c r="I90" s="2" t="s">
        <v>709</v>
      </c>
      <c r="J90" s="2" t="s">
        <v>710</v>
      </c>
      <c r="K90" s="2" t="s">
        <v>233</v>
      </c>
      <c r="L90" s="3">
        <v>13.8</v>
      </c>
      <c r="M90" s="3">
        <v>14.49</v>
      </c>
      <c r="N90" s="3">
        <v>29.99</v>
      </c>
      <c r="O90" s="2" t="s">
        <v>196</v>
      </c>
      <c r="P90" s="2" t="s">
        <v>517</v>
      </c>
      <c r="Q90" s="2" t="s">
        <v>198</v>
      </c>
      <c r="R90" s="2" t="s">
        <v>199</v>
      </c>
      <c r="S90" s="2" t="s">
        <v>711</v>
      </c>
      <c r="T90" s="2" t="s">
        <v>199</v>
      </c>
      <c r="U90" s="2" t="s">
        <v>199</v>
      </c>
      <c r="V90" s="2" t="s">
        <v>202</v>
      </c>
      <c r="W90" s="2" t="s">
        <v>712</v>
      </c>
      <c r="X90" s="2" t="s">
        <v>682</v>
      </c>
      <c r="Y90" s="2" t="s">
        <v>204</v>
      </c>
      <c r="Z90" s="4">
        <v>246</v>
      </c>
      <c r="AA90" s="4">
        <f>=ROUNDDOWN(20.5,0)</f>
      </c>
      <c r="AB90" s="5">
        <v>12</v>
      </c>
      <c r="AC90" s="2" t="s">
        <v>713</v>
      </c>
      <c r="AD90" s="4">
        <v>100</v>
      </c>
      <c r="AE90" s="4">
        <v>332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26</v>
      </c>
      <c r="BK90" s="8">
        <v>416.05</v>
      </c>
      <c r="BL90" s="2" t="s">
        <v>714</v>
      </c>
      <c r="BM90" s="7"/>
      <c r="BN90" s="7"/>
      <c r="BO90" s="4"/>
      <c r="BP90" s="8"/>
      <c r="BQ90" s="4"/>
      <c r="BR90" s="8"/>
      <c r="BS90" s="7"/>
      <c r="BT90" s="7"/>
      <c r="BU90" s="2" t="s">
        <v>715</v>
      </c>
      <c r="BV90" s="2" t="s">
        <v>199</v>
      </c>
      <c r="BW90" s="2" t="s">
        <v>199</v>
      </c>
      <c r="BX90" s="2" t="s">
        <v>208</v>
      </c>
      <c r="BY90" s="2" t="s">
        <v>209</v>
      </c>
      <c r="BZ90" s="2" t="s">
        <v>196</v>
      </c>
      <c r="CA90" s="2" t="s">
        <v>716</v>
      </c>
      <c r="CB90" s="2" t="s">
        <v>717</v>
      </c>
      <c r="CC90" s="2" t="s">
        <v>212</v>
      </c>
      <c r="CD90" s="2" t="s">
        <v>199</v>
      </c>
      <c r="CE90" s="4">
        <v>246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>
        <v>100</v>
      </c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>
        <v>232</v>
      </c>
      <c r="EK90" s="4"/>
      <c r="EL90" s="4"/>
      <c r="EM90" s="4"/>
      <c r="EN90" s="4"/>
      <c r="EO90" s="4"/>
      <c r="EP90" s="4"/>
      <c r="EQ90" s="4"/>
      <c r="ER90" s="4"/>
      <c r="ES90" s="4"/>
      <c r="ET90" s="4">
        <v>248</v>
      </c>
      <c r="EU90" s="4">
        <v>240</v>
      </c>
      <c r="EV90" s="4">
        <v>232</v>
      </c>
      <c r="EW90" s="4">
        <v>224</v>
      </c>
      <c r="EX90" s="4">
        <v>216</v>
      </c>
      <c r="EY90" s="4">
        <v>208</v>
      </c>
      <c r="EZ90" s="4">
        <v>200</v>
      </c>
      <c r="FA90" s="4">
        <v>190</v>
      </c>
      <c r="FB90" s="4">
        <v>176</v>
      </c>
      <c r="FC90" s="4">
        <v>264</v>
      </c>
      <c r="FD90" s="4">
        <v>252</v>
      </c>
      <c r="FE90" s="4">
        <v>240</v>
      </c>
      <c r="FF90" s="4">
        <v>228</v>
      </c>
      <c r="FG90" s="4">
        <v>216</v>
      </c>
      <c r="FH90" s="4">
        <v>204</v>
      </c>
      <c r="FI90" s="4">
        <v>423</v>
      </c>
      <c r="FJ90" s="4">
        <v>411</v>
      </c>
      <c r="FK90" s="4">
        <v>399</v>
      </c>
      <c r="FL90" s="4">
        <v>387</v>
      </c>
      <c r="FM90" s="4">
        <v>375</v>
      </c>
      <c r="FN90" s="4">
        <v>362</v>
      </c>
      <c r="FO90" s="4">
        <v>350</v>
      </c>
      <c r="FP90" s="4">
        <v>336</v>
      </c>
      <c r="FQ90" s="4">
        <v>324</v>
      </c>
      <c r="FR90" s="4">
        <v>312</v>
      </c>
      <c r="FS90" s="4">
        <v>300</v>
      </c>
      <c r="FT90" s="19">
        <v>31</v>
      </c>
      <c r="FU90" s="19">
        <v>30</v>
      </c>
      <c r="FV90" s="19">
        <v>29</v>
      </c>
      <c r="FW90" s="19">
        <v>28</v>
      </c>
      <c r="FX90" s="19">
        <v>21.6</v>
      </c>
      <c r="FY90" s="19">
        <v>18.9</v>
      </c>
      <c r="FZ90" s="19">
        <v>16.7</v>
      </c>
      <c r="GA90" s="19">
        <v>15.8</v>
      </c>
      <c r="GB90" s="19">
        <v>14.7</v>
      </c>
      <c r="GC90" s="19">
        <v>22</v>
      </c>
      <c r="GD90" s="19">
        <v>21</v>
      </c>
      <c r="GE90" s="19">
        <v>20</v>
      </c>
      <c r="GF90" s="19">
        <v>19</v>
      </c>
      <c r="GG90" s="19">
        <v>18</v>
      </c>
      <c r="GH90" s="19">
        <v>17</v>
      </c>
      <c r="GI90" s="19">
        <v>35.3</v>
      </c>
      <c r="GJ90" s="19">
        <v>34.3</v>
      </c>
      <c r="GK90" s="19">
        <v>33.3</v>
      </c>
      <c r="GL90" s="19">
        <v>29.8</v>
      </c>
      <c r="GM90" s="19">
        <v>28.8</v>
      </c>
      <c r="GN90" s="19">
        <v>30.2</v>
      </c>
      <c r="GO90" s="19">
        <v>29.2</v>
      </c>
      <c r="GP90" s="19">
        <v>28</v>
      </c>
      <c r="GQ90" s="19">
        <v>27</v>
      </c>
      <c r="GR90" s="19">
        <v>26</v>
      </c>
      <c r="GS90" s="19">
        <v>23.1</v>
      </c>
    </row>
    <row r="91">
      <c r="A91" s="2" t="s">
        <v>718</v>
      </c>
      <c r="B91" s="2" t="s">
        <v>630</v>
      </c>
      <c r="C91" s="2" t="s">
        <v>719</v>
      </c>
      <c r="D91" s="2" t="s">
        <v>631</v>
      </c>
      <c r="E91" s="2" t="s">
        <v>720</v>
      </c>
      <c r="F91" s="2" t="s">
        <v>721</v>
      </c>
      <c r="G91" s="2" t="s">
        <v>721</v>
      </c>
      <c r="H91" s="2" t="s">
        <v>721</v>
      </c>
      <c r="I91" s="2" t="s">
        <v>722</v>
      </c>
      <c r="J91" s="2" t="s">
        <v>232</v>
      </c>
      <c r="K91" s="2" t="s">
        <v>723</v>
      </c>
      <c r="L91" s="3">
        <v>85</v>
      </c>
      <c r="M91" s="3">
        <v>89.24</v>
      </c>
      <c r="N91" s="3">
        <v>179.99</v>
      </c>
      <c r="O91" s="2" t="s">
        <v>196</v>
      </c>
      <c r="P91" s="2" t="s">
        <v>724</v>
      </c>
      <c r="Q91" s="2" t="s">
        <v>198</v>
      </c>
      <c r="R91" s="2" t="s">
        <v>199</v>
      </c>
      <c r="S91" s="2" t="s">
        <v>725</v>
      </c>
      <c r="T91" s="2" t="s">
        <v>726</v>
      </c>
      <c r="U91" s="2" t="s">
        <v>199</v>
      </c>
      <c r="V91" s="2" t="s">
        <v>301</v>
      </c>
      <c r="W91" s="2" t="s">
        <v>727</v>
      </c>
      <c r="X91" s="2" t="s">
        <v>728</v>
      </c>
      <c r="Y91" s="2" t="s">
        <v>729</v>
      </c>
      <c r="Z91" s="4">
        <v>80</v>
      </c>
      <c r="AA91" s="4">
        <f>=ROUNDDOWN(13.3333333333333,0)</f>
      </c>
      <c r="AB91" s="5">
        <v>6</v>
      </c>
      <c r="AC91" s="2" t="s">
        <v>730</v>
      </c>
      <c r="AD91" s="4">
        <v>78</v>
      </c>
      <c r="AE91" s="4">
        <v>78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27</v>
      </c>
      <c r="BK91" s="8">
        <v>2355.79</v>
      </c>
      <c r="BL91" s="2" t="s">
        <v>731</v>
      </c>
      <c r="BM91" s="7"/>
      <c r="BN91" s="7"/>
      <c r="BO91" s="4"/>
      <c r="BP91" s="8"/>
      <c r="BQ91" s="4"/>
      <c r="BR91" s="8"/>
      <c r="BS91" s="7"/>
      <c r="BT91" s="7"/>
      <c r="BU91" s="2" t="s">
        <v>732</v>
      </c>
      <c r="BV91" s="2" t="s">
        <v>199</v>
      </c>
      <c r="BW91" s="2" t="s">
        <v>199</v>
      </c>
      <c r="BX91" s="2" t="s">
        <v>208</v>
      </c>
      <c r="BY91" s="2" t="s">
        <v>209</v>
      </c>
      <c r="BZ91" s="2" t="s">
        <v>196</v>
      </c>
      <c r="CA91" s="2" t="s">
        <v>733</v>
      </c>
      <c r="CB91" s="2" t="s">
        <v>734</v>
      </c>
      <c r="CC91" s="2" t="s">
        <v>212</v>
      </c>
      <c r="CD91" s="2" t="s">
        <v>199</v>
      </c>
      <c r="CE91" s="4">
        <v>80</v>
      </c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>
        <v>78</v>
      </c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>
        <v>84</v>
      </c>
      <c r="EU91" s="4">
        <v>76</v>
      </c>
      <c r="EV91" s="4">
        <v>71</v>
      </c>
      <c r="EW91" s="4">
        <v>67</v>
      </c>
      <c r="EX91" s="4">
        <v>63</v>
      </c>
      <c r="EY91" s="4">
        <v>58</v>
      </c>
      <c r="EZ91" s="4">
        <v>131</v>
      </c>
      <c r="FA91" s="4">
        <v>126</v>
      </c>
      <c r="FB91" s="4">
        <v>121</v>
      </c>
      <c r="FC91" s="4">
        <v>115</v>
      </c>
      <c r="FD91" s="4">
        <v>109</v>
      </c>
      <c r="FE91" s="4">
        <v>103</v>
      </c>
      <c r="FF91" s="4">
        <v>97</v>
      </c>
      <c r="FG91" s="4">
        <v>91</v>
      </c>
      <c r="FH91" s="4">
        <v>85</v>
      </c>
      <c r="FI91" s="4">
        <v>79</v>
      </c>
      <c r="FJ91" s="4">
        <v>73</v>
      </c>
      <c r="FK91" s="4">
        <v>67</v>
      </c>
      <c r="FL91" s="4">
        <v>61</v>
      </c>
      <c r="FM91" s="4">
        <v>55</v>
      </c>
      <c r="FN91" s="4">
        <v>49</v>
      </c>
      <c r="FO91" s="4">
        <v>43</v>
      </c>
      <c r="FP91" s="4">
        <v>37</v>
      </c>
      <c r="FQ91" s="4">
        <v>101</v>
      </c>
      <c r="FR91" s="4">
        <v>95</v>
      </c>
      <c r="FS91" s="4">
        <v>89</v>
      </c>
      <c r="FT91" s="19">
        <v>16.8</v>
      </c>
      <c r="FU91" s="19">
        <v>19</v>
      </c>
      <c r="FV91" s="19">
        <v>17.8</v>
      </c>
      <c r="FW91" s="19">
        <v>13.4</v>
      </c>
      <c r="FX91" s="19">
        <v>12.6</v>
      </c>
      <c r="FY91" s="19">
        <v>11.6</v>
      </c>
      <c r="FZ91" s="19">
        <v>21.8</v>
      </c>
      <c r="GA91" s="19">
        <v>21</v>
      </c>
      <c r="GB91" s="19">
        <v>20.2</v>
      </c>
      <c r="GC91" s="19">
        <v>19.2</v>
      </c>
      <c r="GD91" s="19">
        <v>18.2</v>
      </c>
      <c r="GE91" s="19">
        <v>17.2</v>
      </c>
      <c r="GF91" s="19">
        <v>16.2</v>
      </c>
      <c r="GG91" s="19">
        <v>15.2</v>
      </c>
      <c r="GH91" s="19">
        <v>14.2</v>
      </c>
      <c r="GI91" s="19">
        <v>13.2</v>
      </c>
      <c r="GJ91" s="19">
        <v>12.2</v>
      </c>
      <c r="GK91" s="19">
        <v>11.2</v>
      </c>
      <c r="GL91" s="19">
        <v>10.2</v>
      </c>
      <c r="GM91" s="19">
        <v>9.2</v>
      </c>
      <c r="GN91" s="19">
        <v>8.2</v>
      </c>
      <c r="GO91" s="19">
        <v>7.2</v>
      </c>
      <c r="GP91" s="19">
        <v>6.2</v>
      </c>
      <c r="GQ91" s="19">
        <v>16.8</v>
      </c>
      <c r="GR91" s="19">
        <v>15.8</v>
      </c>
      <c r="GS91" s="19">
        <v>14.8</v>
      </c>
    </row>
    <row r="92">
      <c r="A92" s="2" t="s">
        <v>735</v>
      </c>
      <c r="B92" s="2" t="s">
        <v>736</v>
      </c>
      <c r="C92" s="2" t="s">
        <v>737</v>
      </c>
      <c r="D92" s="2" t="s">
        <v>631</v>
      </c>
      <c r="E92" s="2" t="s">
        <v>720</v>
      </c>
      <c r="F92" s="2" t="s">
        <v>738</v>
      </c>
      <c r="G92" s="2" t="s">
        <v>739</v>
      </c>
      <c r="H92" s="2" t="s">
        <v>740</v>
      </c>
      <c r="I92" s="2" t="s">
        <v>741</v>
      </c>
      <c r="J92" s="2" t="s">
        <v>241</v>
      </c>
      <c r="K92" s="2" t="s">
        <v>742</v>
      </c>
      <c r="L92" s="3">
        <v>31.85</v>
      </c>
      <c r="M92" s="3">
        <v>33.44</v>
      </c>
      <c r="N92" s="3">
        <v>64.99</v>
      </c>
      <c r="O92" s="2" t="s">
        <v>196</v>
      </c>
      <c r="P92" s="2" t="s">
        <v>621</v>
      </c>
      <c r="Q92" s="2" t="s">
        <v>198</v>
      </c>
      <c r="R92" s="2" t="s">
        <v>199</v>
      </c>
      <c r="S92" s="2" t="s">
        <v>743</v>
      </c>
      <c r="T92" s="2" t="s">
        <v>386</v>
      </c>
      <c r="U92" s="2" t="s">
        <v>254</v>
      </c>
      <c r="V92" s="2" t="s">
        <v>301</v>
      </c>
      <c r="W92" s="2" t="s">
        <v>203</v>
      </c>
      <c r="X92" s="2" t="s">
        <v>510</v>
      </c>
      <c r="Y92" s="2" t="s">
        <v>204</v>
      </c>
      <c r="Z92" s="4">
        <v>157</v>
      </c>
      <c r="AA92" s="4">
        <f>=ROUNDDOWN(78.5,0)</f>
      </c>
      <c r="AB92" s="5">
        <v>2</v>
      </c>
      <c r="AC92" s="2" t="s">
        <v>199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10</v>
      </c>
      <c r="BK92" s="8">
        <v>343.51</v>
      </c>
      <c r="BL92" s="2" t="s">
        <v>744</v>
      </c>
      <c r="BM92" s="7"/>
      <c r="BN92" s="7"/>
      <c r="BO92" s="4"/>
      <c r="BP92" s="8"/>
      <c r="BQ92" s="4"/>
      <c r="BR92" s="8"/>
      <c r="BS92" s="7"/>
      <c r="BT92" s="7"/>
      <c r="BU92" s="2" t="s">
        <v>745</v>
      </c>
      <c r="BV92" s="2" t="s">
        <v>199</v>
      </c>
      <c r="BW92" s="2" t="s">
        <v>199</v>
      </c>
      <c r="BX92" s="2" t="s">
        <v>208</v>
      </c>
      <c r="BY92" s="2" t="s">
        <v>209</v>
      </c>
      <c r="BZ92" s="2" t="s">
        <v>196</v>
      </c>
      <c r="CA92" s="2" t="s">
        <v>746</v>
      </c>
      <c r="CB92" s="2" t="s">
        <v>747</v>
      </c>
      <c r="CC92" s="2" t="s">
        <v>212</v>
      </c>
      <c r="CD92" s="2" t="s">
        <v>199</v>
      </c>
      <c r="CE92" s="4">
        <v>157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>
        <v>157</v>
      </c>
      <c r="EU92" s="4">
        <v>155</v>
      </c>
      <c r="EV92" s="4">
        <v>153</v>
      </c>
      <c r="EW92" s="4">
        <v>151</v>
      </c>
      <c r="EX92" s="4">
        <v>149</v>
      </c>
      <c r="EY92" s="4">
        <v>147</v>
      </c>
      <c r="EZ92" s="4">
        <v>144</v>
      </c>
      <c r="FA92" s="4">
        <v>141</v>
      </c>
      <c r="FB92" s="4">
        <v>138</v>
      </c>
      <c r="FC92" s="4">
        <v>135</v>
      </c>
      <c r="FD92" s="4">
        <v>133</v>
      </c>
      <c r="FE92" s="4">
        <v>131</v>
      </c>
      <c r="FF92" s="4">
        <v>129</v>
      </c>
      <c r="FG92" s="4">
        <v>127</v>
      </c>
      <c r="FH92" s="4">
        <v>125</v>
      </c>
      <c r="FI92" s="4">
        <v>123</v>
      </c>
      <c r="FJ92" s="4">
        <v>121</v>
      </c>
      <c r="FK92" s="4">
        <v>119</v>
      </c>
      <c r="FL92" s="4">
        <v>117</v>
      </c>
      <c r="FM92" s="4">
        <v>115</v>
      </c>
      <c r="FN92" s="4">
        <v>113</v>
      </c>
      <c r="FO92" s="4">
        <v>111</v>
      </c>
      <c r="FP92" s="4">
        <v>109</v>
      </c>
      <c r="FQ92" s="4">
        <v>108</v>
      </c>
      <c r="FR92" s="4">
        <v>107</v>
      </c>
      <c r="FS92" s="4">
        <v>106</v>
      </c>
      <c r="FT92" s="19">
        <v>78.5</v>
      </c>
      <c r="FU92" s="19">
        <v>77.5</v>
      </c>
      <c r="FV92" s="19">
        <v>76.5</v>
      </c>
      <c r="FW92" s="19">
        <v>75.5</v>
      </c>
      <c r="FX92" s="19">
        <v>49.7</v>
      </c>
      <c r="FY92" s="19">
        <v>49</v>
      </c>
      <c r="FZ92" s="19">
        <v>48</v>
      </c>
      <c r="GA92" s="19">
        <v>70.5</v>
      </c>
      <c r="GB92" s="19">
        <v>69</v>
      </c>
      <c r="GC92" s="19">
        <v>67.5</v>
      </c>
      <c r="GD92" s="19">
        <v>66.5</v>
      </c>
      <c r="GE92" s="19">
        <v>65.5</v>
      </c>
      <c r="GF92" s="19">
        <v>64.5</v>
      </c>
      <c r="GG92" s="19">
        <v>63.5</v>
      </c>
      <c r="GH92" s="19">
        <v>62.5</v>
      </c>
      <c r="GI92" s="19">
        <v>61.5</v>
      </c>
      <c r="GJ92" s="19">
        <v>60.5</v>
      </c>
      <c r="GK92" s="19">
        <v>59.5</v>
      </c>
      <c r="GL92" s="19">
        <v>58.5</v>
      </c>
      <c r="GM92" s="19">
        <v>57.5</v>
      </c>
      <c r="GN92" s="19">
        <v>56.5</v>
      </c>
      <c r="GO92" s="19">
        <v>111</v>
      </c>
      <c r="GP92" s="19">
        <v>109</v>
      </c>
      <c r="GQ92" s="19">
        <v>54</v>
      </c>
      <c r="GR92" s="19">
        <v>53.5</v>
      </c>
      <c r="GS92" s="19">
        <v>53</v>
      </c>
    </row>
    <row r="93">
      <c r="A93" s="2" t="s">
        <v>748</v>
      </c>
      <c r="B93" s="2" t="s">
        <v>591</v>
      </c>
      <c r="C93" s="2" t="s">
        <v>571</v>
      </c>
      <c r="D93" s="2" t="s">
        <v>749</v>
      </c>
      <c r="E93" s="2" t="s">
        <v>750</v>
      </c>
      <c r="F93" s="2" t="s">
        <v>751</v>
      </c>
      <c r="G93" s="2" t="s">
        <v>751</v>
      </c>
      <c r="H93" s="2" t="s">
        <v>751</v>
      </c>
      <c r="I93" s="2" t="s">
        <v>752</v>
      </c>
      <c r="J93" s="2" t="s">
        <v>559</v>
      </c>
      <c r="K93" s="2" t="s">
        <v>502</v>
      </c>
      <c r="L93" s="3">
        <v>63</v>
      </c>
      <c r="M93" s="3">
        <v>66.15</v>
      </c>
      <c r="N93" s="3">
        <v>134.99</v>
      </c>
      <c r="O93" s="2" t="s">
        <v>196</v>
      </c>
      <c r="P93" s="2" t="s">
        <v>197</v>
      </c>
      <c r="Q93" s="2" t="s">
        <v>198</v>
      </c>
      <c r="R93" s="2" t="s">
        <v>199</v>
      </c>
      <c r="S93" s="2" t="s">
        <v>199</v>
      </c>
      <c r="T93" s="2" t="s">
        <v>199</v>
      </c>
      <c r="U93" s="2" t="s">
        <v>280</v>
      </c>
      <c r="V93" s="2" t="s">
        <v>493</v>
      </c>
      <c r="W93" s="2" t="s">
        <v>623</v>
      </c>
      <c r="X93" s="2" t="s">
        <v>199</v>
      </c>
      <c r="Y93" s="2" t="s">
        <v>753</v>
      </c>
      <c r="Z93" s="4">
        <v>260</v>
      </c>
      <c r="AA93" s="4">
        <f>=ROUNDDOWN(53.0612244897959,0)</f>
      </c>
      <c r="AB93" s="5">
        <v>4.9</v>
      </c>
      <c r="AC93" s="2" t="s">
        <v>199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13</v>
      </c>
      <c r="BK93" s="8">
        <v>962.81</v>
      </c>
      <c r="BL93" s="2" t="s">
        <v>754</v>
      </c>
      <c r="BM93" s="7"/>
      <c r="BN93" s="7"/>
      <c r="BO93" s="4"/>
      <c r="BP93" s="8"/>
      <c r="BQ93" s="4"/>
      <c r="BR93" s="8"/>
      <c r="BS93" s="7"/>
      <c r="BT93" s="7"/>
      <c r="BU93" s="2" t="s">
        <v>755</v>
      </c>
      <c r="BV93" s="2" t="s">
        <v>199</v>
      </c>
      <c r="BW93" s="2" t="s">
        <v>199</v>
      </c>
      <c r="BX93" s="2" t="s">
        <v>208</v>
      </c>
      <c r="BY93" s="2" t="s">
        <v>209</v>
      </c>
      <c r="BZ93" s="2" t="s">
        <v>196</v>
      </c>
      <c r="CA93" s="2" t="s">
        <v>756</v>
      </c>
      <c r="CB93" s="2" t="s">
        <v>757</v>
      </c>
      <c r="CC93" s="2" t="s">
        <v>212</v>
      </c>
      <c r="CD93" s="2" t="s">
        <v>199</v>
      </c>
      <c r="CE93" s="4"/>
      <c r="CF93" s="4">
        <v>260</v>
      </c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>
        <v>265</v>
      </c>
      <c r="EU93" s="4">
        <v>256</v>
      </c>
      <c r="EV93" s="4">
        <v>251</v>
      </c>
      <c r="EW93" s="4">
        <v>246</v>
      </c>
      <c r="EX93" s="4">
        <v>241</v>
      </c>
      <c r="EY93" s="4">
        <v>236</v>
      </c>
      <c r="EZ93" s="4">
        <v>231</v>
      </c>
      <c r="FA93" s="4">
        <v>226</v>
      </c>
      <c r="FB93" s="4">
        <v>220</v>
      </c>
      <c r="FC93" s="4">
        <v>215</v>
      </c>
      <c r="FD93" s="4">
        <v>210</v>
      </c>
      <c r="FE93" s="4">
        <v>205</v>
      </c>
      <c r="FF93" s="4">
        <v>200</v>
      </c>
      <c r="FG93" s="4">
        <v>195</v>
      </c>
      <c r="FH93" s="4">
        <v>190</v>
      </c>
      <c r="FI93" s="4">
        <v>185</v>
      </c>
      <c r="FJ93" s="4">
        <v>180</v>
      </c>
      <c r="FK93" s="4">
        <v>175</v>
      </c>
      <c r="FL93" s="4">
        <v>170</v>
      </c>
      <c r="FM93" s="4">
        <v>165</v>
      </c>
      <c r="FN93" s="4">
        <v>160</v>
      </c>
      <c r="FO93" s="4">
        <v>155</v>
      </c>
      <c r="FP93" s="4">
        <v>149</v>
      </c>
      <c r="FQ93" s="4">
        <v>144</v>
      </c>
      <c r="FR93" s="4">
        <v>139</v>
      </c>
      <c r="FS93" s="4">
        <v>134</v>
      </c>
      <c r="FT93" s="19">
        <v>44.2</v>
      </c>
      <c r="FU93" s="19">
        <v>51.2</v>
      </c>
      <c r="FV93" s="19">
        <v>50.2</v>
      </c>
      <c r="FW93" s="19">
        <v>49.2</v>
      </c>
      <c r="FX93" s="19">
        <v>48.2</v>
      </c>
      <c r="FY93" s="19">
        <v>47.2</v>
      </c>
      <c r="FZ93" s="19">
        <v>46.2</v>
      </c>
      <c r="GA93" s="19">
        <v>45.2</v>
      </c>
      <c r="GB93" s="19">
        <v>44</v>
      </c>
      <c r="GC93" s="19">
        <v>43</v>
      </c>
      <c r="GD93" s="19">
        <v>42</v>
      </c>
      <c r="GE93" s="19">
        <v>41</v>
      </c>
      <c r="GF93" s="19">
        <v>40</v>
      </c>
      <c r="GG93" s="19">
        <v>39</v>
      </c>
      <c r="GH93" s="19">
        <v>38</v>
      </c>
      <c r="GI93" s="19">
        <v>37</v>
      </c>
      <c r="GJ93" s="19">
        <v>36</v>
      </c>
      <c r="GK93" s="19">
        <v>35</v>
      </c>
      <c r="GL93" s="19">
        <v>34</v>
      </c>
      <c r="GM93" s="19">
        <v>33</v>
      </c>
      <c r="GN93" s="19">
        <v>32</v>
      </c>
      <c r="GO93" s="19">
        <v>31</v>
      </c>
      <c r="GP93" s="19">
        <v>29.8</v>
      </c>
      <c r="GQ93" s="19">
        <v>28.8</v>
      </c>
      <c r="GR93" s="19">
        <v>27.8</v>
      </c>
      <c r="GS93" s="19">
        <v>26.8</v>
      </c>
    </row>
    <row r="94">
      <c r="A94" s="2" t="s">
        <v>758</v>
      </c>
      <c r="B94" s="2" t="s">
        <v>630</v>
      </c>
      <c r="C94" s="2" t="s">
        <v>246</v>
      </c>
      <c r="D94" s="2" t="s">
        <v>759</v>
      </c>
      <c r="E94" s="2" t="s">
        <v>760</v>
      </c>
      <c r="F94" s="2" t="s">
        <v>761</v>
      </c>
      <c r="G94" s="2" t="s">
        <v>762</v>
      </c>
      <c r="H94" s="2" t="s">
        <v>763</v>
      </c>
      <c r="I94" s="2" t="s">
        <v>764</v>
      </c>
      <c r="J94" s="2" t="s">
        <v>241</v>
      </c>
      <c r="K94" s="2" t="s">
        <v>765</v>
      </c>
      <c r="L94" s="3">
        <v>76.49</v>
      </c>
      <c r="M94" s="3">
        <v>80.32</v>
      </c>
      <c r="N94" s="3">
        <v>149.99</v>
      </c>
      <c r="O94" s="2" t="s">
        <v>196</v>
      </c>
      <c r="P94" s="2" t="s">
        <v>621</v>
      </c>
      <c r="Q94" s="2" t="s">
        <v>198</v>
      </c>
      <c r="R94" s="2" t="s">
        <v>199</v>
      </c>
      <c r="S94" s="2" t="s">
        <v>766</v>
      </c>
      <c r="T94" s="2" t="s">
        <v>386</v>
      </c>
      <c r="U94" s="2" t="s">
        <v>509</v>
      </c>
      <c r="V94" s="2" t="s">
        <v>767</v>
      </c>
      <c r="W94" s="2" t="s">
        <v>768</v>
      </c>
      <c r="X94" s="2" t="s">
        <v>769</v>
      </c>
      <c r="Y94" s="2" t="s">
        <v>204</v>
      </c>
      <c r="Z94" s="4">
        <v>1159</v>
      </c>
      <c r="AA94" s="4">
        <f>=ROUNDDOWN(28.975,0)</f>
      </c>
      <c r="AB94" s="5">
        <v>40</v>
      </c>
      <c r="AC94" s="2" t="s">
        <v>770</v>
      </c>
      <c r="AD94" s="4">
        <v>220</v>
      </c>
      <c r="AE94" s="4">
        <v>960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199</v>
      </c>
      <c r="BD94" s="8" t="s">
        <v>199</v>
      </c>
      <c r="BE94" s="4" t="s">
        <v>199</v>
      </c>
      <c r="BF94" s="8" t="s">
        <v>199</v>
      </c>
      <c r="BG94" s="7" t="s">
        <v>199</v>
      </c>
      <c r="BH94" s="7" t="s">
        <v>199</v>
      </c>
      <c r="BI94" s="7"/>
      <c r="BJ94" s="4">
        <v>105</v>
      </c>
      <c r="BK94" s="8">
        <v>7960.03</v>
      </c>
      <c r="BL94" s="2" t="s">
        <v>771</v>
      </c>
      <c r="BM94" s="7"/>
      <c r="BN94" s="7"/>
      <c r="BO94" s="4"/>
      <c r="BP94" s="8"/>
      <c r="BQ94" s="4"/>
      <c r="BR94" s="8"/>
      <c r="BS94" s="7"/>
      <c r="BT94" s="7"/>
      <c r="BU94" s="2" t="s">
        <v>772</v>
      </c>
      <c r="BV94" s="2" t="s">
        <v>199</v>
      </c>
      <c r="BW94" s="2" t="s">
        <v>199</v>
      </c>
      <c r="BX94" s="2" t="s">
        <v>208</v>
      </c>
      <c r="BY94" s="2" t="s">
        <v>209</v>
      </c>
      <c r="BZ94" s="2" t="s">
        <v>196</v>
      </c>
      <c r="CA94" s="2" t="s">
        <v>210</v>
      </c>
      <c r="CB94" s="2" t="s">
        <v>773</v>
      </c>
      <c r="CC94" s="2" t="s">
        <v>212</v>
      </c>
      <c r="CD94" s="2" t="s">
        <v>199</v>
      </c>
      <c r="CE94" s="4">
        <v>547</v>
      </c>
      <c r="CF94" s="4">
        <v>309</v>
      </c>
      <c r="CG94" s="4"/>
      <c r="CH94" s="4">
        <v>301</v>
      </c>
      <c r="CI94" s="4"/>
      <c r="CJ94" s="4"/>
      <c r="CK94" s="4"/>
      <c r="CL94" s="4">
        <v>2</v>
      </c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>
        <v>220</v>
      </c>
      <c r="EF94" s="4"/>
      <c r="EG94" s="4">
        <v>250</v>
      </c>
      <c r="EH94" s="4"/>
      <c r="EI94" s="4"/>
      <c r="EJ94" s="4"/>
      <c r="EK94" s="4"/>
      <c r="EL94" s="4"/>
      <c r="EM94" s="4">
        <v>490</v>
      </c>
      <c r="EN94" s="4"/>
      <c r="EO94" s="4"/>
      <c r="EP94" s="4"/>
      <c r="EQ94" s="4"/>
      <c r="ER94" s="4"/>
      <c r="ES94" s="4"/>
      <c r="ET94" s="4">
        <v>1234</v>
      </c>
      <c r="EU94" s="4">
        <v>1183</v>
      </c>
      <c r="EV94" s="4">
        <v>1143</v>
      </c>
      <c r="EW94" s="4">
        <v>1103</v>
      </c>
      <c r="EX94" s="4">
        <v>1063</v>
      </c>
      <c r="EY94" s="4">
        <v>1023</v>
      </c>
      <c r="EZ94" s="4">
        <v>983</v>
      </c>
      <c r="FA94" s="4">
        <v>943</v>
      </c>
      <c r="FB94" s="4">
        <v>899</v>
      </c>
      <c r="FC94" s="4">
        <v>859</v>
      </c>
      <c r="FD94" s="4">
        <v>819</v>
      </c>
      <c r="FE94" s="4">
        <v>779</v>
      </c>
      <c r="FF94" s="4">
        <v>739</v>
      </c>
      <c r="FG94" s="4">
        <v>919</v>
      </c>
      <c r="FH94" s="4">
        <v>1129</v>
      </c>
      <c r="FI94" s="4">
        <v>1088</v>
      </c>
      <c r="FJ94" s="4">
        <v>1538</v>
      </c>
      <c r="FK94" s="4">
        <v>1498</v>
      </c>
      <c r="FL94" s="4">
        <v>1458</v>
      </c>
      <c r="FM94" s="4">
        <v>1418</v>
      </c>
      <c r="FN94" s="4">
        <v>1377</v>
      </c>
      <c r="FO94" s="4">
        <v>1337</v>
      </c>
      <c r="FP94" s="4">
        <v>1293</v>
      </c>
      <c r="FQ94" s="4">
        <v>1253</v>
      </c>
      <c r="FR94" s="4">
        <v>1213</v>
      </c>
      <c r="FS94" s="4">
        <v>1173</v>
      </c>
      <c r="FT94" s="19">
        <v>29.2</v>
      </c>
      <c r="FU94" s="19">
        <v>30.5</v>
      </c>
      <c r="FV94" s="19">
        <v>29.5</v>
      </c>
      <c r="FW94" s="19">
        <v>28.5</v>
      </c>
      <c r="FX94" s="19">
        <v>27.1</v>
      </c>
      <c r="FY94" s="19">
        <v>26.1</v>
      </c>
      <c r="FZ94" s="19">
        <v>25.2</v>
      </c>
      <c r="GA94" s="19">
        <v>24.2</v>
      </c>
      <c r="GB94" s="19">
        <v>23.4</v>
      </c>
      <c r="GC94" s="19">
        <v>22.4</v>
      </c>
      <c r="GD94" s="19">
        <v>21.4</v>
      </c>
      <c r="GE94" s="19">
        <v>20.4</v>
      </c>
      <c r="GF94" s="19">
        <v>19.4</v>
      </c>
      <c r="GG94" s="19">
        <v>30.7</v>
      </c>
      <c r="GH94" s="19">
        <v>43.5</v>
      </c>
      <c r="GI94" s="19">
        <v>42.5</v>
      </c>
      <c r="GJ94" s="19">
        <v>49.4</v>
      </c>
      <c r="GK94" s="19">
        <v>48.4</v>
      </c>
      <c r="GL94" s="19">
        <v>47</v>
      </c>
      <c r="GM94" s="19">
        <v>46</v>
      </c>
      <c r="GN94" s="19">
        <v>45</v>
      </c>
      <c r="GO94" s="19">
        <v>44</v>
      </c>
      <c r="GP94" s="19">
        <v>43.3</v>
      </c>
      <c r="GQ94" s="19">
        <v>42</v>
      </c>
      <c r="GR94" s="19">
        <v>41</v>
      </c>
      <c r="GS94" s="19">
        <v>40</v>
      </c>
    </row>
    <row r="95">
      <c r="A95" s="2" t="s">
        <v>774</v>
      </c>
      <c r="B95" s="2" t="s">
        <v>630</v>
      </c>
      <c r="C95" s="2" t="s">
        <v>246</v>
      </c>
      <c r="D95" s="2" t="s">
        <v>759</v>
      </c>
      <c r="E95" s="2" t="s">
        <v>760</v>
      </c>
      <c r="F95" s="2" t="s">
        <v>761</v>
      </c>
      <c r="G95" s="2" t="s">
        <v>762</v>
      </c>
      <c r="H95" s="2" t="s">
        <v>763</v>
      </c>
      <c r="I95" s="2" t="s">
        <v>764</v>
      </c>
      <c r="J95" s="2" t="s">
        <v>232</v>
      </c>
      <c r="K95" s="2" t="s">
        <v>656</v>
      </c>
      <c r="L95" s="3">
        <v>65</v>
      </c>
      <c r="M95" s="3">
        <v>68.24</v>
      </c>
      <c r="N95" s="3">
        <v>129.99</v>
      </c>
      <c r="O95" s="2" t="s">
        <v>196</v>
      </c>
      <c r="P95" s="2" t="s">
        <v>197</v>
      </c>
      <c r="Q95" s="2" t="s">
        <v>198</v>
      </c>
      <c r="R95" s="2" t="s">
        <v>199</v>
      </c>
      <c r="S95" s="2" t="s">
        <v>775</v>
      </c>
      <c r="T95" s="2" t="s">
        <v>386</v>
      </c>
      <c r="U95" s="2" t="s">
        <v>509</v>
      </c>
      <c r="V95" s="2" t="s">
        <v>767</v>
      </c>
      <c r="W95" s="2" t="s">
        <v>768</v>
      </c>
      <c r="X95" s="2" t="s">
        <v>769</v>
      </c>
      <c r="Y95" s="2" t="s">
        <v>204</v>
      </c>
      <c r="Z95" s="4">
        <v>502</v>
      </c>
      <c r="AA95" s="4">
        <f>=ROUNDDOWN(22.8181818181818,0)</f>
      </c>
      <c r="AB95" s="5">
        <v>22</v>
      </c>
      <c r="AC95" s="2" t="s">
        <v>776</v>
      </c>
      <c r="AD95" s="4">
        <v>200</v>
      </c>
      <c r="AE95" s="4">
        <v>560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199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199</v>
      </c>
      <c r="AW95" s="8" t="s">
        <v>199</v>
      </c>
      <c r="AX95" s="4" t="s">
        <v>199</v>
      </c>
      <c r="AY95" s="8" t="s">
        <v>199</v>
      </c>
      <c r="AZ95" s="7" t="s">
        <v>199</v>
      </c>
      <c r="BA95" s="7" t="s">
        <v>199</v>
      </c>
      <c r="BB95" s="7"/>
      <c r="BC95" s="4" t="s">
        <v>199</v>
      </c>
      <c r="BD95" s="8" t="s">
        <v>199</v>
      </c>
      <c r="BE95" s="4" t="s">
        <v>199</v>
      </c>
      <c r="BF95" s="8" t="s">
        <v>199</v>
      </c>
      <c r="BG95" s="7" t="s">
        <v>199</v>
      </c>
      <c r="BH95" s="7" t="s">
        <v>199</v>
      </c>
      <c r="BI95" s="7"/>
      <c r="BJ95" s="4">
        <v>53</v>
      </c>
      <c r="BK95" s="8">
        <v>3436.81</v>
      </c>
      <c r="BL95" s="2" t="s">
        <v>777</v>
      </c>
      <c r="BM95" s="7"/>
      <c r="BN95" s="7"/>
      <c r="BO95" s="4"/>
      <c r="BP95" s="8"/>
      <c r="BQ95" s="4"/>
      <c r="BR95" s="8"/>
      <c r="BS95" s="7"/>
      <c r="BT95" s="7"/>
      <c r="BU95" s="2" t="s">
        <v>772</v>
      </c>
      <c r="BV95" s="2" t="s">
        <v>199</v>
      </c>
      <c r="BW95" s="2" t="s">
        <v>199</v>
      </c>
      <c r="BX95" s="2" t="s">
        <v>208</v>
      </c>
      <c r="BY95" s="2" t="s">
        <v>209</v>
      </c>
      <c r="BZ95" s="2" t="s">
        <v>196</v>
      </c>
      <c r="CA95" s="2" t="s">
        <v>210</v>
      </c>
      <c r="CB95" s="2" t="s">
        <v>436</v>
      </c>
      <c r="CC95" s="2" t="s">
        <v>212</v>
      </c>
      <c r="CD95" s="2" t="s">
        <v>199</v>
      </c>
      <c r="CE95" s="4">
        <v>278</v>
      </c>
      <c r="CF95" s="4"/>
      <c r="CG95" s="4"/>
      <c r="CH95" s="4">
        <v>74</v>
      </c>
      <c r="CI95" s="4"/>
      <c r="CJ95" s="4"/>
      <c r="CK95" s="4"/>
      <c r="CL95" s="4"/>
      <c r="CM95" s="4"/>
      <c r="CN95" s="4"/>
      <c r="CO95" s="4"/>
      <c r="CP95" s="4">
        <v>150</v>
      </c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>
        <v>200</v>
      </c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>
        <v>40</v>
      </c>
      <c r="EF95" s="4"/>
      <c r="EG95" s="4">
        <v>110</v>
      </c>
      <c r="EH95" s="4"/>
      <c r="EI95" s="4"/>
      <c r="EJ95" s="4"/>
      <c r="EK95" s="4"/>
      <c r="EL95" s="4"/>
      <c r="EM95" s="4">
        <v>210</v>
      </c>
      <c r="EN95" s="4"/>
      <c r="EO95" s="4"/>
      <c r="EP95" s="4"/>
      <c r="EQ95" s="4"/>
      <c r="ER95" s="4"/>
      <c r="ES95" s="4"/>
      <c r="ET95" s="4">
        <v>562</v>
      </c>
      <c r="EU95" s="4">
        <v>510</v>
      </c>
      <c r="EV95" s="4">
        <v>488</v>
      </c>
      <c r="EW95" s="4">
        <v>466</v>
      </c>
      <c r="EX95" s="4">
        <v>644</v>
      </c>
      <c r="EY95" s="4">
        <v>622</v>
      </c>
      <c r="EZ95" s="4">
        <v>600</v>
      </c>
      <c r="FA95" s="4">
        <v>578</v>
      </c>
      <c r="FB95" s="4">
        <v>555</v>
      </c>
      <c r="FC95" s="4">
        <v>533</v>
      </c>
      <c r="FD95" s="4">
        <v>511</v>
      </c>
      <c r="FE95" s="4">
        <v>489</v>
      </c>
      <c r="FF95" s="4">
        <v>467</v>
      </c>
      <c r="FG95" s="4">
        <v>485</v>
      </c>
      <c r="FH95" s="4">
        <v>573</v>
      </c>
      <c r="FI95" s="4">
        <v>551</v>
      </c>
      <c r="FJ95" s="4">
        <v>739</v>
      </c>
      <c r="FK95" s="4">
        <v>717</v>
      </c>
      <c r="FL95" s="4">
        <v>695</v>
      </c>
      <c r="FM95" s="4">
        <v>673</v>
      </c>
      <c r="FN95" s="4">
        <v>651</v>
      </c>
      <c r="FO95" s="4">
        <v>629</v>
      </c>
      <c r="FP95" s="4">
        <v>606</v>
      </c>
      <c r="FQ95" s="4">
        <v>584</v>
      </c>
      <c r="FR95" s="4">
        <v>562</v>
      </c>
      <c r="FS95" s="4">
        <v>540</v>
      </c>
      <c r="FT95" s="19">
        <v>29.5</v>
      </c>
      <c r="FU95" s="19">
        <v>35.3</v>
      </c>
      <c r="FV95" s="19">
        <v>34.3</v>
      </c>
      <c r="FW95" s="19">
        <v>33.3</v>
      </c>
      <c r="FX95" s="19">
        <v>37.9</v>
      </c>
      <c r="FY95" s="19">
        <v>36.9</v>
      </c>
      <c r="FZ95" s="19">
        <v>35.9</v>
      </c>
      <c r="GA95" s="19">
        <v>34.9</v>
      </c>
      <c r="GB95" s="19">
        <v>33.8</v>
      </c>
      <c r="GC95" s="19">
        <v>32.8</v>
      </c>
      <c r="GD95" s="19">
        <v>31.8</v>
      </c>
      <c r="GE95" s="19">
        <v>30.8</v>
      </c>
      <c r="GF95" s="19">
        <v>29.8</v>
      </c>
      <c r="GG95" s="19">
        <v>33.8</v>
      </c>
      <c r="GH95" s="19">
        <v>46.6</v>
      </c>
      <c r="GI95" s="19">
        <v>45.6</v>
      </c>
      <c r="GJ95" s="19">
        <v>50.4</v>
      </c>
      <c r="GK95" s="19">
        <v>49.4</v>
      </c>
      <c r="GL95" s="19">
        <v>48.4</v>
      </c>
      <c r="GM95" s="19">
        <v>47.4</v>
      </c>
      <c r="GN95" s="19">
        <v>46.4</v>
      </c>
      <c r="GO95" s="19">
        <v>45.4</v>
      </c>
      <c r="GP95" s="19">
        <v>44.4</v>
      </c>
      <c r="GQ95" s="19">
        <v>43.4</v>
      </c>
      <c r="GR95" s="19">
        <v>42.4</v>
      </c>
      <c r="GS95" s="19">
        <v>41.4</v>
      </c>
    </row>
    <row r="96">
      <c r="A96" s="2" t="s">
        <v>778</v>
      </c>
      <c r="B96" s="2" t="s">
        <v>630</v>
      </c>
      <c r="C96" s="2" t="s">
        <v>246</v>
      </c>
      <c r="D96" s="2" t="s">
        <v>759</v>
      </c>
      <c r="E96" s="2" t="s">
        <v>760</v>
      </c>
      <c r="F96" s="2" t="s">
        <v>761</v>
      </c>
      <c r="G96" s="2" t="s">
        <v>762</v>
      </c>
      <c r="H96" s="2" t="s">
        <v>763</v>
      </c>
      <c r="I96" s="2" t="s">
        <v>764</v>
      </c>
      <c r="J96" s="2" t="s">
        <v>241</v>
      </c>
      <c r="K96" s="2" t="s">
        <v>656</v>
      </c>
      <c r="L96" s="3">
        <v>76.49</v>
      </c>
      <c r="M96" s="3">
        <v>80.32</v>
      </c>
      <c r="N96" s="3">
        <v>149.99</v>
      </c>
      <c r="O96" s="2" t="s">
        <v>196</v>
      </c>
      <c r="P96" s="2" t="s">
        <v>197</v>
      </c>
      <c r="Q96" s="2" t="s">
        <v>198</v>
      </c>
      <c r="R96" s="2" t="s">
        <v>199</v>
      </c>
      <c r="S96" s="2" t="s">
        <v>775</v>
      </c>
      <c r="T96" s="2" t="s">
        <v>386</v>
      </c>
      <c r="U96" s="2" t="s">
        <v>509</v>
      </c>
      <c r="V96" s="2" t="s">
        <v>767</v>
      </c>
      <c r="W96" s="2" t="s">
        <v>768</v>
      </c>
      <c r="X96" s="2" t="s">
        <v>769</v>
      </c>
      <c r="Y96" s="2" t="s">
        <v>204</v>
      </c>
      <c r="Z96" s="4">
        <v>525</v>
      </c>
      <c r="AA96" s="4">
        <f>=ROUNDDOWN(19.4444444444444,0)</f>
      </c>
      <c r="AB96" s="5">
        <v>27</v>
      </c>
      <c r="AC96" s="2" t="s">
        <v>776</v>
      </c>
      <c r="AD96" s="4">
        <v>200</v>
      </c>
      <c r="AE96" s="4">
        <v>750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199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199</v>
      </c>
      <c r="AW96" s="8" t="s">
        <v>199</v>
      </c>
      <c r="AX96" s="4" t="s">
        <v>199</v>
      </c>
      <c r="AY96" s="8" t="s">
        <v>199</v>
      </c>
      <c r="AZ96" s="7" t="s">
        <v>199</v>
      </c>
      <c r="BA96" s="7" t="s">
        <v>199</v>
      </c>
      <c r="BB96" s="7"/>
      <c r="BC96" s="4" t="s">
        <v>199</v>
      </c>
      <c r="BD96" s="8" t="s">
        <v>199</v>
      </c>
      <c r="BE96" s="4" t="s">
        <v>199</v>
      </c>
      <c r="BF96" s="8" t="s">
        <v>199</v>
      </c>
      <c r="BG96" s="7" t="s">
        <v>199</v>
      </c>
      <c r="BH96" s="7" t="s">
        <v>199</v>
      </c>
      <c r="BI96" s="7"/>
      <c r="BJ96" s="4">
        <v>74</v>
      </c>
      <c r="BK96" s="8">
        <v>5582.64</v>
      </c>
      <c r="BL96" s="2" t="s">
        <v>779</v>
      </c>
      <c r="BM96" s="7"/>
      <c r="BN96" s="7"/>
      <c r="BO96" s="4"/>
      <c r="BP96" s="8"/>
      <c r="BQ96" s="4"/>
      <c r="BR96" s="8"/>
      <c r="BS96" s="7"/>
      <c r="BT96" s="7"/>
      <c r="BU96" s="2" t="s">
        <v>772</v>
      </c>
      <c r="BV96" s="2" t="s">
        <v>199</v>
      </c>
      <c r="BW96" s="2" t="s">
        <v>199</v>
      </c>
      <c r="BX96" s="2" t="s">
        <v>208</v>
      </c>
      <c r="BY96" s="2" t="s">
        <v>209</v>
      </c>
      <c r="BZ96" s="2" t="s">
        <v>196</v>
      </c>
      <c r="CA96" s="2" t="s">
        <v>210</v>
      </c>
      <c r="CB96" s="2" t="s">
        <v>780</v>
      </c>
      <c r="CC96" s="2" t="s">
        <v>212</v>
      </c>
      <c r="CD96" s="2" t="s">
        <v>199</v>
      </c>
      <c r="CE96" s="4">
        <v>328</v>
      </c>
      <c r="CF96" s="4"/>
      <c r="CG96" s="4"/>
      <c r="CH96" s="4">
        <v>147</v>
      </c>
      <c r="CI96" s="4"/>
      <c r="CJ96" s="4"/>
      <c r="CK96" s="4"/>
      <c r="CL96" s="4"/>
      <c r="CM96" s="4"/>
      <c r="CN96" s="4"/>
      <c r="CO96" s="4"/>
      <c r="CP96" s="4">
        <v>50</v>
      </c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>
        <v>200</v>
      </c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>
        <v>150</v>
      </c>
      <c r="EF96" s="4"/>
      <c r="EG96" s="4">
        <v>140</v>
      </c>
      <c r="EH96" s="4"/>
      <c r="EI96" s="4"/>
      <c r="EJ96" s="4"/>
      <c r="EK96" s="4"/>
      <c r="EL96" s="4"/>
      <c r="EM96" s="4">
        <v>260</v>
      </c>
      <c r="EN96" s="4"/>
      <c r="EO96" s="4"/>
      <c r="EP96" s="4"/>
      <c r="EQ96" s="4"/>
      <c r="ER96" s="4"/>
      <c r="ES96" s="4"/>
      <c r="ET96" s="4">
        <v>575</v>
      </c>
      <c r="EU96" s="4">
        <v>530</v>
      </c>
      <c r="EV96" s="4">
        <v>503</v>
      </c>
      <c r="EW96" s="4">
        <v>476</v>
      </c>
      <c r="EX96" s="4">
        <v>649</v>
      </c>
      <c r="EY96" s="4">
        <v>622</v>
      </c>
      <c r="EZ96" s="4">
        <v>595</v>
      </c>
      <c r="FA96" s="4">
        <v>568</v>
      </c>
      <c r="FB96" s="4">
        <v>538</v>
      </c>
      <c r="FC96" s="4">
        <v>511</v>
      </c>
      <c r="FD96" s="4">
        <v>484</v>
      </c>
      <c r="FE96" s="4">
        <v>457</v>
      </c>
      <c r="FF96" s="4">
        <v>430</v>
      </c>
      <c r="FG96" s="4">
        <v>553</v>
      </c>
      <c r="FH96" s="4">
        <v>666</v>
      </c>
      <c r="FI96" s="4">
        <v>639</v>
      </c>
      <c r="FJ96" s="4">
        <v>872</v>
      </c>
      <c r="FK96" s="4">
        <v>845</v>
      </c>
      <c r="FL96" s="4">
        <v>818</v>
      </c>
      <c r="FM96" s="4">
        <v>791</v>
      </c>
      <c r="FN96" s="4">
        <v>764</v>
      </c>
      <c r="FO96" s="4">
        <v>737</v>
      </c>
      <c r="FP96" s="4">
        <v>707</v>
      </c>
      <c r="FQ96" s="4">
        <v>680</v>
      </c>
      <c r="FR96" s="4">
        <v>653</v>
      </c>
      <c r="FS96" s="4">
        <v>626</v>
      </c>
      <c r="FT96" s="19">
        <v>20.3</v>
      </c>
      <c r="FU96" s="19">
        <v>22</v>
      </c>
      <c r="FV96" s="19">
        <v>21</v>
      </c>
      <c r="FW96" s="19">
        <v>20</v>
      </c>
      <c r="FX96" s="19">
        <v>24</v>
      </c>
      <c r="FY96" s="19">
        <v>23</v>
      </c>
      <c r="FZ96" s="19">
        <v>22</v>
      </c>
      <c r="GA96" s="19">
        <v>21</v>
      </c>
      <c r="GB96" s="19">
        <v>19.9</v>
      </c>
      <c r="GC96" s="19">
        <v>18.9</v>
      </c>
      <c r="GD96" s="19">
        <v>17.9</v>
      </c>
      <c r="GE96" s="19">
        <v>16.9</v>
      </c>
      <c r="GF96" s="19">
        <v>15.9</v>
      </c>
      <c r="GG96" s="19">
        <v>25.6</v>
      </c>
      <c r="GH96" s="19">
        <v>34.6</v>
      </c>
      <c r="GI96" s="19">
        <v>33.6</v>
      </c>
      <c r="GJ96" s="19">
        <v>39.1</v>
      </c>
      <c r="GK96" s="19">
        <v>38.1</v>
      </c>
      <c r="GL96" s="19">
        <v>37.1</v>
      </c>
      <c r="GM96" s="19">
        <v>36.1</v>
      </c>
      <c r="GN96" s="19">
        <v>35.1</v>
      </c>
      <c r="GO96" s="19">
        <v>34.1</v>
      </c>
      <c r="GP96" s="19">
        <v>33</v>
      </c>
      <c r="GQ96" s="19">
        <v>32</v>
      </c>
      <c r="GR96" s="19">
        <v>31</v>
      </c>
      <c r="GS96" s="19">
        <v>30</v>
      </c>
    </row>
    <row r="97">
      <c r="A97" s="2" t="s">
        <v>781</v>
      </c>
      <c r="B97" s="2" t="s">
        <v>672</v>
      </c>
      <c r="C97" s="2" t="s">
        <v>246</v>
      </c>
      <c r="D97" s="2" t="s">
        <v>782</v>
      </c>
      <c r="E97" s="2" t="s">
        <v>783</v>
      </c>
      <c r="F97" s="2" t="s">
        <v>784</v>
      </c>
      <c r="G97" s="2" t="s">
        <v>785</v>
      </c>
      <c r="H97" s="2" t="s">
        <v>786</v>
      </c>
      <c r="I97" s="2" t="s">
        <v>787</v>
      </c>
      <c r="J97" s="2" t="s">
        <v>788</v>
      </c>
      <c r="K97" s="2" t="s">
        <v>656</v>
      </c>
      <c r="L97" s="3">
        <v>11.07</v>
      </c>
      <c r="M97" s="3">
        <v>11.62</v>
      </c>
      <c r="N97" s="3">
        <v>26.99</v>
      </c>
      <c r="O97" s="2" t="s">
        <v>196</v>
      </c>
      <c r="P97" s="2" t="s">
        <v>197</v>
      </c>
      <c r="Q97" s="2" t="s">
        <v>198</v>
      </c>
      <c r="R97" s="2" t="s">
        <v>199</v>
      </c>
      <c r="S97" s="2" t="s">
        <v>789</v>
      </c>
      <c r="T97" s="2" t="s">
        <v>199</v>
      </c>
      <c r="U97" s="2" t="s">
        <v>199</v>
      </c>
      <c r="V97" s="2" t="s">
        <v>790</v>
      </c>
      <c r="W97" s="2" t="s">
        <v>529</v>
      </c>
      <c r="X97" s="2" t="s">
        <v>199</v>
      </c>
      <c r="Y97" s="2" t="s">
        <v>204</v>
      </c>
      <c r="Z97" s="4">
        <v>311</v>
      </c>
      <c r="AA97" s="4">
        <f>=ROUNDDOWN(13.5217391304348,0)</f>
      </c>
      <c r="AB97" s="5">
        <v>23</v>
      </c>
      <c r="AC97" s="2" t="s">
        <v>713</v>
      </c>
      <c r="AD97" s="4">
        <v>192</v>
      </c>
      <c r="AE97" s="4">
        <v>344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199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199</v>
      </c>
      <c r="AW97" s="8" t="s">
        <v>199</v>
      </c>
      <c r="AX97" s="4" t="s">
        <v>199</v>
      </c>
      <c r="AY97" s="8" t="s">
        <v>199</v>
      </c>
      <c r="AZ97" s="7" t="s">
        <v>199</v>
      </c>
      <c r="BA97" s="7" t="s">
        <v>199</v>
      </c>
      <c r="BB97" s="7" t="s">
        <v>199</v>
      </c>
      <c r="BC97" s="4" t="s">
        <v>199</v>
      </c>
      <c r="BD97" s="8" t="s">
        <v>199</v>
      </c>
      <c r="BE97" s="4" t="s">
        <v>199</v>
      </c>
      <c r="BF97" s="8" t="s">
        <v>199</v>
      </c>
      <c r="BG97" s="7" t="s">
        <v>199</v>
      </c>
      <c r="BH97" s="7" t="s">
        <v>199</v>
      </c>
      <c r="BI97" s="7"/>
      <c r="BJ97" s="4">
        <v>64</v>
      </c>
      <c r="BK97" s="8">
        <v>745.29</v>
      </c>
      <c r="BL97" s="2" t="s">
        <v>791</v>
      </c>
      <c r="BM97" s="7"/>
      <c r="BN97" s="7"/>
      <c r="BO97" s="4"/>
      <c r="BP97" s="8"/>
      <c r="BQ97" s="4"/>
      <c r="BR97" s="8"/>
      <c r="BS97" s="7"/>
      <c r="BT97" s="7"/>
      <c r="BU97" s="2" t="s">
        <v>792</v>
      </c>
      <c r="BV97" s="2" t="s">
        <v>199</v>
      </c>
      <c r="BW97" s="2" t="s">
        <v>199</v>
      </c>
      <c r="BX97" s="2" t="s">
        <v>208</v>
      </c>
      <c r="BY97" s="2" t="s">
        <v>209</v>
      </c>
      <c r="BZ97" s="2" t="s">
        <v>196</v>
      </c>
      <c r="CA97" s="2" t="s">
        <v>210</v>
      </c>
      <c r="CB97" s="2" t="s">
        <v>793</v>
      </c>
      <c r="CC97" s="2" t="s">
        <v>212</v>
      </c>
      <c r="CD97" s="2" t="s">
        <v>199</v>
      </c>
      <c r="CE97" s="4">
        <v>311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>
        <v>192</v>
      </c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>
        <v>152</v>
      </c>
      <c r="EN97" s="4"/>
      <c r="EO97" s="4"/>
      <c r="EP97" s="4"/>
      <c r="EQ97" s="4"/>
      <c r="ER97" s="4"/>
      <c r="ES97" s="4"/>
      <c r="ET97" s="4">
        <v>338</v>
      </c>
      <c r="EU97" s="4">
        <v>317</v>
      </c>
      <c r="EV97" s="4">
        <v>306</v>
      </c>
      <c r="EW97" s="4">
        <v>295</v>
      </c>
      <c r="EX97" s="4">
        <v>284</v>
      </c>
      <c r="EY97" s="4">
        <v>273</v>
      </c>
      <c r="EZ97" s="4">
        <v>262</v>
      </c>
      <c r="FA97" s="4">
        <v>251</v>
      </c>
      <c r="FB97" s="4">
        <v>238</v>
      </c>
      <c r="FC97" s="4">
        <v>410</v>
      </c>
      <c r="FD97" s="4">
        <v>387</v>
      </c>
      <c r="FE97" s="4">
        <v>364</v>
      </c>
      <c r="FF97" s="4">
        <v>341</v>
      </c>
      <c r="FG97" s="4">
        <v>318</v>
      </c>
      <c r="FH97" s="4">
        <v>295</v>
      </c>
      <c r="FI97" s="4">
        <v>270</v>
      </c>
      <c r="FJ97" s="4">
        <v>399</v>
      </c>
      <c r="FK97" s="4">
        <v>376</v>
      </c>
      <c r="FL97" s="4">
        <v>353</v>
      </c>
      <c r="FM97" s="4">
        <v>330</v>
      </c>
      <c r="FN97" s="4">
        <v>305</v>
      </c>
      <c r="FO97" s="4">
        <v>282</v>
      </c>
      <c r="FP97" s="4">
        <v>257</v>
      </c>
      <c r="FQ97" s="4">
        <v>234</v>
      </c>
      <c r="FR97" s="4">
        <v>211</v>
      </c>
      <c r="FS97" s="4">
        <v>188</v>
      </c>
      <c r="FT97" s="19">
        <v>24.1</v>
      </c>
      <c r="FU97" s="19">
        <v>28.8</v>
      </c>
      <c r="FV97" s="19">
        <v>27.8</v>
      </c>
      <c r="FW97" s="19">
        <v>26.8</v>
      </c>
      <c r="FX97" s="19">
        <v>23.7</v>
      </c>
      <c r="FY97" s="19">
        <v>19.5</v>
      </c>
      <c r="FZ97" s="19">
        <v>15.4</v>
      </c>
      <c r="GA97" s="19">
        <v>12.6</v>
      </c>
      <c r="GB97" s="19">
        <v>10.8</v>
      </c>
      <c r="GC97" s="19">
        <v>17.8</v>
      </c>
      <c r="GD97" s="19">
        <v>16.8</v>
      </c>
      <c r="GE97" s="19">
        <v>15.2</v>
      </c>
      <c r="GF97" s="19">
        <v>14.2</v>
      </c>
      <c r="GG97" s="19">
        <v>13.3</v>
      </c>
      <c r="GH97" s="19">
        <v>12.3</v>
      </c>
      <c r="GI97" s="19">
        <v>11.7</v>
      </c>
      <c r="GJ97" s="19">
        <v>16.6</v>
      </c>
      <c r="GK97" s="19">
        <v>15.7</v>
      </c>
      <c r="GL97" s="19">
        <v>14.7</v>
      </c>
      <c r="GM97" s="19">
        <v>13.8</v>
      </c>
      <c r="GN97" s="19">
        <v>12.7</v>
      </c>
      <c r="GO97" s="19">
        <v>11.8</v>
      </c>
      <c r="GP97" s="19">
        <v>11.2</v>
      </c>
      <c r="GQ97" s="19">
        <v>9.8</v>
      </c>
      <c r="GR97" s="19">
        <v>8.8</v>
      </c>
      <c r="GS97" s="19">
        <v>7.8</v>
      </c>
    </row>
    <row r="98">
      <c r="A98" s="2" t="s">
        <v>794</v>
      </c>
      <c r="B98" s="2" t="s">
        <v>672</v>
      </c>
      <c r="C98" s="2" t="s">
        <v>246</v>
      </c>
      <c r="D98" s="2" t="s">
        <v>782</v>
      </c>
      <c r="E98" s="2" t="s">
        <v>783</v>
      </c>
      <c r="F98" s="2" t="s">
        <v>784</v>
      </c>
      <c r="G98" s="2" t="s">
        <v>785</v>
      </c>
      <c r="H98" s="2" t="s">
        <v>786</v>
      </c>
      <c r="I98" s="2" t="s">
        <v>795</v>
      </c>
      <c r="J98" s="2" t="s">
        <v>788</v>
      </c>
      <c r="K98" s="2" t="s">
        <v>656</v>
      </c>
      <c r="L98" s="3">
        <v>12.6</v>
      </c>
      <c r="M98" s="3">
        <v>13.23</v>
      </c>
      <c r="N98" s="3">
        <v>29.99</v>
      </c>
      <c r="O98" s="2" t="s">
        <v>196</v>
      </c>
      <c r="P98" s="2" t="s">
        <v>197</v>
      </c>
      <c r="Q98" s="2" t="s">
        <v>198</v>
      </c>
      <c r="R98" s="2" t="s">
        <v>199</v>
      </c>
      <c r="S98" s="2" t="s">
        <v>199</v>
      </c>
      <c r="T98" s="2" t="s">
        <v>199</v>
      </c>
      <c r="U98" s="2" t="s">
        <v>280</v>
      </c>
      <c r="V98" s="2" t="s">
        <v>790</v>
      </c>
      <c r="W98" s="2" t="s">
        <v>529</v>
      </c>
      <c r="X98" s="2" t="s">
        <v>199</v>
      </c>
      <c r="Y98" s="2" t="s">
        <v>796</v>
      </c>
      <c r="Z98" s="4">
        <v>391</v>
      </c>
      <c r="AA98" s="4">
        <f>=ROUNDDOWN(16.2916666666667,0)</f>
      </c>
      <c r="AB98" s="5">
        <v>24</v>
      </c>
      <c r="AC98" s="2" t="s">
        <v>713</v>
      </c>
      <c r="AD98" s="4">
        <v>216</v>
      </c>
      <c r="AE98" s="4">
        <v>320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199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199</v>
      </c>
      <c r="AW98" s="8" t="s">
        <v>199</v>
      </c>
      <c r="AX98" s="4" t="s">
        <v>199</v>
      </c>
      <c r="AY98" s="8" t="s">
        <v>199</v>
      </c>
      <c r="AZ98" s="7" t="s">
        <v>199</v>
      </c>
      <c r="BA98" s="7" t="s">
        <v>199</v>
      </c>
      <c r="BB98" s="7" t="s">
        <v>199</v>
      </c>
      <c r="BC98" s="4" t="s">
        <v>199</v>
      </c>
      <c r="BD98" s="8" t="s">
        <v>199</v>
      </c>
      <c r="BE98" s="4" t="s">
        <v>199</v>
      </c>
      <c r="BF98" s="8" t="s">
        <v>199</v>
      </c>
      <c r="BG98" s="7" t="s">
        <v>199</v>
      </c>
      <c r="BH98" s="7" t="s">
        <v>199</v>
      </c>
      <c r="BI98" s="7"/>
      <c r="BJ98" s="4">
        <v>91</v>
      </c>
      <c r="BK98" s="8">
        <v>1279.56</v>
      </c>
      <c r="BL98" s="2" t="s">
        <v>797</v>
      </c>
      <c r="BM98" s="7"/>
      <c r="BN98" s="7"/>
      <c r="BO98" s="4"/>
      <c r="BP98" s="8"/>
      <c r="BQ98" s="4"/>
      <c r="BR98" s="8"/>
      <c r="BS98" s="7"/>
      <c r="BT98" s="7"/>
      <c r="BU98" s="2" t="s">
        <v>798</v>
      </c>
      <c r="BV98" s="2" t="s">
        <v>199</v>
      </c>
      <c r="BW98" s="2" t="s">
        <v>199</v>
      </c>
      <c r="BX98" s="2" t="s">
        <v>208</v>
      </c>
      <c r="BY98" s="2" t="s">
        <v>209</v>
      </c>
      <c r="BZ98" s="2" t="s">
        <v>196</v>
      </c>
      <c r="CA98" s="2" t="s">
        <v>799</v>
      </c>
      <c r="CB98" s="2" t="s">
        <v>800</v>
      </c>
      <c r="CC98" s="2" t="s">
        <v>212</v>
      </c>
      <c r="CD98" s="2" t="s">
        <v>199</v>
      </c>
      <c r="CE98" s="4">
        <v>391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>
        <v>216</v>
      </c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>
        <v>104</v>
      </c>
      <c r="EN98" s="4"/>
      <c r="EO98" s="4"/>
      <c r="EP98" s="4"/>
      <c r="EQ98" s="4"/>
      <c r="ER98" s="4"/>
      <c r="ES98" s="4"/>
      <c r="ET98" s="4">
        <v>398</v>
      </c>
      <c r="EU98" s="4">
        <v>373</v>
      </c>
      <c r="EV98" s="4">
        <v>358</v>
      </c>
      <c r="EW98" s="4">
        <v>343</v>
      </c>
      <c r="EX98" s="4">
        <v>328</v>
      </c>
      <c r="EY98" s="4">
        <v>313</v>
      </c>
      <c r="EZ98" s="4">
        <v>298</v>
      </c>
      <c r="FA98" s="4">
        <v>283</v>
      </c>
      <c r="FB98" s="4">
        <v>265</v>
      </c>
      <c r="FC98" s="4">
        <v>466</v>
      </c>
      <c r="FD98" s="4">
        <v>451</v>
      </c>
      <c r="FE98" s="4">
        <v>436</v>
      </c>
      <c r="FF98" s="4">
        <v>421</v>
      </c>
      <c r="FG98" s="4">
        <v>404</v>
      </c>
      <c r="FH98" s="4">
        <v>380</v>
      </c>
      <c r="FI98" s="4">
        <v>354</v>
      </c>
      <c r="FJ98" s="4">
        <v>434</v>
      </c>
      <c r="FK98" s="4">
        <v>410</v>
      </c>
      <c r="FL98" s="4">
        <v>386</v>
      </c>
      <c r="FM98" s="4">
        <v>362</v>
      </c>
      <c r="FN98" s="4">
        <v>336</v>
      </c>
      <c r="FO98" s="4">
        <v>312</v>
      </c>
      <c r="FP98" s="4">
        <v>285</v>
      </c>
      <c r="FQ98" s="4">
        <v>261</v>
      </c>
      <c r="FR98" s="4">
        <v>237</v>
      </c>
      <c r="FS98" s="4">
        <v>213</v>
      </c>
      <c r="FT98" s="19">
        <v>22.1</v>
      </c>
      <c r="FU98" s="19">
        <v>24.9</v>
      </c>
      <c r="FV98" s="19">
        <v>23.9</v>
      </c>
      <c r="FW98" s="19">
        <v>22.9</v>
      </c>
      <c r="FX98" s="19">
        <v>20.5</v>
      </c>
      <c r="FY98" s="19">
        <v>19.6</v>
      </c>
      <c r="FZ98" s="19">
        <v>18.6</v>
      </c>
      <c r="GA98" s="19">
        <v>17.7</v>
      </c>
      <c r="GB98" s="19">
        <v>17.7</v>
      </c>
      <c r="GC98" s="19">
        <v>29.1</v>
      </c>
      <c r="GD98" s="19">
        <v>25.1</v>
      </c>
      <c r="GE98" s="19">
        <v>21.8</v>
      </c>
      <c r="GF98" s="19">
        <v>18.3</v>
      </c>
      <c r="GG98" s="19">
        <v>16.8</v>
      </c>
      <c r="GH98" s="19">
        <v>15.8</v>
      </c>
      <c r="GI98" s="19">
        <v>14.8</v>
      </c>
      <c r="GJ98" s="19">
        <v>18.1</v>
      </c>
      <c r="GK98" s="19">
        <v>17.1</v>
      </c>
      <c r="GL98" s="19">
        <v>15.4</v>
      </c>
      <c r="GM98" s="19">
        <v>14.5</v>
      </c>
      <c r="GN98" s="19">
        <v>13.4</v>
      </c>
      <c r="GO98" s="19">
        <v>12.5</v>
      </c>
      <c r="GP98" s="19">
        <v>11.9</v>
      </c>
      <c r="GQ98" s="19">
        <v>10.4</v>
      </c>
      <c r="GR98" s="19">
        <v>9.5</v>
      </c>
      <c r="GS98" s="19">
        <v>8.5</v>
      </c>
    </row>
    <row r="99">
      <c r="A99" s="2" t="s">
        <v>801</v>
      </c>
      <c r="B99" s="2" t="s">
        <v>672</v>
      </c>
      <c r="C99" s="2" t="s">
        <v>246</v>
      </c>
      <c r="D99" s="2" t="s">
        <v>673</v>
      </c>
      <c r="E99" s="2" t="s">
        <v>802</v>
      </c>
      <c r="F99" s="2" t="s">
        <v>784</v>
      </c>
      <c r="G99" s="2" t="s">
        <v>785</v>
      </c>
      <c r="H99" s="2" t="s">
        <v>786</v>
      </c>
      <c r="I99" s="2" t="s">
        <v>803</v>
      </c>
      <c r="J99" s="2" t="s">
        <v>804</v>
      </c>
      <c r="K99" s="2" t="s">
        <v>805</v>
      </c>
      <c r="L99" s="3">
        <v>31.5</v>
      </c>
      <c r="M99" s="3">
        <v>33.08</v>
      </c>
      <c r="N99" s="3">
        <v>69.99</v>
      </c>
      <c r="O99" s="2" t="s">
        <v>196</v>
      </c>
      <c r="P99" s="2" t="s">
        <v>517</v>
      </c>
      <c r="Q99" s="2" t="s">
        <v>198</v>
      </c>
      <c r="R99" s="2" t="s">
        <v>199</v>
      </c>
      <c r="S99" s="2" t="s">
        <v>806</v>
      </c>
      <c r="T99" s="2" t="s">
        <v>199</v>
      </c>
      <c r="U99" s="2" t="s">
        <v>199</v>
      </c>
      <c r="V99" s="2" t="s">
        <v>790</v>
      </c>
      <c r="W99" s="2" t="s">
        <v>529</v>
      </c>
      <c r="X99" s="2" t="s">
        <v>682</v>
      </c>
      <c r="Y99" s="2" t="s">
        <v>204</v>
      </c>
      <c r="Z99" s="4">
        <v>263</v>
      </c>
      <c r="AA99" s="4">
        <f>=ROUNDDOWN(52.6,0)</f>
      </c>
      <c r="AB99" s="5">
        <v>5</v>
      </c>
      <c r="AC99" s="2" t="s">
        <v>199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199</v>
      </c>
      <c r="BD99" s="8" t="s">
        <v>199</v>
      </c>
      <c r="BE99" s="4" t="s">
        <v>199</v>
      </c>
      <c r="BF99" s="8" t="s">
        <v>199</v>
      </c>
      <c r="BG99" s="7" t="s">
        <v>199</v>
      </c>
      <c r="BH99" s="7" t="s">
        <v>199</v>
      </c>
      <c r="BI99" s="7"/>
      <c r="BJ99" s="4">
        <v>23</v>
      </c>
      <c r="BK99" s="8">
        <v>802.66</v>
      </c>
      <c r="BL99" s="2" t="s">
        <v>807</v>
      </c>
      <c r="BM99" s="7"/>
      <c r="BN99" s="7"/>
      <c r="BO99" s="4"/>
      <c r="BP99" s="8"/>
      <c r="BQ99" s="4"/>
      <c r="BR99" s="8"/>
      <c r="BS99" s="7"/>
      <c r="BT99" s="7"/>
      <c r="BU99" s="2" t="s">
        <v>808</v>
      </c>
      <c r="BV99" s="2" t="s">
        <v>199</v>
      </c>
      <c r="BW99" s="2" t="s">
        <v>199</v>
      </c>
      <c r="BX99" s="2" t="s">
        <v>208</v>
      </c>
      <c r="BY99" s="2" t="s">
        <v>209</v>
      </c>
      <c r="BZ99" s="2" t="s">
        <v>196</v>
      </c>
      <c r="CA99" s="2" t="s">
        <v>210</v>
      </c>
      <c r="CB99" s="2" t="s">
        <v>809</v>
      </c>
      <c r="CC99" s="2" t="s">
        <v>212</v>
      </c>
      <c r="CD99" s="2" t="s">
        <v>199</v>
      </c>
      <c r="CE99" s="4">
        <v>263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>
        <v>266</v>
      </c>
      <c r="EU99" s="4">
        <v>261</v>
      </c>
      <c r="EV99" s="4">
        <v>257</v>
      </c>
      <c r="EW99" s="4">
        <v>251</v>
      </c>
      <c r="EX99" s="4">
        <v>245</v>
      </c>
      <c r="EY99" s="4">
        <v>239</v>
      </c>
      <c r="EZ99" s="4">
        <v>233</v>
      </c>
      <c r="FA99" s="4">
        <v>228</v>
      </c>
      <c r="FB99" s="4">
        <v>222</v>
      </c>
      <c r="FC99" s="4">
        <v>217</v>
      </c>
      <c r="FD99" s="4">
        <v>212</v>
      </c>
      <c r="FE99" s="4">
        <v>207</v>
      </c>
      <c r="FF99" s="4">
        <v>202</v>
      </c>
      <c r="FG99" s="4">
        <v>197</v>
      </c>
      <c r="FH99" s="4">
        <v>192</v>
      </c>
      <c r="FI99" s="4">
        <v>187</v>
      </c>
      <c r="FJ99" s="4">
        <v>182</v>
      </c>
      <c r="FK99" s="4">
        <v>177</v>
      </c>
      <c r="FL99" s="4">
        <v>172</v>
      </c>
      <c r="FM99" s="4">
        <v>167</v>
      </c>
      <c r="FN99" s="4">
        <v>162</v>
      </c>
      <c r="FO99" s="4">
        <v>157</v>
      </c>
      <c r="FP99" s="4">
        <v>151</v>
      </c>
      <c r="FQ99" s="4">
        <v>146</v>
      </c>
      <c r="FR99" s="4">
        <v>141</v>
      </c>
      <c r="FS99" s="4">
        <v>136</v>
      </c>
      <c r="FT99" s="19">
        <v>53.2</v>
      </c>
      <c r="FU99" s="19">
        <v>43.5</v>
      </c>
      <c r="FV99" s="19">
        <v>42.8</v>
      </c>
      <c r="FW99" s="19">
        <v>41.8</v>
      </c>
      <c r="FX99" s="19">
        <v>40.8</v>
      </c>
      <c r="FY99" s="19">
        <v>39.8</v>
      </c>
      <c r="FZ99" s="19">
        <v>46.6</v>
      </c>
      <c r="GA99" s="19">
        <v>45.6</v>
      </c>
      <c r="GB99" s="19">
        <v>44.4</v>
      </c>
      <c r="GC99" s="19">
        <v>43.4</v>
      </c>
      <c r="GD99" s="19">
        <v>42.4</v>
      </c>
      <c r="GE99" s="19">
        <v>41.4</v>
      </c>
      <c r="GF99" s="19">
        <v>40.4</v>
      </c>
      <c r="GG99" s="19">
        <v>39.4</v>
      </c>
      <c r="GH99" s="19">
        <v>38.4</v>
      </c>
      <c r="GI99" s="19">
        <v>37.4</v>
      </c>
      <c r="GJ99" s="19">
        <v>36.4</v>
      </c>
      <c r="GK99" s="19">
        <v>35.4</v>
      </c>
      <c r="GL99" s="19">
        <v>34.4</v>
      </c>
      <c r="GM99" s="19">
        <v>33.4</v>
      </c>
      <c r="GN99" s="19">
        <v>32.4</v>
      </c>
      <c r="GO99" s="19">
        <v>31.4</v>
      </c>
      <c r="GP99" s="19">
        <v>30.2</v>
      </c>
      <c r="GQ99" s="19">
        <v>29.2</v>
      </c>
      <c r="GR99" s="19">
        <v>28.2</v>
      </c>
      <c r="GS99" s="19">
        <v>27.2</v>
      </c>
    </row>
    <row r="100">
      <c r="A100" s="2" t="s">
        <v>810</v>
      </c>
      <c r="B100" s="2" t="s">
        <v>591</v>
      </c>
      <c r="C100" s="2" t="s">
        <v>604</v>
      </c>
      <c r="D100" s="2" t="s">
        <v>811</v>
      </c>
      <c r="E100" s="2" t="s">
        <v>812</v>
      </c>
      <c r="F100" s="2" t="s">
        <v>813</v>
      </c>
      <c r="G100" s="2" t="s">
        <v>813</v>
      </c>
      <c r="H100" s="2" t="s">
        <v>813</v>
      </c>
      <c r="I100" s="2" t="s">
        <v>814</v>
      </c>
      <c r="J100" s="2" t="s">
        <v>815</v>
      </c>
      <c r="K100" s="2" t="s">
        <v>816</v>
      </c>
      <c r="L100" s="3">
        <v>47.52</v>
      </c>
      <c r="M100" s="3">
        <v>49.9</v>
      </c>
      <c r="N100" s="3">
        <v>109.99</v>
      </c>
      <c r="O100" s="2" t="s">
        <v>196</v>
      </c>
      <c r="P100" s="2" t="s">
        <v>197</v>
      </c>
      <c r="Q100" s="2" t="s">
        <v>198</v>
      </c>
      <c r="R100" s="2" t="s">
        <v>199</v>
      </c>
      <c r="S100" s="2" t="s">
        <v>199</v>
      </c>
      <c r="T100" s="2" t="s">
        <v>199</v>
      </c>
      <c r="U100" s="2" t="s">
        <v>280</v>
      </c>
      <c r="V100" s="2" t="s">
        <v>493</v>
      </c>
      <c r="W100" s="2" t="s">
        <v>623</v>
      </c>
      <c r="X100" s="2" t="s">
        <v>817</v>
      </c>
      <c r="Y100" s="2" t="s">
        <v>818</v>
      </c>
      <c r="Z100" s="4">
        <v>172</v>
      </c>
      <c r="AA100" s="4">
        <f>=ROUNDDOWN(57.3333333333333,0)</f>
      </c>
      <c r="AB100" s="5">
        <v>3</v>
      </c>
      <c r="AC100" s="2" t="s">
        <v>199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199</v>
      </c>
      <c r="BD100" s="8" t="s">
        <v>199</v>
      </c>
      <c r="BE100" s="4" t="s">
        <v>199</v>
      </c>
      <c r="BF100" s="8" t="s">
        <v>199</v>
      </c>
      <c r="BG100" s="7" t="s">
        <v>199</v>
      </c>
      <c r="BH100" s="7" t="s">
        <v>199</v>
      </c>
      <c r="BI100" s="7"/>
      <c r="BJ100" s="4">
        <v>8</v>
      </c>
      <c r="BK100" s="8">
        <v>411.7</v>
      </c>
      <c r="BL100" s="2" t="s">
        <v>819</v>
      </c>
      <c r="BM100" s="7"/>
      <c r="BN100" s="7"/>
      <c r="BO100" s="4"/>
      <c r="BP100" s="8"/>
      <c r="BQ100" s="4"/>
      <c r="BR100" s="8"/>
      <c r="BS100" s="7"/>
      <c r="BT100" s="7"/>
      <c r="BU100" s="2" t="s">
        <v>820</v>
      </c>
      <c r="BV100" s="2" t="s">
        <v>199</v>
      </c>
      <c r="BW100" s="2" t="s">
        <v>199</v>
      </c>
      <c r="BX100" s="2" t="s">
        <v>260</v>
      </c>
      <c r="BY100" s="2" t="s">
        <v>209</v>
      </c>
      <c r="BZ100" s="2" t="s">
        <v>196</v>
      </c>
      <c r="CA100" s="2" t="s">
        <v>821</v>
      </c>
      <c r="CB100" s="2" t="s">
        <v>822</v>
      </c>
      <c r="CC100" s="2" t="s">
        <v>212</v>
      </c>
      <c r="CD100" s="2" t="s">
        <v>199</v>
      </c>
      <c r="CE100" s="4"/>
      <c r="CF100" s="4">
        <v>172</v>
      </c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>
        <v>172</v>
      </c>
      <c r="EU100" s="4">
        <v>162</v>
      </c>
      <c r="EV100" s="4">
        <v>159</v>
      </c>
      <c r="EW100" s="4">
        <v>156</v>
      </c>
      <c r="EX100" s="4">
        <v>153</v>
      </c>
      <c r="EY100" s="4">
        <v>150</v>
      </c>
      <c r="EZ100" s="4">
        <v>147</v>
      </c>
      <c r="FA100" s="4">
        <v>144</v>
      </c>
      <c r="FB100" s="4">
        <v>141</v>
      </c>
      <c r="FC100" s="4">
        <v>138</v>
      </c>
      <c r="FD100" s="4">
        <v>135</v>
      </c>
      <c r="FE100" s="4">
        <v>132</v>
      </c>
      <c r="FF100" s="4">
        <v>129</v>
      </c>
      <c r="FG100" s="4">
        <v>126</v>
      </c>
      <c r="FH100" s="4">
        <v>123</v>
      </c>
      <c r="FI100" s="4">
        <v>120</v>
      </c>
      <c r="FJ100" s="4">
        <v>117</v>
      </c>
      <c r="FK100" s="4">
        <v>114</v>
      </c>
      <c r="FL100" s="4">
        <v>111</v>
      </c>
      <c r="FM100" s="4">
        <v>108</v>
      </c>
      <c r="FN100" s="4">
        <v>105</v>
      </c>
      <c r="FO100" s="4">
        <v>102</v>
      </c>
      <c r="FP100" s="4">
        <v>99</v>
      </c>
      <c r="FQ100" s="4">
        <v>96</v>
      </c>
      <c r="FR100" s="4">
        <v>93</v>
      </c>
      <c r="FS100" s="4">
        <v>90</v>
      </c>
      <c r="FT100" s="19">
        <v>34.4</v>
      </c>
      <c r="FU100" s="19">
        <v>54</v>
      </c>
      <c r="FV100" s="19">
        <v>53</v>
      </c>
      <c r="FW100" s="19">
        <v>52</v>
      </c>
      <c r="FX100" s="19">
        <v>51</v>
      </c>
      <c r="FY100" s="19">
        <v>50</v>
      </c>
      <c r="FZ100" s="19">
        <v>49</v>
      </c>
      <c r="GA100" s="19">
        <v>48</v>
      </c>
      <c r="GB100" s="19">
        <v>47</v>
      </c>
      <c r="GC100" s="19">
        <v>46</v>
      </c>
      <c r="GD100" s="19">
        <v>45</v>
      </c>
      <c r="GE100" s="19">
        <v>44</v>
      </c>
      <c r="GF100" s="19">
        <v>43</v>
      </c>
      <c r="GG100" s="19">
        <v>42</v>
      </c>
      <c r="GH100" s="19">
        <v>41</v>
      </c>
      <c r="GI100" s="19">
        <v>40</v>
      </c>
      <c r="GJ100" s="19">
        <v>39</v>
      </c>
      <c r="GK100" s="19">
        <v>38</v>
      </c>
      <c r="GL100" s="19">
        <v>37</v>
      </c>
      <c r="GM100" s="19">
        <v>36</v>
      </c>
      <c r="GN100" s="19">
        <v>35</v>
      </c>
      <c r="GO100" s="19">
        <v>34</v>
      </c>
      <c r="GP100" s="19">
        <v>33</v>
      </c>
      <c r="GQ100" s="19">
        <v>32</v>
      </c>
      <c r="GR100" s="19">
        <v>31</v>
      </c>
      <c r="GS100" s="19">
        <v>30</v>
      </c>
    </row>
    <row r="101">
      <c r="A101" s="2" t="s">
        <v>823</v>
      </c>
      <c r="B101" s="2" t="s">
        <v>591</v>
      </c>
      <c r="C101" s="2" t="s">
        <v>604</v>
      </c>
      <c r="D101" s="2" t="s">
        <v>811</v>
      </c>
      <c r="E101" s="2" t="s">
        <v>812</v>
      </c>
      <c r="F101" s="2" t="s">
        <v>813</v>
      </c>
      <c r="G101" s="2" t="s">
        <v>813</v>
      </c>
      <c r="H101" s="2" t="s">
        <v>813</v>
      </c>
      <c r="I101" s="2" t="s">
        <v>814</v>
      </c>
      <c r="J101" s="2" t="s">
        <v>824</v>
      </c>
      <c r="K101" s="2" t="s">
        <v>825</v>
      </c>
      <c r="L101" s="3">
        <v>72</v>
      </c>
      <c r="M101" s="3">
        <v>75.6</v>
      </c>
      <c r="N101" s="3">
        <v>149.99</v>
      </c>
      <c r="O101" s="2" t="s">
        <v>196</v>
      </c>
      <c r="P101" s="2" t="s">
        <v>621</v>
      </c>
      <c r="Q101" s="2" t="s">
        <v>198</v>
      </c>
      <c r="R101" s="2" t="s">
        <v>199</v>
      </c>
      <c r="S101" s="2" t="s">
        <v>199</v>
      </c>
      <c r="T101" s="2" t="s">
        <v>199</v>
      </c>
      <c r="U101" s="2" t="s">
        <v>280</v>
      </c>
      <c r="V101" s="2" t="s">
        <v>493</v>
      </c>
      <c r="W101" s="2" t="s">
        <v>623</v>
      </c>
      <c r="X101" s="2" t="s">
        <v>817</v>
      </c>
      <c r="Y101" s="2" t="s">
        <v>826</v>
      </c>
      <c r="Z101" s="4"/>
      <c r="AA101" s="4">
        <f>=ROUNDDOWN({0},0)</f>
      </c>
      <c r="AB101" s="5">
        <v>11</v>
      </c>
      <c r="AC101" s="2" t="s">
        <v>5</v>
      </c>
      <c r="AD101" s="4">
        <v>120</v>
      </c>
      <c r="AE101" s="4">
        <v>320</v>
      </c>
      <c r="AF101" s="6">
        <v>63</v>
      </c>
      <c r="AG101" s="6"/>
      <c r="AH101" s="7">
        <v>0</v>
      </c>
      <c r="AI101" s="4"/>
      <c r="AJ101" s="4">
        <f>=ROUNDDOWN({0},0)</f>
      </c>
      <c r="AK101" s="5"/>
      <c r="AL101" s="2" t="s">
        <v>199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199</v>
      </c>
      <c r="BD101" s="8" t="s">
        <v>199</v>
      </c>
      <c r="BE101" s="4" t="s">
        <v>199</v>
      </c>
      <c r="BF101" s="8" t="s">
        <v>199</v>
      </c>
      <c r="BG101" s="7" t="s">
        <v>199</v>
      </c>
      <c r="BH101" s="7" t="s">
        <v>199</v>
      </c>
      <c r="BI101" s="7"/>
      <c r="BJ101" s="4"/>
      <c r="BK101" s="8"/>
      <c r="BL101" s="2" t="s">
        <v>199</v>
      </c>
      <c r="BM101" s="7"/>
      <c r="BN101" s="7"/>
      <c r="BO101" s="4"/>
      <c r="BP101" s="8"/>
      <c r="BQ101" s="4"/>
      <c r="BR101" s="8"/>
      <c r="BS101" s="7"/>
      <c r="BT101" s="7"/>
      <c r="BU101" s="2" t="s">
        <v>820</v>
      </c>
      <c r="BV101" s="2" t="s">
        <v>199</v>
      </c>
      <c r="BW101" s="2" t="s">
        <v>199</v>
      </c>
      <c r="BX101" s="2" t="s">
        <v>260</v>
      </c>
      <c r="BY101" s="2" t="s">
        <v>209</v>
      </c>
      <c r="BZ101" s="2" t="s">
        <v>196</v>
      </c>
      <c r="CA101" s="2" t="s">
        <v>827</v>
      </c>
      <c r="CB101" s="2" t="s">
        <v>828</v>
      </c>
      <c r="CC101" s="2" t="s">
        <v>212</v>
      </c>
      <c r="CD101" s="2" t="s">
        <v>199</v>
      </c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>
        <v>120</v>
      </c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>
        <v>200</v>
      </c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>
        <v>120</v>
      </c>
      <c r="EV101" s="4">
        <v>70</v>
      </c>
      <c r="EW101" s="4">
        <v>59</v>
      </c>
      <c r="EX101" s="4">
        <v>48</v>
      </c>
      <c r="EY101" s="4">
        <v>37</v>
      </c>
      <c r="EZ101" s="4">
        <v>26</v>
      </c>
      <c r="FA101" s="4">
        <v>15</v>
      </c>
      <c r="FB101" s="4">
        <v>3</v>
      </c>
      <c r="FC101" s="4"/>
      <c r="FD101" s="4">
        <v>200</v>
      </c>
      <c r="FE101" s="4">
        <v>175</v>
      </c>
      <c r="FF101" s="4">
        <v>164</v>
      </c>
      <c r="FG101" s="4">
        <v>153</v>
      </c>
      <c r="FH101" s="4">
        <v>142</v>
      </c>
      <c r="FI101" s="4">
        <v>130</v>
      </c>
      <c r="FJ101" s="4">
        <v>119</v>
      </c>
      <c r="FK101" s="4">
        <v>108</v>
      </c>
      <c r="FL101" s="4">
        <v>97</v>
      </c>
      <c r="FM101" s="4">
        <v>86</v>
      </c>
      <c r="FN101" s="4">
        <v>74</v>
      </c>
      <c r="FO101" s="4">
        <v>63</v>
      </c>
      <c r="FP101" s="4">
        <v>51</v>
      </c>
      <c r="FQ101" s="4">
        <v>40</v>
      </c>
      <c r="FR101" s="4">
        <v>29</v>
      </c>
      <c r="FS101" s="4">
        <v>100</v>
      </c>
      <c r="FT101" s="20">
        <v>0</v>
      </c>
      <c r="FU101" s="19">
        <v>5.7</v>
      </c>
      <c r="FV101" s="19">
        <v>6.4</v>
      </c>
      <c r="FW101" s="19">
        <v>5.4</v>
      </c>
      <c r="FX101" s="19">
        <v>4.4</v>
      </c>
      <c r="FY101" s="19">
        <v>3.7</v>
      </c>
      <c r="FZ101" s="19">
        <v>3.3</v>
      </c>
      <c r="GA101" s="19">
        <v>1.4</v>
      </c>
      <c r="GB101" s="19">
        <v>0.3</v>
      </c>
      <c r="GC101" s="20">
        <v>0</v>
      </c>
      <c r="GD101" s="19">
        <v>14.3</v>
      </c>
      <c r="GE101" s="19">
        <v>15.9</v>
      </c>
      <c r="GF101" s="19">
        <v>14.9</v>
      </c>
      <c r="GG101" s="19">
        <v>13.9</v>
      </c>
      <c r="GH101" s="19">
        <v>12.9</v>
      </c>
      <c r="GI101" s="19">
        <v>11.8</v>
      </c>
      <c r="GJ101" s="19">
        <v>10.8</v>
      </c>
      <c r="GK101" s="19">
        <v>9.8</v>
      </c>
      <c r="GL101" s="19">
        <v>8.1</v>
      </c>
      <c r="GM101" s="19">
        <v>7.2</v>
      </c>
      <c r="GN101" s="19">
        <v>6.7</v>
      </c>
      <c r="GO101" s="19">
        <v>5.7</v>
      </c>
      <c r="GP101" s="19">
        <v>4.6</v>
      </c>
      <c r="GQ101" s="19">
        <v>3.6</v>
      </c>
      <c r="GR101" s="19">
        <v>2.6</v>
      </c>
      <c r="GS101" s="19">
        <v>8.3</v>
      </c>
    </row>
    <row r="102">
      <c r="A102" s="2" t="s">
        <v>829</v>
      </c>
      <c r="B102" s="2" t="s">
        <v>591</v>
      </c>
      <c r="C102" s="2" t="s">
        <v>604</v>
      </c>
      <c r="D102" s="2" t="s">
        <v>811</v>
      </c>
      <c r="E102" s="2" t="s">
        <v>812</v>
      </c>
      <c r="F102" s="2" t="s">
        <v>813</v>
      </c>
      <c r="G102" s="2" t="s">
        <v>813</v>
      </c>
      <c r="H102" s="2" t="s">
        <v>813</v>
      </c>
      <c r="I102" s="2" t="s">
        <v>814</v>
      </c>
      <c r="J102" s="2" t="s">
        <v>815</v>
      </c>
      <c r="K102" s="2" t="s">
        <v>830</v>
      </c>
      <c r="L102" s="3">
        <v>47.52</v>
      </c>
      <c r="M102" s="3">
        <v>49.9</v>
      </c>
      <c r="N102" s="3">
        <v>109.99</v>
      </c>
      <c r="O102" s="2" t="s">
        <v>196</v>
      </c>
      <c r="P102" s="2" t="s">
        <v>197</v>
      </c>
      <c r="Q102" s="2" t="s">
        <v>198</v>
      </c>
      <c r="R102" s="2" t="s">
        <v>199</v>
      </c>
      <c r="S102" s="2" t="s">
        <v>199</v>
      </c>
      <c r="T102" s="2" t="s">
        <v>199</v>
      </c>
      <c r="U102" s="2" t="s">
        <v>280</v>
      </c>
      <c r="V102" s="2" t="s">
        <v>493</v>
      </c>
      <c r="W102" s="2" t="s">
        <v>623</v>
      </c>
      <c r="X102" s="2" t="s">
        <v>817</v>
      </c>
      <c r="Y102" s="2" t="s">
        <v>831</v>
      </c>
      <c r="Z102" s="4">
        <v>290</v>
      </c>
      <c r="AA102" s="4">
        <f>=ROUNDDOWN(45.3125,0)</f>
      </c>
      <c r="AB102" s="5">
        <v>6.4</v>
      </c>
      <c r="AC102" s="2" t="s">
        <v>199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199</v>
      </c>
      <c r="BD102" s="8" t="s">
        <v>199</v>
      </c>
      <c r="BE102" s="4" t="s">
        <v>199</v>
      </c>
      <c r="BF102" s="8" t="s">
        <v>199</v>
      </c>
      <c r="BG102" s="7" t="s">
        <v>199</v>
      </c>
      <c r="BH102" s="7" t="s">
        <v>199</v>
      </c>
      <c r="BI102" s="7"/>
      <c r="BJ102" s="4">
        <v>29</v>
      </c>
      <c r="BK102" s="8">
        <v>1589.12</v>
      </c>
      <c r="BL102" s="2" t="s">
        <v>832</v>
      </c>
      <c r="BM102" s="7"/>
      <c r="BN102" s="7"/>
      <c r="BO102" s="4"/>
      <c r="BP102" s="8"/>
      <c r="BQ102" s="4"/>
      <c r="BR102" s="8"/>
      <c r="BS102" s="7"/>
      <c r="BT102" s="7"/>
      <c r="BU102" s="2" t="s">
        <v>820</v>
      </c>
      <c r="BV102" s="2" t="s">
        <v>199</v>
      </c>
      <c r="BW102" s="2" t="s">
        <v>199</v>
      </c>
      <c r="BX102" s="2" t="s">
        <v>260</v>
      </c>
      <c r="BY102" s="2" t="s">
        <v>209</v>
      </c>
      <c r="BZ102" s="2" t="s">
        <v>196</v>
      </c>
      <c r="CA102" s="2" t="s">
        <v>833</v>
      </c>
      <c r="CB102" s="2" t="s">
        <v>834</v>
      </c>
      <c r="CC102" s="2" t="s">
        <v>212</v>
      </c>
      <c r="CD102" s="2" t="s">
        <v>199</v>
      </c>
      <c r="CE102" s="4"/>
      <c r="CF102" s="4">
        <v>290</v>
      </c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>
        <v>293</v>
      </c>
      <c r="EU102" s="4">
        <v>261</v>
      </c>
      <c r="EV102" s="4">
        <v>254</v>
      </c>
      <c r="EW102" s="4">
        <v>247</v>
      </c>
      <c r="EX102" s="4">
        <v>240</v>
      </c>
      <c r="EY102" s="4">
        <v>233</v>
      </c>
      <c r="EZ102" s="4">
        <v>226</v>
      </c>
      <c r="FA102" s="4">
        <v>219</v>
      </c>
      <c r="FB102" s="4">
        <v>211</v>
      </c>
      <c r="FC102" s="4">
        <v>204</v>
      </c>
      <c r="FD102" s="4">
        <v>197</v>
      </c>
      <c r="FE102" s="4">
        <v>190</v>
      </c>
      <c r="FF102" s="4">
        <v>183</v>
      </c>
      <c r="FG102" s="4">
        <v>176</v>
      </c>
      <c r="FH102" s="4">
        <v>169</v>
      </c>
      <c r="FI102" s="4">
        <v>161</v>
      </c>
      <c r="FJ102" s="4">
        <v>154</v>
      </c>
      <c r="FK102" s="4">
        <v>147</v>
      </c>
      <c r="FL102" s="4">
        <v>140</v>
      </c>
      <c r="FM102" s="4">
        <v>133</v>
      </c>
      <c r="FN102" s="4">
        <v>125</v>
      </c>
      <c r="FO102" s="4">
        <v>118</v>
      </c>
      <c r="FP102" s="4">
        <v>110</v>
      </c>
      <c r="FQ102" s="4">
        <v>103</v>
      </c>
      <c r="FR102" s="4">
        <v>96</v>
      </c>
      <c r="FS102" s="4">
        <v>89</v>
      </c>
      <c r="FT102" s="19">
        <v>22.5</v>
      </c>
      <c r="FU102" s="19">
        <v>37.3</v>
      </c>
      <c r="FV102" s="19">
        <v>36.3</v>
      </c>
      <c r="FW102" s="19">
        <v>35.3</v>
      </c>
      <c r="FX102" s="19">
        <v>34.3</v>
      </c>
      <c r="FY102" s="19">
        <v>33.3</v>
      </c>
      <c r="FZ102" s="19">
        <v>32.3</v>
      </c>
      <c r="GA102" s="19">
        <v>31.3</v>
      </c>
      <c r="GB102" s="19">
        <v>30.1</v>
      </c>
      <c r="GC102" s="19">
        <v>29.1</v>
      </c>
      <c r="GD102" s="19">
        <v>28.1</v>
      </c>
      <c r="GE102" s="19">
        <v>27.1</v>
      </c>
      <c r="GF102" s="19">
        <v>26.1</v>
      </c>
      <c r="GG102" s="19">
        <v>25.1</v>
      </c>
      <c r="GH102" s="19">
        <v>24.1</v>
      </c>
      <c r="GI102" s="19">
        <v>23</v>
      </c>
      <c r="GJ102" s="19">
        <v>22</v>
      </c>
      <c r="GK102" s="19">
        <v>21</v>
      </c>
      <c r="GL102" s="19">
        <v>17.5</v>
      </c>
      <c r="GM102" s="19">
        <v>16.6</v>
      </c>
      <c r="GN102" s="19">
        <v>17.9</v>
      </c>
      <c r="GO102" s="19">
        <v>16.9</v>
      </c>
      <c r="GP102" s="19">
        <v>15.7</v>
      </c>
      <c r="GQ102" s="19">
        <v>14.7</v>
      </c>
      <c r="GR102" s="19">
        <v>13.7</v>
      </c>
      <c r="GS102" s="19">
        <v>11.1</v>
      </c>
    </row>
    <row r="103">
      <c r="A103" s="2" t="s">
        <v>835</v>
      </c>
      <c r="B103" s="2" t="s">
        <v>613</v>
      </c>
      <c r="C103" s="2" t="s">
        <v>246</v>
      </c>
      <c r="D103" s="2" t="s">
        <v>614</v>
      </c>
      <c r="E103" s="2" t="s">
        <v>615</v>
      </c>
      <c r="F103" s="2" t="s">
        <v>836</v>
      </c>
      <c r="G103" s="2" t="s">
        <v>837</v>
      </c>
      <c r="H103" s="2" t="s">
        <v>838</v>
      </c>
      <c r="I103" s="2" t="s">
        <v>839</v>
      </c>
      <c r="J103" s="2" t="s">
        <v>559</v>
      </c>
      <c r="K103" s="2" t="s">
        <v>840</v>
      </c>
      <c r="L103" s="3">
        <v>237.5</v>
      </c>
      <c r="M103" s="3">
        <v>249.38</v>
      </c>
      <c r="N103" s="3">
        <v>499</v>
      </c>
      <c r="O103" s="2" t="s">
        <v>196</v>
      </c>
      <c r="P103" s="2" t="s">
        <v>841</v>
      </c>
      <c r="Q103" s="2" t="s">
        <v>198</v>
      </c>
      <c r="R103" s="2" t="s">
        <v>199</v>
      </c>
      <c r="S103" s="2" t="s">
        <v>199</v>
      </c>
      <c r="T103" s="2" t="s">
        <v>199</v>
      </c>
      <c r="U103" s="2" t="s">
        <v>280</v>
      </c>
      <c r="V103" s="2" t="s">
        <v>202</v>
      </c>
      <c r="W103" s="2" t="s">
        <v>623</v>
      </c>
      <c r="X103" s="2" t="s">
        <v>199</v>
      </c>
      <c r="Y103" s="2" t="s">
        <v>842</v>
      </c>
      <c r="Z103" s="4">
        <v>142</v>
      </c>
      <c r="AA103" s="4">
        <f>=ROUNDDOWN(35.5,0)</f>
      </c>
      <c r="AB103" s="5">
        <v>4</v>
      </c>
      <c r="AC103" s="2" t="s">
        <v>199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13</v>
      </c>
      <c r="BK103" s="8">
        <v>3216.64</v>
      </c>
      <c r="BL103" s="2" t="s">
        <v>843</v>
      </c>
      <c r="BM103" s="7"/>
      <c r="BN103" s="7"/>
      <c r="BO103" s="4"/>
      <c r="BP103" s="8"/>
      <c r="BQ103" s="4"/>
      <c r="BR103" s="8"/>
      <c r="BS103" s="7"/>
      <c r="BT103" s="7"/>
      <c r="BU103" s="2" t="s">
        <v>844</v>
      </c>
      <c r="BV103" s="2" t="s">
        <v>199</v>
      </c>
      <c r="BW103" s="2" t="s">
        <v>199</v>
      </c>
      <c r="BX103" s="2" t="s">
        <v>208</v>
      </c>
      <c r="BY103" s="2" t="s">
        <v>209</v>
      </c>
      <c r="BZ103" s="2" t="s">
        <v>196</v>
      </c>
      <c r="CA103" s="2" t="s">
        <v>845</v>
      </c>
      <c r="CB103" s="2" t="s">
        <v>846</v>
      </c>
      <c r="CC103" s="2" t="s">
        <v>212</v>
      </c>
      <c r="CD103" s="2" t="s">
        <v>199</v>
      </c>
      <c r="CE103" s="4"/>
      <c r="CF103" s="4">
        <v>142</v>
      </c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>
        <v>154</v>
      </c>
      <c r="EU103" s="4">
        <v>133</v>
      </c>
      <c r="EV103" s="4">
        <v>129</v>
      </c>
      <c r="EW103" s="4">
        <v>126</v>
      </c>
      <c r="EX103" s="4">
        <v>123</v>
      </c>
      <c r="EY103" s="4">
        <v>119</v>
      </c>
      <c r="EZ103" s="4">
        <v>115</v>
      </c>
      <c r="FA103" s="4">
        <v>111</v>
      </c>
      <c r="FB103" s="4">
        <v>107</v>
      </c>
      <c r="FC103" s="4">
        <v>103</v>
      </c>
      <c r="FD103" s="4">
        <v>99</v>
      </c>
      <c r="FE103" s="4">
        <v>95</v>
      </c>
      <c r="FF103" s="4">
        <v>91</v>
      </c>
      <c r="FG103" s="4">
        <v>87</v>
      </c>
      <c r="FH103" s="4">
        <v>83</v>
      </c>
      <c r="FI103" s="4">
        <v>79</v>
      </c>
      <c r="FJ103" s="4">
        <v>75</v>
      </c>
      <c r="FK103" s="4">
        <v>71</v>
      </c>
      <c r="FL103" s="4">
        <v>67</v>
      </c>
      <c r="FM103" s="4">
        <v>63</v>
      </c>
      <c r="FN103" s="4">
        <v>59</v>
      </c>
      <c r="FO103" s="4">
        <v>55</v>
      </c>
      <c r="FP103" s="4">
        <v>51</v>
      </c>
      <c r="FQ103" s="4">
        <v>47</v>
      </c>
      <c r="FR103" s="4">
        <v>43</v>
      </c>
      <c r="FS103" s="4">
        <v>39</v>
      </c>
      <c r="FT103" s="19">
        <v>19.3</v>
      </c>
      <c r="FU103" s="19">
        <v>33.3</v>
      </c>
      <c r="FV103" s="19">
        <v>32.3</v>
      </c>
      <c r="FW103" s="19">
        <v>31.5</v>
      </c>
      <c r="FX103" s="19">
        <v>30.8</v>
      </c>
      <c r="FY103" s="19">
        <v>29.8</v>
      </c>
      <c r="FZ103" s="19">
        <v>28.8</v>
      </c>
      <c r="GA103" s="19">
        <v>27.8</v>
      </c>
      <c r="GB103" s="19">
        <v>26.8</v>
      </c>
      <c r="GC103" s="19">
        <v>25.8</v>
      </c>
      <c r="GD103" s="19">
        <v>24.8</v>
      </c>
      <c r="GE103" s="19">
        <v>23.8</v>
      </c>
      <c r="GF103" s="19">
        <v>22.8</v>
      </c>
      <c r="GG103" s="19">
        <v>21.8</v>
      </c>
      <c r="GH103" s="19">
        <v>20.8</v>
      </c>
      <c r="GI103" s="19">
        <v>19.8</v>
      </c>
      <c r="GJ103" s="19">
        <v>18.8</v>
      </c>
      <c r="GK103" s="19">
        <v>17.8</v>
      </c>
      <c r="GL103" s="19">
        <v>16.8</v>
      </c>
      <c r="GM103" s="19">
        <v>15.8</v>
      </c>
      <c r="GN103" s="19">
        <v>14.8</v>
      </c>
      <c r="GO103" s="19">
        <v>13.8</v>
      </c>
      <c r="GP103" s="19">
        <v>12.8</v>
      </c>
      <c r="GQ103" s="19">
        <v>11.8</v>
      </c>
      <c r="GR103" s="19">
        <v>10.8</v>
      </c>
      <c r="GS103" s="19">
        <v>9.8</v>
      </c>
    </row>
    <row r="104">
      <c r="A104" s="2" t="s">
        <v>847</v>
      </c>
      <c r="B104" s="2" t="s">
        <v>554</v>
      </c>
      <c r="C104" s="2" t="s">
        <v>246</v>
      </c>
      <c r="D104" s="2" t="s">
        <v>848</v>
      </c>
      <c r="E104" s="2" t="s">
        <v>556</v>
      </c>
      <c r="F104" s="2" t="s">
        <v>849</v>
      </c>
      <c r="G104" s="2" t="s">
        <v>849</v>
      </c>
      <c r="H104" s="2" t="s">
        <v>849</v>
      </c>
      <c r="I104" s="2" t="s">
        <v>850</v>
      </c>
      <c r="J104" s="2" t="s">
        <v>559</v>
      </c>
      <c r="K104" s="2" t="s">
        <v>851</v>
      </c>
      <c r="L104" s="3">
        <v>54.4</v>
      </c>
      <c r="M104" s="3">
        <v>57.12</v>
      </c>
      <c r="N104" s="3">
        <v>114.74</v>
      </c>
      <c r="O104" s="2" t="s">
        <v>196</v>
      </c>
      <c r="P104" s="2" t="s">
        <v>197</v>
      </c>
      <c r="Q104" s="2" t="s">
        <v>198</v>
      </c>
      <c r="R104" s="2" t="s">
        <v>199</v>
      </c>
      <c r="S104" s="2" t="s">
        <v>852</v>
      </c>
      <c r="T104" s="2" t="s">
        <v>199</v>
      </c>
      <c r="U104" s="2" t="s">
        <v>853</v>
      </c>
      <c r="V104" s="2" t="s">
        <v>562</v>
      </c>
      <c r="W104" s="2" t="s">
        <v>510</v>
      </c>
      <c r="X104" s="2" t="s">
        <v>728</v>
      </c>
      <c r="Y104" s="2" t="s">
        <v>854</v>
      </c>
      <c r="Z104" s="4">
        <v>16</v>
      </c>
      <c r="AA104" s="4">
        <f>=ROUNDDOWN(5.33333333333333,0)</f>
      </c>
      <c r="AB104" s="5">
        <v>3</v>
      </c>
      <c r="AC104" s="2" t="s">
        <v>855</v>
      </c>
      <c r="AD104" s="4">
        <v>70</v>
      </c>
      <c r="AE104" s="4">
        <v>70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12</v>
      </c>
      <c r="BK104" s="8">
        <v>780.44</v>
      </c>
      <c r="BL104" s="2" t="s">
        <v>856</v>
      </c>
      <c r="BM104" s="7"/>
      <c r="BN104" s="7"/>
      <c r="BO104" s="4"/>
      <c r="BP104" s="8"/>
      <c r="BQ104" s="4"/>
      <c r="BR104" s="8"/>
      <c r="BS104" s="7"/>
      <c r="BT104" s="7"/>
      <c r="BU104" s="2" t="s">
        <v>857</v>
      </c>
      <c r="BV104" s="2" t="s">
        <v>199</v>
      </c>
      <c r="BW104" s="2" t="s">
        <v>199</v>
      </c>
      <c r="BX104" s="2" t="s">
        <v>208</v>
      </c>
      <c r="BY104" s="2" t="s">
        <v>209</v>
      </c>
      <c r="BZ104" s="2" t="s">
        <v>196</v>
      </c>
      <c r="CA104" s="2" t="s">
        <v>858</v>
      </c>
      <c r="CB104" s="2" t="s">
        <v>859</v>
      </c>
      <c r="CC104" s="2" t="s">
        <v>212</v>
      </c>
      <c r="CD104" s="2" t="s">
        <v>199</v>
      </c>
      <c r="CE104" s="4"/>
      <c r="CF104" s="4">
        <v>16</v>
      </c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>
        <v>70</v>
      </c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>
        <v>20</v>
      </c>
      <c r="EU104" s="4">
        <v>13</v>
      </c>
      <c r="EV104" s="4">
        <v>10</v>
      </c>
      <c r="EW104" s="4">
        <v>7</v>
      </c>
      <c r="EX104" s="4">
        <v>4</v>
      </c>
      <c r="EY104" s="4">
        <v>1</v>
      </c>
      <c r="EZ104" s="4"/>
      <c r="FA104" s="4">
        <v>70</v>
      </c>
      <c r="FB104" s="4">
        <v>65</v>
      </c>
      <c r="FC104" s="4">
        <v>62</v>
      </c>
      <c r="FD104" s="4">
        <v>59</v>
      </c>
      <c r="FE104" s="4">
        <v>56</v>
      </c>
      <c r="FF104" s="4">
        <v>53</v>
      </c>
      <c r="FG104" s="4">
        <v>50</v>
      </c>
      <c r="FH104" s="4">
        <v>47</v>
      </c>
      <c r="FI104" s="4">
        <v>44</v>
      </c>
      <c r="FJ104" s="4">
        <v>41</v>
      </c>
      <c r="FK104" s="4">
        <v>38</v>
      </c>
      <c r="FL104" s="4">
        <v>35</v>
      </c>
      <c r="FM104" s="4">
        <v>32</v>
      </c>
      <c r="FN104" s="4">
        <v>29</v>
      </c>
      <c r="FO104" s="4">
        <v>26</v>
      </c>
      <c r="FP104" s="4">
        <v>23</v>
      </c>
      <c r="FQ104" s="4">
        <v>20</v>
      </c>
      <c r="FR104" s="4">
        <v>17</v>
      </c>
      <c r="FS104" s="4">
        <v>14</v>
      </c>
      <c r="FT104" s="19">
        <v>5</v>
      </c>
      <c r="FU104" s="19">
        <v>4.3</v>
      </c>
      <c r="FV104" s="19">
        <v>3.3</v>
      </c>
      <c r="FW104" s="19">
        <v>3.5</v>
      </c>
      <c r="FX104" s="19">
        <v>1.3</v>
      </c>
      <c r="FY104" s="19">
        <v>0.3</v>
      </c>
      <c r="FZ104" s="20">
        <v>0</v>
      </c>
      <c r="GA104" s="19">
        <v>17.5</v>
      </c>
      <c r="GB104" s="19">
        <v>21.7</v>
      </c>
      <c r="GC104" s="19">
        <v>20.7</v>
      </c>
      <c r="GD104" s="19">
        <v>19.7</v>
      </c>
      <c r="GE104" s="19">
        <v>18.7</v>
      </c>
      <c r="GF104" s="19">
        <v>17.7</v>
      </c>
      <c r="GG104" s="19">
        <v>16.7</v>
      </c>
      <c r="GH104" s="19">
        <v>15.7</v>
      </c>
      <c r="GI104" s="19">
        <v>14.7</v>
      </c>
      <c r="GJ104" s="19">
        <v>13.7</v>
      </c>
      <c r="GK104" s="19">
        <v>12.7</v>
      </c>
      <c r="GL104" s="19">
        <v>11.7</v>
      </c>
      <c r="GM104" s="19">
        <v>10.7</v>
      </c>
      <c r="GN104" s="19">
        <v>9.7</v>
      </c>
      <c r="GO104" s="19">
        <v>8.7</v>
      </c>
      <c r="GP104" s="19">
        <v>7.7</v>
      </c>
      <c r="GQ104" s="19">
        <v>6.7</v>
      </c>
      <c r="GR104" s="19">
        <v>5.7</v>
      </c>
      <c r="GS104" s="19">
        <v>4.7</v>
      </c>
    </row>
    <row r="105">
      <c r="A105" s="2" t="s">
        <v>860</v>
      </c>
      <c r="B105" s="2" t="s">
        <v>554</v>
      </c>
      <c r="C105" s="2" t="s">
        <v>246</v>
      </c>
      <c r="D105" s="2" t="s">
        <v>861</v>
      </c>
      <c r="E105" s="2" t="s">
        <v>862</v>
      </c>
      <c r="F105" s="2" t="s">
        <v>863</v>
      </c>
      <c r="G105" s="2" t="s">
        <v>863</v>
      </c>
      <c r="H105" s="2" t="s">
        <v>863</v>
      </c>
      <c r="I105" s="2" t="s">
        <v>864</v>
      </c>
      <c r="J105" s="2" t="s">
        <v>559</v>
      </c>
      <c r="K105" s="2" t="s">
        <v>865</v>
      </c>
      <c r="L105" s="3">
        <v>41.69</v>
      </c>
      <c r="M105" s="3">
        <v>43.77</v>
      </c>
      <c r="N105" s="3">
        <v>89.24</v>
      </c>
      <c r="O105" s="2" t="s">
        <v>196</v>
      </c>
      <c r="P105" s="2" t="s">
        <v>197</v>
      </c>
      <c r="Q105" s="2" t="s">
        <v>198</v>
      </c>
      <c r="R105" s="2" t="s">
        <v>199</v>
      </c>
      <c r="S105" s="2" t="s">
        <v>199</v>
      </c>
      <c r="T105" s="2" t="s">
        <v>199</v>
      </c>
      <c r="U105" s="2" t="s">
        <v>637</v>
      </c>
      <c r="V105" s="2" t="s">
        <v>866</v>
      </c>
      <c r="W105" s="2" t="s">
        <v>623</v>
      </c>
      <c r="X105" s="2" t="s">
        <v>199</v>
      </c>
      <c r="Y105" s="2" t="s">
        <v>867</v>
      </c>
      <c r="Z105" s="4">
        <v>22</v>
      </c>
      <c r="AA105" s="4">
        <f>=ROUNDDOWN(3.79310344827586,0)</f>
      </c>
      <c r="AB105" s="5">
        <v>5.8</v>
      </c>
      <c r="AC105" s="2" t="s">
        <v>776</v>
      </c>
      <c r="AD105" s="4">
        <v>150</v>
      </c>
      <c r="AE105" s="4">
        <v>150</v>
      </c>
      <c r="AF105" s="6">
        <v>61</v>
      </c>
      <c r="AG105" s="6"/>
      <c r="AH105" s="7">
        <v>1</v>
      </c>
      <c r="AI105" s="4"/>
      <c r="AJ105" s="4">
        <f>=ROUNDDOWN({0},0)</f>
      </c>
      <c r="AK105" s="5"/>
      <c r="AL105" s="2" t="s">
        <v>199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14</v>
      </c>
      <c r="BK105" s="8">
        <v>690.7</v>
      </c>
      <c r="BL105" s="2" t="s">
        <v>868</v>
      </c>
      <c r="BM105" s="7"/>
      <c r="BN105" s="7"/>
      <c r="BO105" s="4"/>
      <c r="BP105" s="8"/>
      <c r="BQ105" s="4"/>
      <c r="BR105" s="8"/>
      <c r="BS105" s="7"/>
      <c r="BT105" s="7"/>
      <c r="BU105" s="2" t="s">
        <v>869</v>
      </c>
      <c r="BV105" s="2" t="s">
        <v>199</v>
      </c>
      <c r="BW105" s="2" t="s">
        <v>199</v>
      </c>
      <c r="BX105" s="2" t="s">
        <v>208</v>
      </c>
      <c r="BY105" s="2" t="s">
        <v>209</v>
      </c>
      <c r="BZ105" s="2" t="s">
        <v>196</v>
      </c>
      <c r="CA105" s="2" t="s">
        <v>870</v>
      </c>
      <c r="CB105" s="2" t="s">
        <v>871</v>
      </c>
      <c r="CC105" s="2" t="s">
        <v>212</v>
      </c>
      <c r="CD105" s="2" t="s">
        <v>199</v>
      </c>
      <c r="CE105" s="4"/>
      <c r="CF105" s="4">
        <v>22</v>
      </c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>
        <v>150</v>
      </c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>
        <v>23</v>
      </c>
      <c r="EU105" s="4">
        <v>13</v>
      </c>
      <c r="EV105" s="4">
        <v>7</v>
      </c>
      <c r="EW105" s="4">
        <v>1</v>
      </c>
      <c r="EX105" s="4">
        <v>150</v>
      </c>
      <c r="EY105" s="4">
        <v>142</v>
      </c>
      <c r="EZ105" s="4">
        <v>136</v>
      </c>
      <c r="FA105" s="4">
        <v>130</v>
      </c>
      <c r="FB105" s="4">
        <v>123</v>
      </c>
      <c r="FC105" s="4">
        <v>117</v>
      </c>
      <c r="FD105" s="4">
        <v>111</v>
      </c>
      <c r="FE105" s="4">
        <v>105</v>
      </c>
      <c r="FF105" s="4">
        <v>99</v>
      </c>
      <c r="FG105" s="4">
        <v>93</v>
      </c>
      <c r="FH105" s="4">
        <v>87</v>
      </c>
      <c r="FI105" s="4">
        <v>81</v>
      </c>
      <c r="FJ105" s="4">
        <v>75</v>
      </c>
      <c r="FK105" s="4">
        <v>69</v>
      </c>
      <c r="FL105" s="4">
        <v>63</v>
      </c>
      <c r="FM105" s="4">
        <v>57</v>
      </c>
      <c r="FN105" s="4">
        <v>51</v>
      </c>
      <c r="FO105" s="4">
        <v>45</v>
      </c>
      <c r="FP105" s="4">
        <v>38</v>
      </c>
      <c r="FQ105" s="4">
        <v>32</v>
      </c>
      <c r="FR105" s="4">
        <v>26</v>
      </c>
      <c r="FS105" s="4">
        <v>20</v>
      </c>
      <c r="FT105" s="19">
        <v>3.8</v>
      </c>
      <c r="FU105" s="19">
        <v>2.2</v>
      </c>
      <c r="FV105" s="19">
        <v>1.2</v>
      </c>
      <c r="FW105" s="19">
        <v>0.2</v>
      </c>
      <c r="FX105" s="19">
        <v>21.4</v>
      </c>
      <c r="FY105" s="19">
        <v>23.7</v>
      </c>
      <c r="FZ105" s="19">
        <v>22.7</v>
      </c>
      <c r="GA105" s="19">
        <v>21.7</v>
      </c>
      <c r="GB105" s="19">
        <v>20.5</v>
      </c>
      <c r="GC105" s="19">
        <v>19.5</v>
      </c>
      <c r="GD105" s="19">
        <v>18.5</v>
      </c>
      <c r="GE105" s="19">
        <v>17.5</v>
      </c>
      <c r="GF105" s="19">
        <v>16.5</v>
      </c>
      <c r="GG105" s="19">
        <v>15.5</v>
      </c>
      <c r="GH105" s="19">
        <v>14.5</v>
      </c>
      <c r="GI105" s="19">
        <v>13.5</v>
      </c>
      <c r="GJ105" s="19">
        <v>12.5</v>
      </c>
      <c r="GK105" s="19">
        <v>11.5</v>
      </c>
      <c r="GL105" s="19">
        <v>10.5</v>
      </c>
      <c r="GM105" s="19">
        <v>9.5</v>
      </c>
      <c r="GN105" s="19">
        <v>8.5</v>
      </c>
      <c r="GO105" s="19">
        <v>7.5</v>
      </c>
      <c r="GP105" s="19">
        <v>6.3</v>
      </c>
      <c r="GQ105" s="19">
        <v>5.3</v>
      </c>
      <c r="GR105" s="19">
        <v>4.3</v>
      </c>
      <c r="GS105" s="19">
        <v>3.3</v>
      </c>
    </row>
    <row r="106">
      <c r="A106" s="2" t="s">
        <v>872</v>
      </c>
      <c r="B106" s="2" t="s">
        <v>672</v>
      </c>
      <c r="C106" s="2" t="s">
        <v>246</v>
      </c>
      <c r="D106" s="2" t="s">
        <v>673</v>
      </c>
      <c r="E106" s="2" t="s">
        <v>873</v>
      </c>
      <c r="F106" s="2" t="s">
        <v>874</v>
      </c>
      <c r="G106" s="2" t="s">
        <v>875</v>
      </c>
      <c r="H106" s="2" t="s">
        <v>876</v>
      </c>
      <c r="I106" s="2" t="s">
        <v>877</v>
      </c>
      <c r="J106" s="2" t="s">
        <v>694</v>
      </c>
      <c r="K106" s="2" t="s">
        <v>371</v>
      </c>
      <c r="L106" s="3">
        <v>19.35</v>
      </c>
      <c r="M106" s="3">
        <v>20.32</v>
      </c>
      <c r="N106" s="3">
        <v>42.99</v>
      </c>
      <c r="O106" s="2" t="s">
        <v>196</v>
      </c>
      <c r="P106" s="2" t="s">
        <v>197</v>
      </c>
      <c r="Q106" s="2" t="s">
        <v>198</v>
      </c>
      <c r="R106" s="2" t="s">
        <v>199</v>
      </c>
      <c r="S106" s="2" t="s">
        <v>878</v>
      </c>
      <c r="T106" s="2" t="s">
        <v>199</v>
      </c>
      <c r="U106" s="2" t="s">
        <v>280</v>
      </c>
      <c r="V106" s="2" t="s">
        <v>879</v>
      </c>
      <c r="W106" s="2" t="s">
        <v>510</v>
      </c>
      <c r="X106" s="2" t="s">
        <v>682</v>
      </c>
      <c r="Y106" s="2" t="s">
        <v>204</v>
      </c>
      <c r="Z106" s="4">
        <v>144</v>
      </c>
      <c r="AA106" s="4">
        <f>=ROUNDDOWN(28.8,0)</f>
      </c>
      <c r="AB106" s="5">
        <v>5</v>
      </c>
      <c r="AC106" s="2" t="s">
        <v>199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</v>
      </c>
      <c r="BK106" s="8">
        <v>152.97</v>
      </c>
      <c r="BL106" s="2" t="s">
        <v>880</v>
      </c>
      <c r="BM106" s="7"/>
      <c r="BN106" s="7"/>
      <c r="BO106" s="4"/>
      <c r="BP106" s="8"/>
      <c r="BQ106" s="4"/>
      <c r="BR106" s="8"/>
      <c r="BS106" s="7"/>
      <c r="BT106" s="7"/>
      <c r="BU106" s="2" t="s">
        <v>881</v>
      </c>
      <c r="BV106" s="2" t="s">
        <v>199</v>
      </c>
      <c r="BW106" s="2" t="s">
        <v>199</v>
      </c>
      <c r="BX106" s="2" t="s">
        <v>208</v>
      </c>
      <c r="BY106" s="2" t="s">
        <v>209</v>
      </c>
      <c r="BZ106" s="2" t="s">
        <v>196</v>
      </c>
      <c r="CA106" s="2" t="s">
        <v>716</v>
      </c>
      <c r="CB106" s="2" t="s">
        <v>485</v>
      </c>
      <c r="CC106" s="2" t="s">
        <v>212</v>
      </c>
      <c r="CD106" s="2" t="s">
        <v>199</v>
      </c>
      <c r="CE106" s="4">
        <v>144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>
        <v>144</v>
      </c>
      <c r="EU106" s="4">
        <v>142</v>
      </c>
      <c r="EV106" s="4">
        <v>140</v>
      </c>
      <c r="EW106" s="4">
        <v>138</v>
      </c>
      <c r="EX106" s="4">
        <v>136</v>
      </c>
      <c r="EY106" s="4">
        <v>134</v>
      </c>
      <c r="EZ106" s="4">
        <v>132</v>
      </c>
      <c r="FA106" s="4">
        <v>130</v>
      </c>
      <c r="FB106" s="4">
        <v>126</v>
      </c>
      <c r="FC106" s="4">
        <v>121</v>
      </c>
      <c r="FD106" s="4">
        <v>116</v>
      </c>
      <c r="FE106" s="4">
        <v>111</v>
      </c>
      <c r="FF106" s="4">
        <v>106</v>
      </c>
      <c r="FG106" s="4">
        <v>101</v>
      </c>
      <c r="FH106" s="4">
        <v>96</v>
      </c>
      <c r="FI106" s="4">
        <v>90</v>
      </c>
      <c r="FJ106" s="4">
        <v>85</v>
      </c>
      <c r="FK106" s="4">
        <v>80</v>
      </c>
      <c r="FL106" s="4">
        <v>75</v>
      </c>
      <c r="FM106" s="4">
        <v>70</v>
      </c>
      <c r="FN106" s="4">
        <v>64</v>
      </c>
      <c r="FO106" s="4">
        <v>59</v>
      </c>
      <c r="FP106" s="4">
        <v>54</v>
      </c>
      <c r="FQ106" s="4">
        <v>49</v>
      </c>
      <c r="FR106" s="4">
        <v>44</v>
      </c>
      <c r="FS106" s="4">
        <v>39</v>
      </c>
      <c r="FT106" s="19">
        <v>72</v>
      </c>
      <c r="FU106" s="19">
        <v>71</v>
      </c>
      <c r="FV106" s="19">
        <v>70</v>
      </c>
      <c r="FW106" s="19">
        <v>69</v>
      </c>
      <c r="FX106" s="19">
        <v>68</v>
      </c>
      <c r="FY106" s="19">
        <v>44.7</v>
      </c>
      <c r="FZ106" s="19">
        <v>33</v>
      </c>
      <c r="GA106" s="19">
        <v>26</v>
      </c>
      <c r="GB106" s="19">
        <v>25.2</v>
      </c>
      <c r="GC106" s="19">
        <v>24.2</v>
      </c>
      <c r="GD106" s="19">
        <v>23.2</v>
      </c>
      <c r="GE106" s="19">
        <v>22.2</v>
      </c>
      <c r="GF106" s="19">
        <v>21.2</v>
      </c>
      <c r="GG106" s="19">
        <v>20.2</v>
      </c>
      <c r="GH106" s="19">
        <v>19.2</v>
      </c>
      <c r="GI106" s="19">
        <v>18</v>
      </c>
      <c r="GJ106" s="19">
        <v>17</v>
      </c>
      <c r="GK106" s="19">
        <v>16</v>
      </c>
      <c r="GL106" s="19">
        <v>15</v>
      </c>
      <c r="GM106" s="19">
        <v>14</v>
      </c>
      <c r="GN106" s="19">
        <v>12.8</v>
      </c>
      <c r="GO106" s="19">
        <v>11.8</v>
      </c>
      <c r="GP106" s="19">
        <v>10.8</v>
      </c>
      <c r="GQ106" s="19">
        <v>9.8</v>
      </c>
      <c r="GR106" s="19">
        <v>8.8</v>
      </c>
      <c r="GS106" s="19">
        <v>7.8</v>
      </c>
    </row>
    <row r="107">
      <c r="A107" s="2" t="s">
        <v>882</v>
      </c>
      <c r="B107" s="2" t="s">
        <v>883</v>
      </c>
      <c r="C107" s="2" t="s">
        <v>884</v>
      </c>
      <c r="D107" s="2" t="s">
        <v>885</v>
      </c>
      <c r="E107" s="2" t="s">
        <v>886</v>
      </c>
      <c r="F107" s="2" t="s">
        <v>887</v>
      </c>
      <c r="G107" s="2" t="s">
        <v>887</v>
      </c>
      <c r="H107" s="2" t="s">
        <v>887</v>
      </c>
      <c r="I107" s="2" t="s">
        <v>888</v>
      </c>
      <c r="J107" s="2" t="s">
        <v>889</v>
      </c>
      <c r="K107" s="2" t="s">
        <v>890</v>
      </c>
      <c r="L107" s="3">
        <v>12.05</v>
      </c>
      <c r="M107" s="3">
        <v>12.65</v>
      </c>
      <c r="N107" s="3">
        <v>21.99</v>
      </c>
      <c r="O107" s="2" t="s">
        <v>196</v>
      </c>
      <c r="P107" s="2" t="s">
        <v>197</v>
      </c>
      <c r="Q107" s="2" t="s">
        <v>198</v>
      </c>
      <c r="R107" s="2" t="s">
        <v>199</v>
      </c>
      <c r="S107" s="2" t="s">
        <v>199</v>
      </c>
      <c r="T107" s="2" t="s">
        <v>199</v>
      </c>
      <c r="U107" s="2" t="s">
        <v>199</v>
      </c>
      <c r="V107" s="2" t="s">
        <v>493</v>
      </c>
      <c r="W107" s="2" t="s">
        <v>199</v>
      </c>
      <c r="X107" s="2" t="s">
        <v>199</v>
      </c>
      <c r="Y107" s="2" t="s">
        <v>891</v>
      </c>
      <c r="Z107" s="4">
        <v>329</v>
      </c>
      <c r="AA107" s="4">
        <f>=ROUNDDOWN(27.4166666666667,0)</f>
      </c>
      <c r="AB107" s="5">
        <v>12</v>
      </c>
      <c r="AC107" s="2" t="s">
        <v>892</v>
      </c>
      <c r="AD107" s="4">
        <v>100</v>
      </c>
      <c r="AE107" s="4">
        <v>100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40</v>
      </c>
      <c r="BK107" s="8">
        <v>477.2</v>
      </c>
      <c r="BL107" s="2" t="s">
        <v>684</v>
      </c>
      <c r="BM107" s="7"/>
      <c r="BN107" s="7"/>
      <c r="BO107" s="4"/>
      <c r="BP107" s="8"/>
      <c r="BQ107" s="4"/>
      <c r="BR107" s="8"/>
      <c r="BS107" s="7"/>
      <c r="BT107" s="7"/>
      <c r="BU107" s="2" t="s">
        <v>893</v>
      </c>
      <c r="BV107" s="2" t="s">
        <v>199</v>
      </c>
      <c r="BW107" s="2" t="s">
        <v>199</v>
      </c>
      <c r="BX107" s="2" t="s">
        <v>208</v>
      </c>
      <c r="BY107" s="2" t="s">
        <v>209</v>
      </c>
      <c r="BZ107" s="2" t="s">
        <v>196</v>
      </c>
      <c r="CA107" s="2" t="s">
        <v>894</v>
      </c>
      <c r="CB107" s="2" t="s">
        <v>895</v>
      </c>
      <c r="CC107" s="2" t="s">
        <v>212</v>
      </c>
      <c r="CD107" s="2" t="s">
        <v>199</v>
      </c>
      <c r="CE107" s="4">
        <v>299</v>
      </c>
      <c r="CF107" s="4">
        <v>15</v>
      </c>
      <c r="CG107" s="4"/>
      <c r="CH107" s="4">
        <v>15</v>
      </c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>
        <v>100</v>
      </c>
      <c r="EN107" s="4"/>
      <c r="EO107" s="4"/>
      <c r="EP107" s="4"/>
      <c r="EQ107" s="4"/>
      <c r="ER107" s="4"/>
      <c r="ES107" s="4"/>
      <c r="ET107" s="4">
        <v>369</v>
      </c>
      <c r="EU107" s="4">
        <v>369</v>
      </c>
      <c r="EV107" s="4">
        <v>369</v>
      </c>
      <c r="EW107" s="4">
        <v>369</v>
      </c>
      <c r="EX107" s="4">
        <v>329</v>
      </c>
      <c r="EY107" s="4">
        <v>329</v>
      </c>
      <c r="EZ107" s="4">
        <v>329</v>
      </c>
      <c r="FA107" s="4">
        <v>329</v>
      </c>
      <c r="FB107" s="4">
        <v>329</v>
      </c>
      <c r="FC107" s="4">
        <v>329</v>
      </c>
      <c r="FD107" s="4">
        <v>329</v>
      </c>
      <c r="FE107" s="4">
        <v>324</v>
      </c>
      <c r="FF107" s="4">
        <v>312</v>
      </c>
      <c r="FG107" s="4">
        <v>300</v>
      </c>
      <c r="FH107" s="4">
        <v>288</v>
      </c>
      <c r="FI107" s="4">
        <v>275</v>
      </c>
      <c r="FJ107" s="4">
        <v>363</v>
      </c>
      <c r="FK107" s="4">
        <v>351</v>
      </c>
      <c r="FL107" s="4">
        <v>339</v>
      </c>
      <c r="FM107" s="4">
        <v>327</v>
      </c>
      <c r="FN107" s="4">
        <v>314</v>
      </c>
      <c r="FO107" s="4">
        <v>302</v>
      </c>
      <c r="FP107" s="4">
        <v>290</v>
      </c>
      <c r="FQ107" s="4">
        <v>278</v>
      </c>
      <c r="FR107" s="4">
        <v>266</v>
      </c>
      <c r="FS107" s="4">
        <v>254</v>
      </c>
      <c r="FT107" s="19">
        <v>36.9</v>
      </c>
      <c r="FU107" s="19">
        <v>36.9</v>
      </c>
      <c r="FV107" s="19">
        <v>36.9</v>
      </c>
      <c r="FW107" s="19">
        <v>36.9</v>
      </c>
      <c r="FX107" s="9"/>
      <c r="FY107" s="9"/>
      <c r="FZ107" s="9"/>
      <c r="GA107" s="19">
        <v>329</v>
      </c>
      <c r="GB107" s="19">
        <v>82.3</v>
      </c>
      <c r="GC107" s="19">
        <v>47</v>
      </c>
      <c r="GD107" s="19">
        <v>32.9</v>
      </c>
      <c r="GE107" s="19">
        <v>27</v>
      </c>
      <c r="GF107" s="19">
        <v>26</v>
      </c>
      <c r="GG107" s="19">
        <v>25</v>
      </c>
      <c r="GH107" s="19">
        <v>24</v>
      </c>
      <c r="GI107" s="19">
        <v>22.9</v>
      </c>
      <c r="GJ107" s="19">
        <v>30.3</v>
      </c>
      <c r="GK107" s="19">
        <v>29.3</v>
      </c>
      <c r="GL107" s="19">
        <v>28.3</v>
      </c>
      <c r="GM107" s="19">
        <v>27.3</v>
      </c>
      <c r="GN107" s="19">
        <v>26.2</v>
      </c>
      <c r="GO107" s="19">
        <v>25.2</v>
      </c>
      <c r="GP107" s="19">
        <v>24.2</v>
      </c>
      <c r="GQ107" s="19">
        <v>23.2</v>
      </c>
      <c r="GR107" s="19">
        <v>22.2</v>
      </c>
      <c r="GS107" s="19">
        <v>21.2</v>
      </c>
    </row>
    <row r="108">
      <c r="A108" s="2" t="s">
        <v>896</v>
      </c>
      <c r="B108" s="2" t="s">
        <v>554</v>
      </c>
      <c r="C108" s="2" t="s">
        <v>246</v>
      </c>
      <c r="D108" s="2" t="s">
        <v>861</v>
      </c>
      <c r="E108" s="2" t="s">
        <v>862</v>
      </c>
      <c r="F108" s="2" t="s">
        <v>897</v>
      </c>
      <c r="G108" s="2" t="s">
        <v>897</v>
      </c>
      <c r="H108" s="2" t="s">
        <v>897</v>
      </c>
      <c r="I108" s="2" t="s">
        <v>898</v>
      </c>
      <c r="J108" s="2" t="s">
        <v>559</v>
      </c>
      <c r="K108" s="2" t="s">
        <v>899</v>
      </c>
      <c r="L108" s="3">
        <v>6.66</v>
      </c>
      <c r="M108" s="3">
        <v>6.99</v>
      </c>
      <c r="N108" s="3">
        <v>19.99</v>
      </c>
      <c r="O108" s="2" t="s">
        <v>196</v>
      </c>
      <c r="P108" s="2" t="s">
        <v>841</v>
      </c>
      <c r="Q108" s="2" t="s">
        <v>198</v>
      </c>
      <c r="R108" s="2" t="s">
        <v>199</v>
      </c>
      <c r="S108" s="2" t="s">
        <v>199</v>
      </c>
      <c r="T108" s="2" t="s">
        <v>199</v>
      </c>
      <c r="U108" s="2" t="s">
        <v>280</v>
      </c>
      <c r="V108" s="2" t="s">
        <v>900</v>
      </c>
      <c r="W108" s="2" t="s">
        <v>203</v>
      </c>
      <c r="X108" s="2" t="s">
        <v>712</v>
      </c>
      <c r="Y108" s="2" t="s">
        <v>901</v>
      </c>
      <c r="Z108" s="4">
        <v>61</v>
      </c>
      <c r="AA108" s="4">
        <f>=ROUNDDOWN(7.625,0)</f>
      </c>
      <c r="AB108" s="5">
        <v>8</v>
      </c>
      <c r="AC108" s="2" t="s">
        <v>564</v>
      </c>
      <c r="AD108" s="4">
        <v>100</v>
      </c>
      <c r="AE108" s="4">
        <v>100</v>
      </c>
      <c r="AF108" s="6">
        <v>61</v>
      </c>
      <c r="AG108" s="6">
        <v>44</v>
      </c>
      <c r="AH108" s="7">
        <v>0.4516</v>
      </c>
      <c r="AI108" s="4"/>
      <c r="AJ108" s="4">
        <f>=ROUNDDOWN({0},0)</f>
      </c>
      <c r="AK108" s="5"/>
      <c r="AL108" s="2" t="s">
        <v>199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199</v>
      </c>
      <c r="BD108" s="8" t="s">
        <v>199</v>
      </c>
      <c r="BE108" s="4" t="s">
        <v>199</v>
      </c>
      <c r="BF108" s="8" t="s">
        <v>199</v>
      </c>
      <c r="BG108" s="7" t="s">
        <v>199</v>
      </c>
      <c r="BH108" s="7" t="s">
        <v>199</v>
      </c>
      <c r="BI108" s="7"/>
      <c r="BJ108" s="4">
        <v>1</v>
      </c>
      <c r="BK108" s="8">
        <v>9.32</v>
      </c>
      <c r="BL108" s="2" t="s">
        <v>902</v>
      </c>
      <c r="BM108" s="7"/>
      <c r="BN108" s="7"/>
      <c r="BO108" s="4"/>
      <c r="BP108" s="8"/>
      <c r="BQ108" s="4"/>
      <c r="BR108" s="8"/>
      <c r="BS108" s="7"/>
      <c r="BT108" s="7"/>
      <c r="BU108" s="2" t="s">
        <v>903</v>
      </c>
      <c r="BV108" s="2" t="s">
        <v>199</v>
      </c>
      <c r="BW108" s="2" t="s">
        <v>199</v>
      </c>
      <c r="BX108" s="2" t="s">
        <v>208</v>
      </c>
      <c r="BY108" s="2" t="s">
        <v>209</v>
      </c>
      <c r="BZ108" s="2" t="s">
        <v>196</v>
      </c>
      <c r="CA108" s="2" t="s">
        <v>904</v>
      </c>
      <c r="CB108" s="2" t="s">
        <v>905</v>
      </c>
      <c r="CC108" s="2" t="s">
        <v>212</v>
      </c>
      <c r="CD108" s="2" t="s">
        <v>199</v>
      </c>
      <c r="CE108" s="4"/>
      <c r="CF108" s="4">
        <v>61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>
        <v>100</v>
      </c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>
        <v>81</v>
      </c>
      <c r="EU108" s="4">
        <v>78</v>
      </c>
      <c r="EV108" s="4">
        <v>76</v>
      </c>
      <c r="EW108" s="4">
        <v>74</v>
      </c>
      <c r="EX108" s="4">
        <v>71</v>
      </c>
      <c r="EY108" s="4">
        <v>63</v>
      </c>
      <c r="EZ108" s="4">
        <v>55</v>
      </c>
      <c r="FA108" s="4">
        <v>47</v>
      </c>
      <c r="FB108" s="4">
        <v>139</v>
      </c>
      <c r="FC108" s="4">
        <v>131</v>
      </c>
      <c r="FD108" s="4">
        <v>123</v>
      </c>
      <c r="FE108" s="4">
        <v>115</v>
      </c>
      <c r="FF108" s="4">
        <v>107</v>
      </c>
      <c r="FG108" s="4">
        <v>99</v>
      </c>
      <c r="FH108" s="4">
        <v>91</v>
      </c>
      <c r="FI108" s="4">
        <v>82</v>
      </c>
      <c r="FJ108" s="4">
        <v>74</v>
      </c>
      <c r="FK108" s="4">
        <v>66</v>
      </c>
      <c r="FL108" s="4">
        <v>58</v>
      </c>
      <c r="FM108" s="4">
        <v>50</v>
      </c>
      <c r="FN108" s="4">
        <v>41</v>
      </c>
      <c r="FO108" s="4">
        <v>33</v>
      </c>
      <c r="FP108" s="4">
        <v>25</v>
      </c>
      <c r="FQ108" s="4">
        <v>56</v>
      </c>
      <c r="FR108" s="4">
        <v>48</v>
      </c>
      <c r="FS108" s="4">
        <v>40</v>
      </c>
      <c r="FT108" s="19">
        <v>20.3</v>
      </c>
      <c r="FU108" s="19">
        <v>9.8</v>
      </c>
      <c r="FV108" s="19">
        <v>7.6</v>
      </c>
      <c r="FW108" s="19">
        <v>5.3</v>
      </c>
      <c r="FX108" s="19">
        <v>4.5</v>
      </c>
      <c r="FY108" s="19">
        <v>4</v>
      </c>
      <c r="FZ108" s="19">
        <v>3.5</v>
      </c>
      <c r="GA108" s="19">
        <v>3</v>
      </c>
      <c r="GB108" s="19">
        <v>8.7</v>
      </c>
      <c r="GC108" s="19">
        <v>8.2</v>
      </c>
      <c r="GD108" s="19">
        <v>7.7</v>
      </c>
      <c r="GE108" s="19">
        <v>7.2</v>
      </c>
      <c r="GF108" s="19">
        <v>6.7</v>
      </c>
      <c r="GG108" s="19">
        <v>6.2</v>
      </c>
      <c r="GH108" s="19">
        <v>5.7</v>
      </c>
      <c r="GI108" s="19">
        <v>5.2</v>
      </c>
      <c r="GJ108" s="19">
        <v>4.7</v>
      </c>
      <c r="GK108" s="19">
        <v>4.2</v>
      </c>
      <c r="GL108" s="19">
        <v>3.7</v>
      </c>
      <c r="GM108" s="19">
        <v>3.2</v>
      </c>
      <c r="GN108" s="19">
        <v>2.6</v>
      </c>
      <c r="GO108" s="19">
        <v>2.1</v>
      </c>
      <c r="GP108" s="19">
        <v>1.6</v>
      </c>
      <c r="GQ108" s="19">
        <v>3.5</v>
      </c>
      <c r="GR108" s="19">
        <v>3</v>
      </c>
      <c r="GS108" s="19">
        <v>2.5</v>
      </c>
    </row>
    <row r="109">
      <c r="A109" s="2" t="s">
        <v>906</v>
      </c>
      <c r="B109" s="2" t="s">
        <v>554</v>
      </c>
      <c r="C109" s="2" t="s">
        <v>246</v>
      </c>
      <c r="D109" s="2" t="s">
        <v>861</v>
      </c>
      <c r="E109" s="2" t="s">
        <v>862</v>
      </c>
      <c r="F109" s="2" t="s">
        <v>897</v>
      </c>
      <c r="G109" s="2" t="s">
        <v>897</v>
      </c>
      <c r="H109" s="2" t="s">
        <v>897</v>
      </c>
      <c r="I109" s="2" t="s">
        <v>907</v>
      </c>
      <c r="J109" s="2" t="s">
        <v>559</v>
      </c>
      <c r="K109" s="2" t="s">
        <v>908</v>
      </c>
      <c r="L109" s="3">
        <v>6.66</v>
      </c>
      <c r="M109" s="3">
        <v>6.99</v>
      </c>
      <c r="N109" s="3">
        <v>19.99</v>
      </c>
      <c r="O109" s="2" t="s">
        <v>196</v>
      </c>
      <c r="P109" s="2" t="s">
        <v>841</v>
      </c>
      <c r="Q109" s="2" t="s">
        <v>198</v>
      </c>
      <c r="R109" s="2" t="s">
        <v>199</v>
      </c>
      <c r="S109" s="2" t="s">
        <v>199</v>
      </c>
      <c r="T109" s="2" t="s">
        <v>199</v>
      </c>
      <c r="U109" s="2" t="s">
        <v>280</v>
      </c>
      <c r="V109" s="2" t="s">
        <v>900</v>
      </c>
      <c r="W109" s="2" t="s">
        <v>203</v>
      </c>
      <c r="X109" s="2" t="s">
        <v>712</v>
      </c>
      <c r="Y109" s="2" t="s">
        <v>909</v>
      </c>
      <c r="Z109" s="4">
        <v>254</v>
      </c>
      <c r="AA109" s="4">
        <f>=ROUNDDOWN(50.8,0)</f>
      </c>
      <c r="AB109" s="5">
        <v>5</v>
      </c>
      <c r="AC109" s="2" t="s">
        <v>199</v>
      </c>
      <c r="AD109" s="4"/>
      <c r="AE109" s="4"/>
      <c r="AF109" s="6">
        <v>61</v>
      </c>
      <c r="AG109" s="6"/>
      <c r="AH109" s="7">
        <v>1</v>
      </c>
      <c r="AI109" s="4"/>
      <c r="AJ109" s="4">
        <f>=ROUNDDOWN({0},0)</f>
      </c>
      <c r="AK109" s="5"/>
      <c r="AL109" s="2" t="s">
        <v>199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199</v>
      </c>
      <c r="BD109" s="8" t="s">
        <v>199</v>
      </c>
      <c r="BE109" s="4" t="s">
        <v>199</v>
      </c>
      <c r="BF109" s="8" t="s">
        <v>199</v>
      </c>
      <c r="BG109" s="7" t="s">
        <v>199</v>
      </c>
      <c r="BH109" s="7" t="s">
        <v>199</v>
      </c>
      <c r="BI109" s="7"/>
      <c r="BJ109" s="4">
        <v>31</v>
      </c>
      <c r="BK109" s="8">
        <v>272.28</v>
      </c>
      <c r="BL109" s="2" t="s">
        <v>910</v>
      </c>
      <c r="BM109" s="7"/>
      <c r="BN109" s="7"/>
      <c r="BO109" s="4"/>
      <c r="BP109" s="8"/>
      <c r="BQ109" s="4"/>
      <c r="BR109" s="8"/>
      <c r="BS109" s="7"/>
      <c r="BT109" s="7"/>
      <c r="BU109" s="2" t="s">
        <v>911</v>
      </c>
      <c r="BV109" s="2" t="s">
        <v>199</v>
      </c>
      <c r="BW109" s="2" t="s">
        <v>199</v>
      </c>
      <c r="BX109" s="2" t="s">
        <v>208</v>
      </c>
      <c r="BY109" s="2" t="s">
        <v>209</v>
      </c>
      <c r="BZ109" s="2" t="s">
        <v>196</v>
      </c>
      <c r="CA109" s="2" t="s">
        <v>904</v>
      </c>
      <c r="CB109" s="2" t="s">
        <v>912</v>
      </c>
      <c r="CC109" s="2" t="s">
        <v>212</v>
      </c>
      <c r="CD109" s="2" t="s">
        <v>199</v>
      </c>
      <c r="CE109" s="4"/>
      <c r="CF109" s="4">
        <v>254</v>
      </c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>
        <v>263</v>
      </c>
      <c r="EU109" s="4">
        <v>261</v>
      </c>
      <c r="EV109" s="4">
        <v>260</v>
      </c>
      <c r="EW109" s="4">
        <v>255</v>
      </c>
      <c r="EX109" s="4">
        <v>250</v>
      </c>
      <c r="EY109" s="4">
        <v>245</v>
      </c>
      <c r="EZ109" s="4">
        <v>240</v>
      </c>
      <c r="FA109" s="4">
        <v>235</v>
      </c>
      <c r="FB109" s="4">
        <v>230</v>
      </c>
      <c r="FC109" s="4">
        <v>225</v>
      </c>
      <c r="FD109" s="4">
        <v>220</v>
      </c>
      <c r="FE109" s="4">
        <v>215</v>
      </c>
      <c r="FF109" s="4">
        <v>210</v>
      </c>
      <c r="FG109" s="4">
        <v>205</v>
      </c>
      <c r="FH109" s="4">
        <v>200</v>
      </c>
      <c r="FI109" s="4">
        <v>194</v>
      </c>
      <c r="FJ109" s="4">
        <v>189</v>
      </c>
      <c r="FK109" s="4">
        <v>184</v>
      </c>
      <c r="FL109" s="4">
        <v>179</v>
      </c>
      <c r="FM109" s="4">
        <v>174</v>
      </c>
      <c r="FN109" s="4">
        <v>168</v>
      </c>
      <c r="FO109" s="4">
        <v>163</v>
      </c>
      <c r="FP109" s="4">
        <v>158</v>
      </c>
      <c r="FQ109" s="4">
        <v>153</v>
      </c>
      <c r="FR109" s="4">
        <v>148</v>
      </c>
      <c r="FS109" s="4">
        <v>143</v>
      </c>
      <c r="FT109" s="19">
        <v>87.7</v>
      </c>
      <c r="FU109" s="19">
        <v>65.3</v>
      </c>
      <c r="FV109" s="19">
        <v>52</v>
      </c>
      <c r="FW109" s="19">
        <v>51</v>
      </c>
      <c r="FX109" s="19">
        <v>50</v>
      </c>
      <c r="FY109" s="19">
        <v>49</v>
      </c>
      <c r="FZ109" s="19">
        <v>48</v>
      </c>
      <c r="GA109" s="19">
        <v>47</v>
      </c>
      <c r="GB109" s="19">
        <v>46</v>
      </c>
      <c r="GC109" s="19">
        <v>45</v>
      </c>
      <c r="GD109" s="19">
        <v>44</v>
      </c>
      <c r="GE109" s="19">
        <v>43</v>
      </c>
      <c r="GF109" s="19">
        <v>42</v>
      </c>
      <c r="GG109" s="19">
        <v>41</v>
      </c>
      <c r="GH109" s="19">
        <v>40</v>
      </c>
      <c r="GI109" s="19">
        <v>38.8</v>
      </c>
      <c r="GJ109" s="19">
        <v>37.8</v>
      </c>
      <c r="GK109" s="19">
        <v>36.8</v>
      </c>
      <c r="GL109" s="19">
        <v>35.8</v>
      </c>
      <c r="GM109" s="19">
        <v>34.8</v>
      </c>
      <c r="GN109" s="19">
        <v>33.6</v>
      </c>
      <c r="GO109" s="19">
        <v>32.6</v>
      </c>
      <c r="GP109" s="19">
        <v>31.6</v>
      </c>
      <c r="GQ109" s="19">
        <v>30.6</v>
      </c>
      <c r="GR109" s="19">
        <v>29.6</v>
      </c>
      <c r="GS109" s="19">
        <v>28.6</v>
      </c>
    </row>
    <row r="110">
      <c r="A110" s="2" t="s">
        <v>913</v>
      </c>
      <c r="B110" s="2" t="s">
        <v>672</v>
      </c>
      <c r="C110" s="2" t="s">
        <v>246</v>
      </c>
      <c r="D110" s="2" t="s">
        <v>673</v>
      </c>
      <c r="E110" s="2" t="s">
        <v>674</v>
      </c>
      <c r="F110" s="2" t="s">
        <v>914</v>
      </c>
      <c r="G110" s="2" t="s">
        <v>915</v>
      </c>
      <c r="H110" s="2" t="s">
        <v>916</v>
      </c>
      <c r="I110" s="2" t="s">
        <v>917</v>
      </c>
      <c r="J110" s="2" t="s">
        <v>679</v>
      </c>
      <c r="K110" s="2" t="s">
        <v>918</v>
      </c>
      <c r="L110" s="3">
        <v>15.5</v>
      </c>
      <c r="M110" s="3">
        <v>16.28</v>
      </c>
      <c r="N110" s="3">
        <v>34.99</v>
      </c>
      <c r="O110" s="2" t="s">
        <v>196</v>
      </c>
      <c r="P110" s="2" t="s">
        <v>197</v>
      </c>
      <c r="Q110" s="2" t="s">
        <v>198</v>
      </c>
      <c r="R110" s="2" t="s">
        <v>199</v>
      </c>
      <c r="S110" s="2" t="s">
        <v>919</v>
      </c>
      <c r="T110" s="2" t="s">
        <v>199</v>
      </c>
      <c r="U110" s="2" t="s">
        <v>280</v>
      </c>
      <c r="V110" s="2" t="s">
        <v>202</v>
      </c>
      <c r="W110" s="2" t="s">
        <v>203</v>
      </c>
      <c r="X110" s="2" t="s">
        <v>682</v>
      </c>
      <c r="Y110" s="2" t="s">
        <v>920</v>
      </c>
      <c r="Z110" s="4">
        <v>655</v>
      </c>
      <c r="AA110" s="4">
        <f>=ROUNDDOWN(32.75,0)</f>
      </c>
      <c r="AB110" s="5">
        <v>20</v>
      </c>
      <c r="AC110" s="2" t="s">
        <v>199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102</v>
      </c>
      <c r="BK110" s="8">
        <v>1746.16</v>
      </c>
      <c r="BL110" s="2" t="s">
        <v>921</v>
      </c>
      <c r="BM110" s="7"/>
      <c r="BN110" s="7"/>
      <c r="BO110" s="4"/>
      <c r="BP110" s="8"/>
      <c r="BQ110" s="4"/>
      <c r="BR110" s="8"/>
      <c r="BS110" s="7"/>
      <c r="BT110" s="7"/>
      <c r="BU110" s="2" t="s">
        <v>922</v>
      </c>
      <c r="BV110" s="2" t="s">
        <v>199</v>
      </c>
      <c r="BW110" s="2" t="s">
        <v>199</v>
      </c>
      <c r="BX110" s="2" t="s">
        <v>208</v>
      </c>
      <c r="BY110" s="2" t="s">
        <v>209</v>
      </c>
      <c r="BZ110" s="2" t="s">
        <v>196</v>
      </c>
      <c r="CA110" s="2" t="s">
        <v>923</v>
      </c>
      <c r="CB110" s="2" t="s">
        <v>924</v>
      </c>
      <c r="CC110" s="2" t="s">
        <v>212</v>
      </c>
      <c r="CD110" s="2" t="s">
        <v>199</v>
      </c>
      <c r="CE110" s="4">
        <v>655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>
        <v>686</v>
      </c>
      <c r="EU110" s="4">
        <v>662</v>
      </c>
      <c r="EV110" s="4">
        <v>645</v>
      </c>
      <c r="EW110" s="4">
        <v>628</v>
      </c>
      <c r="EX110" s="4">
        <v>611</v>
      </c>
      <c r="EY110" s="4">
        <v>594</v>
      </c>
      <c r="EZ110" s="4">
        <v>577</v>
      </c>
      <c r="FA110" s="4">
        <v>560</v>
      </c>
      <c r="FB110" s="4">
        <v>540</v>
      </c>
      <c r="FC110" s="4">
        <v>523</v>
      </c>
      <c r="FD110" s="4">
        <v>506</v>
      </c>
      <c r="FE110" s="4">
        <v>489</v>
      </c>
      <c r="FF110" s="4">
        <v>472</v>
      </c>
      <c r="FG110" s="4">
        <v>455</v>
      </c>
      <c r="FH110" s="4">
        <v>438</v>
      </c>
      <c r="FI110" s="4">
        <v>421</v>
      </c>
      <c r="FJ110" s="4">
        <v>403</v>
      </c>
      <c r="FK110" s="4">
        <v>383</v>
      </c>
      <c r="FL110" s="4">
        <v>363</v>
      </c>
      <c r="FM110" s="4">
        <v>343</v>
      </c>
      <c r="FN110" s="4">
        <v>322</v>
      </c>
      <c r="FO110" s="4">
        <v>502</v>
      </c>
      <c r="FP110" s="4">
        <v>479</v>
      </c>
      <c r="FQ110" s="4">
        <v>459</v>
      </c>
      <c r="FR110" s="4">
        <v>439</v>
      </c>
      <c r="FS110" s="4">
        <v>419</v>
      </c>
      <c r="FT110" s="19">
        <v>36.1</v>
      </c>
      <c r="FU110" s="19">
        <v>38.9</v>
      </c>
      <c r="FV110" s="19">
        <v>37.9</v>
      </c>
      <c r="FW110" s="19">
        <v>36.9</v>
      </c>
      <c r="FX110" s="19">
        <v>33.9</v>
      </c>
      <c r="FY110" s="19">
        <v>33</v>
      </c>
      <c r="FZ110" s="19">
        <v>32.1</v>
      </c>
      <c r="GA110" s="19">
        <v>31.1</v>
      </c>
      <c r="GB110" s="19">
        <v>31.8</v>
      </c>
      <c r="GC110" s="19">
        <v>30.8</v>
      </c>
      <c r="GD110" s="19">
        <v>29.8</v>
      </c>
      <c r="GE110" s="19">
        <v>28.8</v>
      </c>
      <c r="GF110" s="19">
        <v>27.8</v>
      </c>
      <c r="GG110" s="19">
        <v>25.3</v>
      </c>
      <c r="GH110" s="19">
        <v>23.1</v>
      </c>
      <c r="GI110" s="19">
        <v>21.1</v>
      </c>
      <c r="GJ110" s="19">
        <v>20.2</v>
      </c>
      <c r="GK110" s="19">
        <v>19.2</v>
      </c>
      <c r="GL110" s="19">
        <v>17.3</v>
      </c>
      <c r="GM110" s="19">
        <v>16.3</v>
      </c>
      <c r="GN110" s="19">
        <v>15.3</v>
      </c>
      <c r="GO110" s="19">
        <v>23.9</v>
      </c>
      <c r="GP110" s="19">
        <v>24</v>
      </c>
      <c r="GQ110" s="19">
        <v>21.9</v>
      </c>
      <c r="GR110" s="19">
        <v>20.9</v>
      </c>
      <c r="GS110" s="19">
        <v>20</v>
      </c>
    </row>
    <row r="111">
      <c r="A111" s="2" t="s">
        <v>925</v>
      </c>
      <c r="B111" s="2" t="s">
        <v>613</v>
      </c>
      <c r="C111" s="2" t="s">
        <v>227</v>
      </c>
      <c r="D111" s="2" t="s">
        <v>926</v>
      </c>
      <c r="E111" s="2" t="s">
        <v>927</v>
      </c>
      <c r="F111" s="2" t="s">
        <v>928</v>
      </c>
      <c r="G111" s="2" t="s">
        <v>928</v>
      </c>
      <c r="H111" s="2" t="s">
        <v>928</v>
      </c>
      <c r="I111" s="2" t="s">
        <v>927</v>
      </c>
      <c r="J111" s="2" t="s">
        <v>219</v>
      </c>
      <c r="K111" s="2" t="s">
        <v>929</v>
      </c>
      <c r="L111" s="3">
        <v>370</v>
      </c>
      <c r="M111" s="3">
        <v>388.5</v>
      </c>
      <c r="N111" s="3">
        <v>769</v>
      </c>
      <c r="O111" s="2" t="s">
        <v>196</v>
      </c>
      <c r="P111" s="2" t="s">
        <v>724</v>
      </c>
      <c r="Q111" s="2" t="s">
        <v>198</v>
      </c>
      <c r="R111" s="2" t="s">
        <v>199</v>
      </c>
      <c r="S111" s="2" t="s">
        <v>199</v>
      </c>
      <c r="T111" s="2" t="s">
        <v>199</v>
      </c>
      <c r="U111" s="2" t="s">
        <v>280</v>
      </c>
      <c r="V111" s="2" t="s">
        <v>202</v>
      </c>
      <c r="W111" s="2" t="s">
        <v>529</v>
      </c>
      <c r="X111" s="2" t="s">
        <v>930</v>
      </c>
      <c r="Y111" s="2" t="s">
        <v>931</v>
      </c>
      <c r="Z111" s="4">
        <v>293</v>
      </c>
      <c r="AA111" s="4">
        <f>=ROUNDDOWN(94.516129032258,0)</f>
      </c>
      <c r="AB111" s="5">
        <v>3.1</v>
      </c>
      <c r="AC111" s="2" t="s">
        <v>199</v>
      </c>
      <c r="AD111" s="4"/>
      <c r="AE111" s="4"/>
      <c r="AF111" s="6">
        <v>74</v>
      </c>
      <c r="AG111" s="6">
        <v>60</v>
      </c>
      <c r="AH111" s="7">
        <v>1</v>
      </c>
      <c r="AI111" s="4"/>
      <c r="AJ111" s="4">
        <f>=ROUNDDOWN({0},0)</f>
      </c>
      <c r="AK111" s="5"/>
      <c r="AL111" s="2" t="s">
        <v>199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199</v>
      </c>
      <c r="BD111" s="8" t="s">
        <v>199</v>
      </c>
      <c r="BE111" s="4" t="s">
        <v>199</v>
      </c>
      <c r="BF111" s="8" t="s">
        <v>199</v>
      </c>
      <c r="BG111" s="7" t="s">
        <v>199</v>
      </c>
      <c r="BH111" s="7" t="s">
        <v>199</v>
      </c>
      <c r="BI111" s="7"/>
      <c r="BJ111" s="4">
        <v>7</v>
      </c>
      <c r="BK111" s="8">
        <v>2887.5</v>
      </c>
      <c r="BL111" s="2" t="s">
        <v>932</v>
      </c>
      <c r="BM111" s="7"/>
      <c r="BN111" s="7"/>
      <c r="BO111" s="4"/>
      <c r="BP111" s="8"/>
      <c r="BQ111" s="4"/>
      <c r="BR111" s="8"/>
      <c r="BS111" s="7"/>
      <c r="BT111" s="7"/>
      <c r="BU111" s="2" t="s">
        <v>933</v>
      </c>
      <c r="BV111" s="2" t="s">
        <v>199</v>
      </c>
      <c r="BW111" s="2" t="s">
        <v>199</v>
      </c>
      <c r="BX111" s="2" t="s">
        <v>934</v>
      </c>
      <c r="BY111" s="2" t="s">
        <v>209</v>
      </c>
      <c r="BZ111" s="2" t="s">
        <v>196</v>
      </c>
      <c r="CA111" s="2" t="s">
        <v>931</v>
      </c>
      <c r="CB111" s="2" t="s">
        <v>199</v>
      </c>
      <c r="CC111" s="2" t="s">
        <v>212</v>
      </c>
      <c r="CD111" s="2" t="s">
        <v>199</v>
      </c>
      <c r="CE111" s="4"/>
      <c r="CF111" s="4">
        <v>293</v>
      </c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>
        <v>301</v>
      </c>
      <c r="EU111" s="4">
        <v>288</v>
      </c>
      <c r="EV111" s="4">
        <v>285</v>
      </c>
      <c r="EW111" s="4">
        <v>283</v>
      </c>
      <c r="EX111" s="4">
        <v>309</v>
      </c>
      <c r="EY111" s="4">
        <v>307</v>
      </c>
      <c r="EZ111" s="4">
        <v>305</v>
      </c>
      <c r="FA111" s="4">
        <v>303</v>
      </c>
      <c r="FB111" s="4">
        <v>300</v>
      </c>
      <c r="FC111" s="4">
        <v>298</v>
      </c>
      <c r="FD111" s="4">
        <v>296</v>
      </c>
      <c r="FE111" s="4">
        <v>294</v>
      </c>
      <c r="FF111" s="4">
        <v>292</v>
      </c>
      <c r="FG111" s="4">
        <v>290</v>
      </c>
      <c r="FH111" s="4">
        <v>287</v>
      </c>
      <c r="FI111" s="4">
        <v>284</v>
      </c>
      <c r="FJ111" s="4">
        <v>281</v>
      </c>
      <c r="FK111" s="4">
        <v>278</v>
      </c>
      <c r="FL111" s="4">
        <v>275</v>
      </c>
      <c r="FM111" s="4">
        <v>272</v>
      </c>
      <c r="FN111" s="4">
        <v>269</v>
      </c>
      <c r="FO111" s="4">
        <v>266</v>
      </c>
      <c r="FP111" s="4">
        <v>262</v>
      </c>
      <c r="FQ111" s="4">
        <v>259</v>
      </c>
      <c r="FR111" s="4">
        <v>256</v>
      </c>
      <c r="FS111" s="4">
        <v>253</v>
      </c>
      <c r="FT111" s="19">
        <v>30.1</v>
      </c>
      <c r="FU111" s="19">
        <v>72</v>
      </c>
      <c r="FV111" s="19">
        <v>71.3</v>
      </c>
      <c r="FW111" s="19">
        <v>70.8</v>
      </c>
      <c r="FX111" s="19">
        <v>77.3</v>
      </c>
      <c r="FY111" s="19">
        <v>76.8</v>
      </c>
      <c r="FZ111" s="19">
        <v>76.3</v>
      </c>
      <c r="GA111" s="19">
        <v>75.8</v>
      </c>
      <c r="GB111" s="19">
        <v>75</v>
      </c>
      <c r="GC111" s="19">
        <v>74.5</v>
      </c>
      <c r="GD111" s="19">
        <v>74</v>
      </c>
      <c r="GE111" s="19">
        <v>73.5</v>
      </c>
      <c r="GF111" s="19">
        <v>48.7</v>
      </c>
      <c r="GG111" s="19">
        <v>48.4</v>
      </c>
      <c r="GH111" s="19">
        <v>47.9</v>
      </c>
      <c r="GI111" s="19">
        <v>47.4</v>
      </c>
      <c r="GJ111" s="19">
        <v>46.9</v>
      </c>
      <c r="GK111" s="19">
        <v>46.4</v>
      </c>
      <c r="GL111" s="19">
        <v>45.9</v>
      </c>
      <c r="GM111" s="19">
        <v>45.4</v>
      </c>
      <c r="GN111" s="19">
        <v>44.9</v>
      </c>
      <c r="GO111" s="19">
        <v>44.4</v>
      </c>
      <c r="GP111" s="19">
        <v>43.7</v>
      </c>
      <c r="GQ111" s="19">
        <v>43.2</v>
      </c>
      <c r="GR111" s="19">
        <v>42.7</v>
      </c>
      <c r="GS111" s="19">
        <v>42.2</v>
      </c>
    </row>
    <row r="112">
      <c r="A112" s="2" t="s">
        <v>935</v>
      </c>
      <c r="B112" s="2" t="s">
        <v>613</v>
      </c>
      <c r="C112" s="2" t="s">
        <v>227</v>
      </c>
      <c r="D112" s="2" t="s">
        <v>926</v>
      </c>
      <c r="E112" s="2" t="s">
        <v>927</v>
      </c>
      <c r="F112" s="2" t="s">
        <v>928</v>
      </c>
      <c r="G112" s="2" t="s">
        <v>928</v>
      </c>
      <c r="H112" s="2" t="s">
        <v>928</v>
      </c>
      <c r="I112" s="2" t="s">
        <v>927</v>
      </c>
      <c r="J112" s="2" t="s">
        <v>219</v>
      </c>
      <c r="K112" s="2" t="s">
        <v>936</v>
      </c>
      <c r="L112" s="3">
        <v>370</v>
      </c>
      <c r="M112" s="3">
        <v>388.5</v>
      </c>
      <c r="N112" s="3">
        <v>769</v>
      </c>
      <c r="O112" s="2" t="s">
        <v>196</v>
      </c>
      <c r="P112" s="2" t="s">
        <v>724</v>
      </c>
      <c r="Q112" s="2" t="s">
        <v>198</v>
      </c>
      <c r="R112" s="2" t="s">
        <v>199</v>
      </c>
      <c r="S112" s="2" t="s">
        <v>937</v>
      </c>
      <c r="T112" s="2" t="s">
        <v>199</v>
      </c>
      <c r="U112" s="2" t="s">
        <v>199</v>
      </c>
      <c r="V112" s="2" t="s">
        <v>202</v>
      </c>
      <c r="W112" s="2" t="s">
        <v>529</v>
      </c>
      <c r="X112" s="2" t="s">
        <v>930</v>
      </c>
      <c r="Y112" s="2" t="s">
        <v>938</v>
      </c>
      <c r="Z112" s="4">
        <v>444</v>
      </c>
      <c r="AA112" s="4">
        <f>=ROUNDDOWN(18.5,0)</f>
      </c>
      <c r="AB112" s="5">
        <v>24</v>
      </c>
      <c r="AC112" s="2" t="s">
        <v>939</v>
      </c>
      <c r="AD112" s="4">
        <v>200</v>
      </c>
      <c r="AE112" s="4">
        <v>340</v>
      </c>
      <c r="AF112" s="6">
        <v>74</v>
      </c>
      <c r="AG112" s="6">
        <v>60</v>
      </c>
      <c r="AH112" s="7">
        <v>1</v>
      </c>
      <c r="AI112" s="4"/>
      <c r="AJ112" s="4">
        <f>=ROUNDDOWN({0},0)</f>
      </c>
      <c r="AK112" s="5"/>
      <c r="AL112" s="2" t="s">
        <v>199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199</v>
      </c>
      <c r="AW112" s="8" t="s">
        <v>199</v>
      </c>
      <c r="AX112" s="4" t="s">
        <v>199</v>
      </c>
      <c r="AY112" s="8" t="s">
        <v>199</v>
      </c>
      <c r="AZ112" s="7" t="s">
        <v>199</v>
      </c>
      <c r="BA112" s="7" t="s">
        <v>199</v>
      </c>
      <c r="BB112" s="7"/>
      <c r="BC112" s="4" t="s">
        <v>199</v>
      </c>
      <c r="BD112" s="8" t="s">
        <v>199</v>
      </c>
      <c r="BE112" s="4" t="s">
        <v>199</v>
      </c>
      <c r="BF112" s="8" t="s">
        <v>199</v>
      </c>
      <c r="BG112" s="7" t="s">
        <v>199</v>
      </c>
      <c r="BH112" s="7" t="s">
        <v>199</v>
      </c>
      <c r="BI112" s="7"/>
      <c r="BJ112" s="4">
        <v>4</v>
      </c>
      <c r="BK112" s="8">
        <v>2006.5</v>
      </c>
      <c r="BL112" s="2" t="s">
        <v>940</v>
      </c>
      <c r="BM112" s="7"/>
      <c r="BN112" s="7"/>
      <c r="BO112" s="4"/>
      <c r="BP112" s="8"/>
      <c r="BQ112" s="4"/>
      <c r="BR112" s="8"/>
      <c r="BS112" s="7"/>
      <c r="BT112" s="7"/>
      <c r="BU112" s="2" t="s">
        <v>933</v>
      </c>
      <c r="BV112" s="2" t="s">
        <v>199</v>
      </c>
      <c r="BW112" s="2" t="s">
        <v>199</v>
      </c>
      <c r="BX112" s="2" t="s">
        <v>934</v>
      </c>
      <c r="BY112" s="2" t="s">
        <v>209</v>
      </c>
      <c r="BZ112" s="2" t="s">
        <v>196</v>
      </c>
      <c r="CA112" s="2" t="s">
        <v>941</v>
      </c>
      <c r="CB112" s="2" t="s">
        <v>199</v>
      </c>
      <c r="CC112" s="2" t="s">
        <v>212</v>
      </c>
      <c r="CD112" s="2" t="s">
        <v>199</v>
      </c>
      <c r="CE112" s="4"/>
      <c r="CF112" s="4">
        <v>444</v>
      </c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>
        <v>200</v>
      </c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>
        <v>40</v>
      </c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>
        <v>100</v>
      </c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>
        <v>450</v>
      </c>
      <c r="EU112" s="4">
        <v>421</v>
      </c>
      <c r="EV112" s="4">
        <v>397</v>
      </c>
      <c r="EW112" s="4">
        <v>378</v>
      </c>
      <c r="EX112" s="4">
        <v>359</v>
      </c>
      <c r="EY112" s="4">
        <v>340</v>
      </c>
      <c r="EZ112" s="4">
        <v>321</v>
      </c>
      <c r="FA112" s="4">
        <v>302</v>
      </c>
      <c r="FB112" s="4">
        <v>480</v>
      </c>
      <c r="FC112" s="4">
        <v>463</v>
      </c>
      <c r="FD112" s="4">
        <v>444</v>
      </c>
      <c r="FE112" s="4">
        <v>425</v>
      </c>
      <c r="FF112" s="4">
        <v>446</v>
      </c>
      <c r="FG112" s="4">
        <v>427</v>
      </c>
      <c r="FH112" s="4">
        <v>403</v>
      </c>
      <c r="FI112" s="4">
        <v>379</v>
      </c>
      <c r="FJ112" s="4">
        <v>355</v>
      </c>
      <c r="FK112" s="4">
        <v>331</v>
      </c>
      <c r="FL112" s="4">
        <v>307</v>
      </c>
      <c r="FM112" s="4">
        <v>283</v>
      </c>
      <c r="FN112" s="4">
        <v>359</v>
      </c>
      <c r="FO112" s="4">
        <v>335</v>
      </c>
      <c r="FP112" s="4">
        <v>306</v>
      </c>
      <c r="FQ112" s="4">
        <v>282</v>
      </c>
      <c r="FR112" s="4">
        <v>256</v>
      </c>
      <c r="FS112" s="4">
        <v>230</v>
      </c>
      <c r="FT112" s="19">
        <v>9.8</v>
      </c>
      <c r="FU112" s="19">
        <v>10.6</v>
      </c>
      <c r="FV112" s="19">
        <v>10.5</v>
      </c>
      <c r="FW112" s="19">
        <v>10</v>
      </c>
      <c r="FX112" s="19">
        <v>9</v>
      </c>
      <c r="FY112" s="19">
        <v>9</v>
      </c>
      <c r="FZ112" s="19">
        <v>8.5</v>
      </c>
      <c r="GA112" s="19">
        <v>8</v>
      </c>
      <c r="GB112" s="19">
        <v>13.4</v>
      </c>
      <c r="GC112" s="19">
        <v>12.2</v>
      </c>
      <c r="GD112" s="19">
        <v>11.1</v>
      </c>
      <c r="GE112" s="19">
        <v>9.7</v>
      </c>
      <c r="GF112" s="19">
        <v>9.7</v>
      </c>
      <c r="GG112" s="19">
        <v>8.9</v>
      </c>
      <c r="GH112" s="19">
        <v>8.4</v>
      </c>
      <c r="GI112" s="19">
        <v>7.9</v>
      </c>
      <c r="GJ112" s="19">
        <v>7.4</v>
      </c>
      <c r="GK112" s="19">
        <v>6.9</v>
      </c>
      <c r="GL112" s="19">
        <v>6.2</v>
      </c>
      <c r="GM112" s="19">
        <v>5.7</v>
      </c>
      <c r="GN112" s="19">
        <v>6.9</v>
      </c>
      <c r="GO112" s="19">
        <v>6.5</v>
      </c>
      <c r="GP112" s="19">
        <v>5.9</v>
      </c>
      <c r="GQ112" s="19">
        <v>5.4</v>
      </c>
      <c r="GR112" s="19">
        <v>4.9</v>
      </c>
      <c r="GS112" s="19">
        <v>4.4</v>
      </c>
    </row>
    <row r="113">
      <c r="A113" s="2" t="s">
        <v>942</v>
      </c>
      <c r="B113" s="2" t="s">
        <v>613</v>
      </c>
      <c r="C113" s="2" t="s">
        <v>227</v>
      </c>
      <c r="D113" s="2" t="s">
        <v>926</v>
      </c>
      <c r="E113" s="2" t="s">
        <v>927</v>
      </c>
      <c r="F113" s="2" t="s">
        <v>928</v>
      </c>
      <c r="G113" s="2" t="s">
        <v>928</v>
      </c>
      <c r="H113" s="2" t="s">
        <v>928</v>
      </c>
      <c r="I113" s="2" t="s">
        <v>927</v>
      </c>
      <c r="J113" s="2" t="s">
        <v>223</v>
      </c>
      <c r="K113" s="2" t="s">
        <v>936</v>
      </c>
      <c r="L113" s="3">
        <v>430</v>
      </c>
      <c r="M113" s="3">
        <v>451.5</v>
      </c>
      <c r="N113" s="3">
        <v>899</v>
      </c>
      <c r="O113" s="2" t="s">
        <v>196</v>
      </c>
      <c r="P113" s="2" t="s">
        <v>724</v>
      </c>
      <c r="Q113" s="2" t="s">
        <v>943</v>
      </c>
      <c r="R113" s="2" t="s">
        <v>199</v>
      </c>
      <c r="S113" s="2" t="s">
        <v>199</v>
      </c>
      <c r="T113" s="2" t="s">
        <v>199</v>
      </c>
      <c r="U113" s="2" t="s">
        <v>199</v>
      </c>
      <c r="V113" s="2" t="s">
        <v>202</v>
      </c>
      <c r="W113" s="2" t="s">
        <v>529</v>
      </c>
      <c r="X113" s="2" t="s">
        <v>930</v>
      </c>
      <c r="Y113" s="2" t="s">
        <v>941</v>
      </c>
      <c r="Z113" s="4">
        <v>265</v>
      </c>
      <c r="AA113" s="4">
        <f>=ROUNDDOWN(18.9285714285714,0)</f>
      </c>
      <c r="AB113" s="5">
        <v>14</v>
      </c>
      <c r="AC113" s="2" t="s">
        <v>199</v>
      </c>
      <c r="AD113" s="4"/>
      <c r="AE113" s="4"/>
      <c r="AF113" s="6">
        <v>74</v>
      </c>
      <c r="AG113" s="6">
        <v>60</v>
      </c>
      <c r="AH113" s="7">
        <v>1</v>
      </c>
      <c r="AI113" s="4"/>
      <c r="AJ113" s="4">
        <f>=ROUNDDOWN({0},0)</f>
      </c>
      <c r="AK113" s="5"/>
      <c r="AL113" s="2" t="s">
        <v>199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199</v>
      </c>
      <c r="AW113" s="8" t="s">
        <v>199</v>
      </c>
      <c r="AX113" s="4" t="s">
        <v>199</v>
      </c>
      <c r="AY113" s="8" t="s">
        <v>199</v>
      </c>
      <c r="AZ113" s="7" t="s">
        <v>199</v>
      </c>
      <c r="BA113" s="7" t="s">
        <v>199</v>
      </c>
      <c r="BB113" s="7"/>
      <c r="BC113" s="4" t="s">
        <v>199</v>
      </c>
      <c r="BD113" s="8" t="s">
        <v>199</v>
      </c>
      <c r="BE113" s="4" t="s">
        <v>199</v>
      </c>
      <c r="BF113" s="8" t="s">
        <v>199</v>
      </c>
      <c r="BG113" s="7" t="s">
        <v>199</v>
      </c>
      <c r="BH113" s="7" t="s">
        <v>199</v>
      </c>
      <c r="BI113" s="7"/>
      <c r="BJ113" s="4"/>
      <c r="BK113" s="8"/>
      <c r="BL113" s="2" t="s">
        <v>199</v>
      </c>
      <c r="BM113" s="7"/>
      <c r="BN113" s="7"/>
      <c r="BO113" s="4"/>
      <c r="BP113" s="8"/>
      <c r="BQ113" s="4"/>
      <c r="BR113" s="8"/>
      <c r="BS113" s="7"/>
      <c r="BT113" s="7"/>
      <c r="BU113" s="2" t="s">
        <v>933</v>
      </c>
      <c r="BV113" s="2" t="s">
        <v>199</v>
      </c>
      <c r="BW113" s="2" t="s">
        <v>199</v>
      </c>
      <c r="BX113" s="2" t="s">
        <v>934</v>
      </c>
      <c r="BY113" s="2" t="s">
        <v>209</v>
      </c>
      <c r="BZ113" s="2" t="s">
        <v>196</v>
      </c>
      <c r="CA113" s="2" t="s">
        <v>944</v>
      </c>
      <c r="CB113" s="2" t="s">
        <v>199</v>
      </c>
      <c r="CC113" s="2" t="s">
        <v>212</v>
      </c>
      <c r="CD113" s="2" t="s">
        <v>199</v>
      </c>
      <c r="CE113" s="4"/>
      <c r="CF113" s="4">
        <v>265</v>
      </c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>
        <v>268</v>
      </c>
      <c r="EU113" s="4">
        <v>254</v>
      </c>
      <c r="EV113" s="4">
        <v>240</v>
      </c>
      <c r="EW113" s="4">
        <v>349</v>
      </c>
      <c r="EX113" s="4">
        <v>338</v>
      </c>
      <c r="EY113" s="4">
        <v>327</v>
      </c>
      <c r="EZ113" s="4">
        <v>316</v>
      </c>
      <c r="FA113" s="4">
        <v>305</v>
      </c>
      <c r="FB113" s="4">
        <v>292</v>
      </c>
      <c r="FC113" s="4">
        <v>282</v>
      </c>
      <c r="FD113" s="4">
        <v>271</v>
      </c>
      <c r="FE113" s="4">
        <v>260</v>
      </c>
      <c r="FF113" s="4">
        <v>249</v>
      </c>
      <c r="FG113" s="4">
        <v>238</v>
      </c>
      <c r="FH113" s="4">
        <v>224</v>
      </c>
      <c r="FI113" s="4">
        <v>210</v>
      </c>
      <c r="FJ113" s="4">
        <v>196</v>
      </c>
      <c r="FK113" s="4">
        <v>182</v>
      </c>
      <c r="FL113" s="4">
        <v>168</v>
      </c>
      <c r="FM113" s="4">
        <v>154</v>
      </c>
      <c r="FN113" s="4">
        <v>140</v>
      </c>
      <c r="FO113" s="4">
        <v>126</v>
      </c>
      <c r="FP113" s="4">
        <v>109</v>
      </c>
      <c r="FQ113" s="4">
        <v>95</v>
      </c>
      <c r="FR113" s="4">
        <v>188</v>
      </c>
      <c r="FS113" s="4">
        <v>173</v>
      </c>
      <c r="FT113" s="19">
        <v>11.2</v>
      </c>
      <c r="FU113" s="19">
        <v>10.6</v>
      </c>
      <c r="FV113" s="19">
        <v>10.9</v>
      </c>
      <c r="FW113" s="19">
        <v>15.9</v>
      </c>
      <c r="FX113" s="19">
        <v>14.1</v>
      </c>
      <c r="FY113" s="19">
        <v>14.9</v>
      </c>
      <c r="FZ113" s="19">
        <v>14.4</v>
      </c>
      <c r="GA113" s="19">
        <v>13.9</v>
      </c>
      <c r="GB113" s="19">
        <v>13.3</v>
      </c>
      <c r="GC113" s="19">
        <v>12.8</v>
      </c>
      <c r="GD113" s="19">
        <v>11.3</v>
      </c>
      <c r="GE113" s="19">
        <v>10.9</v>
      </c>
      <c r="GF113" s="19">
        <v>9.6</v>
      </c>
      <c r="GG113" s="19">
        <v>8.5</v>
      </c>
      <c r="GH113" s="19">
        <v>8</v>
      </c>
      <c r="GI113" s="19">
        <v>7.5</v>
      </c>
      <c r="GJ113" s="19">
        <v>7</v>
      </c>
      <c r="GK113" s="19">
        <v>6.5</v>
      </c>
      <c r="GL113" s="19">
        <v>5.6</v>
      </c>
      <c r="GM113" s="19">
        <v>5.2</v>
      </c>
      <c r="GN113" s="19">
        <v>4.7</v>
      </c>
      <c r="GO113" s="19">
        <v>4.2</v>
      </c>
      <c r="GP113" s="19">
        <v>3.7</v>
      </c>
      <c r="GQ113" s="19">
        <v>3</v>
      </c>
      <c r="GR113" s="19">
        <v>6.3</v>
      </c>
      <c r="GS113" s="19">
        <v>5.8</v>
      </c>
    </row>
    <row r="114">
      <c r="A114" s="2" t="s">
        <v>945</v>
      </c>
      <c r="B114" s="2" t="s">
        <v>630</v>
      </c>
      <c r="C114" s="2" t="s">
        <v>246</v>
      </c>
      <c r="D114" s="2" t="s">
        <v>759</v>
      </c>
      <c r="E114" s="2" t="s">
        <v>760</v>
      </c>
      <c r="F114" s="2" t="s">
        <v>946</v>
      </c>
      <c r="G114" s="2" t="s">
        <v>947</v>
      </c>
      <c r="H114" s="2" t="s">
        <v>948</v>
      </c>
      <c r="I114" s="2" t="s">
        <v>949</v>
      </c>
      <c r="J114" s="2" t="s">
        <v>241</v>
      </c>
      <c r="K114" s="2" t="s">
        <v>950</v>
      </c>
      <c r="L114" s="3">
        <v>59.99</v>
      </c>
      <c r="M114" s="3">
        <v>62.99</v>
      </c>
      <c r="N114" s="3">
        <v>119.99</v>
      </c>
      <c r="O114" s="2" t="s">
        <v>196</v>
      </c>
      <c r="P114" s="2" t="s">
        <v>951</v>
      </c>
      <c r="Q114" s="2" t="s">
        <v>198</v>
      </c>
      <c r="R114" s="2" t="s">
        <v>199</v>
      </c>
      <c r="S114" s="2" t="s">
        <v>952</v>
      </c>
      <c r="T114" s="2" t="s">
        <v>726</v>
      </c>
      <c r="U114" s="2" t="s">
        <v>546</v>
      </c>
      <c r="V114" s="2" t="s">
        <v>953</v>
      </c>
      <c r="W114" s="2" t="s">
        <v>529</v>
      </c>
      <c r="X114" s="2" t="s">
        <v>954</v>
      </c>
      <c r="Y114" s="2" t="s">
        <v>204</v>
      </c>
      <c r="Z114" s="4">
        <v>3872</v>
      </c>
      <c r="AA114" s="4">
        <f>=ROUNDDOWN(58.6666666666667,0)</f>
      </c>
      <c r="AB114" s="5">
        <v>66</v>
      </c>
      <c r="AC114" s="2" t="s">
        <v>205</v>
      </c>
      <c r="AD114" s="4">
        <v>600</v>
      </c>
      <c r="AE114" s="4">
        <v>600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199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182</v>
      </c>
      <c r="BK114" s="8">
        <v>11416.17</v>
      </c>
      <c r="BL114" s="2" t="s">
        <v>955</v>
      </c>
      <c r="BM114" s="7"/>
      <c r="BN114" s="7"/>
      <c r="BO114" s="4"/>
      <c r="BP114" s="8"/>
      <c r="BQ114" s="4"/>
      <c r="BR114" s="8"/>
      <c r="BS114" s="7"/>
      <c r="BT114" s="7"/>
      <c r="BU114" s="2" t="s">
        <v>956</v>
      </c>
      <c r="BV114" s="2" t="s">
        <v>199</v>
      </c>
      <c r="BW114" s="2" t="s">
        <v>199</v>
      </c>
      <c r="BX114" s="2" t="s">
        <v>208</v>
      </c>
      <c r="BY114" s="2" t="s">
        <v>209</v>
      </c>
      <c r="BZ114" s="2" t="s">
        <v>196</v>
      </c>
      <c r="CA114" s="2" t="s">
        <v>210</v>
      </c>
      <c r="CB114" s="2" t="s">
        <v>773</v>
      </c>
      <c r="CC114" s="2" t="s">
        <v>212</v>
      </c>
      <c r="CD114" s="2" t="s">
        <v>199</v>
      </c>
      <c r="CE114" s="4">
        <v>1918</v>
      </c>
      <c r="CF114" s="4">
        <v>1190</v>
      </c>
      <c r="CG114" s="4"/>
      <c r="CH114" s="4">
        <v>764</v>
      </c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>
        <v>600</v>
      </c>
      <c r="EP114" s="4"/>
      <c r="EQ114" s="4"/>
      <c r="ER114" s="4"/>
      <c r="ES114" s="4"/>
      <c r="ET114" s="4">
        <v>3877</v>
      </c>
      <c r="EU114" s="4">
        <v>3811</v>
      </c>
      <c r="EV114" s="4">
        <v>3745</v>
      </c>
      <c r="EW114" s="4">
        <v>3679</v>
      </c>
      <c r="EX114" s="4">
        <v>3613</v>
      </c>
      <c r="EY114" s="4">
        <v>3547</v>
      </c>
      <c r="EZ114" s="4">
        <v>3481</v>
      </c>
      <c r="FA114" s="4">
        <v>3415</v>
      </c>
      <c r="FB114" s="4">
        <v>3342</v>
      </c>
      <c r="FC114" s="4">
        <v>3276</v>
      </c>
      <c r="FD114" s="4">
        <v>3210</v>
      </c>
      <c r="FE114" s="4">
        <v>3144</v>
      </c>
      <c r="FF114" s="4">
        <v>3078</v>
      </c>
      <c r="FG114" s="4">
        <v>3012</v>
      </c>
      <c r="FH114" s="4">
        <v>2946</v>
      </c>
      <c r="FI114" s="4">
        <v>2880</v>
      </c>
      <c r="FJ114" s="4">
        <v>2814</v>
      </c>
      <c r="FK114" s="4">
        <v>3348</v>
      </c>
      <c r="FL114" s="4">
        <v>3282</v>
      </c>
      <c r="FM114" s="4">
        <v>3216</v>
      </c>
      <c r="FN114" s="4">
        <v>3150</v>
      </c>
      <c r="FO114" s="4">
        <v>3084</v>
      </c>
      <c r="FP114" s="4">
        <v>3011</v>
      </c>
      <c r="FQ114" s="4">
        <v>2945</v>
      </c>
      <c r="FR114" s="4">
        <v>2879</v>
      </c>
      <c r="FS114" s="4">
        <v>2813</v>
      </c>
      <c r="FT114" s="19">
        <v>74.6</v>
      </c>
      <c r="FU114" s="19">
        <v>73.6</v>
      </c>
      <c r="FV114" s="19">
        <v>72.6</v>
      </c>
      <c r="FW114" s="19">
        <v>71.6</v>
      </c>
      <c r="FX114" s="19">
        <v>69.8</v>
      </c>
      <c r="FY114" s="19">
        <v>68.8</v>
      </c>
      <c r="FZ114" s="19">
        <v>67.8</v>
      </c>
      <c r="GA114" s="19">
        <v>66.8</v>
      </c>
      <c r="GB114" s="19">
        <v>66.5</v>
      </c>
      <c r="GC114" s="19">
        <v>65.5</v>
      </c>
      <c r="GD114" s="19">
        <v>64.5</v>
      </c>
      <c r="GE114" s="19">
        <v>63.5</v>
      </c>
      <c r="GF114" s="19">
        <v>62.5</v>
      </c>
      <c r="GG114" s="19">
        <v>61.5</v>
      </c>
      <c r="GH114" s="19">
        <v>60.5</v>
      </c>
      <c r="GI114" s="19">
        <v>59.5</v>
      </c>
      <c r="GJ114" s="19">
        <v>58.5</v>
      </c>
      <c r="GK114" s="19">
        <v>62.7</v>
      </c>
      <c r="GL114" s="19">
        <v>60.9</v>
      </c>
      <c r="GM114" s="19">
        <v>59.9</v>
      </c>
      <c r="GN114" s="19">
        <v>59</v>
      </c>
      <c r="GO114" s="19">
        <v>58</v>
      </c>
      <c r="GP114" s="19">
        <v>57.6</v>
      </c>
      <c r="GQ114" s="19">
        <v>55.9</v>
      </c>
      <c r="GR114" s="19">
        <v>54.9</v>
      </c>
      <c r="GS114" s="19">
        <v>53.9</v>
      </c>
    </row>
    <row r="115">
      <c r="A115" s="2" t="s">
        <v>957</v>
      </c>
      <c r="B115" s="2" t="s">
        <v>188</v>
      </c>
      <c r="C115" s="2" t="s">
        <v>189</v>
      </c>
      <c r="D115" s="2" t="s">
        <v>228</v>
      </c>
      <c r="E115" s="2" t="s">
        <v>229</v>
      </c>
      <c r="F115" s="2" t="s">
        <v>958</v>
      </c>
      <c r="G115" s="2" t="s">
        <v>959</v>
      </c>
      <c r="H115" s="2" t="s">
        <v>959</v>
      </c>
      <c r="I115" s="2" t="s">
        <v>960</v>
      </c>
      <c r="J115" s="2" t="s">
        <v>194</v>
      </c>
      <c r="K115" s="2" t="s">
        <v>233</v>
      </c>
      <c r="L115" s="3">
        <v>24</v>
      </c>
      <c r="M115" s="3">
        <v>25.2</v>
      </c>
      <c r="N115" s="3">
        <v>49.99</v>
      </c>
      <c r="O115" s="2" t="s">
        <v>196</v>
      </c>
      <c r="P115" s="2" t="s">
        <v>197</v>
      </c>
      <c r="Q115" s="2" t="s">
        <v>198</v>
      </c>
      <c r="R115" s="2" t="s">
        <v>199</v>
      </c>
      <c r="S115" s="2" t="s">
        <v>961</v>
      </c>
      <c r="T115" s="2" t="s">
        <v>386</v>
      </c>
      <c r="U115" s="2" t="s">
        <v>199</v>
      </c>
      <c r="V115" s="2" t="s">
        <v>202</v>
      </c>
      <c r="W115" s="2" t="s">
        <v>203</v>
      </c>
      <c r="X115" s="2" t="s">
        <v>199</v>
      </c>
      <c r="Y115" s="2" t="s">
        <v>204</v>
      </c>
      <c r="Z115" s="4">
        <v>150</v>
      </c>
      <c r="AA115" s="4">
        <f>=ROUNDDOWN(37.5,0)</f>
      </c>
      <c r="AB115" s="5">
        <v>4</v>
      </c>
      <c r="AC115" s="2" t="s">
        <v>199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199</v>
      </c>
      <c r="AW115" s="8" t="s">
        <v>199</v>
      </c>
      <c r="AX115" s="4" t="s">
        <v>199</v>
      </c>
      <c r="AY115" s="8" t="s">
        <v>199</v>
      </c>
      <c r="AZ115" s="7" t="s">
        <v>199</v>
      </c>
      <c r="BA115" s="7" t="s">
        <v>199</v>
      </c>
      <c r="BB115" s="7"/>
      <c r="BC115" s="4" t="s">
        <v>199</v>
      </c>
      <c r="BD115" s="8" t="s">
        <v>199</v>
      </c>
      <c r="BE115" s="4" t="s">
        <v>199</v>
      </c>
      <c r="BF115" s="8" t="s">
        <v>199</v>
      </c>
      <c r="BG115" s="7" t="s">
        <v>199</v>
      </c>
      <c r="BH115" s="7" t="s">
        <v>199</v>
      </c>
      <c r="BI115" s="7"/>
      <c r="BJ115" s="4">
        <v>4</v>
      </c>
      <c r="BK115" s="8">
        <v>116</v>
      </c>
      <c r="BL115" s="2" t="s">
        <v>962</v>
      </c>
      <c r="BM115" s="7"/>
      <c r="BN115" s="7"/>
      <c r="BO115" s="4"/>
      <c r="BP115" s="8"/>
      <c r="BQ115" s="4"/>
      <c r="BR115" s="8"/>
      <c r="BS115" s="7"/>
      <c r="BT115" s="7"/>
      <c r="BU115" s="2" t="s">
        <v>963</v>
      </c>
      <c r="BV115" s="2" t="s">
        <v>199</v>
      </c>
      <c r="BW115" s="2" t="s">
        <v>199</v>
      </c>
      <c r="BX115" s="2" t="s">
        <v>208</v>
      </c>
      <c r="BY115" s="2" t="s">
        <v>209</v>
      </c>
      <c r="BZ115" s="2" t="s">
        <v>196</v>
      </c>
      <c r="CA115" s="2" t="s">
        <v>210</v>
      </c>
      <c r="CB115" s="2" t="s">
        <v>964</v>
      </c>
      <c r="CC115" s="2" t="s">
        <v>212</v>
      </c>
      <c r="CD115" s="2" t="s">
        <v>199</v>
      </c>
      <c r="CE115" s="4">
        <v>117</v>
      </c>
      <c r="CF115" s="4"/>
      <c r="CG115" s="4"/>
      <c r="CH115" s="4">
        <v>33</v>
      </c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>
        <v>152</v>
      </c>
      <c r="EU115" s="4">
        <v>148</v>
      </c>
      <c r="EV115" s="4">
        <v>146</v>
      </c>
      <c r="EW115" s="4">
        <v>144</v>
      </c>
      <c r="EX115" s="4">
        <v>142</v>
      </c>
      <c r="EY115" s="4">
        <v>140</v>
      </c>
      <c r="EZ115" s="4">
        <v>136</v>
      </c>
      <c r="FA115" s="4">
        <v>132</v>
      </c>
      <c r="FB115" s="4">
        <v>128</v>
      </c>
      <c r="FC115" s="4">
        <v>124</v>
      </c>
      <c r="FD115" s="4">
        <v>119</v>
      </c>
      <c r="FE115" s="4">
        <v>114</v>
      </c>
      <c r="FF115" s="4">
        <v>109</v>
      </c>
      <c r="FG115" s="4">
        <v>104</v>
      </c>
      <c r="FH115" s="4">
        <v>100</v>
      </c>
      <c r="FI115" s="4">
        <v>96</v>
      </c>
      <c r="FJ115" s="4">
        <v>92</v>
      </c>
      <c r="FK115" s="4">
        <v>88</v>
      </c>
      <c r="FL115" s="4">
        <v>84</v>
      </c>
      <c r="FM115" s="4">
        <v>82</v>
      </c>
      <c r="FN115" s="4">
        <v>80</v>
      </c>
      <c r="FO115" s="4">
        <v>78</v>
      </c>
      <c r="FP115" s="4">
        <v>75</v>
      </c>
      <c r="FQ115" s="4">
        <v>69</v>
      </c>
      <c r="FR115" s="4">
        <v>63</v>
      </c>
      <c r="FS115" s="4">
        <v>57</v>
      </c>
      <c r="FT115" s="19">
        <v>76</v>
      </c>
      <c r="FU115" s="19">
        <v>74</v>
      </c>
      <c r="FV115" s="19">
        <v>73</v>
      </c>
      <c r="FW115" s="19">
        <v>48</v>
      </c>
      <c r="FX115" s="19">
        <v>35.5</v>
      </c>
      <c r="FY115" s="19">
        <v>35</v>
      </c>
      <c r="FZ115" s="19">
        <v>34</v>
      </c>
      <c r="GA115" s="19">
        <v>33</v>
      </c>
      <c r="GB115" s="19">
        <v>25.6</v>
      </c>
      <c r="GC115" s="19">
        <v>24.8</v>
      </c>
      <c r="GD115" s="19">
        <v>23.8</v>
      </c>
      <c r="GE115" s="19">
        <v>28.5</v>
      </c>
      <c r="GF115" s="19">
        <v>27.3</v>
      </c>
      <c r="GG115" s="19">
        <v>26</v>
      </c>
      <c r="GH115" s="19">
        <v>25</v>
      </c>
      <c r="GI115" s="19">
        <v>24</v>
      </c>
      <c r="GJ115" s="19">
        <v>30.7</v>
      </c>
      <c r="GK115" s="19">
        <v>44</v>
      </c>
      <c r="GL115" s="19">
        <v>42</v>
      </c>
      <c r="GM115" s="19">
        <v>27.3</v>
      </c>
      <c r="GN115" s="19">
        <v>20</v>
      </c>
      <c r="GO115" s="19">
        <v>15.6</v>
      </c>
      <c r="GP115" s="19">
        <v>12.5</v>
      </c>
      <c r="GQ115" s="19">
        <v>11.5</v>
      </c>
      <c r="GR115" s="19">
        <v>10.5</v>
      </c>
      <c r="GS115" s="19">
        <v>9.5</v>
      </c>
    </row>
    <row r="116">
      <c r="A116" s="2" t="s">
        <v>965</v>
      </c>
      <c r="B116" s="2" t="s">
        <v>188</v>
      </c>
      <c r="C116" s="2" t="s">
        <v>189</v>
      </c>
      <c r="D116" s="2" t="s">
        <v>228</v>
      </c>
      <c r="E116" s="2" t="s">
        <v>229</v>
      </c>
      <c r="F116" s="2" t="s">
        <v>958</v>
      </c>
      <c r="G116" s="2" t="s">
        <v>959</v>
      </c>
      <c r="H116" s="2" t="s">
        <v>959</v>
      </c>
      <c r="I116" s="2" t="s">
        <v>960</v>
      </c>
      <c r="J116" s="2" t="s">
        <v>232</v>
      </c>
      <c r="K116" s="2" t="s">
        <v>233</v>
      </c>
      <c r="L116" s="3">
        <v>32.5</v>
      </c>
      <c r="M116" s="3">
        <v>34.12</v>
      </c>
      <c r="N116" s="3">
        <v>64.99</v>
      </c>
      <c r="O116" s="2" t="s">
        <v>196</v>
      </c>
      <c r="P116" s="2" t="s">
        <v>197</v>
      </c>
      <c r="Q116" s="2" t="s">
        <v>198</v>
      </c>
      <c r="R116" s="2" t="s">
        <v>199</v>
      </c>
      <c r="S116" s="2" t="s">
        <v>961</v>
      </c>
      <c r="T116" s="2" t="s">
        <v>386</v>
      </c>
      <c r="U116" s="2" t="s">
        <v>199</v>
      </c>
      <c r="V116" s="2" t="s">
        <v>202</v>
      </c>
      <c r="W116" s="2" t="s">
        <v>203</v>
      </c>
      <c r="X116" s="2" t="s">
        <v>199</v>
      </c>
      <c r="Y116" s="2" t="s">
        <v>204</v>
      </c>
      <c r="Z116" s="4">
        <v>380</v>
      </c>
      <c r="AA116" s="4">
        <f>=ROUNDDOWN(38,0)</f>
      </c>
      <c r="AB116" s="5">
        <v>10</v>
      </c>
      <c r="AC116" s="2" t="s">
        <v>199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199</v>
      </c>
      <c r="AW116" s="8" t="s">
        <v>199</v>
      </c>
      <c r="AX116" s="4" t="s">
        <v>199</v>
      </c>
      <c r="AY116" s="8" t="s">
        <v>199</v>
      </c>
      <c r="AZ116" s="7" t="s">
        <v>199</v>
      </c>
      <c r="BA116" s="7" t="s">
        <v>199</v>
      </c>
      <c r="BB116" s="7"/>
      <c r="BC116" s="4" t="s">
        <v>199</v>
      </c>
      <c r="BD116" s="8" t="s">
        <v>199</v>
      </c>
      <c r="BE116" s="4" t="s">
        <v>199</v>
      </c>
      <c r="BF116" s="8" t="s">
        <v>199</v>
      </c>
      <c r="BG116" s="7" t="s">
        <v>199</v>
      </c>
      <c r="BH116" s="7" t="s">
        <v>199</v>
      </c>
      <c r="BI116" s="7"/>
      <c r="BJ116" s="4">
        <v>34</v>
      </c>
      <c r="BK116" s="8">
        <v>1212.18</v>
      </c>
      <c r="BL116" s="2" t="s">
        <v>966</v>
      </c>
      <c r="BM116" s="7"/>
      <c r="BN116" s="7"/>
      <c r="BO116" s="4"/>
      <c r="BP116" s="8"/>
      <c r="BQ116" s="4"/>
      <c r="BR116" s="8"/>
      <c r="BS116" s="7"/>
      <c r="BT116" s="7"/>
      <c r="BU116" s="2" t="s">
        <v>963</v>
      </c>
      <c r="BV116" s="2" t="s">
        <v>199</v>
      </c>
      <c r="BW116" s="2" t="s">
        <v>199</v>
      </c>
      <c r="BX116" s="2" t="s">
        <v>208</v>
      </c>
      <c r="BY116" s="2" t="s">
        <v>209</v>
      </c>
      <c r="BZ116" s="2" t="s">
        <v>196</v>
      </c>
      <c r="CA116" s="2" t="s">
        <v>210</v>
      </c>
      <c r="CB116" s="2" t="s">
        <v>967</v>
      </c>
      <c r="CC116" s="2" t="s">
        <v>212</v>
      </c>
      <c r="CD116" s="2" t="s">
        <v>199</v>
      </c>
      <c r="CE116" s="4">
        <v>143</v>
      </c>
      <c r="CF116" s="4"/>
      <c r="CG116" s="4"/>
      <c r="CH116" s="4">
        <v>237</v>
      </c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>
        <v>387</v>
      </c>
      <c r="EU116" s="4">
        <v>376</v>
      </c>
      <c r="EV116" s="4">
        <v>370</v>
      </c>
      <c r="EW116" s="4">
        <v>364</v>
      </c>
      <c r="EX116" s="4">
        <v>358</v>
      </c>
      <c r="EY116" s="4">
        <v>353</v>
      </c>
      <c r="EZ116" s="4">
        <v>343</v>
      </c>
      <c r="FA116" s="4">
        <v>333</v>
      </c>
      <c r="FB116" s="4">
        <v>322</v>
      </c>
      <c r="FC116" s="4">
        <v>312</v>
      </c>
      <c r="FD116" s="4">
        <v>299</v>
      </c>
      <c r="FE116" s="4">
        <v>286</v>
      </c>
      <c r="FF116" s="4">
        <v>273</v>
      </c>
      <c r="FG116" s="4">
        <v>260</v>
      </c>
      <c r="FH116" s="4">
        <v>249</v>
      </c>
      <c r="FI116" s="4">
        <v>238</v>
      </c>
      <c r="FJ116" s="4">
        <v>227</v>
      </c>
      <c r="FK116" s="4">
        <v>216</v>
      </c>
      <c r="FL116" s="4">
        <v>205</v>
      </c>
      <c r="FM116" s="4">
        <v>198</v>
      </c>
      <c r="FN116" s="4">
        <v>191</v>
      </c>
      <c r="FO116" s="4">
        <v>184</v>
      </c>
      <c r="FP116" s="4">
        <v>176</v>
      </c>
      <c r="FQ116" s="4">
        <v>166</v>
      </c>
      <c r="FR116" s="4">
        <v>156</v>
      </c>
      <c r="FS116" s="4">
        <v>146</v>
      </c>
      <c r="FT116" s="19">
        <v>55.3</v>
      </c>
      <c r="FU116" s="19">
        <v>62.7</v>
      </c>
      <c r="FV116" s="19">
        <v>52.9</v>
      </c>
      <c r="FW116" s="19">
        <v>45.5</v>
      </c>
      <c r="FX116" s="19">
        <v>39.8</v>
      </c>
      <c r="FY116" s="19">
        <v>35.3</v>
      </c>
      <c r="FZ116" s="19">
        <v>31.2</v>
      </c>
      <c r="GA116" s="19">
        <v>27.8</v>
      </c>
      <c r="GB116" s="19">
        <v>26.8</v>
      </c>
      <c r="GC116" s="19">
        <v>24</v>
      </c>
      <c r="GD116" s="19">
        <v>24.9</v>
      </c>
      <c r="GE116" s="19">
        <v>23.8</v>
      </c>
      <c r="GF116" s="19">
        <v>22.8</v>
      </c>
      <c r="GG116" s="19">
        <v>23.6</v>
      </c>
      <c r="GH116" s="19">
        <v>22.6</v>
      </c>
      <c r="GI116" s="19">
        <v>23.8</v>
      </c>
      <c r="GJ116" s="19">
        <v>25.2</v>
      </c>
      <c r="GK116" s="19">
        <v>27</v>
      </c>
      <c r="GL116" s="19">
        <v>29.3</v>
      </c>
      <c r="GM116" s="19">
        <v>24.8</v>
      </c>
      <c r="GN116" s="19">
        <v>21.2</v>
      </c>
      <c r="GO116" s="19">
        <v>18.4</v>
      </c>
      <c r="GP116" s="19">
        <v>17.6</v>
      </c>
      <c r="GQ116" s="19">
        <v>16.6</v>
      </c>
      <c r="GR116" s="19">
        <v>17.3</v>
      </c>
      <c r="GS116" s="19">
        <v>18.3</v>
      </c>
    </row>
    <row r="117">
      <c r="A117" s="2" t="s">
        <v>968</v>
      </c>
      <c r="B117" s="2" t="s">
        <v>188</v>
      </c>
      <c r="C117" s="2" t="s">
        <v>189</v>
      </c>
      <c r="D117" s="2" t="s">
        <v>228</v>
      </c>
      <c r="E117" s="2" t="s">
        <v>229</v>
      </c>
      <c r="F117" s="2" t="s">
        <v>958</v>
      </c>
      <c r="G117" s="2" t="s">
        <v>959</v>
      </c>
      <c r="H117" s="2" t="s">
        <v>959</v>
      </c>
      <c r="I117" s="2" t="s">
        <v>960</v>
      </c>
      <c r="J117" s="2" t="s">
        <v>241</v>
      </c>
      <c r="K117" s="2" t="s">
        <v>233</v>
      </c>
      <c r="L117" s="3">
        <v>37.5</v>
      </c>
      <c r="M117" s="3">
        <v>39.38</v>
      </c>
      <c r="N117" s="3">
        <v>74.99</v>
      </c>
      <c r="O117" s="2" t="s">
        <v>196</v>
      </c>
      <c r="P117" s="2" t="s">
        <v>197</v>
      </c>
      <c r="Q117" s="2" t="s">
        <v>198</v>
      </c>
      <c r="R117" s="2" t="s">
        <v>199</v>
      </c>
      <c r="S117" s="2" t="s">
        <v>961</v>
      </c>
      <c r="T117" s="2" t="s">
        <v>386</v>
      </c>
      <c r="U117" s="2" t="s">
        <v>199</v>
      </c>
      <c r="V117" s="2" t="s">
        <v>202</v>
      </c>
      <c r="W117" s="2" t="s">
        <v>203</v>
      </c>
      <c r="X117" s="2" t="s">
        <v>199</v>
      </c>
      <c r="Y117" s="2" t="s">
        <v>969</v>
      </c>
      <c r="Z117" s="4">
        <v>407</v>
      </c>
      <c r="AA117" s="4">
        <f>=ROUNDDOWN(40.7,0)</f>
      </c>
      <c r="AB117" s="5">
        <v>10</v>
      </c>
      <c r="AC117" s="2" t="s">
        <v>199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199</v>
      </c>
      <c r="AW117" s="8" t="s">
        <v>199</v>
      </c>
      <c r="AX117" s="4" t="s">
        <v>199</v>
      </c>
      <c r="AY117" s="8" t="s">
        <v>199</v>
      </c>
      <c r="AZ117" s="7" t="s">
        <v>199</v>
      </c>
      <c r="BA117" s="7" t="s">
        <v>199</v>
      </c>
      <c r="BB117" s="7"/>
      <c r="BC117" s="4" t="s">
        <v>199</v>
      </c>
      <c r="BD117" s="8" t="s">
        <v>199</v>
      </c>
      <c r="BE117" s="4" t="s">
        <v>199</v>
      </c>
      <c r="BF117" s="8" t="s">
        <v>199</v>
      </c>
      <c r="BG117" s="7" t="s">
        <v>199</v>
      </c>
      <c r="BH117" s="7" t="s">
        <v>199</v>
      </c>
      <c r="BI117" s="7"/>
      <c r="BJ117" s="4">
        <v>28</v>
      </c>
      <c r="BK117" s="8">
        <v>1156.79</v>
      </c>
      <c r="BL117" s="2" t="s">
        <v>970</v>
      </c>
      <c r="BM117" s="7"/>
      <c r="BN117" s="7"/>
      <c r="BO117" s="4"/>
      <c r="BP117" s="8"/>
      <c r="BQ117" s="4"/>
      <c r="BR117" s="8"/>
      <c r="BS117" s="7"/>
      <c r="BT117" s="7"/>
      <c r="BU117" s="2" t="s">
        <v>963</v>
      </c>
      <c r="BV117" s="2" t="s">
        <v>199</v>
      </c>
      <c r="BW117" s="2" t="s">
        <v>199</v>
      </c>
      <c r="BX117" s="2" t="s">
        <v>208</v>
      </c>
      <c r="BY117" s="2" t="s">
        <v>209</v>
      </c>
      <c r="BZ117" s="2" t="s">
        <v>196</v>
      </c>
      <c r="CA117" s="2" t="s">
        <v>210</v>
      </c>
      <c r="CB117" s="2" t="s">
        <v>971</v>
      </c>
      <c r="CC117" s="2" t="s">
        <v>212</v>
      </c>
      <c r="CD117" s="2" t="s">
        <v>199</v>
      </c>
      <c r="CE117" s="4">
        <v>225</v>
      </c>
      <c r="CF117" s="4"/>
      <c r="CG117" s="4"/>
      <c r="CH117" s="4">
        <v>182</v>
      </c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>
        <v>409</v>
      </c>
      <c r="EU117" s="4">
        <v>399</v>
      </c>
      <c r="EV117" s="4">
        <v>393</v>
      </c>
      <c r="EW117" s="4">
        <v>387</v>
      </c>
      <c r="EX117" s="4">
        <v>381</v>
      </c>
      <c r="EY117" s="4">
        <v>376</v>
      </c>
      <c r="EZ117" s="4">
        <v>365</v>
      </c>
      <c r="FA117" s="4">
        <v>354</v>
      </c>
      <c r="FB117" s="4">
        <v>342</v>
      </c>
      <c r="FC117" s="4">
        <v>331</v>
      </c>
      <c r="FD117" s="4">
        <v>318</v>
      </c>
      <c r="FE117" s="4">
        <v>305</v>
      </c>
      <c r="FF117" s="4">
        <v>292</v>
      </c>
      <c r="FG117" s="4">
        <v>279</v>
      </c>
      <c r="FH117" s="4">
        <v>266</v>
      </c>
      <c r="FI117" s="4">
        <v>253</v>
      </c>
      <c r="FJ117" s="4">
        <v>240</v>
      </c>
      <c r="FK117" s="4">
        <v>227</v>
      </c>
      <c r="FL117" s="4">
        <v>214</v>
      </c>
      <c r="FM117" s="4">
        <v>207</v>
      </c>
      <c r="FN117" s="4">
        <v>200</v>
      </c>
      <c r="FO117" s="4">
        <v>193</v>
      </c>
      <c r="FP117" s="4">
        <v>185</v>
      </c>
      <c r="FQ117" s="4">
        <v>178</v>
      </c>
      <c r="FR117" s="4">
        <v>171</v>
      </c>
      <c r="FS117" s="4">
        <v>164</v>
      </c>
      <c r="FT117" s="19">
        <v>58.4</v>
      </c>
      <c r="FU117" s="19">
        <v>66.5</v>
      </c>
      <c r="FV117" s="19">
        <v>56.1</v>
      </c>
      <c r="FW117" s="19">
        <v>48.4</v>
      </c>
      <c r="FX117" s="19">
        <v>38.1</v>
      </c>
      <c r="FY117" s="19">
        <v>34.2</v>
      </c>
      <c r="FZ117" s="19">
        <v>30.4</v>
      </c>
      <c r="GA117" s="19">
        <v>29.5</v>
      </c>
      <c r="GB117" s="19">
        <v>28.5</v>
      </c>
      <c r="GC117" s="19">
        <v>25.5</v>
      </c>
      <c r="GD117" s="19">
        <v>24.5</v>
      </c>
      <c r="GE117" s="19">
        <v>23.5</v>
      </c>
      <c r="GF117" s="19">
        <v>22.5</v>
      </c>
      <c r="GG117" s="19">
        <v>21.5</v>
      </c>
      <c r="GH117" s="19">
        <v>20.5</v>
      </c>
      <c r="GI117" s="19">
        <v>21.1</v>
      </c>
      <c r="GJ117" s="19">
        <v>24</v>
      </c>
      <c r="GK117" s="19">
        <v>28.4</v>
      </c>
      <c r="GL117" s="19">
        <v>30.6</v>
      </c>
      <c r="GM117" s="19">
        <v>29.6</v>
      </c>
      <c r="GN117" s="19">
        <v>28.6</v>
      </c>
      <c r="GO117" s="19">
        <v>27.6</v>
      </c>
      <c r="GP117" s="19">
        <v>26.4</v>
      </c>
      <c r="GQ117" s="19">
        <v>25.4</v>
      </c>
      <c r="GR117" s="19">
        <v>24.4</v>
      </c>
      <c r="GS117" s="19">
        <v>27.3</v>
      </c>
    </row>
    <row r="118">
      <c r="A118" s="2" t="s">
        <v>972</v>
      </c>
      <c r="B118" s="2" t="s">
        <v>630</v>
      </c>
      <c r="C118" s="2" t="s">
        <v>246</v>
      </c>
      <c r="D118" s="2" t="s">
        <v>228</v>
      </c>
      <c r="E118" s="2" t="s">
        <v>487</v>
      </c>
      <c r="F118" s="2" t="s">
        <v>973</v>
      </c>
      <c r="G118" s="2" t="s">
        <v>974</v>
      </c>
      <c r="H118" s="2" t="s">
        <v>975</v>
      </c>
      <c r="I118" s="2" t="s">
        <v>976</v>
      </c>
      <c r="J118" s="2" t="s">
        <v>219</v>
      </c>
      <c r="K118" s="2" t="s">
        <v>371</v>
      </c>
      <c r="L118" s="3">
        <v>63.17</v>
      </c>
      <c r="M118" s="3">
        <v>66.33</v>
      </c>
      <c r="N118" s="3">
        <v>124.99</v>
      </c>
      <c r="O118" s="2" t="s">
        <v>196</v>
      </c>
      <c r="P118" s="2" t="s">
        <v>197</v>
      </c>
      <c r="Q118" s="2" t="s">
        <v>198</v>
      </c>
      <c r="R118" s="2" t="s">
        <v>199</v>
      </c>
      <c r="S118" s="2" t="s">
        <v>977</v>
      </c>
      <c r="T118" s="2" t="s">
        <v>978</v>
      </c>
      <c r="U118" s="2" t="s">
        <v>509</v>
      </c>
      <c r="V118" s="2" t="s">
        <v>301</v>
      </c>
      <c r="W118" s="2" t="s">
        <v>768</v>
      </c>
      <c r="X118" s="2" t="s">
        <v>979</v>
      </c>
      <c r="Y118" s="2" t="s">
        <v>204</v>
      </c>
      <c r="Z118" s="4">
        <v>365</v>
      </c>
      <c r="AA118" s="4">
        <f>=ROUNDDOWN(28.0769230769231,0)</f>
      </c>
      <c r="AB118" s="5">
        <v>13</v>
      </c>
      <c r="AC118" s="2" t="s">
        <v>199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199</v>
      </c>
      <c r="AW118" s="8" t="s">
        <v>199</v>
      </c>
      <c r="AX118" s="4" t="s">
        <v>199</v>
      </c>
      <c r="AY118" s="8" t="s">
        <v>199</v>
      </c>
      <c r="AZ118" s="7" t="s">
        <v>199</v>
      </c>
      <c r="BA118" s="7" t="s">
        <v>199</v>
      </c>
      <c r="BB118" s="7"/>
      <c r="BC118" s="4" t="s">
        <v>199</v>
      </c>
      <c r="BD118" s="8" t="s">
        <v>199</v>
      </c>
      <c r="BE118" s="4" t="s">
        <v>199</v>
      </c>
      <c r="BF118" s="8" t="s">
        <v>199</v>
      </c>
      <c r="BG118" s="7" t="s">
        <v>199</v>
      </c>
      <c r="BH118" s="7" t="s">
        <v>199</v>
      </c>
      <c r="BI118" s="7"/>
      <c r="BJ118" s="4">
        <v>109</v>
      </c>
      <c r="BK118" s="8">
        <v>7369.93</v>
      </c>
      <c r="BL118" s="2" t="s">
        <v>980</v>
      </c>
      <c r="BM118" s="7"/>
      <c r="BN118" s="7"/>
      <c r="BO118" s="4"/>
      <c r="BP118" s="8"/>
      <c r="BQ118" s="4"/>
      <c r="BR118" s="8"/>
      <c r="BS118" s="7"/>
      <c r="BT118" s="7"/>
      <c r="BU118" s="2" t="s">
        <v>981</v>
      </c>
      <c r="BV118" s="2" t="s">
        <v>199</v>
      </c>
      <c r="BW118" s="2" t="s">
        <v>199</v>
      </c>
      <c r="BX118" s="2" t="s">
        <v>208</v>
      </c>
      <c r="BY118" s="2" t="s">
        <v>209</v>
      </c>
      <c r="BZ118" s="2" t="s">
        <v>196</v>
      </c>
      <c r="CA118" s="2" t="s">
        <v>210</v>
      </c>
      <c r="CB118" s="2" t="s">
        <v>982</v>
      </c>
      <c r="CC118" s="2" t="s">
        <v>212</v>
      </c>
      <c r="CD118" s="2" t="s">
        <v>199</v>
      </c>
      <c r="CE118" s="4">
        <v>365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>
        <v>369</v>
      </c>
      <c r="EU118" s="4">
        <v>348</v>
      </c>
      <c r="EV118" s="4">
        <v>335</v>
      </c>
      <c r="EW118" s="4">
        <v>322</v>
      </c>
      <c r="EX118" s="4">
        <v>309</v>
      </c>
      <c r="EY118" s="4">
        <v>296</v>
      </c>
      <c r="EZ118" s="4">
        <v>283</v>
      </c>
      <c r="FA118" s="4">
        <v>270</v>
      </c>
      <c r="FB118" s="4">
        <v>256</v>
      </c>
      <c r="FC118" s="4">
        <v>243</v>
      </c>
      <c r="FD118" s="4">
        <v>230</v>
      </c>
      <c r="FE118" s="4">
        <v>217</v>
      </c>
      <c r="FF118" s="4">
        <v>204</v>
      </c>
      <c r="FG118" s="4">
        <v>191</v>
      </c>
      <c r="FH118" s="4">
        <v>178</v>
      </c>
      <c r="FI118" s="4">
        <v>165</v>
      </c>
      <c r="FJ118" s="4">
        <v>152</v>
      </c>
      <c r="FK118" s="4">
        <v>139</v>
      </c>
      <c r="FL118" s="4">
        <v>126</v>
      </c>
      <c r="FM118" s="4">
        <v>113</v>
      </c>
      <c r="FN118" s="4">
        <v>100</v>
      </c>
      <c r="FO118" s="4">
        <v>87</v>
      </c>
      <c r="FP118" s="4">
        <v>209</v>
      </c>
      <c r="FQ118" s="4">
        <v>196</v>
      </c>
      <c r="FR118" s="4">
        <v>183</v>
      </c>
      <c r="FS118" s="4">
        <v>170</v>
      </c>
      <c r="FT118" s="19">
        <v>24.6</v>
      </c>
      <c r="FU118" s="19">
        <v>26.8</v>
      </c>
      <c r="FV118" s="19">
        <v>25.8</v>
      </c>
      <c r="FW118" s="19">
        <v>24.8</v>
      </c>
      <c r="FX118" s="19">
        <v>23.8</v>
      </c>
      <c r="FY118" s="19">
        <v>22.8</v>
      </c>
      <c r="FZ118" s="19">
        <v>21.8</v>
      </c>
      <c r="GA118" s="19">
        <v>20.8</v>
      </c>
      <c r="GB118" s="19">
        <v>19.7</v>
      </c>
      <c r="GC118" s="19">
        <v>18.7</v>
      </c>
      <c r="GD118" s="19">
        <v>17.7</v>
      </c>
      <c r="GE118" s="19">
        <v>16.7</v>
      </c>
      <c r="GF118" s="19">
        <v>15.7</v>
      </c>
      <c r="GG118" s="19">
        <v>14.7</v>
      </c>
      <c r="GH118" s="19">
        <v>13.7</v>
      </c>
      <c r="GI118" s="19">
        <v>12.7</v>
      </c>
      <c r="GJ118" s="19">
        <v>11.7</v>
      </c>
      <c r="GK118" s="19">
        <v>10.7</v>
      </c>
      <c r="GL118" s="19">
        <v>9.7</v>
      </c>
      <c r="GM118" s="19">
        <v>8.7</v>
      </c>
      <c r="GN118" s="19">
        <v>7.7</v>
      </c>
      <c r="GO118" s="19">
        <v>6.7</v>
      </c>
      <c r="GP118" s="19">
        <v>16.1</v>
      </c>
      <c r="GQ118" s="19">
        <v>15.1</v>
      </c>
      <c r="GR118" s="19">
        <v>14.1</v>
      </c>
      <c r="GS118" s="19">
        <v>13.1</v>
      </c>
    </row>
    <row r="119">
      <c r="A119" s="2" t="s">
        <v>983</v>
      </c>
      <c r="B119" s="2" t="s">
        <v>630</v>
      </c>
      <c r="C119" s="2" t="s">
        <v>246</v>
      </c>
      <c r="D119" s="2" t="s">
        <v>228</v>
      </c>
      <c r="E119" s="2" t="s">
        <v>487</v>
      </c>
      <c r="F119" s="2" t="s">
        <v>973</v>
      </c>
      <c r="G119" s="2" t="s">
        <v>974</v>
      </c>
      <c r="H119" s="2" t="s">
        <v>975</v>
      </c>
      <c r="I119" s="2" t="s">
        <v>976</v>
      </c>
      <c r="J119" s="2" t="s">
        <v>251</v>
      </c>
      <c r="K119" s="2" t="s">
        <v>371</v>
      </c>
      <c r="L119" s="3">
        <v>72.53</v>
      </c>
      <c r="M119" s="3">
        <v>76.16</v>
      </c>
      <c r="N119" s="3">
        <v>144.99</v>
      </c>
      <c r="O119" s="2" t="s">
        <v>196</v>
      </c>
      <c r="P119" s="2" t="s">
        <v>197</v>
      </c>
      <c r="Q119" s="2" t="s">
        <v>198</v>
      </c>
      <c r="R119" s="2" t="s">
        <v>199</v>
      </c>
      <c r="S119" s="2" t="s">
        <v>977</v>
      </c>
      <c r="T119" s="2" t="s">
        <v>978</v>
      </c>
      <c r="U119" s="2" t="s">
        <v>509</v>
      </c>
      <c r="V119" s="2" t="s">
        <v>301</v>
      </c>
      <c r="W119" s="2" t="s">
        <v>768</v>
      </c>
      <c r="X119" s="2" t="s">
        <v>979</v>
      </c>
      <c r="Y119" s="2" t="s">
        <v>204</v>
      </c>
      <c r="Z119" s="4">
        <v>84</v>
      </c>
      <c r="AA119" s="4">
        <f>=ROUNDDOWN(21,0)</f>
      </c>
      <c r="AB119" s="5">
        <v>4</v>
      </c>
      <c r="AC119" s="2" t="s">
        <v>199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199</v>
      </c>
      <c r="AW119" s="8" t="s">
        <v>199</v>
      </c>
      <c r="AX119" s="4" t="s">
        <v>199</v>
      </c>
      <c r="AY119" s="8" t="s">
        <v>199</v>
      </c>
      <c r="AZ119" s="7" t="s">
        <v>199</v>
      </c>
      <c r="BA119" s="7" t="s">
        <v>199</v>
      </c>
      <c r="BB119" s="7"/>
      <c r="BC119" s="4" t="s">
        <v>199</v>
      </c>
      <c r="BD119" s="8" t="s">
        <v>199</v>
      </c>
      <c r="BE119" s="4" t="s">
        <v>199</v>
      </c>
      <c r="BF119" s="8" t="s">
        <v>199</v>
      </c>
      <c r="BG119" s="7" t="s">
        <v>199</v>
      </c>
      <c r="BH119" s="7" t="s">
        <v>199</v>
      </c>
      <c r="BI119" s="7"/>
      <c r="BJ119" s="4">
        <v>44</v>
      </c>
      <c r="BK119" s="8">
        <v>3414.17</v>
      </c>
      <c r="BL119" s="2" t="s">
        <v>984</v>
      </c>
      <c r="BM119" s="7"/>
      <c r="BN119" s="7"/>
      <c r="BO119" s="4"/>
      <c r="BP119" s="8"/>
      <c r="BQ119" s="4"/>
      <c r="BR119" s="8"/>
      <c r="BS119" s="7"/>
      <c r="BT119" s="7"/>
      <c r="BU119" s="2" t="s">
        <v>981</v>
      </c>
      <c r="BV119" s="2" t="s">
        <v>199</v>
      </c>
      <c r="BW119" s="2" t="s">
        <v>199</v>
      </c>
      <c r="BX119" s="2" t="s">
        <v>208</v>
      </c>
      <c r="BY119" s="2" t="s">
        <v>209</v>
      </c>
      <c r="BZ119" s="2" t="s">
        <v>196</v>
      </c>
      <c r="CA119" s="2" t="s">
        <v>210</v>
      </c>
      <c r="CB119" s="2" t="s">
        <v>985</v>
      </c>
      <c r="CC119" s="2" t="s">
        <v>212</v>
      </c>
      <c r="CD119" s="2" t="s">
        <v>199</v>
      </c>
      <c r="CE119" s="4">
        <v>82</v>
      </c>
      <c r="CF119" s="4"/>
      <c r="CG119" s="4"/>
      <c r="CH119" s="4">
        <v>2</v>
      </c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>
        <v>86</v>
      </c>
      <c r="EU119" s="4">
        <v>80</v>
      </c>
      <c r="EV119" s="4">
        <v>76</v>
      </c>
      <c r="EW119" s="4">
        <v>72</v>
      </c>
      <c r="EX119" s="4">
        <v>68</v>
      </c>
      <c r="EY119" s="4">
        <v>64</v>
      </c>
      <c r="EZ119" s="4">
        <v>60</v>
      </c>
      <c r="FA119" s="4">
        <v>56</v>
      </c>
      <c r="FB119" s="4">
        <v>52</v>
      </c>
      <c r="FC119" s="4">
        <v>48</v>
      </c>
      <c r="FD119" s="4">
        <v>44</v>
      </c>
      <c r="FE119" s="4">
        <v>40</v>
      </c>
      <c r="FF119" s="4">
        <v>36</v>
      </c>
      <c r="FG119" s="4">
        <v>32</v>
      </c>
      <c r="FH119" s="4">
        <v>28</v>
      </c>
      <c r="FI119" s="4">
        <v>24</v>
      </c>
      <c r="FJ119" s="4">
        <v>20</v>
      </c>
      <c r="FK119" s="4">
        <v>16</v>
      </c>
      <c r="FL119" s="4">
        <v>12</v>
      </c>
      <c r="FM119" s="4">
        <v>8</v>
      </c>
      <c r="FN119" s="4">
        <v>4</v>
      </c>
      <c r="FO119" s="4"/>
      <c r="FP119" s="4">
        <v>68</v>
      </c>
      <c r="FQ119" s="4">
        <v>64</v>
      </c>
      <c r="FR119" s="4">
        <v>60</v>
      </c>
      <c r="FS119" s="4">
        <v>56</v>
      </c>
      <c r="FT119" s="19">
        <v>21.5</v>
      </c>
      <c r="FU119" s="19">
        <v>20</v>
      </c>
      <c r="FV119" s="19">
        <v>19</v>
      </c>
      <c r="FW119" s="19">
        <v>18</v>
      </c>
      <c r="FX119" s="19">
        <v>17</v>
      </c>
      <c r="FY119" s="19">
        <v>16</v>
      </c>
      <c r="FZ119" s="19">
        <v>15</v>
      </c>
      <c r="GA119" s="19">
        <v>14</v>
      </c>
      <c r="GB119" s="19">
        <v>13</v>
      </c>
      <c r="GC119" s="19">
        <v>12</v>
      </c>
      <c r="GD119" s="19">
        <v>11</v>
      </c>
      <c r="GE119" s="19">
        <v>10</v>
      </c>
      <c r="GF119" s="19">
        <v>9</v>
      </c>
      <c r="GG119" s="19">
        <v>8</v>
      </c>
      <c r="GH119" s="19">
        <v>7</v>
      </c>
      <c r="GI119" s="19">
        <v>6</v>
      </c>
      <c r="GJ119" s="19">
        <v>5</v>
      </c>
      <c r="GK119" s="19">
        <v>4</v>
      </c>
      <c r="GL119" s="19">
        <v>3</v>
      </c>
      <c r="GM119" s="19">
        <v>2</v>
      </c>
      <c r="GN119" s="19">
        <v>1</v>
      </c>
      <c r="GO119" s="20">
        <v>0</v>
      </c>
      <c r="GP119" s="19">
        <v>17</v>
      </c>
      <c r="GQ119" s="19">
        <v>16</v>
      </c>
      <c r="GR119" s="19">
        <v>15</v>
      </c>
      <c r="GS119" s="19">
        <v>14</v>
      </c>
    </row>
    <row r="120">
      <c r="A120" s="2" t="s">
        <v>986</v>
      </c>
      <c r="B120" s="2" t="s">
        <v>630</v>
      </c>
      <c r="C120" s="2" t="s">
        <v>987</v>
      </c>
      <c r="D120" s="2" t="s">
        <v>228</v>
      </c>
      <c r="E120" s="2" t="s">
        <v>988</v>
      </c>
      <c r="F120" s="2" t="s">
        <v>989</v>
      </c>
      <c r="G120" s="2" t="s">
        <v>990</v>
      </c>
      <c r="H120" s="2" t="s">
        <v>991</v>
      </c>
      <c r="I120" s="2" t="s">
        <v>992</v>
      </c>
      <c r="J120" s="2" t="s">
        <v>241</v>
      </c>
      <c r="K120" s="2" t="s">
        <v>993</v>
      </c>
      <c r="L120" s="3">
        <v>26.19</v>
      </c>
      <c r="M120" s="3">
        <v>27.5</v>
      </c>
      <c r="N120" s="3">
        <v>54.99</v>
      </c>
      <c r="O120" s="2" t="s">
        <v>196</v>
      </c>
      <c r="P120" s="2" t="s">
        <v>621</v>
      </c>
      <c r="Q120" s="2" t="s">
        <v>198</v>
      </c>
      <c r="R120" s="2" t="s">
        <v>199</v>
      </c>
      <c r="S120" s="2" t="s">
        <v>994</v>
      </c>
      <c r="T120" s="2" t="s">
        <v>386</v>
      </c>
      <c r="U120" s="2" t="s">
        <v>637</v>
      </c>
      <c r="V120" s="2" t="s">
        <v>301</v>
      </c>
      <c r="W120" s="2" t="s">
        <v>510</v>
      </c>
      <c r="X120" s="2" t="s">
        <v>203</v>
      </c>
      <c r="Y120" s="2" t="s">
        <v>995</v>
      </c>
      <c r="Z120" s="4">
        <v>302</v>
      </c>
      <c r="AA120" s="4">
        <f>=ROUNDDOWN(50.3333333333333,0)</f>
      </c>
      <c r="AB120" s="5">
        <v>6</v>
      </c>
      <c r="AC120" s="2" t="s">
        <v>199</v>
      </c>
      <c r="AD120" s="4"/>
      <c r="AE120" s="4"/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199</v>
      </c>
      <c r="BD120" s="8" t="s">
        <v>199</v>
      </c>
      <c r="BE120" s="4" t="s">
        <v>199</v>
      </c>
      <c r="BF120" s="8" t="s">
        <v>199</v>
      </c>
      <c r="BG120" s="7" t="s">
        <v>199</v>
      </c>
      <c r="BH120" s="7" t="s">
        <v>199</v>
      </c>
      <c r="BI120" s="7"/>
      <c r="BJ120" s="4">
        <v>57</v>
      </c>
      <c r="BK120" s="8">
        <v>1373.89</v>
      </c>
      <c r="BL120" s="2" t="s">
        <v>996</v>
      </c>
      <c r="BM120" s="7"/>
      <c r="BN120" s="7"/>
      <c r="BO120" s="4"/>
      <c r="BP120" s="8"/>
      <c r="BQ120" s="4"/>
      <c r="BR120" s="8"/>
      <c r="BS120" s="7"/>
      <c r="BT120" s="7"/>
      <c r="BU120" s="2" t="s">
        <v>997</v>
      </c>
      <c r="BV120" s="2" t="s">
        <v>199</v>
      </c>
      <c r="BW120" s="2" t="s">
        <v>199</v>
      </c>
      <c r="BX120" s="2" t="s">
        <v>998</v>
      </c>
      <c r="BY120" s="2" t="s">
        <v>209</v>
      </c>
      <c r="BZ120" s="2" t="s">
        <v>196</v>
      </c>
      <c r="CA120" s="2" t="s">
        <v>999</v>
      </c>
      <c r="CB120" s="2" t="s">
        <v>1000</v>
      </c>
      <c r="CC120" s="2" t="s">
        <v>212</v>
      </c>
      <c r="CD120" s="2" t="s">
        <v>199</v>
      </c>
      <c r="CE120" s="4">
        <v>23</v>
      </c>
      <c r="CF120" s="4"/>
      <c r="CG120" s="4"/>
      <c r="CH120" s="4">
        <v>279</v>
      </c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>
        <v>307</v>
      </c>
      <c r="EU120" s="4">
        <v>295</v>
      </c>
      <c r="EV120" s="4">
        <v>288</v>
      </c>
      <c r="EW120" s="4">
        <v>281</v>
      </c>
      <c r="EX120" s="4">
        <v>275</v>
      </c>
      <c r="EY120" s="4">
        <v>269</v>
      </c>
      <c r="EZ120" s="4">
        <v>262</v>
      </c>
      <c r="FA120" s="4">
        <v>255</v>
      </c>
      <c r="FB120" s="4">
        <v>247</v>
      </c>
      <c r="FC120" s="4">
        <v>240</v>
      </c>
      <c r="FD120" s="4">
        <v>231</v>
      </c>
      <c r="FE120" s="4">
        <v>222</v>
      </c>
      <c r="FF120" s="4">
        <v>213</v>
      </c>
      <c r="FG120" s="4">
        <v>204</v>
      </c>
      <c r="FH120" s="4">
        <v>196</v>
      </c>
      <c r="FI120" s="4">
        <v>188</v>
      </c>
      <c r="FJ120" s="4">
        <v>180</v>
      </c>
      <c r="FK120" s="4">
        <v>172</v>
      </c>
      <c r="FL120" s="4">
        <v>164</v>
      </c>
      <c r="FM120" s="4">
        <v>158</v>
      </c>
      <c r="FN120" s="4">
        <v>152</v>
      </c>
      <c r="FO120" s="4">
        <v>146</v>
      </c>
      <c r="FP120" s="4">
        <v>140</v>
      </c>
      <c r="FQ120" s="4">
        <v>135</v>
      </c>
      <c r="FR120" s="4">
        <v>130</v>
      </c>
      <c r="FS120" s="4">
        <v>125</v>
      </c>
      <c r="FT120" s="19">
        <v>72.3</v>
      </c>
      <c r="FU120" s="19">
        <v>71.1</v>
      </c>
      <c r="FV120" s="19">
        <v>36</v>
      </c>
      <c r="FW120" s="19">
        <v>29</v>
      </c>
      <c r="FX120" s="19">
        <v>20.1</v>
      </c>
      <c r="FY120" s="19">
        <v>19.2</v>
      </c>
      <c r="FZ120" s="19">
        <v>16.4</v>
      </c>
      <c r="GA120" s="19">
        <v>16</v>
      </c>
      <c r="GB120" s="19">
        <v>15.5</v>
      </c>
      <c r="GC120" s="19">
        <v>13.4</v>
      </c>
      <c r="GD120" s="19">
        <v>12.9</v>
      </c>
      <c r="GE120" s="19">
        <v>13.9</v>
      </c>
      <c r="GF120" s="19">
        <v>13.3</v>
      </c>
      <c r="GG120" s="19">
        <v>12.8</v>
      </c>
      <c r="GH120" s="19">
        <v>12.3</v>
      </c>
      <c r="GI120" s="19">
        <v>11.8</v>
      </c>
      <c r="GJ120" s="19">
        <v>12.9</v>
      </c>
      <c r="GK120" s="19">
        <v>14.4</v>
      </c>
      <c r="GL120" s="19">
        <v>13.7</v>
      </c>
      <c r="GM120" s="19">
        <v>13.2</v>
      </c>
      <c r="GN120" s="19">
        <v>12.7</v>
      </c>
      <c r="GO120" s="19">
        <v>14.6</v>
      </c>
      <c r="GP120" s="19">
        <v>14</v>
      </c>
      <c r="GQ120" s="19">
        <v>13.5</v>
      </c>
      <c r="GR120" s="19">
        <v>13</v>
      </c>
      <c r="GS120" s="19">
        <v>12.5</v>
      </c>
    </row>
    <row r="121">
      <c r="A121" s="2" t="s">
        <v>1001</v>
      </c>
      <c r="B121" s="2" t="s">
        <v>630</v>
      </c>
      <c r="C121" s="2" t="s">
        <v>987</v>
      </c>
      <c r="D121" s="2" t="s">
        <v>228</v>
      </c>
      <c r="E121" s="2" t="s">
        <v>988</v>
      </c>
      <c r="F121" s="2" t="s">
        <v>989</v>
      </c>
      <c r="G121" s="2" t="s">
        <v>990</v>
      </c>
      <c r="H121" s="2" t="s">
        <v>991</v>
      </c>
      <c r="I121" s="2" t="s">
        <v>992</v>
      </c>
      <c r="J121" s="2" t="s">
        <v>241</v>
      </c>
      <c r="K121" s="2" t="s">
        <v>1002</v>
      </c>
      <c r="L121" s="3">
        <v>26.19</v>
      </c>
      <c r="M121" s="3">
        <v>27.5</v>
      </c>
      <c r="N121" s="3">
        <v>54.99</v>
      </c>
      <c r="O121" s="2" t="s">
        <v>196</v>
      </c>
      <c r="P121" s="2" t="s">
        <v>951</v>
      </c>
      <c r="Q121" s="2" t="s">
        <v>198</v>
      </c>
      <c r="R121" s="2" t="s">
        <v>199</v>
      </c>
      <c r="S121" s="2" t="s">
        <v>1003</v>
      </c>
      <c r="T121" s="2" t="s">
        <v>386</v>
      </c>
      <c r="U121" s="2" t="s">
        <v>637</v>
      </c>
      <c r="V121" s="2" t="s">
        <v>301</v>
      </c>
      <c r="W121" s="2" t="s">
        <v>510</v>
      </c>
      <c r="X121" s="2" t="s">
        <v>203</v>
      </c>
      <c r="Y121" s="2" t="s">
        <v>995</v>
      </c>
      <c r="Z121" s="4">
        <v>536</v>
      </c>
      <c r="AA121" s="4">
        <f>=ROUNDDOWN(48.7272727272727,0)</f>
      </c>
      <c r="AB121" s="5">
        <v>11</v>
      </c>
      <c r="AC121" s="2" t="s">
        <v>199</v>
      </c>
      <c r="AD121" s="4"/>
      <c r="AE121" s="4"/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199</v>
      </c>
      <c r="BD121" s="8" t="s">
        <v>199</v>
      </c>
      <c r="BE121" s="4" t="s">
        <v>199</v>
      </c>
      <c r="BF121" s="8" t="s">
        <v>199</v>
      </c>
      <c r="BG121" s="7" t="s">
        <v>199</v>
      </c>
      <c r="BH121" s="7" t="s">
        <v>199</v>
      </c>
      <c r="BI121" s="7"/>
      <c r="BJ121" s="4">
        <v>52</v>
      </c>
      <c r="BK121" s="8">
        <v>1290.62</v>
      </c>
      <c r="BL121" s="2" t="s">
        <v>1004</v>
      </c>
      <c r="BM121" s="7"/>
      <c r="BN121" s="7"/>
      <c r="BO121" s="4"/>
      <c r="BP121" s="8"/>
      <c r="BQ121" s="4"/>
      <c r="BR121" s="8"/>
      <c r="BS121" s="7"/>
      <c r="BT121" s="7"/>
      <c r="BU121" s="2" t="s">
        <v>997</v>
      </c>
      <c r="BV121" s="2" t="s">
        <v>199</v>
      </c>
      <c r="BW121" s="2" t="s">
        <v>199</v>
      </c>
      <c r="BX121" s="2" t="s">
        <v>998</v>
      </c>
      <c r="BY121" s="2" t="s">
        <v>209</v>
      </c>
      <c r="BZ121" s="2" t="s">
        <v>196</v>
      </c>
      <c r="CA121" s="2" t="s">
        <v>999</v>
      </c>
      <c r="CB121" s="2" t="s">
        <v>1005</v>
      </c>
      <c r="CC121" s="2" t="s">
        <v>212</v>
      </c>
      <c r="CD121" s="2" t="s">
        <v>199</v>
      </c>
      <c r="CE121" s="4">
        <v>328</v>
      </c>
      <c r="CF121" s="4"/>
      <c r="CG121" s="4"/>
      <c r="CH121" s="4">
        <v>208</v>
      </c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>
        <v>542</v>
      </c>
      <c r="EU121" s="4">
        <v>518</v>
      </c>
      <c r="EV121" s="4">
        <v>501</v>
      </c>
      <c r="EW121" s="4">
        <v>484</v>
      </c>
      <c r="EX121" s="4">
        <v>473</v>
      </c>
      <c r="EY121" s="4">
        <v>456</v>
      </c>
      <c r="EZ121" s="4">
        <v>435</v>
      </c>
      <c r="FA121" s="4">
        <v>414</v>
      </c>
      <c r="FB121" s="4">
        <v>392</v>
      </c>
      <c r="FC121" s="4">
        <v>371</v>
      </c>
      <c r="FD121" s="4">
        <v>346</v>
      </c>
      <c r="FE121" s="4">
        <v>321</v>
      </c>
      <c r="FF121" s="4">
        <v>296</v>
      </c>
      <c r="FG121" s="4">
        <v>271</v>
      </c>
      <c r="FH121" s="4">
        <v>249</v>
      </c>
      <c r="FI121" s="4">
        <v>227</v>
      </c>
      <c r="FJ121" s="4">
        <v>205</v>
      </c>
      <c r="FK121" s="4">
        <v>183</v>
      </c>
      <c r="FL121" s="4">
        <v>161</v>
      </c>
      <c r="FM121" s="4">
        <v>147</v>
      </c>
      <c r="FN121" s="4">
        <v>133</v>
      </c>
      <c r="FO121" s="4">
        <v>119</v>
      </c>
      <c r="FP121" s="4">
        <v>105</v>
      </c>
      <c r="FQ121" s="4">
        <v>95</v>
      </c>
      <c r="FR121" s="4">
        <v>85</v>
      </c>
      <c r="FS121" s="4">
        <v>181</v>
      </c>
      <c r="FT121" s="19">
        <v>38</v>
      </c>
      <c r="FU121" s="19">
        <v>38.6</v>
      </c>
      <c r="FV121" s="19">
        <v>37.6</v>
      </c>
      <c r="FW121" s="19">
        <v>35.6</v>
      </c>
      <c r="FX121" s="19">
        <v>28.1</v>
      </c>
      <c r="FY121" s="19">
        <v>27.3</v>
      </c>
      <c r="FZ121" s="19">
        <v>25.8</v>
      </c>
      <c r="GA121" s="19">
        <v>24.5</v>
      </c>
      <c r="GB121" s="19">
        <v>23.2</v>
      </c>
      <c r="GC121" s="19">
        <v>22</v>
      </c>
      <c r="GD121" s="19">
        <v>21.2</v>
      </c>
      <c r="GE121" s="19">
        <v>20.4</v>
      </c>
      <c r="GF121" s="19">
        <v>19.4</v>
      </c>
      <c r="GG121" s="19">
        <v>18.5</v>
      </c>
      <c r="GH121" s="19">
        <v>17.5</v>
      </c>
      <c r="GI121" s="19">
        <v>16.9</v>
      </c>
      <c r="GJ121" s="19">
        <v>19.3</v>
      </c>
      <c r="GK121" s="19">
        <v>18.4</v>
      </c>
      <c r="GL121" s="19">
        <v>14.5</v>
      </c>
      <c r="GM121" s="19">
        <v>12</v>
      </c>
      <c r="GN121" s="19">
        <v>9</v>
      </c>
      <c r="GO121" s="19">
        <v>8</v>
      </c>
      <c r="GP121" s="19">
        <v>6.6</v>
      </c>
      <c r="GQ121" s="19">
        <v>7.9</v>
      </c>
      <c r="GR121" s="19">
        <v>8.5</v>
      </c>
      <c r="GS121" s="19">
        <v>19.2</v>
      </c>
    </row>
    <row r="122">
      <c r="A122" s="2" t="s">
        <v>1006</v>
      </c>
      <c r="B122" s="2" t="s">
        <v>736</v>
      </c>
      <c r="C122" s="2" t="s">
        <v>1007</v>
      </c>
      <c r="D122" s="2" t="s">
        <v>228</v>
      </c>
      <c r="E122" s="2" t="s">
        <v>487</v>
      </c>
      <c r="F122" s="2" t="s">
        <v>989</v>
      </c>
      <c r="G122" s="2" t="s">
        <v>1008</v>
      </c>
      <c r="H122" s="2" t="s">
        <v>1009</v>
      </c>
      <c r="I122" s="2" t="s">
        <v>1010</v>
      </c>
      <c r="J122" s="2" t="s">
        <v>1011</v>
      </c>
      <c r="K122" s="2" t="s">
        <v>1012</v>
      </c>
      <c r="L122" s="3">
        <v>23.8</v>
      </c>
      <c r="M122" s="3">
        <v>24.99</v>
      </c>
      <c r="N122" s="3">
        <v>49.99</v>
      </c>
      <c r="O122" s="2" t="s">
        <v>196</v>
      </c>
      <c r="P122" s="2" t="s">
        <v>197</v>
      </c>
      <c r="Q122" s="2" t="s">
        <v>198</v>
      </c>
      <c r="R122" s="2" t="s">
        <v>199</v>
      </c>
      <c r="S122" s="2" t="s">
        <v>1013</v>
      </c>
      <c r="T122" s="2" t="s">
        <v>386</v>
      </c>
      <c r="U122" s="2" t="s">
        <v>254</v>
      </c>
      <c r="V122" s="2" t="s">
        <v>681</v>
      </c>
      <c r="W122" s="2" t="s">
        <v>203</v>
      </c>
      <c r="X122" s="2" t="s">
        <v>1014</v>
      </c>
      <c r="Y122" s="2" t="s">
        <v>1015</v>
      </c>
      <c r="Z122" s="4">
        <v>89</v>
      </c>
      <c r="AA122" s="4">
        <f>=ROUNDDOWN(8.9,0)</f>
      </c>
      <c r="AB122" s="5">
        <v>10</v>
      </c>
      <c r="AC122" s="2" t="s">
        <v>697</v>
      </c>
      <c r="AD122" s="4">
        <v>180</v>
      </c>
      <c r="AE122" s="4">
        <v>180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199</v>
      </c>
      <c r="BD122" s="8" t="s">
        <v>199</v>
      </c>
      <c r="BE122" s="4" t="s">
        <v>199</v>
      </c>
      <c r="BF122" s="8" t="s">
        <v>199</v>
      </c>
      <c r="BG122" s="7" t="s">
        <v>199</v>
      </c>
      <c r="BH122" s="7" t="s">
        <v>199</v>
      </c>
      <c r="BI122" s="7"/>
      <c r="BJ122" s="4">
        <v>60</v>
      </c>
      <c r="BK122" s="8">
        <v>1628.53</v>
      </c>
      <c r="BL122" s="2" t="s">
        <v>1016</v>
      </c>
      <c r="BM122" s="7"/>
      <c r="BN122" s="7"/>
      <c r="BO122" s="4"/>
      <c r="BP122" s="8"/>
      <c r="BQ122" s="4"/>
      <c r="BR122" s="8"/>
      <c r="BS122" s="7"/>
      <c r="BT122" s="7"/>
      <c r="BU122" s="2" t="s">
        <v>1017</v>
      </c>
      <c r="BV122" s="2" t="s">
        <v>199</v>
      </c>
      <c r="BW122" s="2" t="s">
        <v>199</v>
      </c>
      <c r="BX122" s="2" t="s">
        <v>208</v>
      </c>
      <c r="BY122" s="2" t="s">
        <v>209</v>
      </c>
      <c r="BZ122" s="2" t="s">
        <v>196</v>
      </c>
      <c r="CA122" s="2" t="s">
        <v>599</v>
      </c>
      <c r="CB122" s="2" t="s">
        <v>912</v>
      </c>
      <c r="CC122" s="2" t="s">
        <v>212</v>
      </c>
      <c r="CD122" s="2" t="s">
        <v>199</v>
      </c>
      <c r="CE122" s="4">
        <v>89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>
        <v>180</v>
      </c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>
        <v>129</v>
      </c>
      <c r="EU122" s="4">
        <v>88</v>
      </c>
      <c r="EV122" s="4">
        <v>82</v>
      </c>
      <c r="EW122" s="4">
        <v>76</v>
      </c>
      <c r="EX122" s="4">
        <v>250</v>
      </c>
      <c r="EY122" s="4">
        <v>244</v>
      </c>
      <c r="EZ122" s="4">
        <v>238</v>
      </c>
      <c r="FA122" s="4">
        <v>229</v>
      </c>
      <c r="FB122" s="4">
        <v>218</v>
      </c>
      <c r="FC122" s="4">
        <v>208</v>
      </c>
      <c r="FD122" s="4">
        <v>198</v>
      </c>
      <c r="FE122" s="4">
        <v>188</v>
      </c>
      <c r="FF122" s="4">
        <v>178</v>
      </c>
      <c r="FG122" s="4">
        <v>168</v>
      </c>
      <c r="FH122" s="4">
        <v>158</v>
      </c>
      <c r="FI122" s="4">
        <v>147</v>
      </c>
      <c r="FJ122" s="4">
        <v>137</v>
      </c>
      <c r="FK122" s="4">
        <v>127</v>
      </c>
      <c r="FL122" s="4">
        <v>117</v>
      </c>
      <c r="FM122" s="4">
        <v>107</v>
      </c>
      <c r="FN122" s="4">
        <v>95</v>
      </c>
      <c r="FO122" s="4">
        <v>82</v>
      </c>
      <c r="FP122" s="4">
        <v>246</v>
      </c>
      <c r="FQ122" s="4">
        <v>230</v>
      </c>
      <c r="FR122" s="4">
        <v>214</v>
      </c>
      <c r="FS122" s="4">
        <v>200</v>
      </c>
      <c r="FT122" s="19">
        <v>8.6</v>
      </c>
      <c r="FU122" s="19">
        <v>14.7</v>
      </c>
      <c r="FV122" s="19">
        <v>13.7</v>
      </c>
      <c r="FW122" s="19">
        <v>10.9</v>
      </c>
      <c r="FX122" s="19">
        <v>31.3</v>
      </c>
      <c r="FY122" s="19">
        <v>27.1</v>
      </c>
      <c r="FZ122" s="19">
        <v>23.8</v>
      </c>
      <c r="GA122" s="19">
        <v>22.9</v>
      </c>
      <c r="GB122" s="19">
        <v>21.8</v>
      </c>
      <c r="GC122" s="19">
        <v>20.8</v>
      </c>
      <c r="GD122" s="19">
        <v>19.8</v>
      </c>
      <c r="GE122" s="19">
        <v>18.8</v>
      </c>
      <c r="GF122" s="19">
        <v>17.8</v>
      </c>
      <c r="GG122" s="19">
        <v>16.8</v>
      </c>
      <c r="GH122" s="19">
        <v>15.8</v>
      </c>
      <c r="GI122" s="19">
        <v>14.7</v>
      </c>
      <c r="GJ122" s="19">
        <v>13.7</v>
      </c>
      <c r="GK122" s="19">
        <v>11.5</v>
      </c>
      <c r="GL122" s="19">
        <v>9</v>
      </c>
      <c r="GM122" s="19">
        <v>7.6</v>
      </c>
      <c r="GN122" s="19">
        <v>5.9</v>
      </c>
      <c r="GO122" s="19">
        <v>5.1</v>
      </c>
      <c r="GP122" s="19">
        <v>16.4</v>
      </c>
      <c r="GQ122" s="19">
        <v>15.3</v>
      </c>
      <c r="GR122" s="19">
        <v>13.4</v>
      </c>
      <c r="GS122" s="19">
        <v>11.8</v>
      </c>
    </row>
    <row r="123">
      <c r="A123" s="2" t="s">
        <v>1018</v>
      </c>
      <c r="B123" s="2" t="s">
        <v>1019</v>
      </c>
      <c r="C123" s="2" t="s">
        <v>1020</v>
      </c>
      <c r="D123" s="2" t="s">
        <v>1021</v>
      </c>
      <c r="E123" s="2" t="s">
        <v>1022</v>
      </c>
      <c r="F123" s="2" t="s">
        <v>1023</v>
      </c>
      <c r="G123" s="2" t="s">
        <v>1023</v>
      </c>
      <c r="H123" s="2" t="s">
        <v>1023</v>
      </c>
      <c r="I123" s="2" t="s">
        <v>1024</v>
      </c>
      <c r="J123" s="2" t="s">
        <v>1025</v>
      </c>
      <c r="K123" s="2" t="s">
        <v>195</v>
      </c>
      <c r="L123" s="3">
        <v>20.14</v>
      </c>
      <c r="M123" s="3">
        <v>21.15</v>
      </c>
      <c r="N123" s="3">
        <v>44.99</v>
      </c>
      <c r="O123" s="2" t="s">
        <v>196</v>
      </c>
      <c r="P123" s="2" t="s">
        <v>841</v>
      </c>
      <c r="Q123" s="2" t="s">
        <v>198</v>
      </c>
      <c r="R123" s="2" t="s">
        <v>199</v>
      </c>
      <c r="S123" s="2" t="s">
        <v>1026</v>
      </c>
      <c r="T123" s="2" t="s">
        <v>1027</v>
      </c>
      <c r="U123" s="2" t="s">
        <v>280</v>
      </c>
      <c r="V123" s="2" t="s">
        <v>681</v>
      </c>
      <c r="W123" s="2" t="s">
        <v>1014</v>
      </c>
      <c r="X123" s="2" t="s">
        <v>529</v>
      </c>
      <c r="Y123" s="2" t="s">
        <v>1028</v>
      </c>
      <c r="Z123" s="4">
        <v>335</v>
      </c>
      <c r="AA123" s="4">
        <f>=ROUNDDOWN(76.1363636363636,0)</f>
      </c>
      <c r="AB123" s="5">
        <v>4.4</v>
      </c>
      <c r="AC123" s="2" t="s">
        <v>199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199</v>
      </c>
      <c r="BD123" s="8" t="s">
        <v>199</v>
      </c>
      <c r="BE123" s="4" t="s">
        <v>199</v>
      </c>
      <c r="BF123" s="8" t="s">
        <v>199</v>
      </c>
      <c r="BG123" s="7" t="s">
        <v>199</v>
      </c>
      <c r="BH123" s="7" t="s">
        <v>199</v>
      </c>
      <c r="BI123" s="7"/>
      <c r="BJ123" s="4">
        <v>97</v>
      </c>
      <c r="BK123" s="8">
        <v>2286.19</v>
      </c>
      <c r="BL123" s="2" t="s">
        <v>1029</v>
      </c>
      <c r="BM123" s="7"/>
      <c r="BN123" s="7"/>
      <c r="BO123" s="4"/>
      <c r="BP123" s="8"/>
      <c r="BQ123" s="4"/>
      <c r="BR123" s="8"/>
      <c r="BS123" s="7"/>
      <c r="BT123" s="7"/>
      <c r="BU123" s="2" t="s">
        <v>1030</v>
      </c>
      <c r="BV123" s="2" t="s">
        <v>199</v>
      </c>
      <c r="BW123" s="2" t="s">
        <v>199</v>
      </c>
      <c r="BX123" s="2" t="s">
        <v>208</v>
      </c>
      <c r="BY123" s="2" t="s">
        <v>209</v>
      </c>
      <c r="BZ123" s="2" t="s">
        <v>196</v>
      </c>
      <c r="CA123" s="2" t="s">
        <v>1031</v>
      </c>
      <c r="CB123" s="2" t="s">
        <v>1032</v>
      </c>
      <c r="CC123" s="2" t="s">
        <v>212</v>
      </c>
      <c r="CD123" s="2" t="s">
        <v>199</v>
      </c>
      <c r="CE123" s="4">
        <v>335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>
        <v>336</v>
      </c>
      <c r="EU123" s="4">
        <v>329</v>
      </c>
      <c r="EV123" s="4">
        <v>325</v>
      </c>
      <c r="EW123" s="4">
        <v>321</v>
      </c>
      <c r="EX123" s="4">
        <v>317</v>
      </c>
      <c r="EY123" s="4">
        <v>313</v>
      </c>
      <c r="EZ123" s="4">
        <v>309</v>
      </c>
      <c r="FA123" s="4">
        <v>305</v>
      </c>
      <c r="FB123" s="4">
        <v>301</v>
      </c>
      <c r="FC123" s="4">
        <v>297</v>
      </c>
      <c r="FD123" s="4">
        <v>293</v>
      </c>
      <c r="FE123" s="4">
        <v>289</v>
      </c>
      <c r="FF123" s="4">
        <v>285</v>
      </c>
      <c r="FG123" s="4">
        <v>281</v>
      </c>
      <c r="FH123" s="4">
        <v>277</v>
      </c>
      <c r="FI123" s="4">
        <v>273</v>
      </c>
      <c r="FJ123" s="4">
        <v>269</v>
      </c>
      <c r="FK123" s="4">
        <v>264</v>
      </c>
      <c r="FL123" s="4">
        <v>259</v>
      </c>
      <c r="FM123" s="4">
        <v>254</v>
      </c>
      <c r="FN123" s="4">
        <v>249</v>
      </c>
      <c r="FO123" s="4">
        <v>244</v>
      </c>
      <c r="FP123" s="4">
        <v>239</v>
      </c>
      <c r="FQ123" s="4">
        <v>234</v>
      </c>
      <c r="FR123" s="4">
        <v>229</v>
      </c>
      <c r="FS123" s="4">
        <v>224</v>
      </c>
      <c r="FT123" s="19">
        <v>67.2</v>
      </c>
      <c r="FU123" s="19">
        <v>82.3</v>
      </c>
      <c r="FV123" s="19">
        <v>81.3</v>
      </c>
      <c r="FW123" s="19">
        <v>80.3</v>
      </c>
      <c r="FX123" s="19">
        <v>79.3</v>
      </c>
      <c r="FY123" s="19">
        <v>78.3</v>
      </c>
      <c r="FZ123" s="19">
        <v>77.3</v>
      </c>
      <c r="GA123" s="19">
        <v>76.3</v>
      </c>
      <c r="GB123" s="19">
        <v>75.3</v>
      </c>
      <c r="GC123" s="19">
        <v>74.3</v>
      </c>
      <c r="GD123" s="19">
        <v>73.3</v>
      </c>
      <c r="GE123" s="19">
        <v>72.3</v>
      </c>
      <c r="GF123" s="19">
        <v>71.3</v>
      </c>
      <c r="GG123" s="19">
        <v>70.3</v>
      </c>
      <c r="GH123" s="19">
        <v>69.3</v>
      </c>
      <c r="GI123" s="19">
        <v>54.6</v>
      </c>
      <c r="GJ123" s="19">
        <v>53.8</v>
      </c>
      <c r="GK123" s="19">
        <v>52.8</v>
      </c>
      <c r="GL123" s="19">
        <v>51.8</v>
      </c>
      <c r="GM123" s="19">
        <v>50.8</v>
      </c>
      <c r="GN123" s="19">
        <v>49.8</v>
      </c>
      <c r="GO123" s="19">
        <v>48.8</v>
      </c>
      <c r="GP123" s="19">
        <v>47.8</v>
      </c>
      <c r="GQ123" s="19">
        <v>46.8</v>
      </c>
      <c r="GR123" s="19">
        <v>45.8</v>
      </c>
      <c r="GS123" s="19">
        <v>44.8</v>
      </c>
    </row>
    <row r="124">
      <c r="A124" s="2" t="s">
        <v>1033</v>
      </c>
      <c r="B124" s="2" t="s">
        <v>1019</v>
      </c>
      <c r="C124" s="2" t="s">
        <v>1020</v>
      </c>
      <c r="D124" s="2" t="s">
        <v>1021</v>
      </c>
      <c r="E124" s="2" t="s">
        <v>1022</v>
      </c>
      <c r="F124" s="2" t="s">
        <v>1023</v>
      </c>
      <c r="G124" s="2" t="s">
        <v>1023</v>
      </c>
      <c r="H124" s="2" t="s">
        <v>1023</v>
      </c>
      <c r="I124" s="2" t="s">
        <v>1024</v>
      </c>
      <c r="J124" s="2" t="s">
        <v>1025</v>
      </c>
      <c r="K124" s="2" t="s">
        <v>865</v>
      </c>
      <c r="L124" s="3">
        <v>20.14</v>
      </c>
      <c r="M124" s="3">
        <v>21.15</v>
      </c>
      <c r="N124" s="3">
        <v>44.99</v>
      </c>
      <c r="O124" s="2" t="s">
        <v>196</v>
      </c>
      <c r="P124" s="2" t="s">
        <v>841</v>
      </c>
      <c r="Q124" s="2" t="s">
        <v>198</v>
      </c>
      <c r="R124" s="2" t="s">
        <v>199</v>
      </c>
      <c r="S124" s="2" t="s">
        <v>1034</v>
      </c>
      <c r="T124" s="2" t="s">
        <v>1027</v>
      </c>
      <c r="U124" s="2" t="s">
        <v>280</v>
      </c>
      <c r="V124" s="2" t="s">
        <v>681</v>
      </c>
      <c r="W124" s="2" t="s">
        <v>1014</v>
      </c>
      <c r="X124" s="2" t="s">
        <v>529</v>
      </c>
      <c r="Y124" s="2" t="s">
        <v>1028</v>
      </c>
      <c r="Z124" s="4">
        <v>271</v>
      </c>
      <c r="AA124" s="4">
        <f>=ROUNDDOWN(67.75,0)</f>
      </c>
      <c r="AB124" s="5">
        <v>4</v>
      </c>
      <c r="AC124" s="2" t="s">
        <v>199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199</v>
      </c>
      <c r="BD124" s="8" t="s">
        <v>199</v>
      </c>
      <c r="BE124" s="4" t="s">
        <v>199</v>
      </c>
      <c r="BF124" s="8" t="s">
        <v>199</v>
      </c>
      <c r="BG124" s="7" t="s">
        <v>199</v>
      </c>
      <c r="BH124" s="7" t="s">
        <v>199</v>
      </c>
      <c r="BI124" s="7"/>
      <c r="BJ124" s="4">
        <v>74</v>
      </c>
      <c r="BK124" s="8">
        <v>1759.59</v>
      </c>
      <c r="BL124" s="2" t="s">
        <v>1035</v>
      </c>
      <c r="BM124" s="7"/>
      <c r="BN124" s="7"/>
      <c r="BO124" s="4"/>
      <c r="BP124" s="8"/>
      <c r="BQ124" s="4"/>
      <c r="BR124" s="8"/>
      <c r="BS124" s="7"/>
      <c r="BT124" s="7"/>
      <c r="BU124" s="2" t="s">
        <v>1030</v>
      </c>
      <c r="BV124" s="2" t="s">
        <v>199</v>
      </c>
      <c r="BW124" s="2" t="s">
        <v>199</v>
      </c>
      <c r="BX124" s="2" t="s">
        <v>208</v>
      </c>
      <c r="BY124" s="2" t="s">
        <v>209</v>
      </c>
      <c r="BZ124" s="2" t="s">
        <v>196</v>
      </c>
      <c r="CA124" s="2" t="s">
        <v>1031</v>
      </c>
      <c r="CB124" s="2" t="s">
        <v>199</v>
      </c>
      <c r="CC124" s="2" t="s">
        <v>212</v>
      </c>
      <c r="CD124" s="2" t="s">
        <v>199</v>
      </c>
      <c r="CE124" s="4">
        <v>271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>
        <v>274</v>
      </c>
      <c r="EU124" s="4">
        <v>267</v>
      </c>
      <c r="EV124" s="4">
        <v>264</v>
      </c>
      <c r="EW124" s="4">
        <v>261</v>
      </c>
      <c r="EX124" s="4">
        <v>258</v>
      </c>
      <c r="EY124" s="4">
        <v>255</v>
      </c>
      <c r="EZ124" s="4">
        <v>252</v>
      </c>
      <c r="FA124" s="4">
        <v>249</v>
      </c>
      <c r="FB124" s="4">
        <v>246</v>
      </c>
      <c r="FC124" s="4">
        <v>243</v>
      </c>
      <c r="FD124" s="4">
        <v>240</v>
      </c>
      <c r="FE124" s="4">
        <v>237</v>
      </c>
      <c r="FF124" s="4">
        <v>234</v>
      </c>
      <c r="FG124" s="4">
        <v>231</v>
      </c>
      <c r="FH124" s="4">
        <v>228</v>
      </c>
      <c r="FI124" s="4">
        <v>225</v>
      </c>
      <c r="FJ124" s="4">
        <v>222</v>
      </c>
      <c r="FK124" s="4">
        <v>219</v>
      </c>
      <c r="FL124" s="4">
        <v>216</v>
      </c>
      <c r="FM124" s="4">
        <v>213</v>
      </c>
      <c r="FN124" s="4">
        <v>210</v>
      </c>
      <c r="FO124" s="4">
        <v>207</v>
      </c>
      <c r="FP124" s="4">
        <v>204</v>
      </c>
      <c r="FQ124" s="4">
        <v>201</v>
      </c>
      <c r="FR124" s="4">
        <v>198</v>
      </c>
      <c r="FS124" s="4">
        <v>195</v>
      </c>
      <c r="FT124" s="19">
        <v>68.5</v>
      </c>
      <c r="FU124" s="19">
        <v>89</v>
      </c>
      <c r="FV124" s="19">
        <v>88</v>
      </c>
      <c r="FW124" s="19">
        <v>87</v>
      </c>
      <c r="FX124" s="19">
        <v>86</v>
      </c>
      <c r="FY124" s="19">
        <v>85</v>
      </c>
      <c r="FZ124" s="19">
        <v>84</v>
      </c>
      <c r="GA124" s="19">
        <v>83</v>
      </c>
      <c r="GB124" s="19">
        <v>82</v>
      </c>
      <c r="GC124" s="19">
        <v>81</v>
      </c>
      <c r="GD124" s="19">
        <v>80</v>
      </c>
      <c r="GE124" s="19">
        <v>79</v>
      </c>
      <c r="GF124" s="19">
        <v>78</v>
      </c>
      <c r="GG124" s="19">
        <v>77</v>
      </c>
      <c r="GH124" s="19">
        <v>76</v>
      </c>
      <c r="GI124" s="19">
        <v>75</v>
      </c>
      <c r="GJ124" s="19">
        <v>74</v>
      </c>
      <c r="GK124" s="19">
        <v>73</v>
      </c>
      <c r="GL124" s="19">
        <v>72</v>
      </c>
      <c r="GM124" s="19">
        <v>71</v>
      </c>
      <c r="GN124" s="19">
        <v>70</v>
      </c>
      <c r="GO124" s="19">
        <v>69</v>
      </c>
      <c r="GP124" s="19">
        <v>68</v>
      </c>
      <c r="GQ124" s="19">
        <v>67</v>
      </c>
      <c r="GR124" s="19">
        <v>66</v>
      </c>
      <c r="GS124" s="19">
        <v>65</v>
      </c>
    </row>
    <row r="125">
      <c r="A125" s="2" t="s">
        <v>1036</v>
      </c>
      <c r="B125" s="2" t="s">
        <v>1019</v>
      </c>
      <c r="C125" s="2" t="s">
        <v>1020</v>
      </c>
      <c r="D125" s="2" t="s">
        <v>1021</v>
      </c>
      <c r="E125" s="2" t="s">
        <v>1022</v>
      </c>
      <c r="F125" s="2" t="s">
        <v>1023</v>
      </c>
      <c r="G125" s="2" t="s">
        <v>1023</v>
      </c>
      <c r="H125" s="2" t="s">
        <v>1023</v>
      </c>
      <c r="I125" s="2" t="s">
        <v>1024</v>
      </c>
      <c r="J125" s="2" t="s">
        <v>1025</v>
      </c>
      <c r="K125" s="2" t="s">
        <v>1037</v>
      </c>
      <c r="L125" s="3">
        <v>20.14</v>
      </c>
      <c r="M125" s="3">
        <v>21.15</v>
      </c>
      <c r="N125" s="3">
        <v>44.99</v>
      </c>
      <c r="O125" s="2" t="s">
        <v>196</v>
      </c>
      <c r="P125" s="2" t="s">
        <v>197</v>
      </c>
      <c r="Q125" s="2" t="s">
        <v>198</v>
      </c>
      <c r="R125" s="2" t="s">
        <v>199</v>
      </c>
      <c r="S125" s="2" t="s">
        <v>1038</v>
      </c>
      <c r="T125" s="2" t="s">
        <v>1027</v>
      </c>
      <c r="U125" s="2" t="s">
        <v>280</v>
      </c>
      <c r="V125" s="2" t="s">
        <v>681</v>
      </c>
      <c r="W125" s="2" t="s">
        <v>1014</v>
      </c>
      <c r="X125" s="2" t="s">
        <v>529</v>
      </c>
      <c r="Y125" s="2" t="s">
        <v>1028</v>
      </c>
      <c r="Z125" s="4">
        <v>987</v>
      </c>
      <c r="AA125" s="4">
        <f>=ROUNDDOWN(89.7272727272727,0)</f>
      </c>
      <c r="AB125" s="5">
        <v>11</v>
      </c>
      <c r="AC125" s="2" t="s">
        <v>199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199</v>
      </c>
      <c r="BD125" s="8" t="s">
        <v>199</v>
      </c>
      <c r="BE125" s="4" t="s">
        <v>199</v>
      </c>
      <c r="BF125" s="8" t="s">
        <v>199</v>
      </c>
      <c r="BG125" s="7" t="s">
        <v>199</v>
      </c>
      <c r="BH125" s="7" t="s">
        <v>199</v>
      </c>
      <c r="BI125" s="7"/>
      <c r="BJ125" s="4">
        <v>59</v>
      </c>
      <c r="BK125" s="8">
        <v>1379.56</v>
      </c>
      <c r="BL125" s="2" t="s">
        <v>1039</v>
      </c>
      <c r="BM125" s="7"/>
      <c r="BN125" s="7"/>
      <c r="BO125" s="4"/>
      <c r="BP125" s="8"/>
      <c r="BQ125" s="4"/>
      <c r="BR125" s="8"/>
      <c r="BS125" s="7"/>
      <c r="BT125" s="7"/>
      <c r="BU125" s="2" t="s">
        <v>1030</v>
      </c>
      <c r="BV125" s="2" t="s">
        <v>199</v>
      </c>
      <c r="BW125" s="2" t="s">
        <v>199</v>
      </c>
      <c r="BX125" s="2" t="s">
        <v>208</v>
      </c>
      <c r="BY125" s="2" t="s">
        <v>209</v>
      </c>
      <c r="BZ125" s="2" t="s">
        <v>196</v>
      </c>
      <c r="CA125" s="2" t="s">
        <v>1031</v>
      </c>
      <c r="CB125" s="2" t="s">
        <v>1040</v>
      </c>
      <c r="CC125" s="2" t="s">
        <v>212</v>
      </c>
      <c r="CD125" s="2" t="s">
        <v>199</v>
      </c>
      <c r="CE125" s="4">
        <v>191</v>
      </c>
      <c r="CF125" s="4"/>
      <c r="CG125" s="4"/>
      <c r="CH125" s="4">
        <v>796</v>
      </c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>
        <v>992</v>
      </c>
      <c r="EU125" s="4">
        <v>980</v>
      </c>
      <c r="EV125" s="4">
        <v>971</v>
      </c>
      <c r="EW125" s="4">
        <v>962</v>
      </c>
      <c r="EX125" s="4">
        <v>953</v>
      </c>
      <c r="EY125" s="4">
        <v>944</v>
      </c>
      <c r="EZ125" s="4">
        <v>935</v>
      </c>
      <c r="FA125" s="4">
        <v>926</v>
      </c>
      <c r="FB125" s="4">
        <v>916</v>
      </c>
      <c r="FC125" s="4">
        <v>907</v>
      </c>
      <c r="FD125" s="4">
        <v>898</v>
      </c>
      <c r="FE125" s="4">
        <v>889</v>
      </c>
      <c r="FF125" s="4">
        <v>880</v>
      </c>
      <c r="FG125" s="4">
        <v>871</v>
      </c>
      <c r="FH125" s="4">
        <v>862</v>
      </c>
      <c r="FI125" s="4">
        <v>853</v>
      </c>
      <c r="FJ125" s="4">
        <v>844</v>
      </c>
      <c r="FK125" s="4">
        <v>835</v>
      </c>
      <c r="FL125" s="4">
        <v>826</v>
      </c>
      <c r="FM125" s="4">
        <v>817</v>
      </c>
      <c r="FN125" s="4">
        <v>808</v>
      </c>
      <c r="FO125" s="4">
        <v>799</v>
      </c>
      <c r="FP125" s="4">
        <v>789</v>
      </c>
      <c r="FQ125" s="4">
        <v>780</v>
      </c>
      <c r="FR125" s="4">
        <v>771</v>
      </c>
      <c r="FS125" s="4">
        <v>762</v>
      </c>
      <c r="FT125" s="19">
        <v>99.2</v>
      </c>
      <c r="FU125" s="19">
        <v>108.9</v>
      </c>
      <c r="FV125" s="19">
        <v>107.9</v>
      </c>
      <c r="FW125" s="19">
        <v>106.9</v>
      </c>
      <c r="FX125" s="19">
        <v>105.9</v>
      </c>
      <c r="FY125" s="19">
        <v>104.9</v>
      </c>
      <c r="FZ125" s="19">
        <v>103.9</v>
      </c>
      <c r="GA125" s="19">
        <v>102.9</v>
      </c>
      <c r="GB125" s="19">
        <v>101.8</v>
      </c>
      <c r="GC125" s="19">
        <v>100.8</v>
      </c>
      <c r="GD125" s="19">
        <v>99.8</v>
      </c>
      <c r="GE125" s="19">
        <v>98.8</v>
      </c>
      <c r="GF125" s="19">
        <v>97.8</v>
      </c>
      <c r="GG125" s="19">
        <v>96.8</v>
      </c>
      <c r="GH125" s="19">
        <v>95.8</v>
      </c>
      <c r="GI125" s="19">
        <v>94.8</v>
      </c>
      <c r="GJ125" s="19">
        <v>93.8</v>
      </c>
      <c r="GK125" s="19">
        <v>92.8</v>
      </c>
      <c r="GL125" s="19">
        <v>91.8</v>
      </c>
      <c r="GM125" s="19">
        <v>90.8</v>
      </c>
      <c r="GN125" s="19">
        <v>89.8</v>
      </c>
      <c r="GO125" s="19">
        <v>88.8</v>
      </c>
      <c r="GP125" s="19">
        <v>87.7</v>
      </c>
      <c r="GQ125" s="19">
        <v>78</v>
      </c>
      <c r="GR125" s="19">
        <v>77.1</v>
      </c>
      <c r="GS125" s="19">
        <v>76.2</v>
      </c>
    </row>
    <row r="126">
      <c r="A126" s="2" t="s">
        <v>1041</v>
      </c>
      <c r="B126" s="2" t="s">
        <v>554</v>
      </c>
      <c r="C126" s="2" t="s">
        <v>246</v>
      </c>
      <c r="D126" s="2" t="s">
        <v>861</v>
      </c>
      <c r="E126" s="2" t="s">
        <v>556</v>
      </c>
      <c r="F126" s="2" t="s">
        <v>1042</v>
      </c>
      <c r="G126" s="2" t="s">
        <v>1042</v>
      </c>
      <c r="H126" s="2" t="s">
        <v>1042</v>
      </c>
      <c r="I126" s="2" t="s">
        <v>1043</v>
      </c>
      <c r="J126" s="2" t="s">
        <v>559</v>
      </c>
      <c r="K126" s="2" t="s">
        <v>620</v>
      </c>
      <c r="L126" s="3">
        <v>69.19</v>
      </c>
      <c r="M126" s="3">
        <v>72.65</v>
      </c>
      <c r="N126" s="3">
        <v>135.99</v>
      </c>
      <c r="O126" s="2" t="s">
        <v>196</v>
      </c>
      <c r="P126" s="2" t="s">
        <v>197</v>
      </c>
      <c r="Q126" s="2" t="s">
        <v>198</v>
      </c>
      <c r="R126" s="2" t="s">
        <v>199</v>
      </c>
      <c r="S126" s="2" t="s">
        <v>1044</v>
      </c>
      <c r="T126" s="2" t="s">
        <v>199</v>
      </c>
      <c r="U126" s="2" t="s">
        <v>492</v>
      </c>
      <c r="V126" s="2" t="s">
        <v>562</v>
      </c>
      <c r="W126" s="2" t="s">
        <v>510</v>
      </c>
      <c r="X126" s="2" t="s">
        <v>1045</v>
      </c>
      <c r="Y126" s="2" t="s">
        <v>1046</v>
      </c>
      <c r="Z126" s="4">
        <v>55</v>
      </c>
      <c r="AA126" s="4">
        <f>=ROUNDDOWN(18.3333333333333,0)</f>
      </c>
      <c r="AB126" s="5">
        <v>3</v>
      </c>
      <c r="AC126" s="2" t="s">
        <v>199</v>
      </c>
      <c r="AD126" s="4"/>
      <c r="AE126" s="4"/>
      <c r="AF126" s="6">
        <v>61</v>
      </c>
      <c r="AG126" s="6">
        <v>44</v>
      </c>
      <c r="AH126" s="7">
        <v>1</v>
      </c>
      <c r="AI126" s="4"/>
      <c r="AJ126" s="4">
        <f>=ROUNDDOWN({0},0)</f>
      </c>
      <c r="AK126" s="5"/>
      <c r="AL126" s="2" t="s">
        <v>199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</v>
      </c>
      <c r="BK126" s="8">
        <v>374.07</v>
      </c>
      <c r="BL126" s="2" t="s">
        <v>1047</v>
      </c>
      <c r="BM126" s="7"/>
      <c r="BN126" s="7"/>
      <c r="BO126" s="4"/>
      <c r="BP126" s="8"/>
      <c r="BQ126" s="4"/>
      <c r="BR126" s="8"/>
      <c r="BS126" s="7"/>
      <c r="BT126" s="7"/>
      <c r="BU126" s="2" t="s">
        <v>1048</v>
      </c>
      <c r="BV126" s="2" t="s">
        <v>199</v>
      </c>
      <c r="BW126" s="2" t="s">
        <v>199</v>
      </c>
      <c r="BX126" s="2" t="s">
        <v>208</v>
      </c>
      <c r="BY126" s="2" t="s">
        <v>209</v>
      </c>
      <c r="BZ126" s="2" t="s">
        <v>196</v>
      </c>
      <c r="CA126" s="2" t="s">
        <v>1049</v>
      </c>
      <c r="CB126" s="2" t="s">
        <v>1050</v>
      </c>
      <c r="CC126" s="2" t="s">
        <v>212</v>
      </c>
      <c r="CD126" s="2" t="s">
        <v>199</v>
      </c>
      <c r="CE126" s="4"/>
      <c r="CF126" s="4">
        <v>1</v>
      </c>
      <c r="CG126" s="4"/>
      <c r="CH126" s="4">
        <v>54</v>
      </c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>
        <v>56</v>
      </c>
      <c r="EU126" s="4">
        <v>54</v>
      </c>
      <c r="EV126" s="4">
        <v>51</v>
      </c>
      <c r="EW126" s="4">
        <v>48</v>
      </c>
      <c r="EX126" s="4">
        <v>45</v>
      </c>
      <c r="EY126" s="4">
        <v>42</v>
      </c>
      <c r="EZ126" s="4">
        <v>39</v>
      </c>
      <c r="FA126" s="4">
        <v>36</v>
      </c>
      <c r="FB126" s="4">
        <v>33</v>
      </c>
      <c r="FC126" s="4">
        <v>30</v>
      </c>
      <c r="FD126" s="4">
        <v>27</v>
      </c>
      <c r="FE126" s="4">
        <v>24</v>
      </c>
      <c r="FF126" s="4">
        <v>21</v>
      </c>
      <c r="FG126" s="4">
        <v>18</v>
      </c>
      <c r="FH126" s="4">
        <v>15</v>
      </c>
      <c r="FI126" s="4">
        <v>12</v>
      </c>
      <c r="FJ126" s="4">
        <v>9</v>
      </c>
      <c r="FK126" s="4">
        <v>6</v>
      </c>
      <c r="FL126" s="4">
        <v>3</v>
      </c>
      <c r="FM126" s="4">
        <v>100</v>
      </c>
      <c r="FN126" s="4">
        <v>97</v>
      </c>
      <c r="FO126" s="4">
        <v>94</v>
      </c>
      <c r="FP126" s="4">
        <v>91</v>
      </c>
      <c r="FQ126" s="4">
        <v>88</v>
      </c>
      <c r="FR126" s="4">
        <v>85</v>
      </c>
      <c r="FS126" s="4">
        <v>82</v>
      </c>
      <c r="FT126" s="19">
        <v>13.8</v>
      </c>
      <c r="FU126" s="19">
        <v>9</v>
      </c>
      <c r="FV126" s="19">
        <v>8.5</v>
      </c>
      <c r="FW126" s="19">
        <v>8</v>
      </c>
      <c r="FX126" s="19">
        <v>7.5</v>
      </c>
      <c r="FY126" s="19">
        <v>7</v>
      </c>
      <c r="FZ126" s="19">
        <v>6.5</v>
      </c>
      <c r="GA126" s="19">
        <v>6</v>
      </c>
      <c r="GB126" s="19">
        <v>5.5</v>
      </c>
      <c r="GC126" s="19">
        <v>5</v>
      </c>
      <c r="GD126" s="19">
        <v>4.5</v>
      </c>
      <c r="GE126" s="19">
        <v>4</v>
      </c>
      <c r="GF126" s="19">
        <v>3.5</v>
      </c>
      <c r="GG126" s="19">
        <v>3</v>
      </c>
      <c r="GH126" s="19">
        <v>2.5</v>
      </c>
      <c r="GI126" s="19">
        <v>2</v>
      </c>
      <c r="GJ126" s="19">
        <v>2.3</v>
      </c>
      <c r="GK126" s="19">
        <v>1.5</v>
      </c>
      <c r="GL126" s="19">
        <v>1.5</v>
      </c>
      <c r="GM126" s="19">
        <v>16.7</v>
      </c>
      <c r="GN126" s="19">
        <v>16.2</v>
      </c>
      <c r="GO126" s="19">
        <v>15.7</v>
      </c>
      <c r="GP126" s="19">
        <v>15.2</v>
      </c>
      <c r="GQ126" s="19">
        <v>14.7</v>
      </c>
      <c r="GR126" s="19">
        <v>14.2</v>
      </c>
      <c r="GS126" s="19">
        <v>13.7</v>
      </c>
    </row>
    <row r="127">
      <c r="A127" s="2" t="s">
        <v>1051</v>
      </c>
      <c r="B127" s="2" t="s">
        <v>613</v>
      </c>
      <c r="C127" s="2" t="s">
        <v>604</v>
      </c>
      <c r="D127" s="2" t="s">
        <v>614</v>
      </c>
      <c r="E127" s="2" t="s">
        <v>1052</v>
      </c>
      <c r="F127" s="2" t="s">
        <v>1053</v>
      </c>
      <c r="G127" s="2" t="s">
        <v>1053</v>
      </c>
      <c r="H127" s="2" t="s">
        <v>1053</v>
      </c>
      <c r="I127" s="2" t="s">
        <v>1054</v>
      </c>
      <c r="J127" s="2" t="s">
        <v>559</v>
      </c>
      <c r="K127" s="2" t="s">
        <v>765</v>
      </c>
      <c r="L127" s="3">
        <v>213.75</v>
      </c>
      <c r="M127" s="3">
        <v>224.44</v>
      </c>
      <c r="N127" s="3">
        <v>449</v>
      </c>
      <c r="O127" s="2" t="s">
        <v>196</v>
      </c>
      <c r="P127" s="2" t="s">
        <v>197</v>
      </c>
      <c r="Q127" s="2" t="s">
        <v>198</v>
      </c>
      <c r="R127" s="2" t="s">
        <v>199</v>
      </c>
      <c r="S127" s="2" t="s">
        <v>199</v>
      </c>
      <c r="T127" s="2" t="s">
        <v>199</v>
      </c>
      <c r="U127" s="2" t="s">
        <v>280</v>
      </c>
      <c r="V127" s="2" t="s">
        <v>493</v>
      </c>
      <c r="W127" s="2" t="s">
        <v>623</v>
      </c>
      <c r="X127" s="2" t="s">
        <v>203</v>
      </c>
      <c r="Y127" s="2" t="s">
        <v>1055</v>
      </c>
      <c r="Z127" s="4">
        <v>248</v>
      </c>
      <c r="AA127" s="4">
        <f>=ROUNDDOWN(88.5714285714286,0)</f>
      </c>
      <c r="AB127" s="5">
        <v>2.8</v>
      </c>
      <c r="AC127" s="2" t="s">
        <v>199</v>
      </c>
      <c r="AD127" s="4"/>
      <c r="AE127" s="4"/>
      <c r="AF127" s="6">
        <v>74</v>
      </c>
      <c r="AG127" s="6"/>
      <c r="AH127" s="7">
        <v>1</v>
      </c>
      <c r="AI127" s="4"/>
      <c r="AJ127" s="4">
        <f>=ROUNDDOWN({0},0)</f>
      </c>
      <c r="AK127" s="5"/>
      <c r="AL127" s="2" t="s">
        <v>199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3</v>
      </c>
      <c r="BK127" s="8">
        <v>722.69</v>
      </c>
      <c r="BL127" s="2" t="s">
        <v>1056</v>
      </c>
      <c r="BM127" s="7"/>
      <c r="BN127" s="7"/>
      <c r="BO127" s="4"/>
      <c r="BP127" s="8"/>
      <c r="BQ127" s="4"/>
      <c r="BR127" s="8"/>
      <c r="BS127" s="7"/>
      <c r="BT127" s="7"/>
      <c r="BU127" s="2" t="s">
        <v>1057</v>
      </c>
      <c r="BV127" s="2" t="s">
        <v>199</v>
      </c>
      <c r="BW127" s="2" t="s">
        <v>199</v>
      </c>
      <c r="BX127" s="2" t="s">
        <v>208</v>
      </c>
      <c r="BY127" s="2" t="s">
        <v>209</v>
      </c>
      <c r="BZ127" s="2" t="s">
        <v>196</v>
      </c>
      <c r="CA127" s="2" t="s">
        <v>1058</v>
      </c>
      <c r="CB127" s="2" t="s">
        <v>1059</v>
      </c>
      <c r="CC127" s="2" t="s">
        <v>212</v>
      </c>
      <c r="CD127" s="2" t="s">
        <v>199</v>
      </c>
      <c r="CE127" s="4"/>
      <c r="CF127" s="4">
        <v>248</v>
      </c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>
        <v>256</v>
      </c>
      <c r="EU127" s="4">
        <v>247</v>
      </c>
      <c r="EV127" s="4">
        <v>244</v>
      </c>
      <c r="EW127" s="4">
        <v>242</v>
      </c>
      <c r="EX127" s="4">
        <v>240</v>
      </c>
      <c r="EY127" s="4">
        <v>237</v>
      </c>
      <c r="EZ127" s="4">
        <v>234</v>
      </c>
      <c r="FA127" s="4">
        <v>231</v>
      </c>
      <c r="FB127" s="4">
        <v>228</v>
      </c>
      <c r="FC127" s="4">
        <v>225</v>
      </c>
      <c r="FD127" s="4">
        <v>222</v>
      </c>
      <c r="FE127" s="4">
        <v>219</v>
      </c>
      <c r="FF127" s="4">
        <v>216</v>
      </c>
      <c r="FG127" s="4">
        <v>213</v>
      </c>
      <c r="FH127" s="4">
        <v>210</v>
      </c>
      <c r="FI127" s="4">
        <v>207</v>
      </c>
      <c r="FJ127" s="4">
        <v>204</v>
      </c>
      <c r="FK127" s="4">
        <v>201</v>
      </c>
      <c r="FL127" s="4">
        <v>198</v>
      </c>
      <c r="FM127" s="4">
        <v>195</v>
      </c>
      <c r="FN127" s="4">
        <v>192</v>
      </c>
      <c r="FO127" s="4">
        <v>189</v>
      </c>
      <c r="FP127" s="4">
        <v>186</v>
      </c>
      <c r="FQ127" s="4">
        <v>183</v>
      </c>
      <c r="FR127" s="4">
        <v>180</v>
      </c>
      <c r="FS127" s="4">
        <v>177</v>
      </c>
      <c r="FT127" s="19">
        <v>64</v>
      </c>
      <c r="FU127" s="19">
        <v>123.5</v>
      </c>
      <c r="FV127" s="19">
        <v>122</v>
      </c>
      <c r="FW127" s="19">
        <v>80.7</v>
      </c>
      <c r="FX127" s="19">
        <v>80</v>
      </c>
      <c r="FY127" s="19">
        <v>79</v>
      </c>
      <c r="FZ127" s="19">
        <v>78</v>
      </c>
      <c r="GA127" s="19">
        <v>77</v>
      </c>
      <c r="GB127" s="19">
        <v>76</v>
      </c>
      <c r="GC127" s="19">
        <v>75</v>
      </c>
      <c r="GD127" s="19">
        <v>74</v>
      </c>
      <c r="GE127" s="19">
        <v>73</v>
      </c>
      <c r="GF127" s="19">
        <v>72</v>
      </c>
      <c r="GG127" s="19">
        <v>71</v>
      </c>
      <c r="GH127" s="19">
        <v>70</v>
      </c>
      <c r="GI127" s="19">
        <v>69</v>
      </c>
      <c r="GJ127" s="19">
        <v>68</v>
      </c>
      <c r="GK127" s="19">
        <v>67</v>
      </c>
      <c r="GL127" s="19">
        <v>66</v>
      </c>
      <c r="GM127" s="19">
        <v>65</v>
      </c>
      <c r="GN127" s="19">
        <v>64</v>
      </c>
      <c r="GO127" s="19">
        <v>63</v>
      </c>
      <c r="GP127" s="19">
        <v>62</v>
      </c>
      <c r="GQ127" s="19">
        <v>61</v>
      </c>
      <c r="GR127" s="19">
        <v>60</v>
      </c>
      <c r="GS127" s="19">
        <v>59</v>
      </c>
    </row>
    <row r="128">
      <c r="A128" s="2" t="s">
        <v>1060</v>
      </c>
      <c r="B128" s="2" t="s">
        <v>630</v>
      </c>
      <c r="C128" s="2" t="s">
        <v>987</v>
      </c>
      <c r="D128" s="2" t="s">
        <v>228</v>
      </c>
      <c r="E128" s="2" t="s">
        <v>988</v>
      </c>
      <c r="F128" s="2" t="s">
        <v>1061</v>
      </c>
      <c r="G128" s="2" t="s">
        <v>1062</v>
      </c>
      <c r="H128" s="2" t="s">
        <v>1063</v>
      </c>
      <c r="I128" s="2" t="s">
        <v>1064</v>
      </c>
      <c r="J128" s="2" t="s">
        <v>1011</v>
      </c>
      <c r="K128" s="2" t="s">
        <v>1065</v>
      </c>
      <c r="L128" s="3">
        <v>23.8</v>
      </c>
      <c r="M128" s="3">
        <v>24.99</v>
      </c>
      <c r="N128" s="3">
        <v>44.99</v>
      </c>
      <c r="O128" s="2" t="s">
        <v>196</v>
      </c>
      <c r="P128" s="2" t="s">
        <v>197</v>
      </c>
      <c r="Q128" s="2" t="s">
        <v>198</v>
      </c>
      <c r="R128" s="2" t="s">
        <v>199</v>
      </c>
      <c r="S128" s="2" t="s">
        <v>1066</v>
      </c>
      <c r="T128" s="2" t="s">
        <v>1067</v>
      </c>
      <c r="U128" s="2" t="s">
        <v>853</v>
      </c>
      <c r="V128" s="2" t="s">
        <v>301</v>
      </c>
      <c r="W128" s="2" t="s">
        <v>510</v>
      </c>
      <c r="X128" s="2" t="s">
        <v>203</v>
      </c>
      <c r="Y128" s="2" t="s">
        <v>1068</v>
      </c>
      <c r="Z128" s="4">
        <v>244</v>
      </c>
      <c r="AA128" s="4">
        <f>=ROUNDDOWN(61,0)</f>
      </c>
      <c r="AB128" s="5">
        <v>4</v>
      </c>
      <c r="AC128" s="2" t="s">
        <v>892</v>
      </c>
      <c r="AD128" s="4">
        <v>300</v>
      </c>
      <c r="AE128" s="4">
        <v>300</v>
      </c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199</v>
      </c>
      <c r="BD128" s="8" t="s">
        <v>199</v>
      </c>
      <c r="BE128" s="4" t="s">
        <v>199</v>
      </c>
      <c r="BF128" s="8" t="s">
        <v>199</v>
      </c>
      <c r="BG128" s="7" t="s">
        <v>199</v>
      </c>
      <c r="BH128" s="7" t="s">
        <v>199</v>
      </c>
      <c r="BI128" s="7"/>
      <c r="BJ128" s="4">
        <v>24</v>
      </c>
      <c r="BK128" s="8">
        <v>646.19</v>
      </c>
      <c r="BL128" s="2" t="s">
        <v>1069</v>
      </c>
      <c r="BM128" s="7"/>
      <c r="BN128" s="7"/>
      <c r="BO128" s="4"/>
      <c r="BP128" s="8"/>
      <c r="BQ128" s="4"/>
      <c r="BR128" s="8"/>
      <c r="BS128" s="7"/>
      <c r="BT128" s="7"/>
      <c r="BU128" s="2" t="s">
        <v>1070</v>
      </c>
      <c r="BV128" s="2" t="s">
        <v>199</v>
      </c>
      <c r="BW128" s="2" t="s">
        <v>199</v>
      </c>
      <c r="BX128" s="2" t="s">
        <v>998</v>
      </c>
      <c r="BY128" s="2" t="s">
        <v>209</v>
      </c>
      <c r="BZ128" s="2" t="s">
        <v>196</v>
      </c>
      <c r="CA128" s="2" t="s">
        <v>1071</v>
      </c>
      <c r="CB128" s="2" t="s">
        <v>199</v>
      </c>
      <c r="CC128" s="2" t="s">
        <v>212</v>
      </c>
      <c r="CD128" s="2" t="s">
        <v>199</v>
      </c>
      <c r="CE128" s="4"/>
      <c r="CF128" s="4"/>
      <c r="CG128" s="4"/>
      <c r="CH128" s="4">
        <v>244</v>
      </c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>
        <v>300</v>
      </c>
      <c r="EN128" s="4"/>
      <c r="EO128" s="4"/>
      <c r="EP128" s="4"/>
      <c r="EQ128" s="4"/>
      <c r="ER128" s="4"/>
      <c r="ES128" s="4"/>
      <c r="ET128" s="4">
        <v>245</v>
      </c>
      <c r="EU128" s="4">
        <v>241</v>
      </c>
      <c r="EV128" s="4">
        <v>238</v>
      </c>
      <c r="EW128" s="4">
        <v>235</v>
      </c>
      <c r="EX128" s="4">
        <v>232</v>
      </c>
      <c r="EY128" s="4">
        <v>229</v>
      </c>
      <c r="EZ128" s="4">
        <v>226</v>
      </c>
      <c r="FA128" s="4">
        <v>223</v>
      </c>
      <c r="FB128" s="4">
        <v>219</v>
      </c>
      <c r="FC128" s="4">
        <v>215</v>
      </c>
      <c r="FD128" s="4">
        <v>211</v>
      </c>
      <c r="FE128" s="4">
        <v>207</v>
      </c>
      <c r="FF128" s="4">
        <v>203</v>
      </c>
      <c r="FG128" s="4">
        <v>199</v>
      </c>
      <c r="FH128" s="4">
        <v>195</v>
      </c>
      <c r="FI128" s="4">
        <v>191</v>
      </c>
      <c r="FJ128" s="4">
        <v>487</v>
      </c>
      <c r="FK128" s="4">
        <v>483</v>
      </c>
      <c r="FL128" s="4">
        <v>479</v>
      </c>
      <c r="FM128" s="4">
        <v>475</v>
      </c>
      <c r="FN128" s="4">
        <v>471</v>
      </c>
      <c r="FO128" s="4">
        <v>467</v>
      </c>
      <c r="FP128" s="4">
        <v>463</v>
      </c>
      <c r="FQ128" s="4">
        <v>459</v>
      </c>
      <c r="FR128" s="4">
        <v>455</v>
      </c>
      <c r="FS128" s="4">
        <v>451</v>
      </c>
      <c r="FT128" s="19">
        <v>40.9</v>
      </c>
      <c r="FU128" s="19">
        <v>40.2</v>
      </c>
      <c r="FV128" s="19">
        <v>39.7</v>
      </c>
      <c r="FW128" s="19">
        <v>39.2</v>
      </c>
      <c r="FX128" s="19">
        <v>38.7</v>
      </c>
      <c r="FY128" s="19">
        <v>28.7</v>
      </c>
      <c r="FZ128" s="19">
        <v>28.3</v>
      </c>
      <c r="GA128" s="19">
        <v>27.9</v>
      </c>
      <c r="GB128" s="19">
        <v>27.4</v>
      </c>
      <c r="GC128" s="19">
        <v>26.9</v>
      </c>
      <c r="GD128" s="19">
        <v>26.4</v>
      </c>
      <c r="GE128" s="19">
        <v>25.9</v>
      </c>
      <c r="GF128" s="19">
        <v>25.4</v>
      </c>
      <c r="GG128" s="19">
        <v>33.2</v>
      </c>
      <c r="GH128" s="19">
        <v>48.8</v>
      </c>
      <c r="GI128" s="19">
        <v>47.8</v>
      </c>
      <c r="GJ128" s="19">
        <v>143.5</v>
      </c>
      <c r="GK128" s="19">
        <v>142.5</v>
      </c>
      <c r="GL128" s="19">
        <v>141.5</v>
      </c>
      <c r="GM128" s="19">
        <v>140.5</v>
      </c>
      <c r="GN128" s="19">
        <v>139.5</v>
      </c>
      <c r="GO128" s="19">
        <v>138.5</v>
      </c>
      <c r="GP128" s="19">
        <v>137.5</v>
      </c>
      <c r="GQ128" s="19">
        <v>136.5</v>
      </c>
      <c r="GR128" s="19">
        <v>135.5</v>
      </c>
      <c r="GS128" s="19">
        <v>134.5</v>
      </c>
    </row>
    <row r="129">
      <c r="A129" s="2" t="s">
        <v>1072</v>
      </c>
      <c r="B129" s="2" t="s">
        <v>630</v>
      </c>
      <c r="C129" s="2" t="s">
        <v>987</v>
      </c>
      <c r="D129" s="2" t="s">
        <v>228</v>
      </c>
      <c r="E129" s="2" t="s">
        <v>988</v>
      </c>
      <c r="F129" s="2" t="s">
        <v>1061</v>
      </c>
      <c r="G129" s="2" t="s">
        <v>1062</v>
      </c>
      <c r="H129" s="2" t="s">
        <v>1063</v>
      </c>
      <c r="I129" s="2" t="s">
        <v>1064</v>
      </c>
      <c r="J129" s="2" t="s">
        <v>1011</v>
      </c>
      <c r="K129" s="2" t="s">
        <v>1073</v>
      </c>
      <c r="L129" s="3">
        <v>23.8</v>
      </c>
      <c r="M129" s="3">
        <v>24.99</v>
      </c>
      <c r="N129" s="3">
        <v>44.99</v>
      </c>
      <c r="O129" s="2" t="s">
        <v>196</v>
      </c>
      <c r="P129" s="2" t="s">
        <v>197</v>
      </c>
      <c r="Q129" s="2" t="s">
        <v>198</v>
      </c>
      <c r="R129" s="2" t="s">
        <v>199</v>
      </c>
      <c r="S129" s="2" t="s">
        <v>1074</v>
      </c>
      <c r="T129" s="2" t="s">
        <v>1067</v>
      </c>
      <c r="U129" s="2" t="s">
        <v>853</v>
      </c>
      <c r="V129" s="2" t="s">
        <v>301</v>
      </c>
      <c r="W129" s="2" t="s">
        <v>510</v>
      </c>
      <c r="X129" s="2" t="s">
        <v>203</v>
      </c>
      <c r="Y129" s="2" t="s">
        <v>1068</v>
      </c>
      <c r="Z129" s="4">
        <v>404</v>
      </c>
      <c r="AA129" s="4">
        <f>=ROUNDDOWN(74.8148148148148,0)</f>
      </c>
      <c r="AB129" s="5">
        <v>5.4</v>
      </c>
      <c r="AC129" s="2" t="s">
        <v>892</v>
      </c>
      <c r="AD129" s="4">
        <v>300</v>
      </c>
      <c r="AE129" s="4">
        <v>300</v>
      </c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199</v>
      </c>
      <c r="BD129" s="8" t="s">
        <v>199</v>
      </c>
      <c r="BE129" s="4" t="s">
        <v>199</v>
      </c>
      <c r="BF129" s="8" t="s">
        <v>199</v>
      </c>
      <c r="BG129" s="7" t="s">
        <v>199</v>
      </c>
      <c r="BH129" s="7" t="s">
        <v>199</v>
      </c>
      <c r="BI129" s="7"/>
      <c r="BJ129" s="4">
        <v>41</v>
      </c>
      <c r="BK129" s="8">
        <v>1081.82</v>
      </c>
      <c r="BL129" s="2" t="s">
        <v>327</v>
      </c>
      <c r="BM129" s="7"/>
      <c r="BN129" s="7"/>
      <c r="BO129" s="4"/>
      <c r="BP129" s="8"/>
      <c r="BQ129" s="4"/>
      <c r="BR129" s="8"/>
      <c r="BS129" s="7"/>
      <c r="BT129" s="7"/>
      <c r="BU129" s="2" t="s">
        <v>1070</v>
      </c>
      <c r="BV129" s="2" t="s">
        <v>199</v>
      </c>
      <c r="BW129" s="2" t="s">
        <v>199</v>
      </c>
      <c r="BX129" s="2" t="s">
        <v>998</v>
      </c>
      <c r="BY129" s="2" t="s">
        <v>209</v>
      </c>
      <c r="BZ129" s="2" t="s">
        <v>196</v>
      </c>
      <c r="CA129" s="2" t="s">
        <v>1071</v>
      </c>
      <c r="CB129" s="2" t="s">
        <v>1075</v>
      </c>
      <c r="CC129" s="2" t="s">
        <v>212</v>
      </c>
      <c r="CD129" s="2" t="s">
        <v>199</v>
      </c>
      <c r="CE129" s="4"/>
      <c r="CF129" s="4"/>
      <c r="CG129" s="4"/>
      <c r="CH129" s="4">
        <v>404</v>
      </c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>
        <v>300</v>
      </c>
      <c r="EN129" s="4"/>
      <c r="EO129" s="4"/>
      <c r="EP129" s="4"/>
      <c r="EQ129" s="4"/>
      <c r="ER129" s="4"/>
      <c r="ES129" s="4"/>
      <c r="ET129" s="4">
        <v>407</v>
      </c>
      <c r="EU129" s="4">
        <v>402</v>
      </c>
      <c r="EV129" s="4">
        <v>397</v>
      </c>
      <c r="EW129" s="4">
        <v>392</v>
      </c>
      <c r="EX129" s="4">
        <v>387</v>
      </c>
      <c r="EY129" s="4">
        <v>382</v>
      </c>
      <c r="EZ129" s="4">
        <v>377</v>
      </c>
      <c r="FA129" s="4">
        <v>372</v>
      </c>
      <c r="FB129" s="4">
        <v>367</v>
      </c>
      <c r="FC129" s="4">
        <v>362</v>
      </c>
      <c r="FD129" s="4">
        <v>357</v>
      </c>
      <c r="FE129" s="4">
        <v>352</v>
      </c>
      <c r="FF129" s="4">
        <v>347</v>
      </c>
      <c r="FG129" s="4">
        <v>342</v>
      </c>
      <c r="FH129" s="4">
        <v>337</v>
      </c>
      <c r="FI129" s="4">
        <v>332</v>
      </c>
      <c r="FJ129" s="4">
        <v>627</v>
      </c>
      <c r="FK129" s="4">
        <v>622</v>
      </c>
      <c r="FL129" s="4">
        <v>617</v>
      </c>
      <c r="FM129" s="4">
        <v>612</v>
      </c>
      <c r="FN129" s="4">
        <v>607</v>
      </c>
      <c r="FO129" s="4">
        <v>602</v>
      </c>
      <c r="FP129" s="4">
        <v>596</v>
      </c>
      <c r="FQ129" s="4">
        <v>591</v>
      </c>
      <c r="FR129" s="4">
        <v>586</v>
      </c>
      <c r="FS129" s="4">
        <v>581</v>
      </c>
      <c r="FT129" s="19">
        <v>40.7</v>
      </c>
      <c r="FU129" s="19">
        <v>40.2</v>
      </c>
      <c r="FV129" s="19">
        <v>39.7</v>
      </c>
      <c r="FW129" s="19">
        <v>39.2</v>
      </c>
      <c r="FX129" s="19">
        <v>38.7</v>
      </c>
      <c r="FY129" s="19">
        <v>38.2</v>
      </c>
      <c r="FZ129" s="19">
        <v>37.7</v>
      </c>
      <c r="GA129" s="19">
        <v>37.2</v>
      </c>
      <c r="GB129" s="19">
        <v>36.7</v>
      </c>
      <c r="GC129" s="19">
        <v>36.2</v>
      </c>
      <c r="GD129" s="19">
        <v>35.7</v>
      </c>
      <c r="GE129" s="19">
        <v>35.2</v>
      </c>
      <c r="GF129" s="19">
        <v>34.7</v>
      </c>
      <c r="GG129" s="19">
        <v>42.8</v>
      </c>
      <c r="GH129" s="19">
        <v>56.2</v>
      </c>
      <c r="GI129" s="19">
        <v>83</v>
      </c>
      <c r="GJ129" s="19">
        <v>201</v>
      </c>
      <c r="GK129" s="19">
        <v>200</v>
      </c>
      <c r="GL129" s="19">
        <v>199</v>
      </c>
      <c r="GM129" s="19">
        <v>198</v>
      </c>
      <c r="GN129" s="19">
        <v>197</v>
      </c>
      <c r="GO129" s="19">
        <v>196</v>
      </c>
      <c r="GP129" s="19">
        <v>194.9</v>
      </c>
      <c r="GQ129" s="19">
        <v>193.9</v>
      </c>
      <c r="GR129" s="19">
        <v>192.9</v>
      </c>
      <c r="GS129" s="19">
        <v>191.9</v>
      </c>
    </row>
    <row r="130">
      <c r="A130" s="2" t="s">
        <v>1076</v>
      </c>
      <c r="B130" s="2" t="s">
        <v>613</v>
      </c>
      <c r="C130" s="2" t="s">
        <v>246</v>
      </c>
      <c r="D130" s="2" t="s">
        <v>1077</v>
      </c>
      <c r="E130" s="2" t="s">
        <v>1078</v>
      </c>
      <c r="F130" s="2" t="s">
        <v>1079</v>
      </c>
      <c r="G130" s="2" t="s">
        <v>1080</v>
      </c>
      <c r="H130" s="2" t="s">
        <v>1081</v>
      </c>
      <c r="I130" s="2" t="s">
        <v>1082</v>
      </c>
      <c r="J130" s="2" t="s">
        <v>559</v>
      </c>
      <c r="K130" s="2" t="s">
        <v>371</v>
      </c>
      <c r="L130" s="3">
        <v>276</v>
      </c>
      <c r="M130" s="3">
        <v>289.8</v>
      </c>
      <c r="N130" s="3">
        <v>579</v>
      </c>
      <c r="O130" s="2" t="s">
        <v>196</v>
      </c>
      <c r="P130" s="2" t="s">
        <v>841</v>
      </c>
      <c r="Q130" s="2" t="s">
        <v>198</v>
      </c>
      <c r="R130" s="2" t="s">
        <v>199</v>
      </c>
      <c r="S130" s="2" t="s">
        <v>1083</v>
      </c>
      <c r="T130" s="2" t="s">
        <v>199</v>
      </c>
      <c r="U130" s="2" t="s">
        <v>280</v>
      </c>
      <c r="V130" s="2" t="s">
        <v>202</v>
      </c>
      <c r="W130" s="2" t="s">
        <v>623</v>
      </c>
      <c r="X130" s="2" t="s">
        <v>199</v>
      </c>
      <c r="Y130" s="2" t="s">
        <v>1084</v>
      </c>
      <c r="Z130" s="4">
        <v>182</v>
      </c>
      <c r="AA130" s="4">
        <f>=ROUNDDOWN(91,0)</f>
      </c>
      <c r="AB130" s="5">
        <v>2</v>
      </c>
      <c r="AC130" s="2" t="s">
        <v>199</v>
      </c>
      <c r="AD130" s="4"/>
      <c r="AE130" s="4"/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199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7</v>
      </c>
      <c r="BK130" s="8">
        <v>2007.86</v>
      </c>
      <c r="BL130" s="2" t="s">
        <v>1085</v>
      </c>
      <c r="BM130" s="7"/>
      <c r="BN130" s="7"/>
      <c r="BO130" s="4"/>
      <c r="BP130" s="8"/>
      <c r="BQ130" s="4"/>
      <c r="BR130" s="8"/>
      <c r="BS130" s="7"/>
      <c r="BT130" s="7"/>
      <c r="BU130" s="2" t="s">
        <v>1086</v>
      </c>
      <c r="BV130" s="2" t="s">
        <v>199</v>
      </c>
      <c r="BW130" s="2" t="s">
        <v>199</v>
      </c>
      <c r="BX130" s="2" t="s">
        <v>208</v>
      </c>
      <c r="BY130" s="2" t="s">
        <v>209</v>
      </c>
      <c r="BZ130" s="2" t="s">
        <v>196</v>
      </c>
      <c r="CA130" s="2" t="s">
        <v>1087</v>
      </c>
      <c r="CB130" s="2" t="s">
        <v>1088</v>
      </c>
      <c r="CC130" s="2" t="s">
        <v>212</v>
      </c>
      <c r="CD130" s="2" t="s">
        <v>199</v>
      </c>
      <c r="CE130" s="4"/>
      <c r="CF130" s="4">
        <v>182</v>
      </c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>
        <v>183</v>
      </c>
      <c r="EU130" s="4">
        <v>182</v>
      </c>
      <c r="EV130" s="4">
        <v>180</v>
      </c>
      <c r="EW130" s="4">
        <v>179</v>
      </c>
      <c r="EX130" s="4">
        <v>178</v>
      </c>
      <c r="EY130" s="4">
        <v>176</v>
      </c>
      <c r="EZ130" s="4">
        <v>174</v>
      </c>
      <c r="FA130" s="4">
        <v>172</v>
      </c>
      <c r="FB130" s="4">
        <v>170</v>
      </c>
      <c r="FC130" s="4">
        <v>168</v>
      </c>
      <c r="FD130" s="4">
        <v>166</v>
      </c>
      <c r="FE130" s="4">
        <v>164</v>
      </c>
      <c r="FF130" s="4">
        <v>162</v>
      </c>
      <c r="FG130" s="4">
        <v>160</v>
      </c>
      <c r="FH130" s="4">
        <v>158</v>
      </c>
      <c r="FI130" s="4">
        <v>156</v>
      </c>
      <c r="FJ130" s="4">
        <v>154</v>
      </c>
      <c r="FK130" s="4">
        <v>152</v>
      </c>
      <c r="FL130" s="4">
        <v>150</v>
      </c>
      <c r="FM130" s="4">
        <v>148</v>
      </c>
      <c r="FN130" s="4">
        <v>146</v>
      </c>
      <c r="FO130" s="4">
        <v>144</v>
      </c>
      <c r="FP130" s="4">
        <v>142</v>
      </c>
      <c r="FQ130" s="4">
        <v>140</v>
      </c>
      <c r="FR130" s="4">
        <v>138</v>
      </c>
      <c r="FS130" s="4">
        <v>136</v>
      </c>
      <c r="FT130" s="19">
        <v>183</v>
      </c>
      <c r="FU130" s="19">
        <v>91</v>
      </c>
      <c r="FV130" s="19">
        <v>90</v>
      </c>
      <c r="FW130" s="19">
        <v>89.5</v>
      </c>
      <c r="FX130" s="19">
        <v>89</v>
      </c>
      <c r="FY130" s="19">
        <v>88</v>
      </c>
      <c r="FZ130" s="19">
        <v>87</v>
      </c>
      <c r="GA130" s="19">
        <v>86</v>
      </c>
      <c r="GB130" s="19">
        <v>85</v>
      </c>
      <c r="GC130" s="19">
        <v>84</v>
      </c>
      <c r="GD130" s="19">
        <v>83</v>
      </c>
      <c r="GE130" s="19">
        <v>82</v>
      </c>
      <c r="GF130" s="19">
        <v>81</v>
      </c>
      <c r="GG130" s="19">
        <v>80</v>
      </c>
      <c r="GH130" s="19">
        <v>79</v>
      </c>
      <c r="GI130" s="19">
        <v>78</v>
      </c>
      <c r="GJ130" s="19">
        <v>77</v>
      </c>
      <c r="GK130" s="19">
        <v>76</v>
      </c>
      <c r="GL130" s="19">
        <v>75</v>
      </c>
      <c r="GM130" s="19">
        <v>74</v>
      </c>
      <c r="GN130" s="19">
        <v>73</v>
      </c>
      <c r="GO130" s="19">
        <v>72</v>
      </c>
      <c r="GP130" s="19">
        <v>71</v>
      </c>
      <c r="GQ130" s="19">
        <v>70</v>
      </c>
      <c r="GR130" s="19">
        <v>69</v>
      </c>
      <c r="GS130" s="19">
        <v>68</v>
      </c>
    </row>
    <row r="131">
      <c r="A131" s="2" t="s">
        <v>1089</v>
      </c>
      <c r="B131" s="2" t="s">
        <v>630</v>
      </c>
      <c r="C131" s="2" t="s">
        <v>1020</v>
      </c>
      <c r="D131" s="2" t="s">
        <v>228</v>
      </c>
      <c r="E131" s="2" t="s">
        <v>988</v>
      </c>
      <c r="F131" s="2" t="s">
        <v>1090</v>
      </c>
      <c r="G131" s="2" t="s">
        <v>1090</v>
      </c>
      <c r="H131" s="2" t="s">
        <v>1090</v>
      </c>
      <c r="I131" s="2" t="s">
        <v>1091</v>
      </c>
      <c r="J131" s="2" t="s">
        <v>1011</v>
      </c>
      <c r="K131" s="2" t="s">
        <v>1037</v>
      </c>
      <c r="L131" s="3">
        <v>45.71</v>
      </c>
      <c r="M131" s="3">
        <v>48</v>
      </c>
      <c r="N131" s="3">
        <v>99.99</v>
      </c>
      <c r="O131" s="2" t="s">
        <v>196</v>
      </c>
      <c r="P131" s="2" t="s">
        <v>197</v>
      </c>
      <c r="Q131" s="2" t="s">
        <v>198</v>
      </c>
      <c r="R131" s="2" t="s">
        <v>199</v>
      </c>
      <c r="S131" s="2" t="s">
        <v>1092</v>
      </c>
      <c r="T131" s="2" t="s">
        <v>1093</v>
      </c>
      <c r="U131" s="2" t="s">
        <v>853</v>
      </c>
      <c r="V131" s="2" t="s">
        <v>638</v>
      </c>
      <c r="W131" s="2" t="s">
        <v>1094</v>
      </c>
      <c r="X131" s="2" t="s">
        <v>623</v>
      </c>
      <c r="Y131" s="2" t="s">
        <v>1095</v>
      </c>
      <c r="Z131" s="4">
        <v>260</v>
      </c>
      <c r="AA131" s="4">
        <f>=ROUNDDOWN(65,0)</f>
      </c>
      <c r="AB131" s="5">
        <v>4</v>
      </c>
      <c r="AC131" s="2" t="s">
        <v>199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199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7</v>
      </c>
      <c r="BK131" s="8">
        <v>366.25</v>
      </c>
      <c r="BL131" s="2" t="s">
        <v>1096</v>
      </c>
      <c r="BM131" s="7"/>
      <c r="BN131" s="7"/>
      <c r="BO131" s="4"/>
      <c r="BP131" s="8"/>
      <c r="BQ131" s="4"/>
      <c r="BR131" s="8"/>
      <c r="BS131" s="7"/>
      <c r="BT131" s="7"/>
      <c r="BU131" s="2" t="s">
        <v>1097</v>
      </c>
      <c r="BV131" s="2" t="s">
        <v>199</v>
      </c>
      <c r="BW131" s="2" t="s">
        <v>199</v>
      </c>
      <c r="BX131" s="2" t="s">
        <v>208</v>
      </c>
      <c r="BY131" s="2" t="s">
        <v>209</v>
      </c>
      <c r="BZ131" s="2" t="s">
        <v>196</v>
      </c>
      <c r="CA131" s="2" t="s">
        <v>1098</v>
      </c>
      <c r="CB131" s="2" t="s">
        <v>1099</v>
      </c>
      <c r="CC131" s="2" t="s">
        <v>212</v>
      </c>
      <c r="CD131" s="2" t="s">
        <v>199</v>
      </c>
      <c r="CE131" s="4">
        <v>260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>
        <v>261</v>
      </c>
      <c r="EU131" s="4">
        <v>254</v>
      </c>
      <c r="EV131" s="4">
        <v>247</v>
      </c>
      <c r="EW131" s="4">
        <v>240</v>
      </c>
      <c r="EX131" s="4">
        <v>233</v>
      </c>
      <c r="EY131" s="4">
        <v>229</v>
      </c>
      <c r="EZ131" s="4">
        <v>225</v>
      </c>
      <c r="FA131" s="4">
        <v>221</v>
      </c>
      <c r="FB131" s="4">
        <v>217</v>
      </c>
      <c r="FC131" s="4">
        <v>213</v>
      </c>
      <c r="FD131" s="4">
        <v>209</v>
      </c>
      <c r="FE131" s="4">
        <v>205</v>
      </c>
      <c r="FF131" s="4">
        <v>201</v>
      </c>
      <c r="FG131" s="4">
        <v>197</v>
      </c>
      <c r="FH131" s="4">
        <v>193</v>
      </c>
      <c r="FI131" s="4">
        <v>189</v>
      </c>
      <c r="FJ131" s="4">
        <v>185</v>
      </c>
      <c r="FK131" s="4">
        <v>181</v>
      </c>
      <c r="FL131" s="4">
        <v>177</v>
      </c>
      <c r="FM131" s="4">
        <v>173</v>
      </c>
      <c r="FN131" s="4">
        <v>169</v>
      </c>
      <c r="FO131" s="4">
        <v>165</v>
      </c>
      <c r="FP131" s="4">
        <v>161</v>
      </c>
      <c r="FQ131" s="4">
        <v>157</v>
      </c>
      <c r="FR131" s="4">
        <v>153</v>
      </c>
      <c r="FS131" s="4">
        <v>149</v>
      </c>
      <c r="FT131" s="19">
        <v>37.3</v>
      </c>
      <c r="FU131" s="19">
        <v>42.3</v>
      </c>
      <c r="FV131" s="19">
        <v>41.2</v>
      </c>
      <c r="FW131" s="19">
        <v>48</v>
      </c>
      <c r="FX131" s="19">
        <v>58.3</v>
      </c>
      <c r="FY131" s="19">
        <v>57.3</v>
      </c>
      <c r="FZ131" s="19">
        <v>56.3</v>
      </c>
      <c r="GA131" s="19">
        <v>55.3</v>
      </c>
      <c r="GB131" s="19">
        <v>54.3</v>
      </c>
      <c r="GC131" s="19">
        <v>53.3</v>
      </c>
      <c r="GD131" s="19">
        <v>52.3</v>
      </c>
      <c r="GE131" s="19">
        <v>51.3</v>
      </c>
      <c r="GF131" s="19">
        <v>50.3</v>
      </c>
      <c r="GG131" s="19">
        <v>49.3</v>
      </c>
      <c r="GH131" s="19">
        <v>48.3</v>
      </c>
      <c r="GI131" s="19">
        <v>47.3</v>
      </c>
      <c r="GJ131" s="19">
        <v>46.3</v>
      </c>
      <c r="GK131" s="19">
        <v>45.3</v>
      </c>
      <c r="GL131" s="19">
        <v>44.3</v>
      </c>
      <c r="GM131" s="19">
        <v>43.3</v>
      </c>
      <c r="GN131" s="19">
        <v>42.3</v>
      </c>
      <c r="GO131" s="19">
        <v>41.3</v>
      </c>
      <c r="GP131" s="19">
        <v>40.3</v>
      </c>
      <c r="GQ131" s="19">
        <v>39.3</v>
      </c>
      <c r="GR131" s="19">
        <v>38.3</v>
      </c>
      <c r="GS131" s="19">
        <v>37.3</v>
      </c>
    </row>
    <row r="132">
      <c r="A132" s="2" t="s">
        <v>1100</v>
      </c>
      <c r="B132" s="2" t="s">
        <v>1019</v>
      </c>
      <c r="C132" s="2" t="s">
        <v>604</v>
      </c>
      <c r="D132" s="2" t="s">
        <v>264</v>
      </c>
      <c r="E132" s="2" t="s">
        <v>265</v>
      </c>
      <c r="F132" s="2" t="s">
        <v>1101</v>
      </c>
      <c r="G132" s="2" t="s">
        <v>1101</v>
      </c>
      <c r="H132" s="2" t="s">
        <v>1101</v>
      </c>
      <c r="I132" s="2" t="s">
        <v>1102</v>
      </c>
      <c r="J132" s="2" t="s">
        <v>1103</v>
      </c>
      <c r="K132" s="2" t="s">
        <v>1104</v>
      </c>
      <c r="L132" s="3">
        <v>10.58</v>
      </c>
      <c r="M132" s="3">
        <v>11.11</v>
      </c>
      <c r="N132" s="3">
        <v>22.99</v>
      </c>
      <c r="O132" s="2" t="s">
        <v>196</v>
      </c>
      <c r="P132" s="2" t="s">
        <v>841</v>
      </c>
      <c r="Q132" s="2" t="s">
        <v>198</v>
      </c>
      <c r="R132" s="2" t="s">
        <v>199</v>
      </c>
      <c r="S132" s="2" t="s">
        <v>1105</v>
      </c>
      <c r="T132" s="2" t="s">
        <v>1106</v>
      </c>
      <c r="U132" s="2" t="s">
        <v>280</v>
      </c>
      <c r="V132" s="2" t="s">
        <v>202</v>
      </c>
      <c r="W132" s="2" t="s">
        <v>203</v>
      </c>
      <c r="X132" s="2" t="s">
        <v>712</v>
      </c>
      <c r="Y132" s="2" t="s">
        <v>683</v>
      </c>
      <c r="Z132" s="4">
        <v>509</v>
      </c>
      <c r="AA132" s="4">
        <f>=ROUNDDOWN(509,0)</f>
      </c>
      <c r="AB132" s="5">
        <v>1</v>
      </c>
      <c r="AC132" s="2" t="s">
        <v>199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199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199</v>
      </c>
      <c r="AW132" s="8" t="s">
        <v>199</v>
      </c>
      <c r="AX132" s="4" t="s">
        <v>199</v>
      </c>
      <c r="AY132" s="8" t="s">
        <v>199</v>
      </c>
      <c r="AZ132" s="7" t="s">
        <v>199</v>
      </c>
      <c r="BA132" s="7" t="s">
        <v>199</v>
      </c>
      <c r="BB132" s="7"/>
      <c r="BC132" s="4" t="s">
        <v>199</v>
      </c>
      <c r="BD132" s="8" t="s">
        <v>199</v>
      </c>
      <c r="BE132" s="4" t="s">
        <v>199</v>
      </c>
      <c r="BF132" s="8" t="s">
        <v>199</v>
      </c>
      <c r="BG132" s="7" t="s">
        <v>199</v>
      </c>
      <c r="BH132" s="7" t="s">
        <v>199</v>
      </c>
      <c r="BI132" s="7"/>
      <c r="BJ132" s="4">
        <v>1</v>
      </c>
      <c r="BK132" s="8">
        <v>11.66</v>
      </c>
      <c r="BL132" s="2" t="s">
        <v>1107</v>
      </c>
      <c r="BM132" s="7"/>
      <c r="BN132" s="7"/>
      <c r="BO132" s="4"/>
      <c r="BP132" s="8"/>
      <c r="BQ132" s="4"/>
      <c r="BR132" s="8"/>
      <c r="BS132" s="7"/>
      <c r="BT132" s="7"/>
      <c r="BU132" s="2" t="s">
        <v>1108</v>
      </c>
      <c r="BV132" s="2" t="s">
        <v>199</v>
      </c>
      <c r="BW132" s="2" t="s">
        <v>199</v>
      </c>
      <c r="BX132" s="2" t="s">
        <v>208</v>
      </c>
      <c r="BY132" s="2" t="s">
        <v>209</v>
      </c>
      <c r="BZ132" s="2" t="s">
        <v>196</v>
      </c>
      <c r="CA132" s="2" t="s">
        <v>365</v>
      </c>
      <c r="CB132" s="2" t="s">
        <v>1109</v>
      </c>
      <c r="CC132" s="2" t="s">
        <v>212</v>
      </c>
      <c r="CD132" s="2" t="s">
        <v>199</v>
      </c>
      <c r="CE132" s="4">
        <v>509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>
        <v>510</v>
      </c>
      <c r="EU132" s="4">
        <v>507</v>
      </c>
      <c r="EV132" s="4">
        <v>505</v>
      </c>
      <c r="EW132" s="4">
        <v>503</v>
      </c>
      <c r="EX132" s="4">
        <v>501</v>
      </c>
      <c r="EY132" s="4">
        <v>499</v>
      </c>
      <c r="EZ132" s="4">
        <v>498</v>
      </c>
      <c r="FA132" s="4">
        <v>497</v>
      </c>
      <c r="FB132" s="4">
        <v>496</v>
      </c>
      <c r="FC132" s="4">
        <v>495</v>
      </c>
      <c r="FD132" s="4">
        <v>493</v>
      </c>
      <c r="FE132" s="4">
        <v>491</v>
      </c>
      <c r="FF132" s="4">
        <v>489</v>
      </c>
      <c r="FG132" s="4">
        <v>487</v>
      </c>
      <c r="FH132" s="4">
        <v>485</v>
      </c>
      <c r="FI132" s="4">
        <v>483</v>
      </c>
      <c r="FJ132" s="4">
        <v>481</v>
      </c>
      <c r="FK132" s="4">
        <v>479</v>
      </c>
      <c r="FL132" s="4">
        <v>477</v>
      </c>
      <c r="FM132" s="4">
        <v>475</v>
      </c>
      <c r="FN132" s="4">
        <v>473</v>
      </c>
      <c r="FO132" s="4">
        <v>471</v>
      </c>
      <c r="FP132" s="4">
        <v>469</v>
      </c>
      <c r="FQ132" s="4">
        <v>468</v>
      </c>
      <c r="FR132" s="4">
        <v>467</v>
      </c>
      <c r="FS132" s="4">
        <v>466</v>
      </c>
      <c r="FT132" s="19">
        <v>255</v>
      </c>
      <c r="FU132" s="19">
        <v>253.5</v>
      </c>
      <c r="FV132" s="19">
        <v>252.5</v>
      </c>
      <c r="FW132" s="19">
        <v>251.5</v>
      </c>
      <c r="FX132" s="19">
        <v>501</v>
      </c>
      <c r="FY132" s="19">
        <v>499</v>
      </c>
      <c r="FZ132" s="19">
        <v>498</v>
      </c>
      <c r="GA132" s="19">
        <v>248.5</v>
      </c>
      <c r="GB132" s="19">
        <v>248</v>
      </c>
      <c r="GC132" s="19">
        <v>247.5</v>
      </c>
      <c r="GD132" s="19">
        <v>246.5</v>
      </c>
      <c r="GE132" s="19">
        <v>245.5</v>
      </c>
      <c r="GF132" s="19">
        <v>244.5</v>
      </c>
      <c r="GG132" s="19">
        <v>243.5</v>
      </c>
      <c r="GH132" s="19">
        <v>242.5</v>
      </c>
      <c r="GI132" s="19">
        <v>241.5</v>
      </c>
      <c r="GJ132" s="19">
        <v>240.5</v>
      </c>
      <c r="GK132" s="19">
        <v>239.5</v>
      </c>
      <c r="GL132" s="19">
        <v>238.5</v>
      </c>
      <c r="GM132" s="19">
        <v>237.5</v>
      </c>
      <c r="GN132" s="19">
        <v>236.5</v>
      </c>
      <c r="GO132" s="19">
        <v>471</v>
      </c>
      <c r="GP132" s="19">
        <v>469</v>
      </c>
      <c r="GQ132" s="19">
        <v>468</v>
      </c>
      <c r="GR132" s="19">
        <v>467</v>
      </c>
      <c r="GS132" s="19">
        <v>466</v>
      </c>
    </row>
    <row r="133">
      <c r="A133" s="2" t="s">
        <v>1110</v>
      </c>
      <c r="B133" s="2" t="s">
        <v>1019</v>
      </c>
      <c r="C133" s="2" t="s">
        <v>604</v>
      </c>
      <c r="D133" s="2" t="s">
        <v>264</v>
      </c>
      <c r="E133" s="2" t="s">
        <v>265</v>
      </c>
      <c r="F133" s="2" t="s">
        <v>1101</v>
      </c>
      <c r="G133" s="2" t="s">
        <v>1101</v>
      </c>
      <c r="H133" s="2" t="s">
        <v>1101</v>
      </c>
      <c r="I133" s="2" t="s">
        <v>1111</v>
      </c>
      <c r="J133" s="2" t="s">
        <v>1112</v>
      </c>
      <c r="K133" s="2" t="s">
        <v>1104</v>
      </c>
      <c r="L133" s="3">
        <v>12.96</v>
      </c>
      <c r="M133" s="3">
        <v>13.61</v>
      </c>
      <c r="N133" s="3">
        <v>26.99</v>
      </c>
      <c r="O133" s="2" t="s">
        <v>196</v>
      </c>
      <c r="P133" s="2" t="s">
        <v>841</v>
      </c>
      <c r="Q133" s="2" t="s">
        <v>198</v>
      </c>
      <c r="R133" s="2" t="s">
        <v>199</v>
      </c>
      <c r="S133" s="2" t="s">
        <v>1105</v>
      </c>
      <c r="T133" s="2" t="s">
        <v>1106</v>
      </c>
      <c r="U133" s="2" t="s">
        <v>280</v>
      </c>
      <c r="V133" s="2" t="s">
        <v>202</v>
      </c>
      <c r="W133" s="2" t="s">
        <v>203</v>
      </c>
      <c r="X133" s="2" t="s">
        <v>712</v>
      </c>
      <c r="Y133" s="2" t="s">
        <v>683</v>
      </c>
      <c r="Z133" s="4">
        <v>697</v>
      </c>
      <c r="AA133" s="4">
        <f>=ROUNDDOWN(248.928571428571,0)</f>
      </c>
      <c r="AB133" s="5">
        <v>2.8</v>
      </c>
      <c r="AC133" s="2" t="s">
        <v>199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199</v>
      </c>
      <c r="AW133" s="8" t="s">
        <v>199</v>
      </c>
      <c r="AX133" s="4" t="s">
        <v>199</v>
      </c>
      <c r="AY133" s="8" t="s">
        <v>199</v>
      </c>
      <c r="AZ133" s="7" t="s">
        <v>199</v>
      </c>
      <c r="BA133" s="7" t="s">
        <v>199</v>
      </c>
      <c r="BB133" s="7"/>
      <c r="BC133" s="4" t="s">
        <v>199</v>
      </c>
      <c r="BD133" s="8" t="s">
        <v>199</v>
      </c>
      <c r="BE133" s="4" t="s">
        <v>199</v>
      </c>
      <c r="BF133" s="8" t="s">
        <v>199</v>
      </c>
      <c r="BG133" s="7" t="s">
        <v>199</v>
      </c>
      <c r="BH133" s="7" t="s">
        <v>199</v>
      </c>
      <c r="BI133" s="7"/>
      <c r="BJ133" s="4">
        <v>2</v>
      </c>
      <c r="BK133" s="8">
        <v>29.34</v>
      </c>
      <c r="BL133" s="2" t="s">
        <v>932</v>
      </c>
      <c r="BM133" s="7"/>
      <c r="BN133" s="7"/>
      <c r="BO133" s="4"/>
      <c r="BP133" s="8"/>
      <c r="BQ133" s="4"/>
      <c r="BR133" s="8"/>
      <c r="BS133" s="7"/>
      <c r="BT133" s="7"/>
      <c r="BU133" s="2" t="s">
        <v>1113</v>
      </c>
      <c r="BV133" s="2" t="s">
        <v>199</v>
      </c>
      <c r="BW133" s="2" t="s">
        <v>199</v>
      </c>
      <c r="BX133" s="2" t="s">
        <v>208</v>
      </c>
      <c r="BY133" s="2" t="s">
        <v>209</v>
      </c>
      <c r="BZ133" s="2" t="s">
        <v>196</v>
      </c>
      <c r="CA133" s="2" t="s">
        <v>365</v>
      </c>
      <c r="CB133" s="2" t="s">
        <v>199</v>
      </c>
      <c r="CC133" s="2" t="s">
        <v>212</v>
      </c>
      <c r="CD133" s="2" t="s">
        <v>199</v>
      </c>
      <c r="CE133" s="4">
        <v>697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>
        <v>698</v>
      </c>
      <c r="EU133" s="4">
        <v>681</v>
      </c>
      <c r="EV133" s="4">
        <v>677</v>
      </c>
      <c r="EW133" s="4">
        <v>672</v>
      </c>
      <c r="EX133" s="4">
        <v>667</v>
      </c>
      <c r="EY133" s="4">
        <v>662</v>
      </c>
      <c r="EZ133" s="4">
        <v>658</v>
      </c>
      <c r="FA133" s="4">
        <v>654</v>
      </c>
      <c r="FB133" s="4">
        <v>650</v>
      </c>
      <c r="FC133" s="4">
        <v>646</v>
      </c>
      <c r="FD133" s="4">
        <v>640</v>
      </c>
      <c r="FE133" s="4">
        <v>634</v>
      </c>
      <c r="FF133" s="4">
        <v>628</v>
      </c>
      <c r="FG133" s="4">
        <v>622</v>
      </c>
      <c r="FH133" s="4">
        <v>617</v>
      </c>
      <c r="FI133" s="4">
        <v>612</v>
      </c>
      <c r="FJ133" s="4">
        <v>608</v>
      </c>
      <c r="FK133" s="4">
        <v>604</v>
      </c>
      <c r="FL133" s="4">
        <v>600</v>
      </c>
      <c r="FM133" s="4">
        <v>596</v>
      </c>
      <c r="FN133" s="4">
        <v>592</v>
      </c>
      <c r="FO133" s="4">
        <v>588</v>
      </c>
      <c r="FP133" s="4">
        <v>584</v>
      </c>
      <c r="FQ133" s="4">
        <v>581</v>
      </c>
      <c r="FR133" s="4">
        <v>577</v>
      </c>
      <c r="FS133" s="4">
        <v>573</v>
      </c>
      <c r="FT133" s="19">
        <v>87.3</v>
      </c>
      <c r="FU133" s="19">
        <v>136.2</v>
      </c>
      <c r="FV133" s="19">
        <v>135.4</v>
      </c>
      <c r="FW133" s="19">
        <v>168</v>
      </c>
      <c r="FX133" s="19">
        <v>166.8</v>
      </c>
      <c r="FY133" s="19">
        <v>165.5</v>
      </c>
      <c r="FZ133" s="19">
        <v>164.5</v>
      </c>
      <c r="GA133" s="19">
        <v>130.8</v>
      </c>
      <c r="GB133" s="19">
        <v>108.3</v>
      </c>
      <c r="GC133" s="19">
        <v>107.7</v>
      </c>
      <c r="GD133" s="19">
        <v>106.7</v>
      </c>
      <c r="GE133" s="19">
        <v>105.7</v>
      </c>
      <c r="GF133" s="19">
        <v>125.6</v>
      </c>
      <c r="GG133" s="19">
        <v>155.5</v>
      </c>
      <c r="GH133" s="19">
        <v>154.3</v>
      </c>
      <c r="GI133" s="19">
        <v>153</v>
      </c>
      <c r="GJ133" s="19">
        <v>152</v>
      </c>
      <c r="GK133" s="19">
        <v>151</v>
      </c>
      <c r="GL133" s="19">
        <v>150</v>
      </c>
      <c r="GM133" s="19">
        <v>149</v>
      </c>
      <c r="GN133" s="19">
        <v>148</v>
      </c>
      <c r="GO133" s="19">
        <v>147</v>
      </c>
      <c r="GP133" s="19">
        <v>146</v>
      </c>
      <c r="GQ133" s="19">
        <v>145.3</v>
      </c>
      <c r="GR133" s="19">
        <v>144.3</v>
      </c>
      <c r="GS133" s="19">
        <v>143.3</v>
      </c>
    </row>
    <row r="134">
      <c r="A134" s="2" t="s">
        <v>1114</v>
      </c>
      <c r="B134" s="2" t="s">
        <v>1019</v>
      </c>
      <c r="C134" s="2" t="s">
        <v>604</v>
      </c>
      <c r="D134" s="2" t="s">
        <v>264</v>
      </c>
      <c r="E134" s="2" t="s">
        <v>265</v>
      </c>
      <c r="F134" s="2" t="s">
        <v>1101</v>
      </c>
      <c r="G134" s="2" t="s">
        <v>1101</v>
      </c>
      <c r="H134" s="2" t="s">
        <v>1101</v>
      </c>
      <c r="I134" s="2" t="s">
        <v>1111</v>
      </c>
      <c r="J134" s="2" t="s">
        <v>1112</v>
      </c>
      <c r="K134" s="2" t="s">
        <v>1115</v>
      </c>
      <c r="L134" s="3">
        <v>12.96</v>
      </c>
      <c r="M134" s="3">
        <v>13.61</v>
      </c>
      <c r="N134" s="3">
        <v>26.99</v>
      </c>
      <c r="O134" s="2" t="s">
        <v>196</v>
      </c>
      <c r="P134" s="2" t="s">
        <v>841</v>
      </c>
      <c r="Q134" s="2" t="s">
        <v>198</v>
      </c>
      <c r="R134" s="2" t="s">
        <v>199</v>
      </c>
      <c r="S134" s="2" t="s">
        <v>1116</v>
      </c>
      <c r="T134" s="2" t="s">
        <v>1106</v>
      </c>
      <c r="U134" s="2" t="s">
        <v>280</v>
      </c>
      <c r="V134" s="2" t="s">
        <v>202</v>
      </c>
      <c r="W134" s="2" t="s">
        <v>203</v>
      </c>
      <c r="X134" s="2" t="s">
        <v>712</v>
      </c>
      <c r="Y134" s="2" t="s">
        <v>683</v>
      </c>
      <c r="Z134" s="4">
        <v>171</v>
      </c>
      <c r="AA134" s="4">
        <f>=ROUNDDOWN(213.75,0)</f>
      </c>
      <c r="AB134" s="5">
        <v>0.8</v>
      </c>
      <c r="AC134" s="2" t="s">
        <v>199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199</v>
      </c>
      <c r="AW134" s="8" t="s">
        <v>199</v>
      </c>
      <c r="AX134" s="4" t="s">
        <v>199</v>
      </c>
      <c r="AY134" s="8" t="s">
        <v>199</v>
      </c>
      <c r="AZ134" s="7" t="s">
        <v>199</v>
      </c>
      <c r="BA134" s="7" t="s">
        <v>199</v>
      </c>
      <c r="BB134" s="7"/>
      <c r="BC134" s="4" t="s">
        <v>199</v>
      </c>
      <c r="BD134" s="8" t="s">
        <v>199</v>
      </c>
      <c r="BE134" s="4" t="s">
        <v>199</v>
      </c>
      <c r="BF134" s="8" t="s">
        <v>199</v>
      </c>
      <c r="BG134" s="7" t="s">
        <v>199</v>
      </c>
      <c r="BH134" s="7" t="s">
        <v>199</v>
      </c>
      <c r="BI134" s="7"/>
      <c r="BJ134" s="4">
        <v>19</v>
      </c>
      <c r="BK134" s="8">
        <v>261.71</v>
      </c>
      <c r="BL134" s="2" t="s">
        <v>1117</v>
      </c>
      <c r="BM134" s="7"/>
      <c r="BN134" s="7"/>
      <c r="BO134" s="4"/>
      <c r="BP134" s="8"/>
      <c r="BQ134" s="4"/>
      <c r="BR134" s="8"/>
      <c r="BS134" s="7"/>
      <c r="BT134" s="7"/>
      <c r="BU134" s="2" t="s">
        <v>1113</v>
      </c>
      <c r="BV134" s="2" t="s">
        <v>199</v>
      </c>
      <c r="BW134" s="2" t="s">
        <v>199</v>
      </c>
      <c r="BX134" s="2" t="s">
        <v>208</v>
      </c>
      <c r="BY134" s="2" t="s">
        <v>209</v>
      </c>
      <c r="BZ134" s="2" t="s">
        <v>196</v>
      </c>
      <c r="CA134" s="2" t="s">
        <v>365</v>
      </c>
      <c r="CB134" s="2" t="s">
        <v>1118</v>
      </c>
      <c r="CC134" s="2" t="s">
        <v>212</v>
      </c>
      <c r="CD134" s="2" t="s">
        <v>199</v>
      </c>
      <c r="CE134" s="4">
        <v>171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>
        <v>173</v>
      </c>
      <c r="EU134" s="4">
        <v>171</v>
      </c>
      <c r="EV134" s="4">
        <v>169</v>
      </c>
      <c r="EW134" s="4">
        <v>167</v>
      </c>
      <c r="EX134" s="4">
        <v>165</v>
      </c>
      <c r="EY134" s="4">
        <v>163</v>
      </c>
      <c r="EZ134" s="4">
        <v>162</v>
      </c>
      <c r="FA134" s="4">
        <v>161</v>
      </c>
      <c r="FB134" s="4">
        <v>160</v>
      </c>
      <c r="FC134" s="4">
        <v>159</v>
      </c>
      <c r="FD134" s="4">
        <v>157</v>
      </c>
      <c r="FE134" s="4">
        <v>155</v>
      </c>
      <c r="FF134" s="4">
        <v>153</v>
      </c>
      <c r="FG134" s="4">
        <v>151</v>
      </c>
      <c r="FH134" s="4">
        <v>149</v>
      </c>
      <c r="FI134" s="4">
        <v>147</v>
      </c>
      <c r="FJ134" s="4">
        <v>145</v>
      </c>
      <c r="FK134" s="4">
        <v>143</v>
      </c>
      <c r="FL134" s="4">
        <v>141</v>
      </c>
      <c r="FM134" s="4">
        <v>139</v>
      </c>
      <c r="FN134" s="4">
        <v>137</v>
      </c>
      <c r="FO134" s="4">
        <v>135</v>
      </c>
      <c r="FP134" s="4">
        <v>133</v>
      </c>
      <c r="FQ134" s="4">
        <v>132</v>
      </c>
      <c r="FR134" s="4">
        <v>131</v>
      </c>
      <c r="FS134" s="4">
        <v>130</v>
      </c>
      <c r="FT134" s="19">
        <v>86.5</v>
      </c>
      <c r="FU134" s="19">
        <v>85.5</v>
      </c>
      <c r="FV134" s="19">
        <v>84.5</v>
      </c>
      <c r="FW134" s="19">
        <v>83.5</v>
      </c>
      <c r="FX134" s="19">
        <v>165</v>
      </c>
      <c r="FY134" s="19">
        <v>163</v>
      </c>
      <c r="FZ134" s="19">
        <v>162</v>
      </c>
      <c r="GA134" s="19">
        <v>80.5</v>
      </c>
      <c r="GB134" s="19">
        <v>80</v>
      </c>
      <c r="GC134" s="19">
        <v>79.5</v>
      </c>
      <c r="GD134" s="19">
        <v>78.5</v>
      </c>
      <c r="GE134" s="19">
        <v>77.5</v>
      </c>
      <c r="GF134" s="19">
        <v>76.5</v>
      </c>
      <c r="GG134" s="19">
        <v>75.5</v>
      </c>
      <c r="GH134" s="19">
        <v>74.5</v>
      </c>
      <c r="GI134" s="19">
        <v>73.5</v>
      </c>
      <c r="GJ134" s="19">
        <v>72.5</v>
      </c>
      <c r="GK134" s="19">
        <v>71.5</v>
      </c>
      <c r="GL134" s="19">
        <v>70.5</v>
      </c>
      <c r="GM134" s="19">
        <v>69.5</v>
      </c>
      <c r="GN134" s="19">
        <v>68.5</v>
      </c>
      <c r="GO134" s="19">
        <v>135</v>
      </c>
      <c r="GP134" s="19">
        <v>133</v>
      </c>
      <c r="GQ134" s="19">
        <v>132</v>
      </c>
      <c r="GR134" s="19">
        <v>131</v>
      </c>
      <c r="GS134" s="19">
        <v>130</v>
      </c>
    </row>
    <row r="135">
      <c r="A135" s="2" t="s">
        <v>1119</v>
      </c>
      <c r="B135" s="2" t="s">
        <v>1019</v>
      </c>
      <c r="C135" s="2" t="s">
        <v>604</v>
      </c>
      <c r="D135" s="2" t="s">
        <v>264</v>
      </c>
      <c r="E135" s="2" t="s">
        <v>265</v>
      </c>
      <c r="F135" s="2" t="s">
        <v>1101</v>
      </c>
      <c r="G135" s="2" t="s">
        <v>1101</v>
      </c>
      <c r="H135" s="2" t="s">
        <v>1101</v>
      </c>
      <c r="I135" s="2" t="s">
        <v>1120</v>
      </c>
      <c r="J135" s="2" t="s">
        <v>1121</v>
      </c>
      <c r="K135" s="2" t="s">
        <v>1115</v>
      </c>
      <c r="L135" s="3">
        <v>18.4</v>
      </c>
      <c r="M135" s="3">
        <v>19.32</v>
      </c>
      <c r="N135" s="3">
        <v>39.99</v>
      </c>
      <c r="O135" s="2" t="s">
        <v>196</v>
      </c>
      <c r="P135" s="2" t="s">
        <v>841</v>
      </c>
      <c r="Q135" s="2" t="s">
        <v>198</v>
      </c>
      <c r="R135" s="2" t="s">
        <v>199</v>
      </c>
      <c r="S135" s="2" t="s">
        <v>1116</v>
      </c>
      <c r="T135" s="2" t="s">
        <v>1106</v>
      </c>
      <c r="U135" s="2" t="s">
        <v>280</v>
      </c>
      <c r="V135" s="2" t="s">
        <v>202</v>
      </c>
      <c r="W135" s="2" t="s">
        <v>203</v>
      </c>
      <c r="X135" s="2" t="s">
        <v>712</v>
      </c>
      <c r="Y135" s="2" t="s">
        <v>683</v>
      </c>
      <c r="Z135" s="4">
        <v>143</v>
      </c>
      <c r="AA135" s="4">
        <f>=ROUNDDOWN(57.2,0)</f>
      </c>
      <c r="AB135" s="5">
        <v>2.5</v>
      </c>
      <c r="AC135" s="2" t="s">
        <v>199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199</v>
      </c>
      <c r="AW135" s="8" t="s">
        <v>199</v>
      </c>
      <c r="AX135" s="4" t="s">
        <v>199</v>
      </c>
      <c r="AY135" s="8" t="s">
        <v>199</v>
      </c>
      <c r="AZ135" s="7" t="s">
        <v>199</v>
      </c>
      <c r="BA135" s="7" t="s">
        <v>199</v>
      </c>
      <c r="BB135" s="7"/>
      <c r="BC135" s="4" t="s">
        <v>199</v>
      </c>
      <c r="BD135" s="8" t="s">
        <v>199</v>
      </c>
      <c r="BE135" s="4" t="s">
        <v>199</v>
      </c>
      <c r="BF135" s="8" t="s">
        <v>199</v>
      </c>
      <c r="BG135" s="7" t="s">
        <v>199</v>
      </c>
      <c r="BH135" s="7" t="s">
        <v>199</v>
      </c>
      <c r="BI135" s="7"/>
      <c r="BJ135" s="4">
        <v>10</v>
      </c>
      <c r="BK135" s="8">
        <v>192.07</v>
      </c>
      <c r="BL135" s="2" t="s">
        <v>1122</v>
      </c>
      <c r="BM135" s="7"/>
      <c r="BN135" s="7"/>
      <c r="BO135" s="4"/>
      <c r="BP135" s="8"/>
      <c r="BQ135" s="4"/>
      <c r="BR135" s="8"/>
      <c r="BS135" s="7"/>
      <c r="BT135" s="7"/>
      <c r="BU135" s="2" t="s">
        <v>1113</v>
      </c>
      <c r="BV135" s="2" t="s">
        <v>199</v>
      </c>
      <c r="BW135" s="2" t="s">
        <v>199</v>
      </c>
      <c r="BX135" s="2" t="s">
        <v>208</v>
      </c>
      <c r="BY135" s="2" t="s">
        <v>209</v>
      </c>
      <c r="BZ135" s="2" t="s">
        <v>196</v>
      </c>
      <c r="CA135" s="2" t="s">
        <v>365</v>
      </c>
      <c r="CB135" s="2" t="s">
        <v>827</v>
      </c>
      <c r="CC135" s="2" t="s">
        <v>212</v>
      </c>
      <c r="CD135" s="2" t="s">
        <v>199</v>
      </c>
      <c r="CE135" s="4">
        <v>143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>
        <v>143</v>
      </c>
      <c r="EU135" s="4">
        <v>140</v>
      </c>
      <c r="EV135" s="4">
        <v>137</v>
      </c>
      <c r="EW135" s="4">
        <v>134</v>
      </c>
      <c r="EX135" s="4">
        <v>131</v>
      </c>
      <c r="EY135" s="4">
        <v>128</v>
      </c>
      <c r="EZ135" s="4">
        <v>126</v>
      </c>
      <c r="FA135" s="4">
        <v>124</v>
      </c>
      <c r="FB135" s="4">
        <v>122</v>
      </c>
      <c r="FC135" s="4">
        <v>120</v>
      </c>
      <c r="FD135" s="4">
        <v>116</v>
      </c>
      <c r="FE135" s="4">
        <v>112</v>
      </c>
      <c r="FF135" s="4">
        <v>108</v>
      </c>
      <c r="FG135" s="4">
        <v>104</v>
      </c>
      <c r="FH135" s="4">
        <v>101</v>
      </c>
      <c r="FI135" s="4">
        <v>98</v>
      </c>
      <c r="FJ135" s="4">
        <v>95</v>
      </c>
      <c r="FK135" s="4">
        <v>92</v>
      </c>
      <c r="FL135" s="4">
        <v>89</v>
      </c>
      <c r="FM135" s="4">
        <v>86</v>
      </c>
      <c r="FN135" s="4">
        <v>83</v>
      </c>
      <c r="FO135" s="4">
        <v>80</v>
      </c>
      <c r="FP135" s="4">
        <v>77</v>
      </c>
      <c r="FQ135" s="4">
        <v>75</v>
      </c>
      <c r="FR135" s="4">
        <v>73</v>
      </c>
      <c r="FS135" s="4">
        <v>71</v>
      </c>
      <c r="FT135" s="19">
        <v>47.7</v>
      </c>
      <c r="FU135" s="19">
        <v>46.7</v>
      </c>
      <c r="FV135" s="19">
        <v>45.7</v>
      </c>
      <c r="FW135" s="19">
        <v>67</v>
      </c>
      <c r="FX135" s="19">
        <v>65.5</v>
      </c>
      <c r="FY135" s="19">
        <v>64</v>
      </c>
      <c r="FZ135" s="19">
        <v>63</v>
      </c>
      <c r="GA135" s="19">
        <v>41.3</v>
      </c>
      <c r="GB135" s="19">
        <v>30.5</v>
      </c>
      <c r="GC135" s="19">
        <v>30</v>
      </c>
      <c r="GD135" s="19">
        <v>29</v>
      </c>
      <c r="GE135" s="19">
        <v>28</v>
      </c>
      <c r="GF135" s="19">
        <v>36</v>
      </c>
      <c r="GG135" s="19">
        <v>34.7</v>
      </c>
      <c r="GH135" s="19">
        <v>33.7</v>
      </c>
      <c r="GI135" s="19">
        <v>32.7</v>
      </c>
      <c r="GJ135" s="19">
        <v>31.7</v>
      </c>
      <c r="GK135" s="19">
        <v>30.7</v>
      </c>
      <c r="GL135" s="19">
        <v>29.7</v>
      </c>
      <c r="GM135" s="19">
        <v>28.7</v>
      </c>
      <c r="GN135" s="19">
        <v>41.5</v>
      </c>
      <c r="GO135" s="19">
        <v>40</v>
      </c>
      <c r="GP135" s="19">
        <v>38.5</v>
      </c>
      <c r="GQ135" s="19">
        <v>37.5</v>
      </c>
      <c r="GR135" s="19">
        <v>36.5</v>
      </c>
      <c r="GS135" s="19">
        <v>35.5</v>
      </c>
    </row>
    <row r="136">
      <c r="A136" s="2" t="s">
        <v>1123</v>
      </c>
      <c r="B136" s="2" t="s">
        <v>1019</v>
      </c>
      <c r="C136" s="2" t="s">
        <v>604</v>
      </c>
      <c r="D136" s="2" t="s">
        <v>264</v>
      </c>
      <c r="E136" s="2" t="s">
        <v>265</v>
      </c>
      <c r="F136" s="2" t="s">
        <v>1101</v>
      </c>
      <c r="G136" s="2" t="s">
        <v>1101</v>
      </c>
      <c r="H136" s="2" t="s">
        <v>1101</v>
      </c>
      <c r="I136" s="2" t="s">
        <v>1102</v>
      </c>
      <c r="J136" s="2" t="s">
        <v>1103</v>
      </c>
      <c r="K136" s="2" t="s">
        <v>371</v>
      </c>
      <c r="L136" s="3">
        <v>10.58</v>
      </c>
      <c r="M136" s="3">
        <v>11.11</v>
      </c>
      <c r="N136" s="3">
        <v>22.99</v>
      </c>
      <c r="O136" s="2" t="s">
        <v>196</v>
      </c>
      <c r="P136" s="2" t="s">
        <v>841</v>
      </c>
      <c r="Q136" s="2" t="s">
        <v>198</v>
      </c>
      <c r="R136" s="2" t="s">
        <v>199</v>
      </c>
      <c r="S136" s="2" t="s">
        <v>1124</v>
      </c>
      <c r="T136" s="2" t="s">
        <v>1106</v>
      </c>
      <c r="U136" s="2" t="s">
        <v>280</v>
      </c>
      <c r="V136" s="2" t="s">
        <v>202</v>
      </c>
      <c r="W136" s="2" t="s">
        <v>203</v>
      </c>
      <c r="X136" s="2" t="s">
        <v>712</v>
      </c>
      <c r="Y136" s="2" t="s">
        <v>1125</v>
      </c>
      <c r="Z136" s="4">
        <v>295</v>
      </c>
      <c r="AA136" s="4">
        <f>=ROUNDDOWN(368.75,0)</f>
      </c>
      <c r="AB136" s="5">
        <v>0.8</v>
      </c>
      <c r="AC136" s="2" t="s">
        <v>199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199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199</v>
      </c>
      <c r="AW136" s="8" t="s">
        <v>199</v>
      </c>
      <c r="AX136" s="4" t="s">
        <v>199</v>
      </c>
      <c r="AY136" s="8" t="s">
        <v>199</v>
      </c>
      <c r="AZ136" s="7" t="s">
        <v>199</v>
      </c>
      <c r="BA136" s="7" t="s">
        <v>199</v>
      </c>
      <c r="BB136" s="7"/>
      <c r="BC136" s="4" t="s">
        <v>199</v>
      </c>
      <c r="BD136" s="8" t="s">
        <v>199</v>
      </c>
      <c r="BE136" s="4" t="s">
        <v>199</v>
      </c>
      <c r="BF136" s="8" t="s">
        <v>199</v>
      </c>
      <c r="BG136" s="7" t="s">
        <v>199</v>
      </c>
      <c r="BH136" s="7" t="s">
        <v>199</v>
      </c>
      <c r="BI136" s="7"/>
      <c r="BJ136" s="4">
        <v>5</v>
      </c>
      <c r="BK136" s="8">
        <v>42.64</v>
      </c>
      <c r="BL136" s="2" t="s">
        <v>1126</v>
      </c>
      <c r="BM136" s="7"/>
      <c r="BN136" s="7"/>
      <c r="BO136" s="4"/>
      <c r="BP136" s="8"/>
      <c r="BQ136" s="4"/>
      <c r="BR136" s="8"/>
      <c r="BS136" s="7"/>
      <c r="BT136" s="7"/>
      <c r="BU136" s="2" t="s">
        <v>1108</v>
      </c>
      <c r="BV136" s="2" t="s">
        <v>199</v>
      </c>
      <c r="BW136" s="2" t="s">
        <v>199</v>
      </c>
      <c r="BX136" s="2" t="s">
        <v>208</v>
      </c>
      <c r="BY136" s="2" t="s">
        <v>209</v>
      </c>
      <c r="BZ136" s="2" t="s">
        <v>196</v>
      </c>
      <c r="CA136" s="2" t="s">
        <v>1127</v>
      </c>
      <c r="CB136" s="2" t="s">
        <v>1128</v>
      </c>
      <c r="CC136" s="2" t="s">
        <v>943</v>
      </c>
      <c r="CD136" s="2" t="s">
        <v>199</v>
      </c>
      <c r="CE136" s="4">
        <v>181</v>
      </c>
      <c r="CF136" s="4"/>
      <c r="CG136" s="4"/>
      <c r="CH136" s="4">
        <v>114</v>
      </c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>
        <v>297</v>
      </c>
      <c r="EU136" s="4">
        <v>293</v>
      </c>
      <c r="EV136" s="4">
        <v>291</v>
      </c>
      <c r="EW136" s="4">
        <v>289</v>
      </c>
      <c r="EX136" s="4">
        <v>287</v>
      </c>
      <c r="EY136" s="4">
        <v>285</v>
      </c>
      <c r="EZ136" s="4">
        <v>284</v>
      </c>
      <c r="FA136" s="4">
        <v>283</v>
      </c>
      <c r="FB136" s="4">
        <v>282</v>
      </c>
      <c r="FC136" s="4">
        <v>281</v>
      </c>
      <c r="FD136" s="4">
        <v>279</v>
      </c>
      <c r="FE136" s="4">
        <v>277</v>
      </c>
      <c r="FF136" s="4">
        <v>275</v>
      </c>
      <c r="FG136" s="4">
        <v>273</v>
      </c>
      <c r="FH136" s="4">
        <v>271</v>
      </c>
      <c r="FI136" s="4">
        <v>269</v>
      </c>
      <c r="FJ136" s="4">
        <v>267</v>
      </c>
      <c r="FK136" s="4">
        <v>265</v>
      </c>
      <c r="FL136" s="4">
        <v>263</v>
      </c>
      <c r="FM136" s="4">
        <v>261</v>
      </c>
      <c r="FN136" s="4">
        <v>259</v>
      </c>
      <c r="FO136" s="4">
        <v>257</v>
      </c>
      <c r="FP136" s="4">
        <v>255</v>
      </c>
      <c r="FQ136" s="4">
        <v>254</v>
      </c>
      <c r="FR136" s="4">
        <v>253</v>
      </c>
      <c r="FS136" s="4">
        <v>252</v>
      </c>
      <c r="FT136" s="19">
        <v>148.5</v>
      </c>
      <c r="FU136" s="19">
        <v>146.5</v>
      </c>
      <c r="FV136" s="19">
        <v>145.5</v>
      </c>
      <c r="FW136" s="19">
        <v>144.5</v>
      </c>
      <c r="FX136" s="19">
        <v>287</v>
      </c>
      <c r="FY136" s="19">
        <v>285</v>
      </c>
      <c r="FZ136" s="19">
        <v>284</v>
      </c>
      <c r="GA136" s="19">
        <v>141.5</v>
      </c>
      <c r="GB136" s="19">
        <v>141</v>
      </c>
      <c r="GC136" s="19">
        <v>140.5</v>
      </c>
      <c r="GD136" s="19">
        <v>139.5</v>
      </c>
      <c r="GE136" s="19">
        <v>138.5</v>
      </c>
      <c r="GF136" s="19">
        <v>137.5</v>
      </c>
      <c r="GG136" s="19">
        <v>136.5</v>
      </c>
      <c r="GH136" s="19">
        <v>135.5</v>
      </c>
      <c r="GI136" s="19">
        <v>134.5</v>
      </c>
      <c r="GJ136" s="19">
        <v>133.5</v>
      </c>
      <c r="GK136" s="19">
        <v>132.5</v>
      </c>
      <c r="GL136" s="19">
        <v>131.5</v>
      </c>
      <c r="GM136" s="19">
        <v>130.5</v>
      </c>
      <c r="GN136" s="19">
        <v>129.5</v>
      </c>
      <c r="GO136" s="19">
        <v>257</v>
      </c>
      <c r="GP136" s="19">
        <v>255</v>
      </c>
      <c r="GQ136" s="19">
        <v>254</v>
      </c>
      <c r="GR136" s="19">
        <v>253</v>
      </c>
      <c r="GS136" s="19">
        <v>252</v>
      </c>
    </row>
    <row r="137">
      <c r="A137" s="2" t="s">
        <v>1129</v>
      </c>
      <c r="B137" s="2" t="s">
        <v>1019</v>
      </c>
      <c r="C137" s="2" t="s">
        <v>604</v>
      </c>
      <c r="D137" s="2" t="s">
        <v>264</v>
      </c>
      <c r="E137" s="2" t="s">
        <v>265</v>
      </c>
      <c r="F137" s="2" t="s">
        <v>1101</v>
      </c>
      <c r="G137" s="2" t="s">
        <v>1101</v>
      </c>
      <c r="H137" s="2" t="s">
        <v>1101</v>
      </c>
      <c r="I137" s="2" t="s">
        <v>1111</v>
      </c>
      <c r="J137" s="2" t="s">
        <v>1112</v>
      </c>
      <c r="K137" s="2" t="s">
        <v>371</v>
      </c>
      <c r="L137" s="3">
        <v>12.96</v>
      </c>
      <c r="M137" s="3">
        <v>13.61</v>
      </c>
      <c r="N137" s="3">
        <v>26.99</v>
      </c>
      <c r="O137" s="2" t="s">
        <v>1130</v>
      </c>
      <c r="P137" s="2" t="s">
        <v>841</v>
      </c>
      <c r="Q137" s="2" t="s">
        <v>198</v>
      </c>
      <c r="R137" s="2" t="s">
        <v>199</v>
      </c>
      <c r="S137" s="2" t="s">
        <v>1124</v>
      </c>
      <c r="T137" s="2" t="s">
        <v>1106</v>
      </c>
      <c r="U137" s="2" t="s">
        <v>280</v>
      </c>
      <c r="V137" s="2" t="s">
        <v>202</v>
      </c>
      <c r="W137" s="2" t="s">
        <v>203</v>
      </c>
      <c r="X137" s="2" t="s">
        <v>712</v>
      </c>
      <c r="Y137" s="2" t="s">
        <v>1131</v>
      </c>
      <c r="Z137" s="4">
        <v>268</v>
      </c>
      <c r="AA137" s="4">
        <f>=ROUNDDOWN(268,0)</f>
      </c>
      <c r="AB137" s="5">
        <v>1</v>
      </c>
      <c r="AC137" s="2" t="s">
        <v>199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199</v>
      </c>
      <c r="AW137" s="8" t="s">
        <v>199</v>
      </c>
      <c r="AX137" s="4" t="s">
        <v>199</v>
      </c>
      <c r="AY137" s="8" t="s">
        <v>199</v>
      </c>
      <c r="AZ137" s="7" t="s">
        <v>199</v>
      </c>
      <c r="BA137" s="7" t="s">
        <v>199</v>
      </c>
      <c r="BB137" s="7"/>
      <c r="BC137" s="4" t="s">
        <v>199</v>
      </c>
      <c r="BD137" s="8" t="s">
        <v>199</v>
      </c>
      <c r="BE137" s="4" t="s">
        <v>199</v>
      </c>
      <c r="BF137" s="8" t="s">
        <v>199</v>
      </c>
      <c r="BG137" s="7" t="s">
        <v>199</v>
      </c>
      <c r="BH137" s="7" t="s">
        <v>199</v>
      </c>
      <c r="BI137" s="7"/>
      <c r="BJ137" s="4">
        <v>3</v>
      </c>
      <c r="BK137" s="8">
        <v>39.19</v>
      </c>
      <c r="BL137" s="2" t="s">
        <v>1117</v>
      </c>
      <c r="BM137" s="7"/>
      <c r="BN137" s="7"/>
      <c r="BO137" s="4"/>
      <c r="BP137" s="8"/>
      <c r="BQ137" s="4"/>
      <c r="BR137" s="8"/>
      <c r="BS137" s="7"/>
      <c r="BT137" s="7"/>
      <c r="BU137" s="2" t="s">
        <v>1113</v>
      </c>
      <c r="BV137" s="2" t="s">
        <v>199</v>
      </c>
      <c r="BW137" s="2" t="s">
        <v>199</v>
      </c>
      <c r="BX137" s="2" t="s">
        <v>208</v>
      </c>
      <c r="BY137" s="2" t="s">
        <v>209</v>
      </c>
      <c r="BZ137" s="2" t="s">
        <v>196</v>
      </c>
      <c r="CA137" s="2" t="s">
        <v>1132</v>
      </c>
      <c r="CB137" s="2" t="s">
        <v>1133</v>
      </c>
      <c r="CC137" s="2" t="s">
        <v>212</v>
      </c>
      <c r="CD137" s="2" t="s">
        <v>199</v>
      </c>
      <c r="CE137" s="4">
        <v>268</v>
      </c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>
        <v>268</v>
      </c>
      <c r="EU137" s="4">
        <v>266</v>
      </c>
      <c r="EV137" s="4">
        <v>264</v>
      </c>
      <c r="EW137" s="4">
        <v>262</v>
      </c>
      <c r="EX137" s="4">
        <v>260</v>
      </c>
      <c r="EY137" s="4">
        <v>258</v>
      </c>
      <c r="EZ137" s="4">
        <v>257</v>
      </c>
      <c r="FA137" s="4">
        <v>256</v>
      </c>
      <c r="FB137" s="4">
        <v>255</v>
      </c>
      <c r="FC137" s="4">
        <v>254</v>
      </c>
      <c r="FD137" s="4">
        <v>252</v>
      </c>
      <c r="FE137" s="4">
        <v>250</v>
      </c>
      <c r="FF137" s="4">
        <v>248</v>
      </c>
      <c r="FG137" s="4">
        <v>246</v>
      </c>
      <c r="FH137" s="4">
        <v>244</v>
      </c>
      <c r="FI137" s="4">
        <v>242</v>
      </c>
      <c r="FJ137" s="4">
        <v>240</v>
      </c>
      <c r="FK137" s="4">
        <v>238</v>
      </c>
      <c r="FL137" s="4">
        <v>236</v>
      </c>
      <c r="FM137" s="4">
        <v>234</v>
      </c>
      <c r="FN137" s="4">
        <v>232</v>
      </c>
      <c r="FO137" s="4">
        <v>230</v>
      </c>
      <c r="FP137" s="4">
        <v>228</v>
      </c>
      <c r="FQ137" s="4">
        <v>227</v>
      </c>
      <c r="FR137" s="4">
        <v>226</v>
      </c>
      <c r="FS137" s="4">
        <v>225</v>
      </c>
      <c r="FT137" s="19">
        <v>134</v>
      </c>
      <c r="FU137" s="19">
        <v>133</v>
      </c>
      <c r="FV137" s="19">
        <v>132</v>
      </c>
      <c r="FW137" s="19">
        <v>131</v>
      </c>
      <c r="FX137" s="19">
        <v>260</v>
      </c>
      <c r="FY137" s="19">
        <v>258</v>
      </c>
      <c r="FZ137" s="19">
        <v>257</v>
      </c>
      <c r="GA137" s="19">
        <v>128</v>
      </c>
      <c r="GB137" s="19">
        <v>127.5</v>
      </c>
      <c r="GC137" s="19">
        <v>127</v>
      </c>
      <c r="GD137" s="19">
        <v>126</v>
      </c>
      <c r="GE137" s="19">
        <v>125</v>
      </c>
      <c r="GF137" s="19">
        <v>124</v>
      </c>
      <c r="GG137" s="19">
        <v>123</v>
      </c>
      <c r="GH137" s="19">
        <v>122</v>
      </c>
      <c r="GI137" s="19">
        <v>121</v>
      </c>
      <c r="GJ137" s="19">
        <v>120</v>
      </c>
      <c r="GK137" s="19">
        <v>119</v>
      </c>
      <c r="GL137" s="19">
        <v>118</v>
      </c>
      <c r="GM137" s="19">
        <v>117</v>
      </c>
      <c r="GN137" s="19">
        <v>116</v>
      </c>
      <c r="GO137" s="19">
        <v>230</v>
      </c>
      <c r="GP137" s="19">
        <v>228</v>
      </c>
      <c r="GQ137" s="19">
        <v>227</v>
      </c>
      <c r="GR137" s="19">
        <v>226</v>
      </c>
      <c r="GS137" s="19">
        <v>225</v>
      </c>
    </row>
    <row r="138">
      <c r="A138" s="2" t="s">
        <v>1134</v>
      </c>
      <c r="B138" s="2" t="s">
        <v>1019</v>
      </c>
      <c r="C138" s="2" t="s">
        <v>604</v>
      </c>
      <c r="D138" s="2" t="s">
        <v>264</v>
      </c>
      <c r="E138" s="2" t="s">
        <v>265</v>
      </c>
      <c r="F138" s="2" t="s">
        <v>1101</v>
      </c>
      <c r="G138" s="2" t="s">
        <v>1101</v>
      </c>
      <c r="H138" s="2" t="s">
        <v>1101</v>
      </c>
      <c r="I138" s="2" t="s">
        <v>1120</v>
      </c>
      <c r="J138" s="2" t="s">
        <v>1121</v>
      </c>
      <c r="K138" s="2" t="s">
        <v>371</v>
      </c>
      <c r="L138" s="3">
        <v>18.4</v>
      </c>
      <c r="M138" s="3">
        <v>19.32</v>
      </c>
      <c r="N138" s="3">
        <v>39.99</v>
      </c>
      <c r="O138" s="2" t="s">
        <v>1130</v>
      </c>
      <c r="P138" s="2" t="s">
        <v>841</v>
      </c>
      <c r="Q138" s="2" t="s">
        <v>198</v>
      </c>
      <c r="R138" s="2" t="s">
        <v>199</v>
      </c>
      <c r="S138" s="2" t="s">
        <v>1124</v>
      </c>
      <c r="T138" s="2" t="s">
        <v>1106</v>
      </c>
      <c r="U138" s="2" t="s">
        <v>280</v>
      </c>
      <c r="V138" s="2" t="s">
        <v>202</v>
      </c>
      <c r="W138" s="2" t="s">
        <v>203</v>
      </c>
      <c r="X138" s="2" t="s">
        <v>712</v>
      </c>
      <c r="Y138" s="2" t="s">
        <v>1131</v>
      </c>
      <c r="Z138" s="4">
        <v>290</v>
      </c>
      <c r="AA138" s="4">
        <f>=ROUNDDOWN(362.5,0)</f>
      </c>
      <c r="AB138" s="5">
        <v>0.8</v>
      </c>
      <c r="AC138" s="2" t="s">
        <v>199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199</v>
      </c>
      <c r="AW138" s="8" t="s">
        <v>199</v>
      </c>
      <c r="AX138" s="4" t="s">
        <v>199</v>
      </c>
      <c r="AY138" s="8" t="s">
        <v>199</v>
      </c>
      <c r="AZ138" s="7" t="s">
        <v>199</v>
      </c>
      <c r="BA138" s="7" t="s">
        <v>199</v>
      </c>
      <c r="BB138" s="7"/>
      <c r="BC138" s="4" t="s">
        <v>199</v>
      </c>
      <c r="BD138" s="8" t="s">
        <v>199</v>
      </c>
      <c r="BE138" s="4" t="s">
        <v>199</v>
      </c>
      <c r="BF138" s="8" t="s">
        <v>199</v>
      </c>
      <c r="BG138" s="7" t="s">
        <v>199</v>
      </c>
      <c r="BH138" s="7" t="s">
        <v>199</v>
      </c>
      <c r="BI138" s="7"/>
      <c r="BJ138" s="4">
        <v>7</v>
      </c>
      <c r="BK138" s="8">
        <v>135.2</v>
      </c>
      <c r="BL138" s="2" t="s">
        <v>1135</v>
      </c>
      <c r="BM138" s="7"/>
      <c r="BN138" s="7"/>
      <c r="BO138" s="4"/>
      <c r="BP138" s="8"/>
      <c r="BQ138" s="4"/>
      <c r="BR138" s="8"/>
      <c r="BS138" s="7"/>
      <c r="BT138" s="7"/>
      <c r="BU138" s="2" t="s">
        <v>1113</v>
      </c>
      <c r="BV138" s="2" t="s">
        <v>199</v>
      </c>
      <c r="BW138" s="2" t="s">
        <v>199</v>
      </c>
      <c r="BX138" s="2" t="s">
        <v>208</v>
      </c>
      <c r="BY138" s="2" t="s">
        <v>209</v>
      </c>
      <c r="BZ138" s="2" t="s">
        <v>196</v>
      </c>
      <c r="CA138" s="2" t="s">
        <v>1132</v>
      </c>
      <c r="CB138" s="2" t="s">
        <v>1133</v>
      </c>
      <c r="CC138" s="2" t="s">
        <v>212</v>
      </c>
      <c r="CD138" s="2" t="s">
        <v>199</v>
      </c>
      <c r="CE138" s="4">
        <v>290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>
        <v>290</v>
      </c>
      <c r="EU138" s="4">
        <v>288</v>
      </c>
      <c r="EV138" s="4">
        <v>286</v>
      </c>
      <c r="EW138" s="4">
        <v>284</v>
      </c>
      <c r="EX138" s="4">
        <v>282</v>
      </c>
      <c r="EY138" s="4">
        <v>280</v>
      </c>
      <c r="EZ138" s="4">
        <v>279</v>
      </c>
      <c r="FA138" s="4">
        <v>278</v>
      </c>
      <c r="FB138" s="4">
        <v>277</v>
      </c>
      <c r="FC138" s="4">
        <v>276</v>
      </c>
      <c r="FD138" s="4">
        <v>274</v>
      </c>
      <c r="FE138" s="4">
        <v>272</v>
      </c>
      <c r="FF138" s="4">
        <v>270</v>
      </c>
      <c r="FG138" s="4">
        <v>268</v>
      </c>
      <c r="FH138" s="4">
        <v>266</v>
      </c>
      <c r="FI138" s="4">
        <v>264</v>
      </c>
      <c r="FJ138" s="4">
        <v>262</v>
      </c>
      <c r="FK138" s="4">
        <v>260</v>
      </c>
      <c r="FL138" s="4">
        <v>258</v>
      </c>
      <c r="FM138" s="4">
        <v>256</v>
      </c>
      <c r="FN138" s="4">
        <v>254</v>
      </c>
      <c r="FO138" s="4">
        <v>252</v>
      </c>
      <c r="FP138" s="4">
        <v>250</v>
      </c>
      <c r="FQ138" s="4">
        <v>249</v>
      </c>
      <c r="FR138" s="4">
        <v>248</v>
      </c>
      <c r="FS138" s="4">
        <v>247</v>
      </c>
      <c r="FT138" s="19">
        <v>145</v>
      </c>
      <c r="FU138" s="19">
        <v>144</v>
      </c>
      <c r="FV138" s="19">
        <v>143</v>
      </c>
      <c r="FW138" s="19">
        <v>142</v>
      </c>
      <c r="FX138" s="19">
        <v>282</v>
      </c>
      <c r="FY138" s="19">
        <v>280</v>
      </c>
      <c r="FZ138" s="19">
        <v>279</v>
      </c>
      <c r="GA138" s="19">
        <v>139</v>
      </c>
      <c r="GB138" s="19">
        <v>138.5</v>
      </c>
      <c r="GC138" s="19">
        <v>138</v>
      </c>
      <c r="GD138" s="19">
        <v>137</v>
      </c>
      <c r="GE138" s="19">
        <v>136</v>
      </c>
      <c r="GF138" s="19">
        <v>135</v>
      </c>
      <c r="GG138" s="19">
        <v>134</v>
      </c>
      <c r="GH138" s="19">
        <v>133</v>
      </c>
      <c r="GI138" s="19">
        <v>132</v>
      </c>
      <c r="GJ138" s="19">
        <v>131</v>
      </c>
      <c r="GK138" s="19">
        <v>130</v>
      </c>
      <c r="GL138" s="19">
        <v>129</v>
      </c>
      <c r="GM138" s="19">
        <v>128</v>
      </c>
      <c r="GN138" s="19">
        <v>127</v>
      </c>
      <c r="GO138" s="19">
        <v>252</v>
      </c>
      <c r="GP138" s="19">
        <v>250</v>
      </c>
      <c r="GQ138" s="19">
        <v>249</v>
      </c>
      <c r="GR138" s="19">
        <v>248</v>
      </c>
      <c r="GS138" s="19">
        <v>247</v>
      </c>
    </row>
    <row r="139">
      <c r="A139" s="2" t="s">
        <v>1136</v>
      </c>
      <c r="B139" s="2" t="s">
        <v>1019</v>
      </c>
      <c r="C139" s="2" t="s">
        <v>604</v>
      </c>
      <c r="D139" s="2" t="s">
        <v>264</v>
      </c>
      <c r="E139" s="2" t="s">
        <v>265</v>
      </c>
      <c r="F139" s="2" t="s">
        <v>1101</v>
      </c>
      <c r="G139" s="2" t="s">
        <v>1101</v>
      </c>
      <c r="H139" s="2" t="s">
        <v>1101</v>
      </c>
      <c r="I139" s="2" t="s">
        <v>1111</v>
      </c>
      <c r="J139" s="2" t="s">
        <v>1112</v>
      </c>
      <c r="K139" s="2" t="s">
        <v>1137</v>
      </c>
      <c r="L139" s="3">
        <v>12.96</v>
      </c>
      <c r="M139" s="3">
        <v>13.61</v>
      </c>
      <c r="N139" s="3">
        <v>26.99</v>
      </c>
      <c r="O139" s="2" t="s">
        <v>196</v>
      </c>
      <c r="P139" s="2" t="s">
        <v>197</v>
      </c>
      <c r="Q139" s="2" t="s">
        <v>198</v>
      </c>
      <c r="R139" s="2" t="s">
        <v>199</v>
      </c>
      <c r="S139" s="2" t="s">
        <v>1138</v>
      </c>
      <c r="T139" s="2" t="s">
        <v>1106</v>
      </c>
      <c r="U139" s="2" t="s">
        <v>280</v>
      </c>
      <c r="V139" s="2" t="s">
        <v>202</v>
      </c>
      <c r="W139" s="2" t="s">
        <v>203</v>
      </c>
      <c r="X139" s="2" t="s">
        <v>712</v>
      </c>
      <c r="Y139" s="2" t="s">
        <v>1131</v>
      </c>
      <c r="Z139" s="4">
        <v>216</v>
      </c>
      <c r="AA139" s="4">
        <f>=ROUNDDOWN(74.4827586206897,0)</f>
      </c>
      <c r="AB139" s="5">
        <v>2.9</v>
      </c>
      <c r="AC139" s="2" t="s">
        <v>387</v>
      </c>
      <c r="AD139" s="4">
        <v>296</v>
      </c>
      <c r="AE139" s="4">
        <v>296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199</v>
      </c>
      <c r="BD139" s="8" t="s">
        <v>199</v>
      </c>
      <c r="BE139" s="4" t="s">
        <v>199</v>
      </c>
      <c r="BF139" s="8" t="s">
        <v>199</v>
      </c>
      <c r="BG139" s="7" t="s">
        <v>199</v>
      </c>
      <c r="BH139" s="7" t="s">
        <v>199</v>
      </c>
      <c r="BI139" s="7"/>
      <c r="BJ139" s="4">
        <v>7</v>
      </c>
      <c r="BK139" s="8">
        <v>91.71</v>
      </c>
      <c r="BL139" s="2" t="s">
        <v>1139</v>
      </c>
      <c r="BM139" s="7"/>
      <c r="BN139" s="7"/>
      <c r="BO139" s="4"/>
      <c r="BP139" s="8"/>
      <c r="BQ139" s="4"/>
      <c r="BR139" s="8"/>
      <c r="BS139" s="7"/>
      <c r="BT139" s="7"/>
      <c r="BU139" s="2" t="s">
        <v>1113</v>
      </c>
      <c r="BV139" s="2" t="s">
        <v>199</v>
      </c>
      <c r="BW139" s="2" t="s">
        <v>199</v>
      </c>
      <c r="BX139" s="2" t="s">
        <v>208</v>
      </c>
      <c r="BY139" s="2" t="s">
        <v>209</v>
      </c>
      <c r="BZ139" s="2" t="s">
        <v>196</v>
      </c>
      <c r="CA139" s="2" t="s">
        <v>1132</v>
      </c>
      <c r="CB139" s="2" t="s">
        <v>1133</v>
      </c>
      <c r="CC139" s="2" t="s">
        <v>212</v>
      </c>
      <c r="CD139" s="2" t="s">
        <v>199</v>
      </c>
      <c r="CE139" s="4">
        <v>28</v>
      </c>
      <c r="CF139" s="4"/>
      <c r="CG139" s="4"/>
      <c r="CH139" s="4">
        <v>188</v>
      </c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>
        <v>296</v>
      </c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>
        <v>216</v>
      </c>
      <c r="EU139" s="4">
        <v>213</v>
      </c>
      <c r="EV139" s="4">
        <v>209</v>
      </c>
      <c r="EW139" s="4">
        <v>500</v>
      </c>
      <c r="EX139" s="4">
        <v>495</v>
      </c>
      <c r="EY139" s="4">
        <v>490</v>
      </c>
      <c r="EZ139" s="4">
        <v>486</v>
      </c>
      <c r="FA139" s="4">
        <v>482</v>
      </c>
      <c r="FB139" s="4">
        <v>478</v>
      </c>
      <c r="FC139" s="4">
        <v>474</v>
      </c>
      <c r="FD139" s="4">
        <v>468</v>
      </c>
      <c r="FE139" s="4">
        <v>462</v>
      </c>
      <c r="FF139" s="4">
        <v>456</v>
      </c>
      <c r="FG139" s="4">
        <v>450</v>
      </c>
      <c r="FH139" s="4">
        <v>445</v>
      </c>
      <c r="FI139" s="4">
        <v>440</v>
      </c>
      <c r="FJ139" s="4">
        <v>436</v>
      </c>
      <c r="FK139" s="4">
        <v>432</v>
      </c>
      <c r="FL139" s="4">
        <v>428</v>
      </c>
      <c r="FM139" s="4">
        <v>424</v>
      </c>
      <c r="FN139" s="4">
        <v>420</v>
      </c>
      <c r="FO139" s="4">
        <v>416</v>
      </c>
      <c r="FP139" s="4">
        <v>412</v>
      </c>
      <c r="FQ139" s="4">
        <v>409</v>
      </c>
      <c r="FR139" s="4">
        <v>405</v>
      </c>
      <c r="FS139" s="4">
        <v>401</v>
      </c>
      <c r="FT139" s="19">
        <v>54</v>
      </c>
      <c r="FU139" s="19">
        <v>42.6</v>
      </c>
      <c r="FV139" s="19">
        <v>41.8</v>
      </c>
      <c r="FW139" s="19">
        <v>125</v>
      </c>
      <c r="FX139" s="19">
        <v>123.8</v>
      </c>
      <c r="FY139" s="19">
        <v>122.5</v>
      </c>
      <c r="FZ139" s="19">
        <v>121.5</v>
      </c>
      <c r="GA139" s="19">
        <v>96.4</v>
      </c>
      <c r="GB139" s="19">
        <v>79.7</v>
      </c>
      <c r="GC139" s="19">
        <v>79</v>
      </c>
      <c r="GD139" s="19">
        <v>78</v>
      </c>
      <c r="GE139" s="19">
        <v>77</v>
      </c>
      <c r="GF139" s="19">
        <v>91.2</v>
      </c>
      <c r="GG139" s="19">
        <v>112.5</v>
      </c>
      <c r="GH139" s="19">
        <v>111.3</v>
      </c>
      <c r="GI139" s="19">
        <v>110</v>
      </c>
      <c r="GJ139" s="19">
        <v>109</v>
      </c>
      <c r="GK139" s="19">
        <v>108</v>
      </c>
      <c r="GL139" s="19">
        <v>107</v>
      </c>
      <c r="GM139" s="19">
        <v>106</v>
      </c>
      <c r="GN139" s="19">
        <v>105</v>
      </c>
      <c r="GO139" s="19">
        <v>104</v>
      </c>
      <c r="GP139" s="19">
        <v>103</v>
      </c>
      <c r="GQ139" s="19">
        <v>102.3</v>
      </c>
      <c r="GR139" s="19">
        <v>101.3</v>
      </c>
      <c r="GS139" s="19">
        <v>100.3</v>
      </c>
    </row>
    <row r="140">
      <c r="A140" s="2" t="s">
        <v>1140</v>
      </c>
      <c r="B140" s="2" t="s">
        <v>1019</v>
      </c>
      <c r="C140" s="2" t="s">
        <v>604</v>
      </c>
      <c r="D140" s="2" t="s">
        <v>264</v>
      </c>
      <c r="E140" s="2" t="s">
        <v>265</v>
      </c>
      <c r="F140" s="2" t="s">
        <v>1101</v>
      </c>
      <c r="G140" s="2" t="s">
        <v>1101</v>
      </c>
      <c r="H140" s="2" t="s">
        <v>1101</v>
      </c>
      <c r="I140" s="2" t="s">
        <v>1111</v>
      </c>
      <c r="J140" s="2" t="s">
        <v>1112</v>
      </c>
      <c r="K140" s="2" t="s">
        <v>252</v>
      </c>
      <c r="L140" s="3">
        <v>12.96</v>
      </c>
      <c r="M140" s="3">
        <v>13.61</v>
      </c>
      <c r="N140" s="3">
        <v>26.99</v>
      </c>
      <c r="O140" s="2" t="s">
        <v>196</v>
      </c>
      <c r="P140" s="2" t="s">
        <v>197</v>
      </c>
      <c r="Q140" s="2" t="s">
        <v>198</v>
      </c>
      <c r="R140" s="2" t="s">
        <v>199</v>
      </c>
      <c r="S140" s="2" t="s">
        <v>1141</v>
      </c>
      <c r="T140" s="2" t="s">
        <v>1106</v>
      </c>
      <c r="U140" s="2" t="s">
        <v>199</v>
      </c>
      <c r="V140" s="2" t="s">
        <v>202</v>
      </c>
      <c r="W140" s="2" t="s">
        <v>203</v>
      </c>
      <c r="X140" s="2" t="s">
        <v>712</v>
      </c>
      <c r="Y140" s="2" t="s">
        <v>204</v>
      </c>
      <c r="Z140" s="4">
        <v>343</v>
      </c>
      <c r="AA140" s="4">
        <f>=ROUNDDOWN(46.986301369863,0)</f>
      </c>
      <c r="AB140" s="5">
        <v>7.3</v>
      </c>
      <c r="AC140" s="2" t="s">
        <v>199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199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199</v>
      </c>
      <c r="BD140" s="8" t="s">
        <v>199</v>
      </c>
      <c r="BE140" s="4" t="s">
        <v>199</v>
      </c>
      <c r="BF140" s="8" t="s">
        <v>199</v>
      </c>
      <c r="BG140" s="7" t="s">
        <v>199</v>
      </c>
      <c r="BH140" s="7" t="s">
        <v>199</v>
      </c>
      <c r="BI140" s="7"/>
      <c r="BJ140" s="4">
        <v>102</v>
      </c>
      <c r="BK140" s="8">
        <v>1431.58</v>
      </c>
      <c r="BL140" s="2" t="s">
        <v>1142</v>
      </c>
      <c r="BM140" s="7"/>
      <c r="BN140" s="7"/>
      <c r="BO140" s="4"/>
      <c r="BP140" s="8"/>
      <c r="BQ140" s="4"/>
      <c r="BR140" s="8"/>
      <c r="BS140" s="7"/>
      <c r="BT140" s="7"/>
      <c r="BU140" s="2" t="s">
        <v>1113</v>
      </c>
      <c r="BV140" s="2" t="s">
        <v>199</v>
      </c>
      <c r="BW140" s="2" t="s">
        <v>199</v>
      </c>
      <c r="BX140" s="2" t="s">
        <v>208</v>
      </c>
      <c r="BY140" s="2" t="s">
        <v>209</v>
      </c>
      <c r="BZ140" s="2" t="s">
        <v>196</v>
      </c>
      <c r="CA140" s="2" t="s">
        <v>210</v>
      </c>
      <c r="CB140" s="2" t="s">
        <v>1143</v>
      </c>
      <c r="CC140" s="2" t="s">
        <v>212</v>
      </c>
      <c r="CD140" s="2" t="s">
        <v>199</v>
      </c>
      <c r="CE140" s="4">
        <v>343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>
        <v>346</v>
      </c>
      <c r="EU140" s="4">
        <v>332</v>
      </c>
      <c r="EV140" s="4">
        <v>321</v>
      </c>
      <c r="EW140" s="4">
        <v>310</v>
      </c>
      <c r="EX140" s="4">
        <v>299</v>
      </c>
      <c r="EY140" s="4">
        <v>288</v>
      </c>
      <c r="EZ140" s="4">
        <v>281</v>
      </c>
      <c r="FA140" s="4">
        <v>274</v>
      </c>
      <c r="FB140" s="4">
        <v>266</v>
      </c>
      <c r="FC140" s="4">
        <v>259</v>
      </c>
      <c r="FD140" s="4">
        <v>245</v>
      </c>
      <c r="FE140" s="4">
        <v>231</v>
      </c>
      <c r="FF140" s="4">
        <v>217</v>
      </c>
      <c r="FG140" s="4">
        <v>203</v>
      </c>
      <c r="FH140" s="4">
        <v>192</v>
      </c>
      <c r="FI140" s="4">
        <v>181</v>
      </c>
      <c r="FJ140" s="4">
        <v>170</v>
      </c>
      <c r="FK140" s="4">
        <v>159</v>
      </c>
      <c r="FL140" s="4">
        <v>148</v>
      </c>
      <c r="FM140" s="4">
        <v>137</v>
      </c>
      <c r="FN140" s="4">
        <v>126</v>
      </c>
      <c r="FO140" s="4">
        <v>115</v>
      </c>
      <c r="FP140" s="4">
        <v>103</v>
      </c>
      <c r="FQ140" s="4">
        <v>96</v>
      </c>
      <c r="FR140" s="4">
        <v>89</v>
      </c>
      <c r="FS140" s="4">
        <v>82</v>
      </c>
      <c r="FT140" s="19">
        <v>28.8</v>
      </c>
      <c r="FU140" s="19">
        <v>30.2</v>
      </c>
      <c r="FV140" s="19">
        <v>32.1</v>
      </c>
      <c r="FW140" s="19">
        <v>34.4</v>
      </c>
      <c r="FX140" s="19">
        <v>37.4</v>
      </c>
      <c r="FY140" s="19">
        <v>41.1</v>
      </c>
      <c r="FZ140" s="19">
        <v>31.2</v>
      </c>
      <c r="GA140" s="19">
        <v>24.9</v>
      </c>
      <c r="GB140" s="19">
        <v>22.2</v>
      </c>
      <c r="GC140" s="19">
        <v>18.5</v>
      </c>
      <c r="GD140" s="19">
        <v>18.8</v>
      </c>
      <c r="GE140" s="19">
        <v>19.3</v>
      </c>
      <c r="GF140" s="19">
        <v>18.1</v>
      </c>
      <c r="GG140" s="19">
        <v>18.5</v>
      </c>
      <c r="GH140" s="19">
        <v>17.5</v>
      </c>
      <c r="GI140" s="19">
        <v>16.5</v>
      </c>
      <c r="GJ140" s="19">
        <v>15.5</v>
      </c>
      <c r="GK140" s="19">
        <v>14.5</v>
      </c>
      <c r="GL140" s="19">
        <v>13.5</v>
      </c>
      <c r="GM140" s="19">
        <v>13.7</v>
      </c>
      <c r="GN140" s="19">
        <v>14</v>
      </c>
      <c r="GO140" s="19">
        <v>14.4</v>
      </c>
      <c r="GP140" s="19">
        <v>14.7</v>
      </c>
      <c r="GQ140" s="19">
        <v>13.7</v>
      </c>
      <c r="GR140" s="19">
        <v>12.7</v>
      </c>
      <c r="GS140" s="19">
        <v>11.7</v>
      </c>
    </row>
    <row r="141">
      <c r="A141" s="2" t="s">
        <v>1144</v>
      </c>
      <c r="B141" s="2" t="s">
        <v>1019</v>
      </c>
      <c r="C141" s="2" t="s">
        <v>604</v>
      </c>
      <c r="D141" s="2" t="s">
        <v>1021</v>
      </c>
      <c r="E141" s="2" t="s">
        <v>1022</v>
      </c>
      <c r="F141" s="2" t="s">
        <v>1101</v>
      </c>
      <c r="G141" s="2" t="s">
        <v>1101</v>
      </c>
      <c r="H141" s="2" t="s">
        <v>1101</v>
      </c>
      <c r="I141" s="2" t="s">
        <v>1022</v>
      </c>
      <c r="J141" s="2" t="s">
        <v>1025</v>
      </c>
      <c r="K141" s="2" t="s">
        <v>1145</v>
      </c>
      <c r="L141" s="3">
        <v>18.09</v>
      </c>
      <c r="M141" s="3">
        <v>18.99</v>
      </c>
      <c r="N141" s="3">
        <v>38.99</v>
      </c>
      <c r="O141" s="2" t="s">
        <v>196</v>
      </c>
      <c r="P141" s="2" t="s">
        <v>197</v>
      </c>
      <c r="Q141" s="2" t="s">
        <v>198</v>
      </c>
      <c r="R141" s="2" t="s">
        <v>199</v>
      </c>
      <c r="S141" s="2" t="s">
        <v>1146</v>
      </c>
      <c r="T141" s="2" t="s">
        <v>1106</v>
      </c>
      <c r="U141" s="2" t="s">
        <v>280</v>
      </c>
      <c r="V141" s="2" t="s">
        <v>202</v>
      </c>
      <c r="W141" s="2" t="s">
        <v>203</v>
      </c>
      <c r="X141" s="2" t="s">
        <v>712</v>
      </c>
      <c r="Y141" s="2" t="s">
        <v>683</v>
      </c>
      <c r="Z141" s="4">
        <v>539</v>
      </c>
      <c r="AA141" s="4">
        <f>=ROUNDDOWN(29.7790055248619,0)</f>
      </c>
      <c r="AB141" s="5">
        <v>18.1</v>
      </c>
      <c r="AC141" s="2" t="s">
        <v>1147</v>
      </c>
      <c r="AD141" s="4">
        <v>300</v>
      </c>
      <c r="AE141" s="4">
        <v>300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199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199</v>
      </c>
      <c r="BD141" s="8" t="s">
        <v>199</v>
      </c>
      <c r="BE141" s="4" t="s">
        <v>199</v>
      </c>
      <c r="BF141" s="8" t="s">
        <v>199</v>
      </c>
      <c r="BG141" s="7" t="s">
        <v>199</v>
      </c>
      <c r="BH141" s="7" t="s">
        <v>199</v>
      </c>
      <c r="BI141" s="7"/>
      <c r="BJ141" s="4">
        <v>237</v>
      </c>
      <c r="BK141" s="8">
        <v>4816.5</v>
      </c>
      <c r="BL141" s="2" t="s">
        <v>482</v>
      </c>
      <c r="BM141" s="7"/>
      <c r="BN141" s="7"/>
      <c r="BO141" s="4"/>
      <c r="BP141" s="8"/>
      <c r="BQ141" s="4"/>
      <c r="BR141" s="8"/>
      <c r="BS141" s="7"/>
      <c r="BT141" s="7"/>
      <c r="BU141" s="2" t="s">
        <v>1148</v>
      </c>
      <c r="BV141" s="2" t="s">
        <v>199</v>
      </c>
      <c r="BW141" s="2" t="s">
        <v>199</v>
      </c>
      <c r="BX141" s="2" t="s">
        <v>208</v>
      </c>
      <c r="BY141" s="2" t="s">
        <v>209</v>
      </c>
      <c r="BZ141" s="2" t="s">
        <v>196</v>
      </c>
      <c r="CA141" s="2" t="s">
        <v>1149</v>
      </c>
      <c r="CB141" s="2" t="s">
        <v>1150</v>
      </c>
      <c r="CC141" s="2" t="s">
        <v>212</v>
      </c>
      <c r="CD141" s="2" t="s">
        <v>199</v>
      </c>
      <c r="CE141" s="4">
        <v>339</v>
      </c>
      <c r="CF141" s="4"/>
      <c r="CG141" s="4"/>
      <c r="CH141" s="4">
        <v>200</v>
      </c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>
        <v>300</v>
      </c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>
        <v>540</v>
      </c>
      <c r="EU141" s="4">
        <v>523</v>
      </c>
      <c r="EV141" s="4">
        <v>507</v>
      </c>
      <c r="EW141" s="4">
        <v>491</v>
      </c>
      <c r="EX141" s="4">
        <v>475</v>
      </c>
      <c r="EY141" s="4">
        <v>459</v>
      </c>
      <c r="EZ141" s="4">
        <v>443</v>
      </c>
      <c r="FA141" s="4">
        <v>427</v>
      </c>
      <c r="FB141" s="4">
        <v>409</v>
      </c>
      <c r="FC141" s="4">
        <v>393</v>
      </c>
      <c r="FD141" s="4">
        <v>377</v>
      </c>
      <c r="FE141" s="4">
        <v>659</v>
      </c>
      <c r="FF141" s="4">
        <v>640</v>
      </c>
      <c r="FG141" s="4">
        <v>621</v>
      </c>
      <c r="FH141" s="4">
        <v>602</v>
      </c>
      <c r="FI141" s="4">
        <v>583</v>
      </c>
      <c r="FJ141" s="4">
        <v>564</v>
      </c>
      <c r="FK141" s="4">
        <v>545</v>
      </c>
      <c r="FL141" s="4">
        <v>526</v>
      </c>
      <c r="FM141" s="4">
        <v>507</v>
      </c>
      <c r="FN141" s="4">
        <v>488</v>
      </c>
      <c r="FO141" s="4">
        <v>469</v>
      </c>
      <c r="FP141" s="4">
        <v>448</v>
      </c>
      <c r="FQ141" s="4">
        <v>429</v>
      </c>
      <c r="FR141" s="4">
        <v>410</v>
      </c>
      <c r="FS141" s="4">
        <v>391</v>
      </c>
      <c r="FT141" s="19">
        <v>33.8</v>
      </c>
      <c r="FU141" s="19">
        <v>32.7</v>
      </c>
      <c r="FV141" s="19">
        <v>31.7</v>
      </c>
      <c r="FW141" s="19">
        <v>30.7</v>
      </c>
      <c r="FX141" s="19">
        <v>29.7</v>
      </c>
      <c r="FY141" s="19">
        <v>28.7</v>
      </c>
      <c r="FZ141" s="19">
        <v>27.7</v>
      </c>
      <c r="GA141" s="19">
        <v>25.1</v>
      </c>
      <c r="GB141" s="19">
        <v>24.1</v>
      </c>
      <c r="GC141" s="19">
        <v>21.8</v>
      </c>
      <c r="GD141" s="19">
        <v>19.8</v>
      </c>
      <c r="GE141" s="19">
        <v>34.7</v>
      </c>
      <c r="GF141" s="19">
        <v>33.7</v>
      </c>
      <c r="GG141" s="19">
        <v>32.7</v>
      </c>
      <c r="GH141" s="19">
        <v>31.7</v>
      </c>
      <c r="GI141" s="19">
        <v>30.7</v>
      </c>
      <c r="GJ141" s="19">
        <v>29.7</v>
      </c>
      <c r="GK141" s="19">
        <v>28.7</v>
      </c>
      <c r="GL141" s="19">
        <v>26.3</v>
      </c>
      <c r="GM141" s="19">
        <v>25.4</v>
      </c>
      <c r="GN141" s="19">
        <v>24.4</v>
      </c>
      <c r="GO141" s="19">
        <v>23.5</v>
      </c>
      <c r="GP141" s="19">
        <v>23.6</v>
      </c>
      <c r="GQ141" s="19">
        <v>21.5</v>
      </c>
      <c r="GR141" s="19">
        <v>20.5</v>
      </c>
      <c r="GS141" s="19">
        <v>19.6</v>
      </c>
    </row>
    <row r="142">
      <c r="A142" s="2" t="s">
        <v>1151</v>
      </c>
      <c r="B142" s="2" t="s">
        <v>613</v>
      </c>
      <c r="C142" s="2" t="s">
        <v>246</v>
      </c>
      <c r="D142" s="2" t="s">
        <v>1152</v>
      </c>
      <c r="E142" s="2" t="s">
        <v>1153</v>
      </c>
      <c r="F142" s="2" t="s">
        <v>1154</v>
      </c>
      <c r="G142" s="2" t="s">
        <v>1155</v>
      </c>
      <c r="H142" s="2" t="s">
        <v>1156</v>
      </c>
      <c r="I142" s="2" t="s">
        <v>1157</v>
      </c>
      <c r="J142" s="2" t="s">
        <v>559</v>
      </c>
      <c r="K142" s="2" t="s">
        <v>1158</v>
      </c>
      <c r="L142" s="3">
        <v>171</v>
      </c>
      <c r="M142" s="3">
        <v>179.55</v>
      </c>
      <c r="N142" s="3">
        <v>359</v>
      </c>
      <c r="O142" s="2" t="s">
        <v>196</v>
      </c>
      <c r="P142" s="2" t="s">
        <v>197</v>
      </c>
      <c r="Q142" s="2" t="s">
        <v>198</v>
      </c>
      <c r="R142" s="2" t="s">
        <v>199</v>
      </c>
      <c r="S142" s="2" t="s">
        <v>1159</v>
      </c>
      <c r="T142" s="2" t="s">
        <v>199</v>
      </c>
      <c r="U142" s="2" t="s">
        <v>199</v>
      </c>
      <c r="V142" s="2" t="s">
        <v>202</v>
      </c>
      <c r="W142" s="2" t="s">
        <v>510</v>
      </c>
      <c r="X142" s="2" t="s">
        <v>199</v>
      </c>
      <c r="Y142" s="2" t="s">
        <v>204</v>
      </c>
      <c r="Z142" s="4">
        <v>140</v>
      </c>
      <c r="AA142" s="4">
        <f>=ROUNDDOWN(23.728813559322,0)</f>
      </c>
      <c r="AB142" s="5">
        <v>5.9</v>
      </c>
      <c r="AC142" s="2" t="s">
        <v>1160</v>
      </c>
      <c r="AD142" s="4">
        <v>100</v>
      </c>
      <c r="AE142" s="4">
        <v>100</v>
      </c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199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22</v>
      </c>
      <c r="BK142" s="8">
        <v>3780.18</v>
      </c>
      <c r="BL142" s="2" t="s">
        <v>1161</v>
      </c>
      <c r="BM142" s="7"/>
      <c r="BN142" s="7"/>
      <c r="BO142" s="4"/>
      <c r="BP142" s="8"/>
      <c r="BQ142" s="4"/>
      <c r="BR142" s="8"/>
      <c r="BS142" s="7"/>
      <c r="BT142" s="7"/>
      <c r="BU142" s="2" t="s">
        <v>1162</v>
      </c>
      <c r="BV142" s="2" t="s">
        <v>199</v>
      </c>
      <c r="BW142" s="2" t="s">
        <v>199</v>
      </c>
      <c r="BX142" s="2" t="s">
        <v>208</v>
      </c>
      <c r="BY142" s="2" t="s">
        <v>209</v>
      </c>
      <c r="BZ142" s="2" t="s">
        <v>196</v>
      </c>
      <c r="CA142" s="2" t="s">
        <v>1163</v>
      </c>
      <c r="CB142" s="2" t="s">
        <v>290</v>
      </c>
      <c r="CC142" s="2" t="s">
        <v>212</v>
      </c>
      <c r="CD142" s="2" t="s">
        <v>199</v>
      </c>
      <c r="CE142" s="4"/>
      <c r="CF142" s="4">
        <v>140</v>
      </c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>
        <v>100</v>
      </c>
      <c r="ET142" s="4">
        <v>144</v>
      </c>
      <c r="EU142" s="4">
        <v>135</v>
      </c>
      <c r="EV142" s="4">
        <v>129</v>
      </c>
      <c r="EW142" s="4">
        <v>124</v>
      </c>
      <c r="EX142" s="4">
        <v>119</v>
      </c>
      <c r="EY142" s="4">
        <v>112</v>
      </c>
      <c r="EZ142" s="4">
        <v>105</v>
      </c>
      <c r="FA142" s="4">
        <v>98</v>
      </c>
      <c r="FB142" s="4">
        <v>91</v>
      </c>
      <c r="FC142" s="4">
        <v>86</v>
      </c>
      <c r="FD142" s="4">
        <v>81</v>
      </c>
      <c r="FE142" s="4">
        <v>76</v>
      </c>
      <c r="FF142" s="4">
        <v>71</v>
      </c>
      <c r="FG142" s="4">
        <v>66</v>
      </c>
      <c r="FH142" s="4">
        <v>61</v>
      </c>
      <c r="FI142" s="4">
        <v>56</v>
      </c>
      <c r="FJ142" s="4">
        <v>51</v>
      </c>
      <c r="FK142" s="4">
        <v>46</v>
      </c>
      <c r="FL142" s="4">
        <v>41</v>
      </c>
      <c r="FM142" s="4">
        <v>36</v>
      </c>
      <c r="FN142" s="4">
        <v>131</v>
      </c>
      <c r="FO142" s="4">
        <v>126</v>
      </c>
      <c r="FP142" s="4">
        <v>119</v>
      </c>
      <c r="FQ142" s="4">
        <v>114</v>
      </c>
      <c r="FR142" s="4">
        <v>108</v>
      </c>
      <c r="FS142" s="4">
        <v>102</v>
      </c>
      <c r="FT142" s="19">
        <v>24</v>
      </c>
      <c r="FU142" s="19">
        <v>22.5</v>
      </c>
      <c r="FV142" s="19">
        <v>21.5</v>
      </c>
      <c r="FW142" s="19">
        <v>20.7</v>
      </c>
      <c r="FX142" s="19">
        <v>17</v>
      </c>
      <c r="FY142" s="19">
        <v>18.7</v>
      </c>
      <c r="FZ142" s="19">
        <v>17.5</v>
      </c>
      <c r="GA142" s="19">
        <v>16.3</v>
      </c>
      <c r="GB142" s="19">
        <v>18.2</v>
      </c>
      <c r="GC142" s="19">
        <v>17.2</v>
      </c>
      <c r="GD142" s="19">
        <v>16.2</v>
      </c>
      <c r="GE142" s="19">
        <v>15.2</v>
      </c>
      <c r="GF142" s="19">
        <v>14.2</v>
      </c>
      <c r="GG142" s="19">
        <v>13.2</v>
      </c>
      <c r="GH142" s="19">
        <v>12.2</v>
      </c>
      <c r="GI142" s="19">
        <v>11.2</v>
      </c>
      <c r="GJ142" s="19">
        <v>10.2</v>
      </c>
      <c r="GK142" s="19">
        <v>9.2</v>
      </c>
      <c r="GL142" s="19">
        <v>6.8</v>
      </c>
      <c r="GM142" s="19">
        <v>6</v>
      </c>
      <c r="GN142" s="19">
        <v>21.8</v>
      </c>
      <c r="GO142" s="19">
        <v>21</v>
      </c>
      <c r="GP142" s="19">
        <v>19.8</v>
      </c>
      <c r="GQ142" s="19">
        <v>19</v>
      </c>
      <c r="GR142" s="19">
        <v>18</v>
      </c>
      <c r="GS142" s="19">
        <v>17</v>
      </c>
    </row>
    <row r="143">
      <c r="A143" s="2" t="s">
        <v>1164</v>
      </c>
      <c r="B143" s="2" t="s">
        <v>736</v>
      </c>
      <c r="C143" s="2" t="s">
        <v>1165</v>
      </c>
      <c r="D143" s="2" t="s">
        <v>631</v>
      </c>
      <c r="E143" s="2" t="s">
        <v>720</v>
      </c>
      <c r="F143" s="2" t="s">
        <v>1166</v>
      </c>
      <c r="G143" s="2" t="s">
        <v>1167</v>
      </c>
      <c r="H143" s="2" t="s">
        <v>1168</v>
      </c>
      <c r="I143" s="2" t="s">
        <v>1169</v>
      </c>
      <c r="J143" s="2" t="s">
        <v>241</v>
      </c>
      <c r="K143" s="2" t="s">
        <v>195</v>
      </c>
      <c r="L143" s="3">
        <v>72</v>
      </c>
      <c r="M143" s="3">
        <v>75.6</v>
      </c>
      <c r="N143" s="3">
        <v>139.99</v>
      </c>
      <c r="O143" s="2" t="s">
        <v>196</v>
      </c>
      <c r="P143" s="2" t="s">
        <v>197</v>
      </c>
      <c r="Q143" s="2" t="s">
        <v>198</v>
      </c>
      <c r="R143" s="2" t="s">
        <v>199</v>
      </c>
      <c r="S143" s="2" t="s">
        <v>1170</v>
      </c>
      <c r="T143" s="2" t="s">
        <v>300</v>
      </c>
      <c r="U143" s="2" t="s">
        <v>509</v>
      </c>
      <c r="V143" s="2" t="s">
        <v>202</v>
      </c>
      <c r="W143" s="2" t="s">
        <v>1171</v>
      </c>
      <c r="X143" s="2" t="s">
        <v>1172</v>
      </c>
      <c r="Y143" s="2" t="s">
        <v>1173</v>
      </c>
      <c r="Z143" s="4">
        <v>102</v>
      </c>
      <c r="AA143" s="4">
        <f>=ROUNDDOWN(51,0)</f>
      </c>
      <c r="AB143" s="5">
        <v>2</v>
      </c>
      <c r="AC143" s="2" t="s">
        <v>199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199</v>
      </c>
      <c r="BD143" s="8" t="s">
        <v>199</v>
      </c>
      <c r="BE143" s="4" t="s">
        <v>199</v>
      </c>
      <c r="BF143" s="8" t="s">
        <v>199</v>
      </c>
      <c r="BG143" s="7" t="s">
        <v>199</v>
      </c>
      <c r="BH143" s="7" t="s">
        <v>199</v>
      </c>
      <c r="BI143" s="7"/>
      <c r="BJ143" s="4">
        <v>2</v>
      </c>
      <c r="BK143" s="8">
        <v>168.08</v>
      </c>
      <c r="BL143" s="2" t="s">
        <v>1174</v>
      </c>
      <c r="BM143" s="7"/>
      <c r="BN143" s="7"/>
      <c r="BO143" s="4"/>
      <c r="BP143" s="8"/>
      <c r="BQ143" s="4"/>
      <c r="BR143" s="8"/>
      <c r="BS143" s="7"/>
      <c r="BT143" s="7"/>
      <c r="BU143" s="2" t="s">
        <v>1175</v>
      </c>
      <c r="BV143" s="2" t="s">
        <v>199</v>
      </c>
      <c r="BW143" s="2" t="s">
        <v>199</v>
      </c>
      <c r="BX143" s="2" t="s">
        <v>260</v>
      </c>
      <c r="BY143" s="2" t="s">
        <v>209</v>
      </c>
      <c r="BZ143" s="2" t="s">
        <v>196</v>
      </c>
      <c r="CA143" s="2" t="s">
        <v>1176</v>
      </c>
      <c r="CB143" s="2" t="s">
        <v>734</v>
      </c>
      <c r="CC143" s="2" t="s">
        <v>212</v>
      </c>
      <c r="CD143" s="2" t="s">
        <v>199</v>
      </c>
      <c r="CE143" s="4">
        <v>102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>
        <v>102</v>
      </c>
      <c r="EU143" s="4">
        <v>95</v>
      </c>
      <c r="EV143" s="4">
        <v>93</v>
      </c>
      <c r="EW143" s="4">
        <v>91</v>
      </c>
      <c r="EX143" s="4">
        <v>89</v>
      </c>
      <c r="EY143" s="4">
        <v>87</v>
      </c>
      <c r="EZ143" s="4">
        <v>85</v>
      </c>
      <c r="FA143" s="4">
        <v>83</v>
      </c>
      <c r="FB143" s="4">
        <v>81</v>
      </c>
      <c r="FC143" s="4">
        <v>79</v>
      </c>
      <c r="FD143" s="4">
        <v>77</v>
      </c>
      <c r="FE143" s="4">
        <v>75</v>
      </c>
      <c r="FF143" s="4">
        <v>73</v>
      </c>
      <c r="FG143" s="4">
        <v>71</v>
      </c>
      <c r="FH143" s="4">
        <v>69</v>
      </c>
      <c r="FI143" s="4">
        <v>67</v>
      </c>
      <c r="FJ143" s="4">
        <v>65</v>
      </c>
      <c r="FK143" s="4">
        <v>63</v>
      </c>
      <c r="FL143" s="4">
        <v>61</v>
      </c>
      <c r="FM143" s="4">
        <v>59</v>
      </c>
      <c r="FN143" s="4">
        <v>57</v>
      </c>
      <c r="FO143" s="4">
        <v>55</v>
      </c>
      <c r="FP143" s="4">
        <v>53</v>
      </c>
      <c r="FQ143" s="4">
        <v>51</v>
      </c>
      <c r="FR143" s="4">
        <v>49</v>
      </c>
      <c r="FS143" s="4">
        <v>47</v>
      </c>
      <c r="FT143" s="19">
        <v>34</v>
      </c>
      <c r="FU143" s="19">
        <v>47.5</v>
      </c>
      <c r="FV143" s="19">
        <v>46.5</v>
      </c>
      <c r="FW143" s="19">
        <v>45.5</v>
      </c>
      <c r="FX143" s="19">
        <v>44.5</v>
      </c>
      <c r="FY143" s="19">
        <v>43.5</v>
      </c>
      <c r="FZ143" s="19">
        <v>42.5</v>
      </c>
      <c r="GA143" s="19">
        <v>41.5</v>
      </c>
      <c r="GB143" s="19">
        <v>40.5</v>
      </c>
      <c r="GC143" s="19">
        <v>39.5</v>
      </c>
      <c r="GD143" s="19">
        <v>38.5</v>
      </c>
      <c r="GE143" s="19">
        <v>37.5</v>
      </c>
      <c r="GF143" s="19">
        <v>36.5</v>
      </c>
      <c r="GG143" s="19">
        <v>35.5</v>
      </c>
      <c r="GH143" s="19">
        <v>34.5</v>
      </c>
      <c r="GI143" s="19">
        <v>33.5</v>
      </c>
      <c r="GJ143" s="19">
        <v>32.5</v>
      </c>
      <c r="GK143" s="19">
        <v>31.5</v>
      </c>
      <c r="GL143" s="19">
        <v>30.5</v>
      </c>
      <c r="GM143" s="19">
        <v>29.5</v>
      </c>
      <c r="GN143" s="19">
        <v>28.5</v>
      </c>
      <c r="GO143" s="19">
        <v>27.5</v>
      </c>
      <c r="GP143" s="19">
        <v>26.5</v>
      </c>
      <c r="GQ143" s="19">
        <v>25.5</v>
      </c>
      <c r="GR143" s="19">
        <v>24.5</v>
      </c>
      <c r="GS143" s="19">
        <v>23.5</v>
      </c>
    </row>
    <row r="144">
      <c r="A144" s="2" t="s">
        <v>1177</v>
      </c>
      <c r="B144" s="2" t="s">
        <v>736</v>
      </c>
      <c r="C144" s="2" t="s">
        <v>1165</v>
      </c>
      <c r="D144" s="2" t="s">
        <v>228</v>
      </c>
      <c r="E144" s="2" t="s">
        <v>487</v>
      </c>
      <c r="F144" s="2" t="s">
        <v>1166</v>
      </c>
      <c r="G144" s="2" t="s">
        <v>1167</v>
      </c>
      <c r="H144" s="2" t="s">
        <v>1168</v>
      </c>
      <c r="I144" s="2" t="s">
        <v>1178</v>
      </c>
      <c r="J144" s="2" t="s">
        <v>1011</v>
      </c>
      <c r="K144" s="2" t="s">
        <v>584</v>
      </c>
      <c r="L144" s="3">
        <v>52.88</v>
      </c>
      <c r="M144" s="3">
        <v>55.52</v>
      </c>
      <c r="N144" s="3">
        <v>109.99</v>
      </c>
      <c r="O144" s="2" t="s">
        <v>196</v>
      </c>
      <c r="P144" s="2" t="s">
        <v>197</v>
      </c>
      <c r="Q144" s="2" t="s">
        <v>198</v>
      </c>
      <c r="R144" s="2" t="s">
        <v>199</v>
      </c>
      <c r="S144" s="2" t="s">
        <v>1179</v>
      </c>
      <c r="T144" s="2" t="s">
        <v>300</v>
      </c>
      <c r="U144" s="2" t="s">
        <v>492</v>
      </c>
      <c r="V144" s="2" t="s">
        <v>202</v>
      </c>
      <c r="W144" s="2" t="s">
        <v>1171</v>
      </c>
      <c r="X144" s="2" t="s">
        <v>1172</v>
      </c>
      <c r="Y144" s="2" t="s">
        <v>1180</v>
      </c>
      <c r="Z144" s="4">
        <v>294</v>
      </c>
      <c r="AA144" s="4">
        <f>=ROUNDDOWN(98,0)</f>
      </c>
      <c r="AB144" s="5">
        <v>3</v>
      </c>
      <c r="AC144" s="2" t="s">
        <v>199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199</v>
      </c>
      <c r="AW144" s="8" t="s">
        <v>199</v>
      </c>
      <c r="AX144" s="4" t="s">
        <v>199</v>
      </c>
      <c r="AY144" s="8" t="s">
        <v>199</v>
      </c>
      <c r="AZ144" s="7" t="s">
        <v>199</v>
      </c>
      <c r="BA144" s="7" t="s">
        <v>199</v>
      </c>
      <c r="BB144" s="7" t="s">
        <v>199</v>
      </c>
      <c r="BC144" s="4" t="s">
        <v>199</v>
      </c>
      <c r="BD144" s="8" t="s">
        <v>199</v>
      </c>
      <c r="BE144" s="4" t="s">
        <v>199</v>
      </c>
      <c r="BF144" s="8" t="s">
        <v>199</v>
      </c>
      <c r="BG144" s="7" t="s">
        <v>199</v>
      </c>
      <c r="BH144" s="7" t="s">
        <v>199</v>
      </c>
      <c r="BI144" s="7"/>
      <c r="BJ144" s="4">
        <v>7</v>
      </c>
      <c r="BK144" s="8">
        <v>424.59</v>
      </c>
      <c r="BL144" s="2" t="s">
        <v>1181</v>
      </c>
      <c r="BM144" s="7"/>
      <c r="BN144" s="7"/>
      <c r="BO144" s="4"/>
      <c r="BP144" s="8"/>
      <c r="BQ144" s="4"/>
      <c r="BR144" s="8"/>
      <c r="BS144" s="7"/>
      <c r="BT144" s="7"/>
      <c r="BU144" s="2" t="s">
        <v>1182</v>
      </c>
      <c r="BV144" s="2" t="s">
        <v>199</v>
      </c>
      <c r="BW144" s="2" t="s">
        <v>199</v>
      </c>
      <c r="BX144" s="2" t="s">
        <v>260</v>
      </c>
      <c r="BY144" s="2" t="s">
        <v>209</v>
      </c>
      <c r="BZ144" s="2" t="s">
        <v>196</v>
      </c>
      <c r="CA144" s="2" t="s">
        <v>1183</v>
      </c>
      <c r="CB144" s="2" t="s">
        <v>1184</v>
      </c>
      <c r="CC144" s="2" t="s">
        <v>212</v>
      </c>
      <c r="CD144" s="2" t="s">
        <v>199</v>
      </c>
      <c r="CE144" s="4">
        <v>294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>
        <v>294</v>
      </c>
      <c r="EU144" s="4">
        <v>284</v>
      </c>
      <c r="EV144" s="4">
        <v>281</v>
      </c>
      <c r="EW144" s="4">
        <v>278</v>
      </c>
      <c r="EX144" s="4">
        <v>275</v>
      </c>
      <c r="EY144" s="4">
        <v>272</v>
      </c>
      <c r="EZ144" s="4">
        <v>269</v>
      </c>
      <c r="FA144" s="4">
        <v>266</v>
      </c>
      <c r="FB144" s="4">
        <v>263</v>
      </c>
      <c r="FC144" s="4">
        <v>260</v>
      </c>
      <c r="FD144" s="4">
        <v>257</v>
      </c>
      <c r="FE144" s="4">
        <v>254</v>
      </c>
      <c r="FF144" s="4">
        <v>251</v>
      </c>
      <c r="FG144" s="4">
        <v>248</v>
      </c>
      <c r="FH144" s="4">
        <v>245</v>
      </c>
      <c r="FI144" s="4">
        <v>242</v>
      </c>
      <c r="FJ144" s="4">
        <v>239</v>
      </c>
      <c r="FK144" s="4">
        <v>235</v>
      </c>
      <c r="FL144" s="4">
        <v>231</v>
      </c>
      <c r="FM144" s="4">
        <v>227</v>
      </c>
      <c r="FN144" s="4">
        <v>220</v>
      </c>
      <c r="FO144" s="4">
        <v>213</v>
      </c>
      <c r="FP144" s="4">
        <v>206</v>
      </c>
      <c r="FQ144" s="4">
        <v>198</v>
      </c>
      <c r="FR144" s="4">
        <v>189</v>
      </c>
      <c r="FS144" s="4">
        <v>180</v>
      </c>
      <c r="FT144" s="19">
        <v>58.8</v>
      </c>
      <c r="FU144" s="19">
        <v>94.7</v>
      </c>
      <c r="FV144" s="19">
        <v>93.7</v>
      </c>
      <c r="FW144" s="19">
        <v>92.7</v>
      </c>
      <c r="FX144" s="19">
        <v>91.7</v>
      </c>
      <c r="FY144" s="19">
        <v>90.7</v>
      </c>
      <c r="FZ144" s="19">
        <v>89.7</v>
      </c>
      <c r="GA144" s="19">
        <v>88.7</v>
      </c>
      <c r="GB144" s="19">
        <v>87.7</v>
      </c>
      <c r="GC144" s="19">
        <v>86.7</v>
      </c>
      <c r="GD144" s="19">
        <v>85.7</v>
      </c>
      <c r="GE144" s="19">
        <v>84.7</v>
      </c>
      <c r="GF144" s="19">
        <v>83.7</v>
      </c>
      <c r="GG144" s="19">
        <v>82.7</v>
      </c>
      <c r="GH144" s="19">
        <v>61.3</v>
      </c>
      <c r="GI144" s="19">
        <v>60.5</v>
      </c>
      <c r="GJ144" s="19">
        <v>47.8</v>
      </c>
      <c r="GK144" s="19">
        <v>39.2</v>
      </c>
      <c r="GL144" s="19">
        <v>38.5</v>
      </c>
      <c r="GM144" s="19">
        <v>32.4</v>
      </c>
      <c r="GN144" s="19">
        <v>27.5</v>
      </c>
      <c r="GO144" s="19">
        <v>26.6</v>
      </c>
      <c r="GP144" s="19">
        <v>25.8</v>
      </c>
      <c r="GQ144" s="19">
        <v>22</v>
      </c>
      <c r="GR144" s="19">
        <v>18.9</v>
      </c>
      <c r="GS144" s="19">
        <v>18</v>
      </c>
    </row>
    <row r="145">
      <c r="A145" s="2" t="s">
        <v>1185</v>
      </c>
      <c r="B145" s="2" t="s">
        <v>736</v>
      </c>
      <c r="C145" s="2" t="s">
        <v>1165</v>
      </c>
      <c r="D145" s="2" t="s">
        <v>631</v>
      </c>
      <c r="E145" s="2" t="s">
        <v>720</v>
      </c>
      <c r="F145" s="2" t="s">
        <v>1166</v>
      </c>
      <c r="G145" s="2" t="s">
        <v>1167</v>
      </c>
      <c r="H145" s="2" t="s">
        <v>1168</v>
      </c>
      <c r="I145" s="2" t="s">
        <v>1169</v>
      </c>
      <c r="J145" s="2" t="s">
        <v>1011</v>
      </c>
      <c r="K145" s="2" t="s">
        <v>584</v>
      </c>
      <c r="L145" s="3">
        <v>46.53</v>
      </c>
      <c r="M145" s="3">
        <v>48.86</v>
      </c>
      <c r="N145" s="3">
        <v>89.99</v>
      </c>
      <c r="O145" s="2" t="s">
        <v>196</v>
      </c>
      <c r="P145" s="2" t="s">
        <v>197</v>
      </c>
      <c r="Q145" s="2" t="s">
        <v>198</v>
      </c>
      <c r="R145" s="2" t="s">
        <v>199</v>
      </c>
      <c r="S145" s="2" t="s">
        <v>1179</v>
      </c>
      <c r="T145" s="2" t="s">
        <v>300</v>
      </c>
      <c r="U145" s="2" t="s">
        <v>492</v>
      </c>
      <c r="V145" s="2" t="s">
        <v>202</v>
      </c>
      <c r="W145" s="2" t="s">
        <v>1171</v>
      </c>
      <c r="X145" s="2" t="s">
        <v>1172</v>
      </c>
      <c r="Y145" s="2" t="s">
        <v>1186</v>
      </c>
      <c r="Z145" s="4">
        <v>325</v>
      </c>
      <c r="AA145" s="4">
        <f>=ROUNDDOWN(162.5,0)</f>
      </c>
      <c r="AB145" s="5">
        <v>2</v>
      </c>
      <c r="AC145" s="2" t="s">
        <v>199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199</v>
      </c>
      <c r="AW145" s="8" t="s">
        <v>199</v>
      </c>
      <c r="AX145" s="4" t="s">
        <v>199</v>
      </c>
      <c r="AY145" s="8" t="s">
        <v>199</v>
      </c>
      <c r="AZ145" s="7" t="s">
        <v>199</v>
      </c>
      <c r="BA145" s="7" t="s">
        <v>199</v>
      </c>
      <c r="BB145" s="7" t="s">
        <v>199</v>
      </c>
      <c r="BC145" s="4" t="s">
        <v>199</v>
      </c>
      <c r="BD145" s="8" t="s">
        <v>199</v>
      </c>
      <c r="BE145" s="4" t="s">
        <v>199</v>
      </c>
      <c r="BF145" s="8" t="s">
        <v>199</v>
      </c>
      <c r="BG145" s="7" t="s">
        <v>199</v>
      </c>
      <c r="BH145" s="7" t="s">
        <v>199</v>
      </c>
      <c r="BI145" s="7"/>
      <c r="BJ145" s="4">
        <v>4</v>
      </c>
      <c r="BK145" s="8">
        <v>202.4</v>
      </c>
      <c r="BL145" s="2" t="s">
        <v>1187</v>
      </c>
      <c r="BM145" s="7"/>
      <c r="BN145" s="7"/>
      <c r="BO145" s="4"/>
      <c r="BP145" s="8"/>
      <c r="BQ145" s="4"/>
      <c r="BR145" s="8"/>
      <c r="BS145" s="7"/>
      <c r="BT145" s="7"/>
      <c r="BU145" s="2" t="s">
        <v>1175</v>
      </c>
      <c r="BV145" s="2" t="s">
        <v>199</v>
      </c>
      <c r="BW145" s="2" t="s">
        <v>199</v>
      </c>
      <c r="BX145" s="2" t="s">
        <v>260</v>
      </c>
      <c r="BY145" s="2" t="s">
        <v>209</v>
      </c>
      <c r="BZ145" s="2" t="s">
        <v>196</v>
      </c>
      <c r="CA145" s="2" t="s">
        <v>1188</v>
      </c>
      <c r="CB145" s="2" t="s">
        <v>1189</v>
      </c>
      <c r="CC145" s="2" t="s">
        <v>212</v>
      </c>
      <c r="CD145" s="2" t="s">
        <v>199</v>
      </c>
      <c r="CE145" s="4">
        <v>325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>
        <v>325</v>
      </c>
      <c r="EU145" s="4">
        <v>317</v>
      </c>
      <c r="EV145" s="4">
        <v>315</v>
      </c>
      <c r="EW145" s="4">
        <v>313</v>
      </c>
      <c r="EX145" s="4">
        <v>311</v>
      </c>
      <c r="EY145" s="4">
        <v>309</v>
      </c>
      <c r="EZ145" s="4">
        <v>307</v>
      </c>
      <c r="FA145" s="4">
        <v>305</v>
      </c>
      <c r="FB145" s="4">
        <v>303</v>
      </c>
      <c r="FC145" s="4">
        <v>301</v>
      </c>
      <c r="FD145" s="4">
        <v>299</v>
      </c>
      <c r="FE145" s="4">
        <v>297</v>
      </c>
      <c r="FF145" s="4">
        <v>295</v>
      </c>
      <c r="FG145" s="4">
        <v>293</v>
      </c>
      <c r="FH145" s="4">
        <v>291</v>
      </c>
      <c r="FI145" s="4">
        <v>289</v>
      </c>
      <c r="FJ145" s="4">
        <v>287</v>
      </c>
      <c r="FK145" s="4">
        <v>284</v>
      </c>
      <c r="FL145" s="4">
        <v>281</v>
      </c>
      <c r="FM145" s="4">
        <v>278</v>
      </c>
      <c r="FN145" s="4">
        <v>273</v>
      </c>
      <c r="FO145" s="4">
        <v>268</v>
      </c>
      <c r="FP145" s="4">
        <v>263</v>
      </c>
      <c r="FQ145" s="4">
        <v>258</v>
      </c>
      <c r="FR145" s="4">
        <v>252</v>
      </c>
      <c r="FS145" s="4">
        <v>246</v>
      </c>
      <c r="FT145" s="19">
        <v>81.3</v>
      </c>
      <c r="FU145" s="19">
        <v>158.5</v>
      </c>
      <c r="FV145" s="19">
        <v>157.5</v>
      </c>
      <c r="FW145" s="19">
        <v>156.5</v>
      </c>
      <c r="FX145" s="19">
        <v>155.5</v>
      </c>
      <c r="FY145" s="19">
        <v>154.5</v>
      </c>
      <c r="FZ145" s="19">
        <v>153.5</v>
      </c>
      <c r="GA145" s="19">
        <v>152.5</v>
      </c>
      <c r="GB145" s="19">
        <v>151.5</v>
      </c>
      <c r="GC145" s="19">
        <v>150.5</v>
      </c>
      <c r="GD145" s="19">
        <v>149.5</v>
      </c>
      <c r="GE145" s="19">
        <v>148.5</v>
      </c>
      <c r="GF145" s="19">
        <v>147.5</v>
      </c>
      <c r="GG145" s="19">
        <v>146.5</v>
      </c>
      <c r="GH145" s="19">
        <v>145.5</v>
      </c>
      <c r="GI145" s="19">
        <v>96.3</v>
      </c>
      <c r="GJ145" s="19">
        <v>71.8</v>
      </c>
      <c r="GK145" s="19">
        <v>71</v>
      </c>
      <c r="GL145" s="19">
        <v>70.3</v>
      </c>
      <c r="GM145" s="19">
        <v>55.6</v>
      </c>
      <c r="GN145" s="19">
        <v>54.6</v>
      </c>
      <c r="GO145" s="19">
        <v>44.7</v>
      </c>
      <c r="GP145" s="19">
        <v>43.8</v>
      </c>
      <c r="GQ145" s="19">
        <v>43</v>
      </c>
      <c r="GR145" s="19">
        <v>42</v>
      </c>
      <c r="GS145" s="19">
        <v>41</v>
      </c>
    </row>
    <row r="146">
      <c r="A146" s="2" t="s">
        <v>1190</v>
      </c>
      <c r="B146" s="2" t="s">
        <v>736</v>
      </c>
      <c r="C146" s="2" t="s">
        <v>1165</v>
      </c>
      <c r="D146" s="2" t="s">
        <v>631</v>
      </c>
      <c r="E146" s="2" t="s">
        <v>720</v>
      </c>
      <c r="F146" s="2" t="s">
        <v>1166</v>
      </c>
      <c r="G146" s="2" t="s">
        <v>1167</v>
      </c>
      <c r="H146" s="2" t="s">
        <v>1168</v>
      </c>
      <c r="I146" s="2" t="s">
        <v>1169</v>
      </c>
      <c r="J146" s="2" t="s">
        <v>232</v>
      </c>
      <c r="K146" s="2" t="s">
        <v>584</v>
      </c>
      <c r="L146" s="3">
        <v>63</v>
      </c>
      <c r="M146" s="3">
        <v>66.15</v>
      </c>
      <c r="N146" s="3">
        <v>119.99</v>
      </c>
      <c r="O146" s="2" t="s">
        <v>196</v>
      </c>
      <c r="P146" s="2" t="s">
        <v>197</v>
      </c>
      <c r="Q146" s="2" t="s">
        <v>198</v>
      </c>
      <c r="R146" s="2" t="s">
        <v>199</v>
      </c>
      <c r="S146" s="2" t="s">
        <v>1179</v>
      </c>
      <c r="T146" s="2" t="s">
        <v>300</v>
      </c>
      <c r="U146" s="2" t="s">
        <v>509</v>
      </c>
      <c r="V146" s="2" t="s">
        <v>202</v>
      </c>
      <c r="W146" s="2" t="s">
        <v>1171</v>
      </c>
      <c r="X146" s="2" t="s">
        <v>1172</v>
      </c>
      <c r="Y146" s="2" t="s">
        <v>1186</v>
      </c>
      <c r="Z146" s="4">
        <v>138</v>
      </c>
      <c r="AA146" s="4">
        <f>=ROUNDDOWN(69,0)</f>
      </c>
      <c r="AB146" s="5">
        <v>2</v>
      </c>
      <c r="AC146" s="2" t="s">
        <v>199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199</v>
      </c>
      <c r="AW146" s="8" t="s">
        <v>199</v>
      </c>
      <c r="AX146" s="4" t="s">
        <v>199</v>
      </c>
      <c r="AY146" s="8" t="s">
        <v>199</v>
      </c>
      <c r="AZ146" s="7" t="s">
        <v>199</v>
      </c>
      <c r="BA146" s="7" t="s">
        <v>199</v>
      </c>
      <c r="BB146" s="7"/>
      <c r="BC146" s="4" t="s">
        <v>199</v>
      </c>
      <c r="BD146" s="8" t="s">
        <v>199</v>
      </c>
      <c r="BE146" s="4" t="s">
        <v>199</v>
      </c>
      <c r="BF146" s="8" t="s">
        <v>199</v>
      </c>
      <c r="BG146" s="7" t="s">
        <v>199</v>
      </c>
      <c r="BH146" s="7" t="s">
        <v>199</v>
      </c>
      <c r="BI146" s="7"/>
      <c r="BJ146" s="4">
        <v>8</v>
      </c>
      <c r="BK146" s="8">
        <v>533.12</v>
      </c>
      <c r="BL146" s="2" t="s">
        <v>1191</v>
      </c>
      <c r="BM146" s="7"/>
      <c r="BN146" s="7"/>
      <c r="BO146" s="4"/>
      <c r="BP146" s="8"/>
      <c r="BQ146" s="4"/>
      <c r="BR146" s="8"/>
      <c r="BS146" s="7"/>
      <c r="BT146" s="7"/>
      <c r="BU146" s="2" t="s">
        <v>1175</v>
      </c>
      <c r="BV146" s="2" t="s">
        <v>199</v>
      </c>
      <c r="BW146" s="2" t="s">
        <v>199</v>
      </c>
      <c r="BX146" s="2" t="s">
        <v>260</v>
      </c>
      <c r="BY146" s="2" t="s">
        <v>209</v>
      </c>
      <c r="BZ146" s="2" t="s">
        <v>196</v>
      </c>
      <c r="CA146" s="2" t="s">
        <v>1188</v>
      </c>
      <c r="CB146" s="2" t="s">
        <v>1192</v>
      </c>
      <c r="CC146" s="2" t="s">
        <v>212</v>
      </c>
      <c r="CD146" s="2" t="s">
        <v>199</v>
      </c>
      <c r="CE146" s="4">
        <v>138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>
        <v>140</v>
      </c>
      <c r="EU146" s="4">
        <v>131</v>
      </c>
      <c r="EV146" s="4">
        <v>129</v>
      </c>
      <c r="EW146" s="4">
        <v>127</v>
      </c>
      <c r="EX146" s="4">
        <v>125</v>
      </c>
      <c r="EY146" s="4">
        <v>123</v>
      </c>
      <c r="EZ146" s="4">
        <v>121</v>
      </c>
      <c r="FA146" s="4">
        <v>119</v>
      </c>
      <c r="FB146" s="4">
        <v>117</v>
      </c>
      <c r="FC146" s="4">
        <v>115</v>
      </c>
      <c r="FD146" s="4">
        <v>113</v>
      </c>
      <c r="FE146" s="4">
        <v>111</v>
      </c>
      <c r="FF146" s="4">
        <v>109</v>
      </c>
      <c r="FG146" s="4">
        <v>107</v>
      </c>
      <c r="FH146" s="4">
        <v>105</v>
      </c>
      <c r="FI146" s="4">
        <v>103</v>
      </c>
      <c r="FJ146" s="4">
        <v>101</v>
      </c>
      <c r="FK146" s="4">
        <v>99</v>
      </c>
      <c r="FL146" s="4">
        <v>97</v>
      </c>
      <c r="FM146" s="4">
        <v>95</v>
      </c>
      <c r="FN146" s="4">
        <v>93</v>
      </c>
      <c r="FO146" s="4">
        <v>91</v>
      </c>
      <c r="FP146" s="4">
        <v>89</v>
      </c>
      <c r="FQ146" s="4">
        <v>87</v>
      </c>
      <c r="FR146" s="4">
        <v>85</v>
      </c>
      <c r="FS146" s="4">
        <v>83</v>
      </c>
      <c r="FT146" s="19">
        <v>35</v>
      </c>
      <c r="FU146" s="19">
        <v>65.5</v>
      </c>
      <c r="FV146" s="19">
        <v>64.5</v>
      </c>
      <c r="FW146" s="19">
        <v>63.5</v>
      </c>
      <c r="FX146" s="19">
        <v>62.5</v>
      </c>
      <c r="FY146" s="19">
        <v>61.5</v>
      </c>
      <c r="FZ146" s="19">
        <v>60.5</v>
      </c>
      <c r="GA146" s="19">
        <v>59.5</v>
      </c>
      <c r="GB146" s="19">
        <v>58.5</v>
      </c>
      <c r="GC146" s="19">
        <v>57.5</v>
      </c>
      <c r="GD146" s="19">
        <v>56.5</v>
      </c>
      <c r="GE146" s="19">
        <v>55.5</v>
      </c>
      <c r="GF146" s="19">
        <v>54.5</v>
      </c>
      <c r="GG146" s="19">
        <v>53.5</v>
      </c>
      <c r="GH146" s="19">
        <v>52.5</v>
      </c>
      <c r="GI146" s="19">
        <v>51.5</v>
      </c>
      <c r="GJ146" s="19">
        <v>50.5</v>
      </c>
      <c r="GK146" s="19">
        <v>49.5</v>
      </c>
      <c r="GL146" s="19">
        <v>48.5</v>
      </c>
      <c r="GM146" s="19">
        <v>47.5</v>
      </c>
      <c r="GN146" s="19">
        <v>46.5</v>
      </c>
      <c r="GO146" s="19">
        <v>45.5</v>
      </c>
      <c r="GP146" s="19">
        <v>44.5</v>
      </c>
      <c r="GQ146" s="19">
        <v>43.5</v>
      </c>
      <c r="GR146" s="19">
        <v>42.5</v>
      </c>
      <c r="GS146" s="19">
        <v>41.5</v>
      </c>
    </row>
    <row r="147">
      <c r="A147" s="2" t="s">
        <v>1193</v>
      </c>
      <c r="B147" s="2" t="s">
        <v>736</v>
      </c>
      <c r="C147" s="2" t="s">
        <v>1165</v>
      </c>
      <c r="D147" s="2" t="s">
        <v>631</v>
      </c>
      <c r="E147" s="2" t="s">
        <v>720</v>
      </c>
      <c r="F147" s="2" t="s">
        <v>1166</v>
      </c>
      <c r="G147" s="2" t="s">
        <v>1167</v>
      </c>
      <c r="H147" s="2" t="s">
        <v>1168</v>
      </c>
      <c r="I147" s="2" t="s">
        <v>1169</v>
      </c>
      <c r="J147" s="2" t="s">
        <v>1011</v>
      </c>
      <c r="K147" s="2" t="s">
        <v>665</v>
      </c>
      <c r="L147" s="3">
        <v>46.53</v>
      </c>
      <c r="M147" s="3">
        <v>48.86</v>
      </c>
      <c r="N147" s="3">
        <v>89.99</v>
      </c>
      <c r="O147" s="2" t="s">
        <v>196</v>
      </c>
      <c r="P147" s="2" t="s">
        <v>197</v>
      </c>
      <c r="Q147" s="2" t="s">
        <v>198</v>
      </c>
      <c r="R147" s="2" t="s">
        <v>199</v>
      </c>
      <c r="S147" s="2" t="s">
        <v>1194</v>
      </c>
      <c r="T147" s="2" t="s">
        <v>300</v>
      </c>
      <c r="U147" s="2" t="s">
        <v>492</v>
      </c>
      <c r="V147" s="2" t="s">
        <v>202</v>
      </c>
      <c r="W147" s="2" t="s">
        <v>1171</v>
      </c>
      <c r="X147" s="2" t="s">
        <v>1172</v>
      </c>
      <c r="Y147" s="2" t="s">
        <v>1195</v>
      </c>
      <c r="Z147" s="4">
        <v>191</v>
      </c>
      <c r="AA147" s="4">
        <f>=ROUNDDOWN(95.5,0)</f>
      </c>
      <c r="AB147" s="5">
        <v>2</v>
      </c>
      <c r="AC147" s="2" t="s">
        <v>199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199</v>
      </c>
      <c r="AW147" s="8" t="s">
        <v>199</v>
      </c>
      <c r="AX147" s="4" t="s">
        <v>199</v>
      </c>
      <c r="AY147" s="8" t="s">
        <v>199</v>
      </c>
      <c r="AZ147" s="7" t="s">
        <v>199</v>
      </c>
      <c r="BA147" s="7" t="s">
        <v>199</v>
      </c>
      <c r="BB147" s="7"/>
      <c r="BC147" s="4" t="s">
        <v>199</v>
      </c>
      <c r="BD147" s="8" t="s">
        <v>199</v>
      </c>
      <c r="BE147" s="4" t="s">
        <v>199</v>
      </c>
      <c r="BF147" s="8" t="s">
        <v>199</v>
      </c>
      <c r="BG147" s="7" t="s">
        <v>199</v>
      </c>
      <c r="BH147" s="7" t="s">
        <v>199</v>
      </c>
      <c r="BI147" s="7"/>
      <c r="BJ147" s="4">
        <v>6</v>
      </c>
      <c r="BK147" s="8">
        <v>299.58</v>
      </c>
      <c r="BL147" s="2" t="s">
        <v>1196</v>
      </c>
      <c r="BM147" s="7"/>
      <c r="BN147" s="7"/>
      <c r="BO147" s="4"/>
      <c r="BP147" s="8"/>
      <c r="BQ147" s="4"/>
      <c r="BR147" s="8"/>
      <c r="BS147" s="7"/>
      <c r="BT147" s="7"/>
      <c r="BU147" s="2" t="s">
        <v>1175</v>
      </c>
      <c r="BV147" s="2" t="s">
        <v>199</v>
      </c>
      <c r="BW147" s="2" t="s">
        <v>199</v>
      </c>
      <c r="BX147" s="2" t="s">
        <v>260</v>
      </c>
      <c r="BY147" s="2" t="s">
        <v>209</v>
      </c>
      <c r="BZ147" s="2" t="s">
        <v>196</v>
      </c>
      <c r="CA147" s="2" t="s">
        <v>1197</v>
      </c>
      <c r="CB147" s="2" t="s">
        <v>1198</v>
      </c>
      <c r="CC147" s="2" t="s">
        <v>212</v>
      </c>
      <c r="CD147" s="2" t="s">
        <v>199</v>
      </c>
      <c r="CE147" s="4">
        <v>191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>
        <v>192</v>
      </c>
      <c r="EU147" s="4">
        <v>189</v>
      </c>
      <c r="EV147" s="4">
        <v>187</v>
      </c>
      <c r="EW147" s="4">
        <v>185</v>
      </c>
      <c r="EX147" s="4">
        <v>183</v>
      </c>
      <c r="EY147" s="4">
        <v>181</v>
      </c>
      <c r="EZ147" s="4">
        <v>179</v>
      </c>
      <c r="FA147" s="4">
        <v>177</v>
      </c>
      <c r="FB147" s="4">
        <v>175</v>
      </c>
      <c r="FC147" s="4">
        <v>173</v>
      </c>
      <c r="FD147" s="4">
        <v>171</v>
      </c>
      <c r="FE147" s="4">
        <v>169</v>
      </c>
      <c r="FF147" s="4">
        <v>167</v>
      </c>
      <c r="FG147" s="4">
        <v>165</v>
      </c>
      <c r="FH147" s="4">
        <v>163</v>
      </c>
      <c r="FI147" s="4">
        <v>161</v>
      </c>
      <c r="FJ147" s="4">
        <v>159</v>
      </c>
      <c r="FK147" s="4">
        <v>157</v>
      </c>
      <c r="FL147" s="4">
        <v>155</v>
      </c>
      <c r="FM147" s="4">
        <v>153</v>
      </c>
      <c r="FN147" s="4">
        <v>151</v>
      </c>
      <c r="FO147" s="4">
        <v>149</v>
      </c>
      <c r="FP147" s="4">
        <v>147</v>
      </c>
      <c r="FQ147" s="4">
        <v>144</v>
      </c>
      <c r="FR147" s="4">
        <v>140</v>
      </c>
      <c r="FS147" s="4">
        <v>136</v>
      </c>
      <c r="FT147" s="19">
        <v>96</v>
      </c>
      <c r="FU147" s="19">
        <v>94.5</v>
      </c>
      <c r="FV147" s="19">
        <v>93.5</v>
      </c>
      <c r="FW147" s="19">
        <v>92.5</v>
      </c>
      <c r="FX147" s="19">
        <v>91.5</v>
      </c>
      <c r="FY147" s="19">
        <v>90.5</v>
      </c>
      <c r="FZ147" s="19">
        <v>89.5</v>
      </c>
      <c r="GA147" s="19">
        <v>88.5</v>
      </c>
      <c r="GB147" s="19">
        <v>87.5</v>
      </c>
      <c r="GC147" s="19">
        <v>86.5</v>
      </c>
      <c r="GD147" s="19">
        <v>85.5</v>
      </c>
      <c r="GE147" s="19">
        <v>84.5</v>
      </c>
      <c r="GF147" s="19">
        <v>83.5</v>
      </c>
      <c r="GG147" s="19">
        <v>82.5</v>
      </c>
      <c r="GH147" s="19">
        <v>81.5</v>
      </c>
      <c r="GI147" s="19">
        <v>80.5</v>
      </c>
      <c r="GJ147" s="19">
        <v>79.5</v>
      </c>
      <c r="GK147" s="19">
        <v>78.5</v>
      </c>
      <c r="GL147" s="19">
        <v>77.5</v>
      </c>
      <c r="GM147" s="19">
        <v>76.5</v>
      </c>
      <c r="GN147" s="19">
        <v>50.3</v>
      </c>
      <c r="GO147" s="19">
        <v>49.7</v>
      </c>
      <c r="GP147" s="19">
        <v>36.8</v>
      </c>
      <c r="GQ147" s="19">
        <v>28.8</v>
      </c>
      <c r="GR147" s="19">
        <v>23.3</v>
      </c>
      <c r="GS147" s="19">
        <v>19.4</v>
      </c>
    </row>
    <row r="148">
      <c r="A148" s="2" t="s">
        <v>1199</v>
      </c>
      <c r="B148" s="2" t="s">
        <v>736</v>
      </c>
      <c r="C148" s="2" t="s">
        <v>1165</v>
      </c>
      <c r="D148" s="2" t="s">
        <v>631</v>
      </c>
      <c r="E148" s="2" t="s">
        <v>720</v>
      </c>
      <c r="F148" s="2" t="s">
        <v>1166</v>
      </c>
      <c r="G148" s="2" t="s">
        <v>1167</v>
      </c>
      <c r="H148" s="2" t="s">
        <v>1168</v>
      </c>
      <c r="I148" s="2" t="s">
        <v>1169</v>
      </c>
      <c r="J148" s="2" t="s">
        <v>241</v>
      </c>
      <c r="K148" s="2" t="s">
        <v>665</v>
      </c>
      <c r="L148" s="3">
        <v>72</v>
      </c>
      <c r="M148" s="3">
        <v>75.6</v>
      </c>
      <c r="N148" s="3">
        <v>139.99</v>
      </c>
      <c r="O148" s="2" t="s">
        <v>196</v>
      </c>
      <c r="P148" s="2" t="s">
        <v>197</v>
      </c>
      <c r="Q148" s="2" t="s">
        <v>198</v>
      </c>
      <c r="R148" s="2" t="s">
        <v>199</v>
      </c>
      <c r="S148" s="2" t="s">
        <v>1194</v>
      </c>
      <c r="T148" s="2" t="s">
        <v>300</v>
      </c>
      <c r="U148" s="2" t="s">
        <v>509</v>
      </c>
      <c r="V148" s="2" t="s">
        <v>202</v>
      </c>
      <c r="W148" s="2" t="s">
        <v>1171</v>
      </c>
      <c r="X148" s="2" t="s">
        <v>1172</v>
      </c>
      <c r="Y148" s="2" t="s">
        <v>1186</v>
      </c>
      <c r="Z148" s="4">
        <v>107</v>
      </c>
      <c r="AA148" s="4">
        <f>=ROUNDDOWN(53.5,0)</f>
      </c>
      <c r="AB148" s="5">
        <v>2</v>
      </c>
      <c r="AC148" s="2" t="s">
        <v>199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199</v>
      </c>
      <c r="AW148" s="8" t="s">
        <v>199</v>
      </c>
      <c r="AX148" s="4" t="s">
        <v>199</v>
      </c>
      <c r="AY148" s="8" t="s">
        <v>199</v>
      </c>
      <c r="AZ148" s="7" t="s">
        <v>199</v>
      </c>
      <c r="BA148" s="7" t="s">
        <v>199</v>
      </c>
      <c r="BB148" s="7"/>
      <c r="BC148" s="4" t="s">
        <v>199</v>
      </c>
      <c r="BD148" s="8" t="s">
        <v>199</v>
      </c>
      <c r="BE148" s="4" t="s">
        <v>199</v>
      </c>
      <c r="BF148" s="8" t="s">
        <v>199</v>
      </c>
      <c r="BG148" s="7" t="s">
        <v>199</v>
      </c>
      <c r="BH148" s="7" t="s">
        <v>199</v>
      </c>
      <c r="BI148" s="7"/>
      <c r="BJ148" s="4">
        <v>6</v>
      </c>
      <c r="BK148" s="8">
        <v>474.55</v>
      </c>
      <c r="BL148" s="2" t="s">
        <v>327</v>
      </c>
      <c r="BM148" s="7"/>
      <c r="BN148" s="7"/>
      <c r="BO148" s="4"/>
      <c r="BP148" s="8"/>
      <c r="BQ148" s="4"/>
      <c r="BR148" s="8"/>
      <c r="BS148" s="7"/>
      <c r="BT148" s="7"/>
      <c r="BU148" s="2" t="s">
        <v>1175</v>
      </c>
      <c r="BV148" s="2" t="s">
        <v>199</v>
      </c>
      <c r="BW148" s="2" t="s">
        <v>199</v>
      </c>
      <c r="BX148" s="2" t="s">
        <v>260</v>
      </c>
      <c r="BY148" s="2" t="s">
        <v>209</v>
      </c>
      <c r="BZ148" s="2" t="s">
        <v>196</v>
      </c>
      <c r="CA148" s="2" t="s">
        <v>283</v>
      </c>
      <c r="CB148" s="2" t="s">
        <v>1200</v>
      </c>
      <c r="CC148" s="2" t="s">
        <v>212</v>
      </c>
      <c r="CD148" s="2" t="s">
        <v>199</v>
      </c>
      <c r="CE148" s="4">
        <v>107</v>
      </c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>
        <v>107</v>
      </c>
      <c r="EU148" s="4">
        <v>101</v>
      </c>
      <c r="EV148" s="4">
        <v>99</v>
      </c>
      <c r="EW148" s="4">
        <v>97</v>
      </c>
      <c r="EX148" s="4">
        <v>95</v>
      </c>
      <c r="EY148" s="4">
        <v>93</v>
      </c>
      <c r="EZ148" s="4">
        <v>91</v>
      </c>
      <c r="FA148" s="4">
        <v>89</v>
      </c>
      <c r="FB148" s="4">
        <v>87</v>
      </c>
      <c r="FC148" s="4">
        <v>85</v>
      </c>
      <c r="FD148" s="4">
        <v>83</v>
      </c>
      <c r="FE148" s="4">
        <v>81</v>
      </c>
      <c r="FF148" s="4">
        <v>79</v>
      </c>
      <c r="FG148" s="4">
        <v>77</v>
      </c>
      <c r="FH148" s="4">
        <v>75</v>
      </c>
      <c r="FI148" s="4">
        <v>73</v>
      </c>
      <c r="FJ148" s="4">
        <v>71</v>
      </c>
      <c r="FK148" s="4">
        <v>69</v>
      </c>
      <c r="FL148" s="4">
        <v>67</v>
      </c>
      <c r="FM148" s="4">
        <v>65</v>
      </c>
      <c r="FN148" s="4">
        <v>63</v>
      </c>
      <c r="FO148" s="4">
        <v>61</v>
      </c>
      <c r="FP148" s="4">
        <v>59</v>
      </c>
      <c r="FQ148" s="4">
        <v>57</v>
      </c>
      <c r="FR148" s="4">
        <v>55</v>
      </c>
      <c r="FS148" s="4">
        <v>53</v>
      </c>
      <c r="FT148" s="19">
        <v>35.7</v>
      </c>
      <c r="FU148" s="19">
        <v>50.5</v>
      </c>
      <c r="FV148" s="19">
        <v>49.5</v>
      </c>
      <c r="FW148" s="19">
        <v>48.5</v>
      </c>
      <c r="FX148" s="19">
        <v>47.5</v>
      </c>
      <c r="FY148" s="19">
        <v>46.5</v>
      </c>
      <c r="FZ148" s="19">
        <v>45.5</v>
      </c>
      <c r="GA148" s="19">
        <v>44.5</v>
      </c>
      <c r="GB148" s="19">
        <v>43.5</v>
      </c>
      <c r="GC148" s="19">
        <v>42.5</v>
      </c>
      <c r="GD148" s="19">
        <v>41.5</v>
      </c>
      <c r="GE148" s="19">
        <v>40.5</v>
      </c>
      <c r="GF148" s="19">
        <v>39.5</v>
      </c>
      <c r="GG148" s="19">
        <v>38.5</v>
      </c>
      <c r="GH148" s="19">
        <v>37.5</v>
      </c>
      <c r="GI148" s="19">
        <v>36.5</v>
      </c>
      <c r="GJ148" s="19">
        <v>35.5</v>
      </c>
      <c r="GK148" s="19">
        <v>34.5</v>
      </c>
      <c r="GL148" s="19">
        <v>33.5</v>
      </c>
      <c r="GM148" s="19">
        <v>32.5</v>
      </c>
      <c r="GN148" s="19">
        <v>31.5</v>
      </c>
      <c r="GO148" s="19">
        <v>30.5</v>
      </c>
      <c r="GP148" s="19">
        <v>29.5</v>
      </c>
      <c r="GQ148" s="19">
        <v>28.5</v>
      </c>
      <c r="GR148" s="19">
        <v>27.5</v>
      </c>
      <c r="GS148" s="19">
        <v>26.5</v>
      </c>
    </row>
    <row r="149">
      <c r="A149" s="2" t="s">
        <v>1201</v>
      </c>
      <c r="B149" s="2" t="s">
        <v>736</v>
      </c>
      <c r="C149" s="2" t="s">
        <v>1165</v>
      </c>
      <c r="D149" s="2" t="s">
        <v>631</v>
      </c>
      <c r="E149" s="2" t="s">
        <v>720</v>
      </c>
      <c r="F149" s="2" t="s">
        <v>1166</v>
      </c>
      <c r="G149" s="2" t="s">
        <v>1167</v>
      </c>
      <c r="H149" s="2" t="s">
        <v>1168</v>
      </c>
      <c r="I149" s="2" t="s">
        <v>1169</v>
      </c>
      <c r="J149" s="2" t="s">
        <v>1011</v>
      </c>
      <c r="K149" s="2" t="s">
        <v>1202</v>
      </c>
      <c r="L149" s="3">
        <v>46.53</v>
      </c>
      <c r="M149" s="3">
        <v>48.86</v>
      </c>
      <c r="N149" s="3">
        <v>89.99</v>
      </c>
      <c r="O149" s="2" t="s">
        <v>196</v>
      </c>
      <c r="P149" s="2" t="s">
        <v>621</v>
      </c>
      <c r="Q149" s="2" t="s">
        <v>198</v>
      </c>
      <c r="R149" s="2" t="s">
        <v>199</v>
      </c>
      <c r="S149" s="2" t="s">
        <v>1203</v>
      </c>
      <c r="T149" s="2" t="s">
        <v>300</v>
      </c>
      <c r="U149" s="2" t="s">
        <v>492</v>
      </c>
      <c r="V149" s="2" t="s">
        <v>202</v>
      </c>
      <c r="W149" s="2" t="s">
        <v>1171</v>
      </c>
      <c r="X149" s="2" t="s">
        <v>1172</v>
      </c>
      <c r="Y149" s="2" t="s">
        <v>1204</v>
      </c>
      <c r="Z149" s="4">
        <v>327</v>
      </c>
      <c r="AA149" s="4">
        <f>=ROUNDDOWN(81.75,0)</f>
      </c>
      <c r="AB149" s="5">
        <v>4</v>
      </c>
      <c r="AC149" s="2" t="s">
        <v>199</v>
      </c>
      <c r="AD149" s="4"/>
      <c r="AE149" s="4"/>
      <c r="AF149" s="6">
        <v>66</v>
      </c>
      <c r="AG149" s="6">
        <v>49</v>
      </c>
      <c r="AH149" s="7">
        <v>1</v>
      </c>
      <c r="AI149" s="4"/>
      <c r="AJ149" s="4">
        <f>=ROUNDDOWN({0},0)</f>
      </c>
      <c r="AK149" s="5"/>
      <c r="AL149" s="2" t="s">
        <v>199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199</v>
      </c>
      <c r="AW149" s="8" t="s">
        <v>199</v>
      </c>
      <c r="AX149" s="4" t="s">
        <v>199</v>
      </c>
      <c r="AY149" s="8" t="s">
        <v>199</v>
      </c>
      <c r="AZ149" s="7" t="s">
        <v>199</v>
      </c>
      <c r="BA149" s="7" t="s">
        <v>199</v>
      </c>
      <c r="BB149" s="7"/>
      <c r="BC149" s="4" t="s">
        <v>199</v>
      </c>
      <c r="BD149" s="8" t="s">
        <v>199</v>
      </c>
      <c r="BE149" s="4" t="s">
        <v>199</v>
      </c>
      <c r="BF149" s="8" t="s">
        <v>199</v>
      </c>
      <c r="BG149" s="7" t="s">
        <v>199</v>
      </c>
      <c r="BH149" s="7" t="s">
        <v>199</v>
      </c>
      <c r="BI149" s="7"/>
      <c r="BJ149" s="4">
        <v>19</v>
      </c>
      <c r="BK149" s="8">
        <v>918.49</v>
      </c>
      <c r="BL149" s="2" t="s">
        <v>1205</v>
      </c>
      <c r="BM149" s="7"/>
      <c r="BN149" s="7"/>
      <c r="BO149" s="4"/>
      <c r="BP149" s="8"/>
      <c r="BQ149" s="4"/>
      <c r="BR149" s="8"/>
      <c r="BS149" s="7"/>
      <c r="BT149" s="7"/>
      <c r="BU149" s="2" t="s">
        <v>1175</v>
      </c>
      <c r="BV149" s="2" t="s">
        <v>199</v>
      </c>
      <c r="BW149" s="2" t="s">
        <v>199</v>
      </c>
      <c r="BX149" s="2" t="s">
        <v>260</v>
      </c>
      <c r="BY149" s="2" t="s">
        <v>209</v>
      </c>
      <c r="BZ149" s="2" t="s">
        <v>196</v>
      </c>
      <c r="CA149" s="2" t="s">
        <v>408</v>
      </c>
      <c r="CB149" s="2" t="s">
        <v>1206</v>
      </c>
      <c r="CC149" s="2" t="s">
        <v>212</v>
      </c>
      <c r="CD149" s="2" t="s">
        <v>199</v>
      </c>
      <c r="CE149" s="4">
        <v>216</v>
      </c>
      <c r="CF149" s="4"/>
      <c r="CG149" s="4"/>
      <c r="CH149" s="4">
        <v>111</v>
      </c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>
        <v>332</v>
      </c>
      <c r="EU149" s="4">
        <v>325</v>
      </c>
      <c r="EV149" s="4">
        <v>322</v>
      </c>
      <c r="EW149" s="4">
        <v>319</v>
      </c>
      <c r="EX149" s="4">
        <v>316</v>
      </c>
      <c r="EY149" s="4">
        <v>313</v>
      </c>
      <c r="EZ149" s="4">
        <v>310</v>
      </c>
      <c r="FA149" s="4">
        <v>307</v>
      </c>
      <c r="FB149" s="4">
        <v>304</v>
      </c>
      <c r="FC149" s="4">
        <v>301</v>
      </c>
      <c r="FD149" s="4">
        <v>297</v>
      </c>
      <c r="FE149" s="4">
        <v>293</v>
      </c>
      <c r="FF149" s="4">
        <v>289</v>
      </c>
      <c r="FG149" s="4">
        <v>285</v>
      </c>
      <c r="FH149" s="4">
        <v>281</v>
      </c>
      <c r="FI149" s="4">
        <v>277</v>
      </c>
      <c r="FJ149" s="4">
        <v>273</v>
      </c>
      <c r="FK149" s="4">
        <v>268</v>
      </c>
      <c r="FL149" s="4">
        <v>263</v>
      </c>
      <c r="FM149" s="4">
        <v>258</v>
      </c>
      <c r="FN149" s="4">
        <v>251</v>
      </c>
      <c r="FO149" s="4">
        <v>244</v>
      </c>
      <c r="FP149" s="4">
        <v>237</v>
      </c>
      <c r="FQ149" s="4">
        <v>229</v>
      </c>
      <c r="FR149" s="4">
        <v>219</v>
      </c>
      <c r="FS149" s="4">
        <v>209</v>
      </c>
      <c r="FT149" s="19">
        <v>93</v>
      </c>
      <c r="FU149" s="19">
        <v>109</v>
      </c>
      <c r="FV149" s="19">
        <v>108</v>
      </c>
      <c r="FW149" s="19">
        <v>107</v>
      </c>
      <c r="FX149" s="19">
        <v>106</v>
      </c>
      <c r="FY149" s="19">
        <v>105</v>
      </c>
      <c r="FZ149" s="19">
        <v>104</v>
      </c>
      <c r="GA149" s="19">
        <v>103</v>
      </c>
      <c r="GB149" s="19">
        <v>85.4</v>
      </c>
      <c r="GC149" s="19">
        <v>84.5</v>
      </c>
      <c r="GD149" s="19">
        <v>83.5</v>
      </c>
      <c r="GE149" s="19">
        <v>82.5</v>
      </c>
      <c r="GF149" s="19">
        <v>81.5</v>
      </c>
      <c r="GG149" s="19">
        <v>80.5</v>
      </c>
      <c r="GH149" s="19">
        <v>55</v>
      </c>
      <c r="GI149" s="19">
        <v>54.3</v>
      </c>
      <c r="GJ149" s="19">
        <v>46.2</v>
      </c>
      <c r="GK149" s="19">
        <v>45.3</v>
      </c>
      <c r="GL149" s="19">
        <v>44.4</v>
      </c>
      <c r="GM149" s="19">
        <v>39.3</v>
      </c>
      <c r="GN149" s="19">
        <v>35.6</v>
      </c>
      <c r="GO149" s="19">
        <v>34.7</v>
      </c>
      <c r="GP149" s="19">
        <v>25</v>
      </c>
      <c r="GQ149" s="19">
        <v>19.5</v>
      </c>
      <c r="GR149" s="19">
        <v>18.7</v>
      </c>
      <c r="GS149" s="19">
        <v>17.8</v>
      </c>
    </row>
    <row r="150">
      <c r="A150" s="2" t="s">
        <v>1207</v>
      </c>
      <c r="B150" s="2" t="s">
        <v>736</v>
      </c>
      <c r="C150" s="2" t="s">
        <v>1165</v>
      </c>
      <c r="D150" s="2" t="s">
        <v>228</v>
      </c>
      <c r="E150" s="2" t="s">
        <v>487</v>
      </c>
      <c r="F150" s="2" t="s">
        <v>1166</v>
      </c>
      <c r="G150" s="2" t="s">
        <v>1167</v>
      </c>
      <c r="H150" s="2" t="s">
        <v>1168</v>
      </c>
      <c r="I150" s="2" t="s">
        <v>1178</v>
      </c>
      <c r="J150" s="2" t="s">
        <v>241</v>
      </c>
      <c r="K150" s="2" t="s">
        <v>1202</v>
      </c>
      <c r="L150" s="3">
        <v>75.6</v>
      </c>
      <c r="M150" s="3">
        <v>79.38</v>
      </c>
      <c r="N150" s="3">
        <v>159.99</v>
      </c>
      <c r="O150" s="2" t="s">
        <v>196</v>
      </c>
      <c r="P150" s="2" t="s">
        <v>724</v>
      </c>
      <c r="Q150" s="2" t="s">
        <v>198</v>
      </c>
      <c r="R150" s="2" t="s">
        <v>199</v>
      </c>
      <c r="S150" s="2" t="s">
        <v>1203</v>
      </c>
      <c r="T150" s="2" t="s">
        <v>300</v>
      </c>
      <c r="U150" s="2" t="s">
        <v>509</v>
      </c>
      <c r="V150" s="2" t="s">
        <v>202</v>
      </c>
      <c r="W150" s="2" t="s">
        <v>1171</v>
      </c>
      <c r="X150" s="2" t="s">
        <v>1172</v>
      </c>
      <c r="Y150" s="2" t="s">
        <v>1204</v>
      </c>
      <c r="Z150" s="4">
        <v>91</v>
      </c>
      <c r="AA150" s="4">
        <f>=ROUNDDOWN(45.5,0)</f>
      </c>
      <c r="AB150" s="5">
        <v>2</v>
      </c>
      <c r="AC150" s="2" t="s">
        <v>199</v>
      </c>
      <c r="AD150" s="4"/>
      <c r="AE150" s="4"/>
      <c r="AF150" s="6">
        <v>66</v>
      </c>
      <c r="AG150" s="6">
        <v>49</v>
      </c>
      <c r="AH150" s="7">
        <v>1</v>
      </c>
      <c r="AI150" s="4"/>
      <c r="AJ150" s="4">
        <f>=ROUNDDOWN({0},0)</f>
      </c>
      <c r="AK150" s="5"/>
      <c r="AL150" s="2" t="s">
        <v>199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199</v>
      </c>
      <c r="AW150" s="8" t="s">
        <v>199</v>
      </c>
      <c r="AX150" s="4" t="s">
        <v>199</v>
      </c>
      <c r="AY150" s="8" t="s">
        <v>199</v>
      </c>
      <c r="AZ150" s="7" t="s">
        <v>199</v>
      </c>
      <c r="BA150" s="7" t="s">
        <v>199</v>
      </c>
      <c r="BB150" s="7" t="s">
        <v>199</v>
      </c>
      <c r="BC150" s="4" t="s">
        <v>199</v>
      </c>
      <c r="BD150" s="8" t="s">
        <v>199</v>
      </c>
      <c r="BE150" s="4" t="s">
        <v>199</v>
      </c>
      <c r="BF150" s="8" t="s">
        <v>199</v>
      </c>
      <c r="BG150" s="7" t="s">
        <v>199</v>
      </c>
      <c r="BH150" s="7" t="s">
        <v>199</v>
      </c>
      <c r="BI150" s="7"/>
      <c r="BJ150" s="4">
        <v>7</v>
      </c>
      <c r="BK150" s="8">
        <v>609.49</v>
      </c>
      <c r="BL150" s="2" t="s">
        <v>1208</v>
      </c>
      <c r="BM150" s="7"/>
      <c r="BN150" s="7"/>
      <c r="BO150" s="4"/>
      <c r="BP150" s="8"/>
      <c r="BQ150" s="4"/>
      <c r="BR150" s="8"/>
      <c r="BS150" s="7"/>
      <c r="BT150" s="7"/>
      <c r="BU150" s="2" t="s">
        <v>1182</v>
      </c>
      <c r="BV150" s="2" t="s">
        <v>199</v>
      </c>
      <c r="BW150" s="2" t="s">
        <v>199</v>
      </c>
      <c r="BX150" s="2" t="s">
        <v>260</v>
      </c>
      <c r="BY150" s="2" t="s">
        <v>209</v>
      </c>
      <c r="BZ150" s="2" t="s">
        <v>196</v>
      </c>
      <c r="CA150" s="2" t="s">
        <v>408</v>
      </c>
      <c r="CB150" s="2" t="s">
        <v>1209</v>
      </c>
      <c r="CC150" s="2" t="s">
        <v>212</v>
      </c>
      <c r="CD150" s="2" t="s">
        <v>199</v>
      </c>
      <c r="CE150" s="4">
        <v>23</v>
      </c>
      <c r="CF150" s="4">
        <v>66</v>
      </c>
      <c r="CG150" s="4"/>
      <c r="CH150" s="4">
        <v>2</v>
      </c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>
        <v>91</v>
      </c>
      <c r="EU150" s="4">
        <v>89</v>
      </c>
      <c r="EV150" s="4">
        <v>87</v>
      </c>
      <c r="EW150" s="4">
        <v>85</v>
      </c>
      <c r="EX150" s="4">
        <v>83</v>
      </c>
      <c r="EY150" s="4">
        <v>81</v>
      </c>
      <c r="EZ150" s="4">
        <v>79</v>
      </c>
      <c r="FA150" s="4">
        <v>77</v>
      </c>
      <c r="FB150" s="4">
        <v>75</v>
      </c>
      <c r="FC150" s="4">
        <v>73</v>
      </c>
      <c r="FD150" s="4">
        <v>71</v>
      </c>
      <c r="FE150" s="4">
        <v>69</v>
      </c>
      <c r="FF150" s="4">
        <v>67</v>
      </c>
      <c r="FG150" s="4">
        <v>65</v>
      </c>
      <c r="FH150" s="4">
        <v>63</v>
      </c>
      <c r="FI150" s="4">
        <v>61</v>
      </c>
      <c r="FJ150" s="4">
        <v>59</v>
      </c>
      <c r="FK150" s="4">
        <v>57</v>
      </c>
      <c r="FL150" s="4">
        <v>55</v>
      </c>
      <c r="FM150" s="4">
        <v>53</v>
      </c>
      <c r="FN150" s="4">
        <v>51</v>
      </c>
      <c r="FO150" s="4">
        <v>49</v>
      </c>
      <c r="FP150" s="4">
        <v>47</v>
      </c>
      <c r="FQ150" s="4">
        <v>45</v>
      </c>
      <c r="FR150" s="4">
        <v>43</v>
      </c>
      <c r="FS150" s="4">
        <v>41</v>
      </c>
      <c r="FT150" s="19">
        <v>22.3</v>
      </c>
      <c r="FU150" s="19">
        <v>22</v>
      </c>
      <c r="FV150" s="19">
        <v>21.8</v>
      </c>
      <c r="FW150" s="19">
        <v>21.3</v>
      </c>
      <c r="FX150" s="19">
        <v>20.8</v>
      </c>
      <c r="FY150" s="19">
        <v>20.3</v>
      </c>
      <c r="FZ150" s="19">
        <v>19.8</v>
      </c>
      <c r="GA150" s="19">
        <v>19.3</v>
      </c>
      <c r="GB150" s="19">
        <v>18.8</v>
      </c>
      <c r="GC150" s="19">
        <v>18.3</v>
      </c>
      <c r="GD150" s="19">
        <v>17.8</v>
      </c>
      <c r="GE150" s="19">
        <v>17.3</v>
      </c>
      <c r="GF150" s="19">
        <v>16.8</v>
      </c>
      <c r="GG150" s="19">
        <v>16.3</v>
      </c>
      <c r="GH150" s="19">
        <v>15.8</v>
      </c>
      <c r="GI150" s="19">
        <v>15.3</v>
      </c>
      <c r="GJ150" s="19">
        <v>14.8</v>
      </c>
      <c r="GK150" s="19">
        <v>14.3</v>
      </c>
      <c r="GL150" s="19">
        <v>13.8</v>
      </c>
      <c r="GM150" s="19">
        <v>13.3</v>
      </c>
      <c r="GN150" s="19">
        <v>12.8</v>
      </c>
      <c r="GO150" s="19">
        <v>12.3</v>
      </c>
      <c r="GP150" s="19">
        <v>11.8</v>
      </c>
      <c r="GQ150" s="19">
        <v>11.3</v>
      </c>
      <c r="GR150" s="19">
        <v>10.8</v>
      </c>
      <c r="GS150" s="19">
        <v>10.3</v>
      </c>
    </row>
    <row r="151">
      <c r="A151" s="2" t="s">
        <v>1210</v>
      </c>
      <c r="B151" s="2" t="s">
        <v>736</v>
      </c>
      <c r="C151" s="2" t="s">
        <v>1165</v>
      </c>
      <c r="D151" s="2" t="s">
        <v>631</v>
      </c>
      <c r="E151" s="2" t="s">
        <v>720</v>
      </c>
      <c r="F151" s="2" t="s">
        <v>1166</v>
      </c>
      <c r="G151" s="2" t="s">
        <v>1167</v>
      </c>
      <c r="H151" s="2" t="s">
        <v>1168</v>
      </c>
      <c r="I151" s="2" t="s">
        <v>1169</v>
      </c>
      <c r="J151" s="2" t="s">
        <v>241</v>
      </c>
      <c r="K151" s="2" t="s">
        <v>1202</v>
      </c>
      <c r="L151" s="3">
        <v>72</v>
      </c>
      <c r="M151" s="3">
        <v>75.6</v>
      </c>
      <c r="N151" s="3">
        <v>139.99</v>
      </c>
      <c r="O151" s="2" t="s">
        <v>196</v>
      </c>
      <c r="P151" s="2" t="s">
        <v>621</v>
      </c>
      <c r="Q151" s="2" t="s">
        <v>198</v>
      </c>
      <c r="R151" s="2" t="s">
        <v>199</v>
      </c>
      <c r="S151" s="2" t="s">
        <v>1203</v>
      </c>
      <c r="T151" s="2" t="s">
        <v>300</v>
      </c>
      <c r="U151" s="2" t="s">
        <v>509</v>
      </c>
      <c r="V151" s="2" t="s">
        <v>202</v>
      </c>
      <c r="W151" s="2" t="s">
        <v>1171</v>
      </c>
      <c r="X151" s="2" t="s">
        <v>1172</v>
      </c>
      <c r="Y151" s="2" t="s">
        <v>1204</v>
      </c>
      <c r="Z151" s="4">
        <v>86</v>
      </c>
      <c r="AA151" s="4">
        <f>=ROUNDDOWN(43,0)</f>
      </c>
      <c r="AB151" s="5">
        <v>2</v>
      </c>
      <c r="AC151" s="2" t="s">
        <v>199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199</v>
      </c>
      <c r="AW151" s="8" t="s">
        <v>199</v>
      </c>
      <c r="AX151" s="4" t="s">
        <v>199</v>
      </c>
      <c r="AY151" s="8" t="s">
        <v>199</v>
      </c>
      <c r="AZ151" s="7" t="s">
        <v>199</v>
      </c>
      <c r="BA151" s="7" t="s">
        <v>199</v>
      </c>
      <c r="BB151" s="7" t="s">
        <v>199</v>
      </c>
      <c r="BC151" s="4" t="s">
        <v>199</v>
      </c>
      <c r="BD151" s="8" t="s">
        <v>199</v>
      </c>
      <c r="BE151" s="4" t="s">
        <v>199</v>
      </c>
      <c r="BF151" s="8" t="s">
        <v>199</v>
      </c>
      <c r="BG151" s="7" t="s">
        <v>199</v>
      </c>
      <c r="BH151" s="7" t="s">
        <v>199</v>
      </c>
      <c r="BI151" s="7"/>
      <c r="BJ151" s="4">
        <v>8</v>
      </c>
      <c r="BK151" s="8">
        <v>627.18</v>
      </c>
      <c r="BL151" s="2" t="s">
        <v>1191</v>
      </c>
      <c r="BM151" s="7"/>
      <c r="BN151" s="7"/>
      <c r="BO151" s="4"/>
      <c r="BP151" s="8"/>
      <c r="BQ151" s="4"/>
      <c r="BR151" s="8"/>
      <c r="BS151" s="7"/>
      <c r="BT151" s="7"/>
      <c r="BU151" s="2" t="s">
        <v>1175</v>
      </c>
      <c r="BV151" s="2" t="s">
        <v>199</v>
      </c>
      <c r="BW151" s="2" t="s">
        <v>199</v>
      </c>
      <c r="BX151" s="2" t="s">
        <v>260</v>
      </c>
      <c r="BY151" s="2" t="s">
        <v>209</v>
      </c>
      <c r="BZ151" s="2" t="s">
        <v>196</v>
      </c>
      <c r="CA151" s="2" t="s">
        <v>408</v>
      </c>
      <c r="CB151" s="2" t="s">
        <v>339</v>
      </c>
      <c r="CC151" s="2" t="s">
        <v>212</v>
      </c>
      <c r="CD151" s="2" t="s">
        <v>199</v>
      </c>
      <c r="CE151" s="4">
        <v>86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>
        <v>86</v>
      </c>
      <c r="EU151" s="4">
        <v>79</v>
      </c>
      <c r="EV151" s="4">
        <v>77</v>
      </c>
      <c r="EW151" s="4">
        <v>75</v>
      </c>
      <c r="EX151" s="4">
        <v>73</v>
      </c>
      <c r="EY151" s="4">
        <v>71</v>
      </c>
      <c r="EZ151" s="4">
        <v>69</v>
      </c>
      <c r="FA151" s="4">
        <v>67</v>
      </c>
      <c r="FB151" s="4">
        <v>65</v>
      </c>
      <c r="FC151" s="4">
        <v>63</v>
      </c>
      <c r="FD151" s="4">
        <v>61</v>
      </c>
      <c r="FE151" s="4">
        <v>59</v>
      </c>
      <c r="FF151" s="4">
        <v>57</v>
      </c>
      <c r="FG151" s="4">
        <v>55</v>
      </c>
      <c r="FH151" s="4">
        <v>53</v>
      </c>
      <c r="FI151" s="4">
        <v>51</v>
      </c>
      <c r="FJ151" s="4">
        <v>49</v>
      </c>
      <c r="FK151" s="4">
        <v>47</v>
      </c>
      <c r="FL151" s="4">
        <v>45</v>
      </c>
      <c r="FM151" s="4">
        <v>43</v>
      </c>
      <c r="FN151" s="4">
        <v>41</v>
      </c>
      <c r="FO151" s="4">
        <v>39</v>
      </c>
      <c r="FP151" s="4">
        <v>37</v>
      </c>
      <c r="FQ151" s="4">
        <v>35</v>
      </c>
      <c r="FR151" s="4">
        <v>33</v>
      </c>
      <c r="FS151" s="4">
        <v>31</v>
      </c>
      <c r="FT151" s="19">
        <v>28.7</v>
      </c>
      <c r="FU151" s="19">
        <v>39.5</v>
      </c>
      <c r="FV151" s="19">
        <v>38.5</v>
      </c>
      <c r="FW151" s="19">
        <v>37.5</v>
      </c>
      <c r="FX151" s="19">
        <v>36.5</v>
      </c>
      <c r="FY151" s="19">
        <v>35.5</v>
      </c>
      <c r="FZ151" s="19">
        <v>34.5</v>
      </c>
      <c r="GA151" s="19">
        <v>33.5</v>
      </c>
      <c r="GB151" s="19">
        <v>32.5</v>
      </c>
      <c r="GC151" s="19">
        <v>31.5</v>
      </c>
      <c r="GD151" s="19">
        <v>30.5</v>
      </c>
      <c r="GE151" s="19">
        <v>29.5</v>
      </c>
      <c r="GF151" s="19">
        <v>28.5</v>
      </c>
      <c r="GG151" s="19">
        <v>27.5</v>
      </c>
      <c r="GH151" s="19">
        <v>26.5</v>
      </c>
      <c r="GI151" s="19">
        <v>25.5</v>
      </c>
      <c r="GJ151" s="19">
        <v>24.5</v>
      </c>
      <c r="GK151" s="19">
        <v>23.5</v>
      </c>
      <c r="GL151" s="19">
        <v>22.5</v>
      </c>
      <c r="GM151" s="19">
        <v>21.5</v>
      </c>
      <c r="GN151" s="19">
        <v>20.5</v>
      </c>
      <c r="GO151" s="19">
        <v>19.5</v>
      </c>
      <c r="GP151" s="19">
        <v>18.5</v>
      </c>
      <c r="GQ151" s="19">
        <v>17.5</v>
      </c>
      <c r="GR151" s="19">
        <v>16.5</v>
      </c>
      <c r="GS151" s="19">
        <v>15.5</v>
      </c>
    </row>
    <row r="152">
      <c r="A152" s="2" t="s">
        <v>1211</v>
      </c>
      <c r="B152" s="2" t="s">
        <v>648</v>
      </c>
      <c r="C152" s="2" t="s">
        <v>1165</v>
      </c>
      <c r="D152" s="2" t="s">
        <v>1212</v>
      </c>
      <c r="E152" s="2" t="s">
        <v>1213</v>
      </c>
      <c r="F152" s="2" t="s">
        <v>1166</v>
      </c>
      <c r="G152" s="2" t="s">
        <v>1167</v>
      </c>
      <c r="H152" s="2" t="s">
        <v>1168</v>
      </c>
      <c r="I152" s="2" t="s">
        <v>1214</v>
      </c>
      <c r="J152" s="2" t="s">
        <v>1215</v>
      </c>
      <c r="K152" s="2" t="s">
        <v>1202</v>
      </c>
      <c r="L152" s="3">
        <v>19.8</v>
      </c>
      <c r="M152" s="3">
        <v>20.79</v>
      </c>
      <c r="N152" s="3">
        <v>44.99</v>
      </c>
      <c r="O152" s="2" t="s">
        <v>196</v>
      </c>
      <c r="P152" s="2" t="s">
        <v>197</v>
      </c>
      <c r="Q152" s="2" t="s">
        <v>198</v>
      </c>
      <c r="R152" s="2" t="s">
        <v>199</v>
      </c>
      <c r="S152" s="2" t="s">
        <v>1216</v>
      </c>
      <c r="T152" s="2" t="s">
        <v>300</v>
      </c>
      <c r="U152" s="2" t="s">
        <v>280</v>
      </c>
      <c r="V152" s="2" t="s">
        <v>202</v>
      </c>
      <c r="W152" s="2" t="s">
        <v>203</v>
      </c>
      <c r="X152" s="2" t="s">
        <v>1171</v>
      </c>
      <c r="Y152" s="2" t="s">
        <v>1217</v>
      </c>
      <c r="Z152" s="4">
        <v>473</v>
      </c>
      <c r="AA152" s="4">
        <f>=ROUNDDOWN(43,0)</f>
      </c>
      <c r="AB152" s="5">
        <v>11</v>
      </c>
      <c r="AC152" s="2" t="s">
        <v>892</v>
      </c>
      <c r="AD152" s="4">
        <v>300</v>
      </c>
      <c r="AE152" s="4">
        <v>300</v>
      </c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199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199</v>
      </c>
      <c r="AW152" s="8" t="s">
        <v>199</v>
      </c>
      <c r="AX152" s="4" t="s">
        <v>199</v>
      </c>
      <c r="AY152" s="8" t="s">
        <v>199</v>
      </c>
      <c r="AZ152" s="7" t="s">
        <v>199</v>
      </c>
      <c r="BA152" s="7" t="s">
        <v>199</v>
      </c>
      <c r="BB152" s="7"/>
      <c r="BC152" s="4" t="s">
        <v>199</v>
      </c>
      <c r="BD152" s="8" t="s">
        <v>199</v>
      </c>
      <c r="BE152" s="4" t="s">
        <v>199</v>
      </c>
      <c r="BF152" s="8" t="s">
        <v>199</v>
      </c>
      <c r="BG152" s="7" t="s">
        <v>199</v>
      </c>
      <c r="BH152" s="7" t="s">
        <v>199</v>
      </c>
      <c r="BI152" s="7"/>
      <c r="BJ152" s="4">
        <v>19</v>
      </c>
      <c r="BK152" s="8">
        <v>395.47</v>
      </c>
      <c r="BL152" s="2" t="s">
        <v>1218</v>
      </c>
      <c r="BM152" s="7"/>
      <c r="BN152" s="7"/>
      <c r="BO152" s="4"/>
      <c r="BP152" s="8"/>
      <c r="BQ152" s="4"/>
      <c r="BR152" s="8"/>
      <c r="BS152" s="7"/>
      <c r="BT152" s="7"/>
      <c r="BU152" s="2" t="s">
        <v>1219</v>
      </c>
      <c r="BV152" s="2" t="s">
        <v>199</v>
      </c>
      <c r="BW152" s="2" t="s">
        <v>199</v>
      </c>
      <c r="BX152" s="2" t="s">
        <v>208</v>
      </c>
      <c r="BY152" s="2" t="s">
        <v>209</v>
      </c>
      <c r="BZ152" s="2" t="s">
        <v>196</v>
      </c>
      <c r="CA152" s="2" t="s">
        <v>1220</v>
      </c>
      <c r="CB152" s="2" t="s">
        <v>1221</v>
      </c>
      <c r="CC152" s="2" t="s">
        <v>212</v>
      </c>
      <c r="CD152" s="2" t="s">
        <v>199</v>
      </c>
      <c r="CE152" s="4">
        <v>473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>
        <v>300</v>
      </c>
      <c r="EN152" s="4"/>
      <c r="EO152" s="4"/>
      <c r="EP152" s="4"/>
      <c r="EQ152" s="4"/>
      <c r="ER152" s="4"/>
      <c r="ES152" s="4"/>
      <c r="ET152" s="4">
        <v>473</v>
      </c>
      <c r="EU152" s="4">
        <v>467</v>
      </c>
      <c r="EV152" s="4">
        <v>461</v>
      </c>
      <c r="EW152" s="4">
        <v>455</v>
      </c>
      <c r="EX152" s="4">
        <v>449</v>
      </c>
      <c r="EY152" s="4">
        <v>443</v>
      </c>
      <c r="EZ152" s="4">
        <v>437</v>
      </c>
      <c r="FA152" s="4">
        <v>431</v>
      </c>
      <c r="FB152" s="4">
        <v>424</v>
      </c>
      <c r="FC152" s="4">
        <v>418</v>
      </c>
      <c r="FD152" s="4">
        <v>412</v>
      </c>
      <c r="FE152" s="4">
        <v>405</v>
      </c>
      <c r="FF152" s="4">
        <v>394</v>
      </c>
      <c r="FG152" s="4">
        <v>383</v>
      </c>
      <c r="FH152" s="4">
        <v>372</v>
      </c>
      <c r="FI152" s="4">
        <v>360</v>
      </c>
      <c r="FJ152" s="4">
        <v>649</v>
      </c>
      <c r="FK152" s="4">
        <v>638</v>
      </c>
      <c r="FL152" s="4">
        <v>627</v>
      </c>
      <c r="FM152" s="4">
        <v>616</v>
      </c>
      <c r="FN152" s="4">
        <v>604</v>
      </c>
      <c r="FO152" s="4">
        <v>593</v>
      </c>
      <c r="FP152" s="4">
        <v>581</v>
      </c>
      <c r="FQ152" s="4">
        <v>570</v>
      </c>
      <c r="FR152" s="4">
        <v>559</v>
      </c>
      <c r="FS152" s="4">
        <v>548</v>
      </c>
      <c r="FT152" s="19">
        <v>78.8</v>
      </c>
      <c r="FU152" s="19">
        <v>77.8</v>
      </c>
      <c r="FV152" s="19">
        <v>76.8</v>
      </c>
      <c r="FW152" s="19">
        <v>75.8</v>
      </c>
      <c r="FX152" s="19">
        <v>74.8</v>
      </c>
      <c r="FY152" s="19">
        <v>73.8</v>
      </c>
      <c r="FZ152" s="19">
        <v>72.8</v>
      </c>
      <c r="GA152" s="19">
        <v>71.8</v>
      </c>
      <c r="GB152" s="19">
        <v>53</v>
      </c>
      <c r="GC152" s="19">
        <v>46.4</v>
      </c>
      <c r="GD152" s="19">
        <v>41.2</v>
      </c>
      <c r="GE152" s="19">
        <v>36.8</v>
      </c>
      <c r="GF152" s="19">
        <v>35.8</v>
      </c>
      <c r="GG152" s="19">
        <v>34.8</v>
      </c>
      <c r="GH152" s="19">
        <v>33.8</v>
      </c>
      <c r="GI152" s="19">
        <v>32.7</v>
      </c>
      <c r="GJ152" s="19">
        <v>59</v>
      </c>
      <c r="GK152" s="19">
        <v>58</v>
      </c>
      <c r="GL152" s="19">
        <v>52.3</v>
      </c>
      <c r="GM152" s="19">
        <v>51.3</v>
      </c>
      <c r="GN152" s="19">
        <v>54.9</v>
      </c>
      <c r="GO152" s="19">
        <v>53.9</v>
      </c>
      <c r="GP152" s="19">
        <v>52.8</v>
      </c>
      <c r="GQ152" s="19">
        <v>51.8</v>
      </c>
      <c r="GR152" s="19">
        <v>50.8</v>
      </c>
      <c r="GS152" s="19">
        <v>45.7</v>
      </c>
    </row>
    <row r="153">
      <c r="A153" s="2" t="s">
        <v>1222</v>
      </c>
      <c r="B153" s="2" t="s">
        <v>736</v>
      </c>
      <c r="C153" s="2" t="s">
        <v>1165</v>
      </c>
      <c r="D153" s="2" t="s">
        <v>228</v>
      </c>
      <c r="E153" s="2" t="s">
        <v>487</v>
      </c>
      <c r="F153" s="2" t="s">
        <v>1166</v>
      </c>
      <c r="G153" s="2" t="s">
        <v>1167</v>
      </c>
      <c r="H153" s="2" t="s">
        <v>1168</v>
      </c>
      <c r="I153" s="2" t="s">
        <v>1178</v>
      </c>
      <c r="J153" s="2" t="s">
        <v>1011</v>
      </c>
      <c r="K153" s="2" t="s">
        <v>1223</v>
      </c>
      <c r="L153" s="3">
        <v>52.88</v>
      </c>
      <c r="M153" s="3">
        <v>55.52</v>
      </c>
      <c r="N153" s="3">
        <v>109.99</v>
      </c>
      <c r="O153" s="2" t="s">
        <v>196</v>
      </c>
      <c r="P153" s="2" t="s">
        <v>197</v>
      </c>
      <c r="Q153" s="2" t="s">
        <v>198</v>
      </c>
      <c r="R153" s="2" t="s">
        <v>199</v>
      </c>
      <c r="S153" s="2" t="s">
        <v>1224</v>
      </c>
      <c r="T153" s="2" t="s">
        <v>300</v>
      </c>
      <c r="U153" s="2" t="s">
        <v>492</v>
      </c>
      <c r="V153" s="2" t="s">
        <v>202</v>
      </c>
      <c r="W153" s="2" t="s">
        <v>1171</v>
      </c>
      <c r="X153" s="2" t="s">
        <v>712</v>
      </c>
      <c r="Y153" s="2" t="s">
        <v>1225</v>
      </c>
      <c r="Z153" s="4">
        <v>213</v>
      </c>
      <c r="AA153" s="4">
        <f>=ROUNDDOWN(71,0)</f>
      </c>
      <c r="AB153" s="5">
        <v>3</v>
      </c>
      <c r="AC153" s="2" t="s">
        <v>199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199</v>
      </c>
      <c r="AW153" s="8" t="s">
        <v>199</v>
      </c>
      <c r="AX153" s="4" t="s">
        <v>199</v>
      </c>
      <c r="AY153" s="8" t="s">
        <v>199</v>
      </c>
      <c r="AZ153" s="7" t="s">
        <v>199</v>
      </c>
      <c r="BA153" s="7" t="s">
        <v>199</v>
      </c>
      <c r="BB153" s="7"/>
      <c r="BC153" s="4" t="s">
        <v>199</v>
      </c>
      <c r="BD153" s="8" t="s">
        <v>199</v>
      </c>
      <c r="BE153" s="4" t="s">
        <v>199</v>
      </c>
      <c r="BF153" s="8" t="s">
        <v>199</v>
      </c>
      <c r="BG153" s="7" t="s">
        <v>199</v>
      </c>
      <c r="BH153" s="7" t="s">
        <v>199</v>
      </c>
      <c r="BI153" s="7"/>
      <c r="BJ153" s="4">
        <v>4</v>
      </c>
      <c r="BK153" s="8">
        <v>238.22</v>
      </c>
      <c r="BL153" s="2" t="s">
        <v>902</v>
      </c>
      <c r="BM153" s="7"/>
      <c r="BN153" s="7"/>
      <c r="BO153" s="4"/>
      <c r="BP153" s="8"/>
      <c r="BQ153" s="4"/>
      <c r="BR153" s="8"/>
      <c r="BS153" s="7"/>
      <c r="BT153" s="7"/>
      <c r="BU153" s="2" t="s">
        <v>1182</v>
      </c>
      <c r="BV153" s="2" t="s">
        <v>199</v>
      </c>
      <c r="BW153" s="2" t="s">
        <v>199</v>
      </c>
      <c r="BX153" s="2" t="s">
        <v>260</v>
      </c>
      <c r="BY153" s="2" t="s">
        <v>209</v>
      </c>
      <c r="BZ153" s="2" t="s">
        <v>196</v>
      </c>
      <c r="CA153" s="2" t="s">
        <v>381</v>
      </c>
      <c r="CB153" s="2" t="s">
        <v>1226</v>
      </c>
      <c r="CC153" s="2" t="s">
        <v>212</v>
      </c>
      <c r="CD153" s="2" t="s">
        <v>199</v>
      </c>
      <c r="CE153" s="4">
        <v>213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>
        <v>213</v>
      </c>
      <c r="EU153" s="4">
        <v>205</v>
      </c>
      <c r="EV153" s="4">
        <v>202</v>
      </c>
      <c r="EW153" s="4">
        <v>199</v>
      </c>
      <c r="EX153" s="4">
        <v>196</v>
      </c>
      <c r="EY153" s="4">
        <v>193</v>
      </c>
      <c r="EZ153" s="4">
        <v>190</v>
      </c>
      <c r="FA153" s="4">
        <v>187</v>
      </c>
      <c r="FB153" s="4">
        <v>184</v>
      </c>
      <c r="FC153" s="4">
        <v>181</v>
      </c>
      <c r="FD153" s="4">
        <v>178</v>
      </c>
      <c r="FE153" s="4">
        <v>175</v>
      </c>
      <c r="FF153" s="4">
        <v>172</v>
      </c>
      <c r="FG153" s="4">
        <v>169</v>
      </c>
      <c r="FH153" s="4">
        <v>166</v>
      </c>
      <c r="FI153" s="4">
        <v>163</v>
      </c>
      <c r="FJ153" s="4">
        <v>160</v>
      </c>
      <c r="FK153" s="4">
        <v>156</v>
      </c>
      <c r="FL153" s="4">
        <v>152</v>
      </c>
      <c r="FM153" s="4">
        <v>148</v>
      </c>
      <c r="FN153" s="4">
        <v>141</v>
      </c>
      <c r="FO153" s="4">
        <v>134</v>
      </c>
      <c r="FP153" s="4">
        <v>127</v>
      </c>
      <c r="FQ153" s="4">
        <v>119</v>
      </c>
      <c r="FR153" s="4">
        <v>110</v>
      </c>
      <c r="FS153" s="4">
        <v>101</v>
      </c>
      <c r="FT153" s="19">
        <v>53.3</v>
      </c>
      <c r="FU153" s="19">
        <v>68.3</v>
      </c>
      <c r="FV153" s="19">
        <v>67.3</v>
      </c>
      <c r="FW153" s="19">
        <v>66.3</v>
      </c>
      <c r="FX153" s="19">
        <v>65.3</v>
      </c>
      <c r="FY153" s="19">
        <v>64.3</v>
      </c>
      <c r="FZ153" s="19">
        <v>63.3</v>
      </c>
      <c r="GA153" s="19">
        <v>62.3</v>
      </c>
      <c r="GB153" s="19">
        <v>61.3</v>
      </c>
      <c r="GC153" s="19">
        <v>60.3</v>
      </c>
      <c r="GD153" s="19">
        <v>59.3</v>
      </c>
      <c r="GE153" s="19">
        <v>58.3</v>
      </c>
      <c r="GF153" s="19">
        <v>57.3</v>
      </c>
      <c r="GG153" s="19">
        <v>56.3</v>
      </c>
      <c r="GH153" s="19">
        <v>41.5</v>
      </c>
      <c r="GI153" s="19">
        <v>40.8</v>
      </c>
      <c r="GJ153" s="19">
        <v>32</v>
      </c>
      <c r="GK153" s="19">
        <v>26</v>
      </c>
      <c r="GL153" s="19">
        <v>25.3</v>
      </c>
      <c r="GM153" s="19">
        <v>21.1</v>
      </c>
      <c r="GN153" s="19">
        <v>17.6</v>
      </c>
      <c r="GO153" s="19">
        <v>16.8</v>
      </c>
      <c r="GP153" s="19">
        <v>15.9</v>
      </c>
      <c r="GQ153" s="19">
        <v>13.2</v>
      </c>
      <c r="GR153" s="19">
        <v>11</v>
      </c>
      <c r="GS153" s="19">
        <v>10.1</v>
      </c>
    </row>
    <row r="154">
      <c r="A154" s="2" t="s">
        <v>1227</v>
      </c>
      <c r="B154" s="2" t="s">
        <v>736</v>
      </c>
      <c r="C154" s="2" t="s">
        <v>1165</v>
      </c>
      <c r="D154" s="2" t="s">
        <v>228</v>
      </c>
      <c r="E154" s="2" t="s">
        <v>487</v>
      </c>
      <c r="F154" s="2" t="s">
        <v>1166</v>
      </c>
      <c r="G154" s="2" t="s">
        <v>1167</v>
      </c>
      <c r="H154" s="2" t="s">
        <v>1168</v>
      </c>
      <c r="I154" s="2" t="s">
        <v>1178</v>
      </c>
      <c r="J154" s="2" t="s">
        <v>241</v>
      </c>
      <c r="K154" s="2" t="s">
        <v>1223</v>
      </c>
      <c r="L154" s="3">
        <v>75.6</v>
      </c>
      <c r="M154" s="3">
        <v>79.38</v>
      </c>
      <c r="N154" s="3">
        <v>159.99</v>
      </c>
      <c r="O154" s="2" t="s">
        <v>196</v>
      </c>
      <c r="P154" s="2" t="s">
        <v>197</v>
      </c>
      <c r="Q154" s="2" t="s">
        <v>198</v>
      </c>
      <c r="R154" s="2" t="s">
        <v>199</v>
      </c>
      <c r="S154" s="2" t="s">
        <v>1224</v>
      </c>
      <c r="T154" s="2" t="s">
        <v>300</v>
      </c>
      <c r="U154" s="2" t="s">
        <v>509</v>
      </c>
      <c r="V154" s="2" t="s">
        <v>202</v>
      </c>
      <c r="W154" s="2" t="s">
        <v>1171</v>
      </c>
      <c r="X154" s="2" t="s">
        <v>712</v>
      </c>
      <c r="Y154" s="2" t="s">
        <v>1225</v>
      </c>
      <c r="Z154" s="4">
        <v>173</v>
      </c>
      <c r="AA154" s="4">
        <f>=ROUNDDOWN(57.6666666666667,0)</f>
      </c>
      <c r="AB154" s="5">
        <v>3</v>
      </c>
      <c r="AC154" s="2" t="s">
        <v>199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199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199</v>
      </c>
      <c r="AW154" s="8" t="s">
        <v>199</v>
      </c>
      <c r="AX154" s="4" t="s">
        <v>199</v>
      </c>
      <c r="AY154" s="8" t="s">
        <v>199</v>
      </c>
      <c r="AZ154" s="7" t="s">
        <v>199</v>
      </c>
      <c r="BA154" s="7" t="s">
        <v>199</v>
      </c>
      <c r="BB154" s="7"/>
      <c r="BC154" s="4" t="s">
        <v>199</v>
      </c>
      <c r="BD154" s="8" t="s">
        <v>199</v>
      </c>
      <c r="BE154" s="4" t="s">
        <v>199</v>
      </c>
      <c r="BF154" s="8" t="s">
        <v>199</v>
      </c>
      <c r="BG154" s="7" t="s">
        <v>199</v>
      </c>
      <c r="BH154" s="7" t="s">
        <v>199</v>
      </c>
      <c r="BI154" s="7"/>
      <c r="BJ154" s="4">
        <v>6</v>
      </c>
      <c r="BK154" s="8">
        <v>537.04</v>
      </c>
      <c r="BL154" s="2" t="s">
        <v>1228</v>
      </c>
      <c r="BM154" s="7"/>
      <c r="BN154" s="7"/>
      <c r="BO154" s="4"/>
      <c r="BP154" s="8"/>
      <c r="BQ154" s="4"/>
      <c r="BR154" s="8"/>
      <c r="BS154" s="7"/>
      <c r="BT154" s="7"/>
      <c r="BU154" s="2" t="s">
        <v>1182</v>
      </c>
      <c r="BV154" s="2" t="s">
        <v>199</v>
      </c>
      <c r="BW154" s="2" t="s">
        <v>199</v>
      </c>
      <c r="BX154" s="2" t="s">
        <v>260</v>
      </c>
      <c r="BY154" s="2" t="s">
        <v>209</v>
      </c>
      <c r="BZ154" s="2" t="s">
        <v>196</v>
      </c>
      <c r="CA154" s="2" t="s">
        <v>381</v>
      </c>
      <c r="CB154" s="2" t="s">
        <v>1229</v>
      </c>
      <c r="CC154" s="2" t="s">
        <v>212</v>
      </c>
      <c r="CD154" s="2" t="s">
        <v>199</v>
      </c>
      <c r="CE154" s="4">
        <v>173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>
        <v>173</v>
      </c>
      <c r="EU154" s="4">
        <v>170</v>
      </c>
      <c r="EV154" s="4">
        <v>167</v>
      </c>
      <c r="EW154" s="4">
        <v>164</v>
      </c>
      <c r="EX154" s="4">
        <v>161</v>
      </c>
      <c r="EY154" s="4">
        <v>158</v>
      </c>
      <c r="EZ154" s="4">
        <v>155</v>
      </c>
      <c r="FA154" s="4">
        <v>152</v>
      </c>
      <c r="FB154" s="4">
        <v>149</v>
      </c>
      <c r="FC154" s="4">
        <v>146</v>
      </c>
      <c r="FD154" s="4">
        <v>143</v>
      </c>
      <c r="FE154" s="4">
        <v>140</v>
      </c>
      <c r="FF154" s="4">
        <v>137</v>
      </c>
      <c r="FG154" s="4">
        <v>134</v>
      </c>
      <c r="FH154" s="4">
        <v>131</v>
      </c>
      <c r="FI154" s="4">
        <v>128</v>
      </c>
      <c r="FJ154" s="4">
        <v>125</v>
      </c>
      <c r="FK154" s="4">
        <v>122</v>
      </c>
      <c r="FL154" s="4">
        <v>119</v>
      </c>
      <c r="FM154" s="4">
        <v>116</v>
      </c>
      <c r="FN154" s="4">
        <v>113</v>
      </c>
      <c r="FO154" s="4">
        <v>110</v>
      </c>
      <c r="FP154" s="4">
        <v>107</v>
      </c>
      <c r="FQ154" s="4">
        <v>104</v>
      </c>
      <c r="FR154" s="4">
        <v>101</v>
      </c>
      <c r="FS154" s="4">
        <v>98</v>
      </c>
      <c r="FT154" s="19">
        <v>57.7</v>
      </c>
      <c r="FU154" s="19">
        <v>56.7</v>
      </c>
      <c r="FV154" s="19">
        <v>55.7</v>
      </c>
      <c r="FW154" s="19">
        <v>54.7</v>
      </c>
      <c r="FX154" s="19">
        <v>53.7</v>
      </c>
      <c r="FY154" s="19">
        <v>52.7</v>
      </c>
      <c r="FZ154" s="19">
        <v>51.7</v>
      </c>
      <c r="GA154" s="19">
        <v>50.7</v>
      </c>
      <c r="GB154" s="19">
        <v>49.7</v>
      </c>
      <c r="GC154" s="19">
        <v>48.7</v>
      </c>
      <c r="GD154" s="19">
        <v>47.7</v>
      </c>
      <c r="GE154" s="19">
        <v>46.7</v>
      </c>
      <c r="GF154" s="19">
        <v>45.7</v>
      </c>
      <c r="GG154" s="19">
        <v>44.7</v>
      </c>
      <c r="GH154" s="19">
        <v>43.7</v>
      </c>
      <c r="GI154" s="19">
        <v>42.7</v>
      </c>
      <c r="GJ154" s="19">
        <v>41.7</v>
      </c>
      <c r="GK154" s="19">
        <v>40.7</v>
      </c>
      <c r="GL154" s="19">
        <v>39.7</v>
      </c>
      <c r="GM154" s="19">
        <v>38.7</v>
      </c>
      <c r="GN154" s="19">
        <v>37.7</v>
      </c>
      <c r="GO154" s="19">
        <v>36.7</v>
      </c>
      <c r="GP154" s="19">
        <v>35.7</v>
      </c>
      <c r="GQ154" s="19">
        <v>34.7</v>
      </c>
      <c r="GR154" s="19">
        <v>25.3</v>
      </c>
      <c r="GS154" s="19">
        <v>24.5</v>
      </c>
    </row>
    <row r="155">
      <c r="A155" s="2" t="s">
        <v>1230</v>
      </c>
      <c r="B155" s="2" t="s">
        <v>591</v>
      </c>
      <c r="C155" s="2" t="s">
        <v>604</v>
      </c>
      <c r="D155" s="2" t="s">
        <v>593</v>
      </c>
      <c r="E155" s="2" t="s">
        <v>594</v>
      </c>
      <c r="F155" s="2" t="s">
        <v>1231</v>
      </c>
      <c r="G155" s="2" t="s">
        <v>1231</v>
      </c>
      <c r="H155" s="2" t="s">
        <v>1231</v>
      </c>
      <c r="I155" s="2" t="s">
        <v>1232</v>
      </c>
      <c r="J155" s="2" t="s">
        <v>559</v>
      </c>
      <c r="K155" s="2" t="s">
        <v>502</v>
      </c>
      <c r="L155" s="3">
        <v>45</v>
      </c>
      <c r="M155" s="3">
        <v>47.25</v>
      </c>
      <c r="N155" s="3">
        <v>104.99</v>
      </c>
      <c r="O155" s="2" t="s">
        <v>196</v>
      </c>
      <c r="P155" s="2" t="s">
        <v>197</v>
      </c>
      <c r="Q155" s="2" t="s">
        <v>198</v>
      </c>
      <c r="R155" s="2" t="s">
        <v>199</v>
      </c>
      <c r="S155" s="2" t="s">
        <v>199</v>
      </c>
      <c r="T155" s="2" t="s">
        <v>199</v>
      </c>
      <c r="U155" s="2" t="s">
        <v>280</v>
      </c>
      <c r="V155" s="2" t="s">
        <v>493</v>
      </c>
      <c r="W155" s="2" t="s">
        <v>510</v>
      </c>
      <c r="X155" s="2" t="s">
        <v>255</v>
      </c>
      <c r="Y155" s="2" t="s">
        <v>1233</v>
      </c>
      <c r="Z155" s="4">
        <v>111</v>
      </c>
      <c r="AA155" s="4">
        <f>=ROUNDDOWN(33.6363636363636,0)</f>
      </c>
      <c r="AB155" s="5">
        <v>3.3</v>
      </c>
      <c r="AC155" s="2" t="s">
        <v>199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199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17</v>
      </c>
      <c r="BK155" s="8">
        <v>936.71</v>
      </c>
      <c r="BL155" s="2" t="s">
        <v>1234</v>
      </c>
      <c r="BM155" s="7"/>
      <c r="BN155" s="7"/>
      <c r="BO155" s="4"/>
      <c r="BP155" s="8"/>
      <c r="BQ155" s="4"/>
      <c r="BR155" s="8"/>
      <c r="BS155" s="7"/>
      <c r="BT155" s="7"/>
      <c r="BU155" s="2" t="s">
        <v>1235</v>
      </c>
      <c r="BV155" s="2" t="s">
        <v>199</v>
      </c>
      <c r="BW155" s="2" t="s">
        <v>199</v>
      </c>
      <c r="BX155" s="2" t="s">
        <v>208</v>
      </c>
      <c r="BY155" s="2" t="s">
        <v>209</v>
      </c>
      <c r="BZ155" s="2" t="s">
        <v>196</v>
      </c>
      <c r="CA155" s="2" t="s">
        <v>1236</v>
      </c>
      <c r="CB155" s="2" t="s">
        <v>1237</v>
      </c>
      <c r="CC155" s="2" t="s">
        <v>212</v>
      </c>
      <c r="CD155" s="2" t="s">
        <v>199</v>
      </c>
      <c r="CE155" s="4"/>
      <c r="CF155" s="4">
        <v>111</v>
      </c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>
        <v>112</v>
      </c>
      <c r="EU155" s="4">
        <v>107</v>
      </c>
      <c r="EV155" s="4">
        <v>104</v>
      </c>
      <c r="EW155" s="4">
        <v>101</v>
      </c>
      <c r="EX155" s="4">
        <v>98</v>
      </c>
      <c r="EY155" s="4">
        <v>95</v>
      </c>
      <c r="EZ155" s="4">
        <v>92</v>
      </c>
      <c r="FA155" s="4">
        <v>89</v>
      </c>
      <c r="FB155" s="4">
        <v>85</v>
      </c>
      <c r="FC155" s="4">
        <v>82</v>
      </c>
      <c r="FD155" s="4">
        <v>79</v>
      </c>
      <c r="FE155" s="4">
        <v>76</v>
      </c>
      <c r="FF155" s="4">
        <v>73</v>
      </c>
      <c r="FG155" s="4">
        <v>70</v>
      </c>
      <c r="FH155" s="4">
        <v>67</v>
      </c>
      <c r="FI155" s="4">
        <v>64</v>
      </c>
      <c r="FJ155" s="4">
        <v>61</v>
      </c>
      <c r="FK155" s="4">
        <v>58</v>
      </c>
      <c r="FL155" s="4">
        <v>55</v>
      </c>
      <c r="FM155" s="4">
        <v>52</v>
      </c>
      <c r="FN155" s="4">
        <v>49</v>
      </c>
      <c r="FO155" s="4">
        <v>46</v>
      </c>
      <c r="FP155" s="4">
        <v>42</v>
      </c>
      <c r="FQ155" s="4">
        <v>39</v>
      </c>
      <c r="FR155" s="4">
        <v>36</v>
      </c>
      <c r="FS155" s="4">
        <v>33</v>
      </c>
      <c r="FT155" s="19">
        <v>28</v>
      </c>
      <c r="FU155" s="19">
        <v>35.7</v>
      </c>
      <c r="FV155" s="19">
        <v>34.7</v>
      </c>
      <c r="FW155" s="19">
        <v>33.7</v>
      </c>
      <c r="FX155" s="19">
        <v>32.7</v>
      </c>
      <c r="FY155" s="19">
        <v>31.7</v>
      </c>
      <c r="FZ155" s="19">
        <v>30.7</v>
      </c>
      <c r="GA155" s="19">
        <v>29.7</v>
      </c>
      <c r="GB155" s="19">
        <v>28.3</v>
      </c>
      <c r="GC155" s="19">
        <v>27.3</v>
      </c>
      <c r="GD155" s="19">
        <v>26.3</v>
      </c>
      <c r="GE155" s="19">
        <v>25.3</v>
      </c>
      <c r="GF155" s="19">
        <v>24.3</v>
      </c>
      <c r="GG155" s="19">
        <v>23.3</v>
      </c>
      <c r="GH155" s="19">
        <v>22.3</v>
      </c>
      <c r="GI155" s="19">
        <v>21.3</v>
      </c>
      <c r="GJ155" s="19">
        <v>20.3</v>
      </c>
      <c r="GK155" s="19">
        <v>19.3</v>
      </c>
      <c r="GL155" s="19">
        <v>18.3</v>
      </c>
      <c r="GM155" s="19">
        <v>17.3</v>
      </c>
      <c r="GN155" s="19">
        <v>16.3</v>
      </c>
      <c r="GO155" s="19">
        <v>15.3</v>
      </c>
      <c r="GP155" s="19">
        <v>14</v>
      </c>
      <c r="GQ155" s="19">
        <v>13</v>
      </c>
      <c r="GR155" s="19">
        <v>12</v>
      </c>
      <c r="GS155" s="19">
        <v>11</v>
      </c>
    </row>
    <row r="156">
      <c r="A156" s="2" t="s">
        <v>1238</v>
      </c>
      <c r="B156" s="2" t="s">
        <v>1239</v>
      </c>
      <c r="C156" s="2" t="s">
        <v>884</v>
      </c>
      <c r="D156" s="2" t="s">
        <v>1240</v>
      </c>
      <c r="E156" s="2" t="s">
        <v>1241</v>
      </c>
      <c r="F156" s="2" t="s">
        <v>1242</v>
      </c>
      <c r="G156" s="2" t="s">
        <v>1242</v>
      </c>
      <c r="H156" s="2" t="s">
        <v>1242</v>
      </c>
      <c r="I156" s="2" t="s">
        <v>1243</v>
      </c>
      <c r="J156" s="2" t="s">
        <v>934</v>
      </c>
      <c r="K156" s="2" t="s">
        <v>1243</v>
      </c>
      <c r="L156" s="3">
        <v>7.42</v>
      </c>
      <c r="M156" s="3">
        <v>7.79</v>
      </c>
      <c r="N156" s="3">
        <v>15.99</v>
      </c>
      <c r="O156" s="2" t="s">
        <v>196</v>
      </c>
      <c r="P156" s="2" t="s">
        <v>621</v>
      </c>
      <c r="Q156" s="2" t="s">
        <v>198</v>
      </c>
      <c r="R156" s="2" t="s">
        <v>199</v>
      </c>
      <c r="S156" s="2" t="s">
        <v>199</v>
      </c>
      <c r="T156" s="2" t="s">
        <v>199</v>
      </c>
      <c r="U156" s="2" t="s">
        <v>280</v>
      </c>
      <c r="V156" s="2" t="s">
        <v>493</v>
      </c>
      <c r="W156" s="2" t="s">
        <v>203</v>
      </c>
      <c r="X156" s="2" t="s">
        <v>199</v>
      </c>
      <c r="Y156" s="2" t="s">
        <v>1244</v>
      </c>
      <c r="Z156" s="4">
        <v>986</v>
      </c>
      <c r="AA156" s="4">
        <f>=ROUNDDOWN(49.3,0)</f>
      </c>
      <c r="AB156" s="5">
        <v>20</v>
      </c>
      <c r="AC156" s="2" t="s">
        <v>199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199</v>
      </c>
      <c r="BD156" s="8" t="s">
        <v>199</v>
      </c>
      <c r="BE156" s="4" t="s">
        <v>199</v>
      </c>
      <c r="BF156" s="8" t="s">
        <v>199</v>
      </c>
      <c r="BG156" s="7" t="s">
        <v>199</v>
      </c>
      <c r="BH156" s="7" t="s">
        <v>199</v>
      </c>
      <c r="BI156" s="7"/>
      <c r="BJ156" s="4">
        <v>371</v>
      </c>
      <c r="BK156" s="8">
        <v>3670.91</v>
      </c>
      <c r="BL156" s="2" t="s">
        <v>1245</v>
      </c>
      <c r="BM156" s="7"/>
      <c r="BN156" s="7"/>
      <c r="BO156" s="4"/>
      <c r="BP156" s="8"/>
      <c r="BQ156" s="4"/>
      <c r="BR156" s="8"/>
      <c r="BS156" s="7"/>
      <c r="BT156" s="7"/>
      <c r="BU156" s="2" t="s">
        <v>934</v>
      </c>
      <c r="BV156" s="2" t="s">
        <v>199</v>
      </c>
      <c r="BW156" s="2" t="s">
        <v>199</v>
      </c>
      <c r="BX156" s="2" t="s">
        <v>208</v>
      </c>
      <c r="BY156" s="2" t="s">
        <v>1246</v>
      </c>
      <c r="BZ156" s="2" t="s">
        <v>196</v>
      </c>
      <c r="CA156" s="2" t="s">
        <v>199</v>
      </c>
      <c r="CB156" s="2" t="s">
        <v>199</v>
      </c>
      <c r="CC156" s="2" t="s">
        <v>212</v>
      </c>
      <c r="CD156" s="2" t="s">
        <v>199</v>
      </c>
      <c r="CE156" s="4">
        <v>986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>
        <v>986</v>
      </c>
      <c r="EU156" s="4">
        <v>981</v>
      </c>
      <c r="EV156" s="4">
        <v>976</v>
      </c>
      <c r="EW156" s="4">
        <v>971</v>
      </c>
      <c r="EX156" s="4">
        <v>966</v>
      </c>
      <c r="EY156" s="4">
        <v>961</v>
      </c>
      <c r="EZ156" s="4">
        <v>956</v>
      </c>
      <c r="FA156" s="4">
        <v>951</v>
      </c>
      <c r="FB156" s="4">
        <v>945</v>
      </c>
      <c r="FC156" s="4">
        <v>940</v>
      </c>
      <c r="FD156" s="4">
        <v>935</v>
      </c>
      <c r="FE156" s="4">
        <v>929</v>
      </c>
      <c r="FF156" s="4">
        <v>923</v>
      </c>
      <c r="FG156" s="4">
        <v>917</v>
      </c>
      <c r="FH156" s="4">
        <v>911</v>
      </c>
      <c r="FI156" s="4">
        <v>905</v>
      </c>
      <c r="FJ156" s="4">
        <v>899</v>
      </c>
      <c r="FK156" s="4">
        <v>893</v>
      </c>
      <c r="FL156" s="4">
        <v>887</v>
      </c>
      <c r="FM156" s="4">
        <v>881</v>
      </c>
      <c r="FN156" s="4">
        <v>875</v>
      </c>
      <c r="FO156" s="4">
        <v>869</v>
      </c>
      <c r="FP156" s="4">
        <v>863</v>
      </c>
      <c r="FQ156" s="4">
        <v>857</v>
      </c>
      <c r="FR156" s="4">
        <v>851</v>
      </c>
      <c r="FS156" s="4">
        <v>845</v>
      </c>
      <c r="FT156" s="19">
        <v>197.2</v>
      </c>
      <c r="FU156" s="19">
        <v>196.2</v>
      </c>
      <c r="FV156" s="19">
        <v>195.2</v>
      </c>
      <c r="FW156" s="19">
        <v>194.2</v>
      </c>
      <c r="FX156" s="19">
        <v>193.2</v>
      </c>
      <c r="FY156" s="19">
        <v>192.2</v>
      </c>
      <c r="FZ156" s="19">
        <v>191.2</v>
      </c>
      <c r="GA156" s="19">
        <v>158.5</v>
      </c>
      <c r="GB156" s="19">
        <v>157.5</v>
      </c>
      <c r="GC156" s="19">
        <v>156.7</v>
      </c>
      <c r="GD156" s="19">
        <v>155.8</v>
      </c>
      <c r="GE156" s="19">
        <v>154.8</v>
      </c>
      <c r="GF156" s="19">
        <v>153.8</v>
      </c>
      <c r="GG156" s="19">
        <v>152.8</v>
      </c>
      <c r="GH156" s="19">
        <v>151.8</v>
      </c>
      <c r="GI156" s="19">
        <v>150.8</v>
      </c>
      <c r="GJ156" s="19">
        <v>149.8</v>
      </c>
      <c r="GK156" s="19">
        <v>148.8</v>
      </c>
      <c r="GL156" s="19">
        <v>147.8</v>
      </c>
      <c r="GM156" s="19">
        <v>146.8</v>
      </c>
      <c r="GN156" s="19">
        <v>145.8</v>
      </c>
      <c r="GO156" s="19">
        <v>144.8</v>
      </c>
      <c r="GP156" s="19">
        <v>143.8</v>
      </c>
      <c r="GQ156" s="19">
        <v>142.8</v>
      </c>
      <c r="GR156" s="19">
        <v>141.8</v>
      </c>
      <c r="GS156" s="19">
        <v>140.8</v>
      </c>
    </row>
    <row r="157">
      <c r="A157" s="2" t="s">
        <v>1247</v>
      </c>
      <c r="B157" s="2" t="s">
        <v>1239</v>
      </c>
      <c r="C157" s="2" t="s">
        <v>884</v>
      </c>
      <c r="D157" s="2" t="s">
        <v>1240</v>
      </c>
      <c r="E157" s="2" t="s">
        <v>1241</v>
      </c>
      <c r="F157" s="2" t="s">
        <v>1242</v>
      </c>
      <c r="G157" s="2" t="s">
        <v>1242</v>
      </c>
      <c r="H157" s="2" t="s">
        <v>1242</v>
      </c>
      <c r="I157" s="2" t="s">
        <v>1248</v>
      </c>
      <c r="J157" s="2" t="s">
        <v>934</v>
      </c>
      <c r="K157" s="2" t="s">
        <v>1249</v>
      </c>
      <c r="L157" s="3">
        <v>7.37</v>
      </c>
      <c r="M157" s="3">
        <v>7.74</v>
      </c>
      <c r="N157" s="3">
        <v>15.99</v>
      </c>
      <c r="O157" s="2" t="s">
        <v>196</v>
      </c>
      <c r="P157" s="2" t="s">
        <v>197</v>
      </c>
      <c r="Q157" s="2" t="s">
        <v>198</v>
      </c>
      <c r="R157" s="2" t="s">
        <v>199</v>
      </c>
      <c r="S157" s="2" t="s">
        <v>199</v>
      </c>
      <c r="T157" s="2" t="s">
        <v>199</v>
      </c>
      <c r="U157" s="2" t="s">
        <v>280</v>
      </c>
      <c r="V157" s="2" t="s">
        <v>493</v>
      </c>
      <c r="W157" s="2" t="s">
        <v>203</v>
      </c>
      <c r="X157" s="2" t="s">
        <v>199</v>
      </c>
      <c r="Y157" s="2" t="s">
        <v>1244</v>
      </c>
      <c r="Z157" s="4">
        <v>572</v>
      </c>
      <c r="AA157" s="4">
        <f>=ROUNDDOWN(190.666666666667,0)</f>
      </c>
      <c r="AB157" s="5">
        <v>3</v>
      </c>
      <c r="AC157" s="2" t="s">
        <v>199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199</v>
      </c>
      <c r="BD157" s="8" t="s">
        <v>199</v>
      </c>
      <c r="BE157" s="4" t="s">
        <v>199</v>
      </c>
      <c r="BF157" s="8" t="s">
        <v>199</v>
      </c>
      <c r="BG157" s="7" t="s">
        <v>199</v>
      </c>
      <c r="BH157" s="7" t="s">
        <v>199</v>
      </c>
      <c r="BI157" s="7"/>
      <c r="BJ157" s="4">
        <v>46</v>
      </c>
      <c r="BK157" s="8">
        <v>384.56</v>
      </c>
      <c r="BL157" s="2" t="s">
        <v>1245</v>
      </c>
      <c r="BM157" s="7"/>
      <c r="BN157" s="7"/>
      <c r="BO157" s="4"/>
      <c r="BP157" s="8"/>
      <c r="BQ157" s="4"/>
      <c r="BR157" s="8"/>
      <c r="BS157" s="7"/>
      <c r="BT157" s="7"/>
      <c r="BU157" s="2" t="s">
        <v>934</v>
      </c>
      <c r="BV157" s="2" t="s">
        <v>199</v>
      </c>
      <c r="BW157" s="2" t="s">
        <v>199</v>
      </c>
      <c r="BX157" s="2" t="s">
        <v>208</v>
      </c>
      <c r="BY157" s="2" t="s">
        <v>1246</v>
      </c>
      <c r="BZ157" s="2" t="s">
        <v>196</v>
      </c>
      <c r="CA157" s="2" t="s">
        <v>199</v>
      </c>
      <c r="CB157" s="2" t="s">
        <v>199</v>
      </c>
      <c r="CC157" s="2" t="s">
        <v>212</v>
      </c>
      <c r="CD157" s="2" t="s">
        <v>199</v>
      </c>
      <c r="CE157" s="4">
        <v>572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>
        <v>573</v>
      </c>
      <c r="EU157" s="4">
        <v>570</v>
      </c>
      <c r="EV157" s="4">
        <v>568</v>
      </c>
      <c r="EW157" s="4">
        <v>566</v>
      </c>
      <c r="EX157" s="4">
        <v>564</v>
      </c>
      <c r="EY157" s="4">
        <v>562</v>
      </c>
      <c r="EZ157" s="4">
        <v>560</v>
      </c>
      <c r="FA157" s="4">
        <v>558</v>
      </c>
      <c r="FB157" s="4">
        <v>556</v>
      </c>
      <c r="FC157" s="4">
        <v>554</v>
      </c>
      <c r="FD157" s="4">
        <v>552</v>
      </c>
      <c r="FE157" s="4">
        <v>550</v>
      </c>
      <c r="FF157" s="4">
        <v>548</v>
      </c>
      <c r="FG157" s="4">
        <v>546</v>
      </c>
      <c r="FH157" s="4">
        <v>544</v>
      </c>
      <c r="FI157" s="4">
        <v>542</v>
      </c>
      <c r="FJ157" s="4">
        <v>540</v>
      </c>
      <c r="FK157" s="4">
        <v>538</v>
      </c>
      <c r="FL157" s="4">
        <v>536</v>
      </c>
      <c r="FM157" s="4">
        <v>534</v>
      </c>
      <c r="FN157" s="4">
        <v>532</v>
      </c>
      <c r="FO157" s="4">
        <v>530</v>
      </c>
      <c r="FP157" s="4">
        <v>528</v>
      </c>
      <c r="FQ157" s="4">
        <v>526</v>
      </c>
      <c r="FR157" s="4">
        <v>524</v>
      </c>
      <c r="FS157" s="4">
        <v>522</v>
      </c>
      <c r="FT157" s="19">
        <v>286.5</v>
      </c>
      <c r="FU157" s="19">
        <v>285</v>
      </c>
      <c r="FV157" s="19">
        <v>284</v>
      </c>
      <c r="FW157" s="19">
        <v>283</v>
      </c>
      <c r="FX157" s="19">
        <v>282</v>
      </c>
      <c r="FY157" s="19">
        <v>281</v>
      </c>
      <c r="FZ157" s="19">
        <v>280</v>
      </c>
      <c r="GA157" s="19">
        <v>279</v>
      </c>
      <c r="GB157" s="19">
        <v>278</v>
      </c>
      <c r="GC157" s="19">
        <v>277</v>
      </c>
      <c r="GD157" s="19">
        <v>276</v>
      </c>
      <c r="GE157" s="19">
        <v>275</v>
      </c>
      <c r="GF157" s="19">
        <v>274</v>
      </c>
      <c r="GG157" s="19">
        <v>273</v>
      </c>
      <c r="GH157" s="19">
        <v>272</v>
      </c>
      <c r="GI157" s="19">
        <v>271</v>
      </c>
      <c r="GJ157" s="19">
        <v>270</v>
      </c>
      <c r="GK157" s="19">
        <v>269</v>
      </c>
      <c r="GL157" s="19">
        <v>268</v>
      </c>
      <c r="GM157" s="19">
        <v>267</v>
      </c>
      <c r="GN157" s="19">
        <v>266</v>
      </c>
      <c r="GO157" s="19">
        <v>265</v>
      </c>
      <c r="GP157" s="19">
        <v>264</v>
      </c>
      <c r="GQ157" s="19">
        <v>263</v>
      </c>
      <c r="GR157" s="19">
        <v>262</v>
      </c>
      <c r="GS157" s="19">
        <v>261</v>
      </c>
    </row>
    <row r="158">
      <c r="A158" s="2" t="s">
        <v>1250</v>
      </c>
      <c r="B158" s="2" t="s">
        <v>1239</v>
      </c>
      <c r="C158" s="2" t="s">
        <v>884</v>
      </c>
      <c r="D158" s="2" t="s">
        <v>1240</v>
      </c>
      <c r="E158" s="2" t="s">
        <v>1241</v>
      </c>
      <c r="F158" s="2" t="s">
        <v>1242</v>
      </c>
      <c r="G158" s="2" t="s">
        <v>1242</v>
      </c>
      <c r="H158" s="2" t="s">
        <v>1242</v>
      </c>
      <c r="I158" s="2" t="s">
        <v>1248</v>
      </c>
      <c r="J158" s="2" t="s">
        <v>934</v>
      </c>
      <c r="K158" s="2" t="s">
        <v>1251</v>
      </c>
      <c r="L158" s="3">
        <v>7.37</v>
      </c>
      <c r="M158" s="3">
        <v>7.74</v>
      </c>
      <c r="N158" s="3">
        <v>15.99</v>
      </c>
      <c r="O158" s="2" t="s">
        <v>196</v>
      </c>
      <c r="P158" s="2" t="s">
        <v>197</v>
      </c>
      <c r="Q158" s="2" t="s">
        <v>198</v>
      </c>
      <c r="R158" s="2" t="s">
        <v>199</v>
      </c>
      <c r="S158" s="2" t="s">
        <v>199</v>
      </c>
      <c r="T158" s="2" t="s">
        <v>199</v>
      </c>
      <c r="U158" s="2" t="s">
        <v>280</v>
      </c>
      <c r="V158" s="2" t="s">
        <v>493</v>
      </c>
      <c r="W158" s="2" t="s">
        <v>203</v>
      </c>
      <c r="X158" s="2" t="s">
        <v>199</v>
      </c>
      <c r="Y158" s="2" t="s">
        <v>1244</v>
      </c>
      <c r="Z158" s="4">
        <v>1527</v>
      </c>
      <c r="AA158" s="4">
        <f>=ROUNDDOWN(127.25,0)</f>
      </c>
      <c r="AB158" s="5">
        <v>12</v>
      </c>
      <c r="AC158" s="2" t="s">
        <v>199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199</v>
      </c>
      <c r="BD158" s="8" t="s">
        <v>199</v>
      </c>
      <c r="BE158" s="4" t="s">
        <v>199</v>
      </c>
      <c r="BF158" s="8" t="s">
        <v>199</v>
      </c>
      <c r="BG158" s="7" t="s">
        <v>199</v>
      </c>
      <c r="BH158" s="7" t="s">
        <v>199</v>
      </c>
      <c r="BI158" s="7"/>
      <c r="BJ158" s="4">
        <v>78</v>
      </c>
      <c r="BK158" s="8">
        <v>652.08</v>
      </c>
      <c r="BL158" s="2" t="s">
        <v>1245</v>
      </c>
      <c r="BM158" s="7"/>
      <c r="BN158" s="7"/>
      <c r="BO158" s="4"/>
      <c r="BP158" s="8"/>
      <c r="BQ158" s="4"/>
      <c r="BR158" s="8"/>
      <c r="BS158" s="7"/>
      <c r="BT158" s="7"/>
      <c r="BU158" s="2" t="s">
        <v>934</v>
      </c>
      <c r="BV158" s="2" t="s">
        <v>199</v>
      </c>
      <c r="BW158" s="2" t="s">
        <v>199</v>
      </c>
      <c r="BX158" s="2" t="s">
        <v>208</v>
      </c>
      <c r="BY158" s="2" t="s">
        <v>1246</v>
      </c>
      <c r="BZ158" s="2" t="s">
        <v>196</v>
      </c>
      <c r="CA158" s="2" t="s">
        <v>199</v>
      </c>
      <c r="CB158" s="2" t="s">
        <v>199</v>
      </c>
      <c r="CC158" s="2" t="s">
        <v>212</v>
      </c>
      <c r="CD158" s="2" t="s">
        <v>199</v>
      </c>
      <c r="CE158" s="4">
        <v>1527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>
        <v>1527</v>
      </c>
      <c r="EU158" s="4">
        <v>1519</v>
      </c>
      <c r="EV158" s="4">
        <v>1507</v>
      </c>
      <c r="EW158" s="4">
        <v>1495</v>
      </c>
      <c r="EX158" s="4">
        <v>1482</v>
      </c>
      <c r="EY158" s="4">
        <v>1469</v>
      </c>
      <c r="EZ158" s="4">
        <v>1456</v>
      </c>
      <c r="FA158" s="4">
        <v>1443</v>
      </c>
      <c r="FB158" s="4">
        <v>1430</v>
      </c>
      <c r="FC158" s="4">
        <v>1417</v>
      </c>
      <c r="FD158" s="4">
        <v>1404</v>
      </c>
      <c r="FE158" s="4">
        <v>1391</v>
      </c>
      <c r="FF158" s="4">
        <v>1378</v>
      </c>
      <c r="FG158" s="4">
        <v>1365</v>
      </c>
      <c r="FH158" s="4">
        <v>1352</v>
      </c>
      <c r="FI158" s="4">
        <v>1338</v>
      </c>
      <c r="FJ158" s="4">
        <v>1325</v>
      </c>
      <c r="FK158" s="4">
        <v>1312</v>
      </c>
      <c r="FL158" s="4">
        <v>1299</v>
      </c>
      <c r="FM158" s="4">
        <v>1286</v>
      </c>
      <c r="FN158" s="4">
        <v>1273</v>
      </c>
      <c r="FO158" s="4">
        <v>1260</v>
      </c>
      <c r="FP158" s="4">
        <v>1246</v>
      </c>
      <c r="FQ158" s="4">
        <v>1232</v>
      </c>
      <c r="FR158" s="4">
        <v>1218</v>
      </c>
      <c r="FS158" s="4">
        <v>1204</v>
      </c>
      <c r="FT158" s="19">
        <v>138.8</v>
      </c>
      <c r="FU158" s="19">
        <v>126.6</v>
      </c>
      <c r="FV158" s="19">
        <v>115.9</v>
      </c>
      <c r="FW158" s="19">
        <v>115</v>
      </c>
      <c r="FX158" s="19">
        <v>114</v>
      </c>
      <c r="FY158" s="19">
        <v>113</v>
      </c>
      <c r="FZ158" s="19">
        <v>112</v>
      </c>
      <c r="GA158" s="19">
        <v>111</v>
      </c>
      <c r="GB158" s="19">
        <v>110</v>
      </c>
      <c r="GC158" s="19">
        <v>109</v>
      </c>
      <c r="GD158" s="19">
        <v>108</v>
      </c>
      <c r="GE158" s="19">
        <v>107</v>
      </c>
      <c r="GF158" s="19">
        <v>106</v>
      </c>
      <c r="GG158" s="19">
        <v>105</v>
      </c>
      <c r="GH158" s="19">
        <v>104</v>
      </c>
      <c r="GI158" s="19">
        <v>102.9</v>
      </c>
      <c r="GJ158" s="19">
        <v>101.9</v>
      </c>
      <c r="GK158" s="19">
        <v>100.9</v>
      </c>
      <c r="GL158" s="19">
        <v>99.9</v>
      </c>
      <c r="GM158" s="19">
        <v>91.9</v>
      </c>
      <c r="GN158" s="19">
        <v>90.9</v>
      </c>
      <c r="GO158" s="19">
        <v>90</v>
      </c>
      <c r="GP158" s="19">
        <v>89</v>
      </c>
      <c r="GQ158" s="19">
        <v>88</v>
      </c>
      <c r="GR158" s="19">
        <v>93.7</v>
      </c>
      <c r="GS158" s="19">
        <v>92.6</v>
      </c>
    </row>
    <row r="159">
      <c r="A159" s="2" t="s">
        <v>1252</v>
      </c>
      <c r="B159" s="2" t="s">
        <v>1239</v>
      </c>
      <c r="C159" s="2" t="s">
        <v>884</v>
      </c>
      <c r="D159" s="2" t="s">
        <v>1240</v>
      </c>
      <c r="E159" s="2" t="s">
        <v>1241</v>
      </c>
      <c r="F159" s="2" t="s">
        <v>1242</v>
      </c>
      <c r="G159" s="2" t="s">
        <v>1242</v>
      </c>
      <c r="H159" s="2" t="s">
        <v>1242</v>
      </c>
      <c r="I159" s="2" t="s">
        <v>1253</v>
      </c>
      <c r="J159" s="2" t="s">
        <v>934</v>
      </c>
      <c r="K159" s="2" t="s">
        <v>1254</v>
      </c>
      <c r="L159" s="3">
        <v>7.08</v>
      </c>
      <c r="M159" s="3">
        <v>7.43</v>
      </c>
      <c r="N159" s="3">
        <v>15.99</v>
      </c>
      <c r="O159" s="2" t="s">
        <v>196</v>
      </c>
      <c r="P159" s="2" t="s">
        <v>197</v>
      </c>
      <c r="Q159" s="2" t="s">
        <v>198</v>
      </c>
      <c r="R159" s="2" t="s">
        <v>199</v>
      </c>
      <c r="S159" s="2" t="s">
        <v>199</v>
      </c>
      <c r="T159" s="2" t="s">
        <v>199</v>
      </c>
      <c r="U159" s="2" t="s">
        <v>280</v>
      </c>
      <c r="V159" s="2" t="s">
        <v>493</v>
      </c>
      <c r="W159" s="2" t="s">
        <v>203</v>
      </c>
      <c r="X159" s="2" t="s">
        <v>199</v>
      </c>
      <c r="Y159" s="2" t="s">
        <v>1255</v>
      </c>
      <c r="Z159" s="4">
        <v>380</v>
      </c>
      <c r="AA159" s="4">
        <f>=ROUNDDOWN(31.6666666666667,0)</f>
      </c>
      <c r="AB159" s="5">
        <v>12</v>
      </c>
      <c r="AC159" s="2" t="s">
        <v>199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199</v>
      </c>
      <c r="BD159" s="8" t="s">
        <v>199</v>
      </c>
      <c r="BE159" s="4" t="s">
        <v>199</v>
      </c>
      <c r="BF159" s="8" t="s">
        <v>199</v>
      </c>
      <c r="BG159" s="7" t="s">
        <v>199</v>
      </c>
      <c r="BH159" s="7" t="s">
        <v>199</v>
      </c>
      <c r="BI159" s="7"/>
      <c r="BJ159" s="4">
        <v>171</v>
      </c>
      <c r="BK159" s="8">
        <v>1373.13</v>
      </c>
      <c r="BL159" s="2" t="s">
        <v>1245</v>
      </c>
      <c r="BM159" s="7"/>
      <c r="BN159" s="7"/>
      <c r="BO159" s="4"/>
      <c r="BP159" s="8"/>
      <c r="BQ159" s="4"/>
      <c r="BR159" s="8"/>
      <c r="BS159" s="7"/>
      <c r="BT159" s="7"/>
      <c r="BU159" s="2" t="s">
        <v>934</v>
      </c>
      <c r="BV159" s="2" t="s">
        <v>199</v>
      </c>
      <c r="BW159" s="2" t="s">
        <v>199</v>
      </c>
      <c r="BX159" s="2" t="s">
        <v>208</v>
      </c>
      <c r="BY159" s="2" t="s">
        <v>1246</v>
      </c>
      <c r="BZ159" s="2" t="s">
        <v>196</v>
      </c>
      <c r="CA159" s="2" t="s">
        <v>199</v>
      </c>
      <c r="CB159" s="2" t="s">
        <v>199</v>
      </c>
      <c r="CC159" s="2" t="s">
        <v>212</v>
      </c>
      <c r="CD159" s="2" t="s">
        <v>199</v>
      </c>
      <c r="CE159" s="4">
        <v>380</v>
      </c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>
        <v>380</v>
      </c>
      <c r="EU159" s="4">
        <v>378</v>
      </c>
      <c r="EV159" s="4">
        <v>376</v>
      </c>
      <c r="EW159" s="4">
        <v>374</v>
      </c>
      <c r="EX159" s="4">
        <v>372</v>
      </c>
      <c r="EY159" s="4">
        <v>370</v>
      </c>
      <c r="EZ159" s="4">
        <v>368</v>
      </c>
      <c r="FA159" s="4">
        <v>366</v>
      </c>
      <c r="FB159" s="4">
        <v>364</v>
      </c>
      <c r="FC159" s="4">
        <v>362</v>
      </c>
      <c r="FD159" s="4">
        <v>353</v>
      </c>
      <c r="FE159" s="4">
        <v>340</v>
      </c>
      <c r="FF159" s="4">
        <v>327</v>
      </c>
      <c r="FG159" s="4">
        <v>314</v>
      </c>
      <c r="FH159" s="4">
        <v>301</v>
      </c>
      <c r="FI159" s="4">
        <v>287</v>
      </c>
      <c r="FJ159" s="4">
        <v>274</v>
      </c>
      <c r="FK159" s="4">
        <v>261</v>
      </c>
      <c r="FL159" s="4">
        <v>248</v>
      </c>
      <c r="FM159" s="4">
        <v>235</v>
      </c>
      <c r="FN159" s="4">
        <v>222</v>
      </c>
      <c r="FO159" s="4">
        <v>209</v>
      </c>
      <c r="FP159" s="4">
        <v>195</v>
      </c>
      <c r="FQ159" s="4">
        <v>181</v>
      </c>
      <c r="FR159" s="4">
        <v>167</v>
      </c>
      <c r="FS159" s="4">
        <v>153</v>
      </c>
      <c r="FT159" s="19">
        <v>190</v>
      </c>
      <c r="FU159" s="19">
        <v>189</v>
      </c>
      <c r="FV159" s="19">
        <v>188</v>
      </c>
      <c r="FW159" s="19">
        <v>187</v>
      </c>
      <c r="FX159" s="19">
        <v>186</v>
      </c>
      <c r="FY159" s="19">
        <v>185</v>
      </c>
      <c r="FZ159" s="19">
        <v>92</v>
      </c>
      <c r="GA159" s="19">
        <v>61</v>
      </c>
      <c r="GB159" s="19">
        <v>40.4</v>
      </c>
      <c r="GC159" s="19">
        <v>30.2</v>
      </c>
      <c r="GD159" s="19">
        <v>27.2</v>
      </c>
      <c r="GE159" s="19">
        <v>26.2</v>
      </c>
      <c r="GF159" s="19">
        <v>25.2</v>
      </c>
      <c r="GG159" s="19">
        <v>24.2</v>
      </c>
      <c r="GH159" s="19">
        <v>23.2</v>
      </c>
      <c r="GI159" s="19">
        <v>22.1</v>
      </c>
      <c r="GJ159" s="19">
        <v>21.1</v>
      </c>
      <c r="GK159" s="19">
        <v>20.1</v>
      </c>
      <c r="GL159" s="19">
        <v>19.1</v>
      </c>
      <c r="GM159" s="19">
        <v>16.8</v>
      </c>
      <c r="GN159" s="19">
        <v>15.9</v>
      </c>
      <c r="GO159" s="19">
        <v>14.9</v>
      </c>
      <c r="GP159" s="19">
        <v>13.9</v>
      </c>
      <c r="GQ159" s="19">
        <v>12.9</v>
      </c>
      <c r="GR159" s="19">
        <v>12.8</v>
      </c>
      <c r="GS159" s="19">
        <v>11.8</v>
      </c>
    </row>
    <row r="160">
      <c r="A160" s="2" t="s">
        <v>1256</v>
      </c>
      <c r="B160" s="2" t="s">
        <v>591</v>
      </c>
      <c r="C160" s="2" t="s">
        <v>604</v>
      </c>
      <c r="D160" s="2" t="s">
        <v>1257</v>
      </c>
      <c r="E160" s="2" t="s">
        <v>1258</v>
      </c>
      <c r="F160" s="2" t="s">
        <v>1259</v>
      </c>
      <c r="G160" s="2" t="s">
        <v>1259</v>
      </c>
      <c r="H160" s="2" t="s">
        <v>1259</v>
      </c>
      <c r="I160" s="2" t="s">
        <v>1260</v>
      </c>
      <c r="J160" s="2" t="s">
        <v>559</v>
      </c>
      <c r="K160" s="2" t="s">
        <v>825</v>
      </c>
      <c r="L160" s="3">
        <v>145</v>
      </c>
      <c r="M160" s="3">
        <v>152.25</v>
      </c>
      <c r="N160" s="3">
        <v>299</v>
      </c>
      <c r="O160" s="2" t="s">
        <v>196</v>
      </c>
      <c r="P160" s="2" t="s">
        <v>841</v>
      </c>
      <c r="Q160" s="2" t="s">
        <v>198</v>
      </c>
      <c r="R160" s="2" t="s">
        <v>199</v>
      </c>
      <c r="S160" s="2" t="s">
        <v>199</v>
      </c>
      <c r="T160" s="2" t="s">
        <v>199</v>
      </c>
      <c r="U160" s="2" t="s">
        <v>280</v>
      </c>
      <c r="V160" s="2" t="s">
        <v>493</v>
      </c>
      <c r="W160" s="2" t="s">
        <v>510</v>
      </c>
      <c r="X160" s="2" t="s">
        <v>1261</v>
      </c>
      <c r="Y160" s="2" t="s">
        <v>826</v>
      </c>
      <c r="Z160" s="4">
        <v>85</v>
      </c>
      <c r="AA160" s="4">
        <f>=ROUNDDOWN(85,0)</f>
      </c>
      <c r="AB160" s="5">
        <v>1</v>
      </c>
      <c r="AC160" s="2" t="s">
        <v>199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199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3</v>
      </c>
      <c r="BK160" s="8">
        <v>464.67</v>
      </c>
      <c r="BL160" s="2" t="s">
        <v>1262</v>
      </c>
      <c r="BM160" s="7"/>
      <c r="BN160" s="7"/>
      <c r="BO160" s="4"/>
      <c r="BP160" s="8"/>
      <c r="BQ160" s="4"/>
      <c r="BR160" s="8"/>
      <c r="BS160" s="7"/>
      <c r="BT160" s="7"/>
      <c r="BU160" s="2" t="s">
        <v>1263</v>
      </c>
      <c r="BV160" s="2" t="s">
        <v>199</v>
      </c>
      <c r="BW160" s="2" t="s">
        <v>199</v>
      </c>
      <c r="BX160" s="2" t="s">
        <v>208</v>
      </c>
      <c r="BY160" s="2" t="s">
        <v>209</v>
      </c>
      <c r="BZ160" s="2" t="s">
        <v>196</v>
      </c>
      <c r="CA160" s="2" t="s">
        <v>827</v>
      </c>
      <c r="CB160" s="2" t="s">
        <v>199</v>
      </c>
      <c r="CC160" s="2" t="s">
        <v>212</v>
      </c>
      <c r="CD160" s="2" t="s">
        <v>199</v>
      </c>
      <c r="CE160" s="4"/>
      <c r="CF160" s="4">
        <v>85</v>
      </c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>
        <v>85</v>
      </c>
      <c r="EU160" s="4">
        <v>84</v>
      </c>
      <c r="EV160" s="4">
        <v>83</v>
      </c>
      <c r="EW160" s="4">
        <v>82</v>
      </c>
      <c r="EX160" s="4">
        <v>81</v>
      </c>
      <c r="EY160" s="4">
        <v>80</v>
      </c>
      <c r="EZ160" s="4">
        <v>79</v>
      </c>
      <c r="FA160" s="4">
        <v>78</v>
      </c>
      <c r="FB160" s="4">
        <v>77</v>
      </c>
      <c r="FC160" s="4">
        <v>76</v>
      </c>
      <c r="FD160" s="4">
        <v>75</v>
      </c>
      <c r="FE160" s="4">
        <v>74</v>
      </c>
      <c r="FF160" s="4">
        <v>73</v>
      </c>
      <c r="FG160" s="4">
        <v>72</v>
      </c>
      <c r="FH160" s="4">
        <v>71</v>
      </c>
      <c r="FI160" s="4">
        <v>70</v>
      </c>
      <c r="FJ160" s="4">
        <v>69</v>
      </c>
      <c r="FK160" s="4">
        <v>68</v>
      </c>
      <c r="FL160" s="4">
        <v>67</v>
      </c>
      <c r="FM160" s="4">
        <v>66</v>
      </c>
      <c r="FN160" s="4">
        <v>65</v>
      </c>
      <c r="FO160" s="4">
        <v>64</v>
      </c>
      <c r="FP160" s="4">
        <v>63</v>
      </c>
      <c r="FQ160" s="4">
        <v>62</v>
      </c>
      <c r="FR160" s="4">
        <v>61</v>
      </c>
      <c r="FS160" s="4">
        <v>60</v>
      </c>
      <c r="FT160" s="19">
        <v>85</v>
      </c>
      <c r="FU160" s="19">
        <v>84</v>
      </c>
      <c r="FV160" s="19">
        <v>83</v>
      </c>
      <c r="FW160" s="19">
        <v>82</v>
      </c>
      <c r="FX160" s="19">
        <v>81</v>
      </c>
      <c r="FY160" s="19">
        <v>80</v>
      </c>
      <c r="FZ160" s="19">
        <v>79</v>
      </c>
      <c r="GA160" s="19">
        <v>78</v>
      </c>
      <c r="GB160" s="19">
        <v>77</v>
      </c>
      <c r="GC160" s="19">
        <v>76</v>
      </c>
      <c r="GD160" s="19">
        <v>75</v>
      </c>
      <c r="GE160" s="19">
        <v>74</v>
      </c>
      <c r="GF160" s="19">
        <v>73</v>
      </c>
      <c r="GG160" s="19">
        <v>72</v>
      </c>
      <c r="GH160" s="19">
        <v>71</v>
      </c>
      <c r="GI160" s="19">
        <v>70</v>
      </c>
      <c r="GJ160" s="19">
        <v>69</v>
      </c>
      <c r="GK160" s="19">
        <v>68</v>
      </c>
      <c r="GL160" s="19">
        <v>67</v>
      </c>
      <c r="GM160" s="19">
        <v>66</v>
      </c>
      <c r="GN160" s="19">
        <v>65</v>
      </c>
      <c r="GO160" s="19">
        <v>64</v>
      </c>
      <c r="GP160" s="19">
        <v>63</v>
      </c>
      <c r="GQ160" s="19">
        <v>62</v>
      </c>
      <c r="GR160" s="19">
        <v>61</v>
      </c>
      <c r="GS160" s="19">
        <v>60</v>
      </c>
    </row>
    <row r="161">
      <c r="A161" s="2" t="s">
        <v>1264</v>
      </c>
      <c r="B161" s="2" t="s">
        <v>630</v>
      </c>
      <c r="C161" s="2" t="s">
        <v>987</v>
      </c>
      <c r="D161" s="2" t="s">
        <v>228</v>
      </c>
      <c r="E161" s="2" t="s">
        <v>487</v>
      </c>
      <c r="F161" s="2" t="s">
        <v>1265</v>
      </c>
      <c r="G161" s="2" t="s">
        <v>1266</v>
      </c>
      <c r="H161" s="2" t="s">
        <v>1267</v>
      </c>
      <c r="I161" s="2" t="s">
        <v>1268</v>
      </c>
      <c r="J161" s="2" t="s">
        <v>1011</v>
      </c>
      <c r="K161" s="2" t="s">
        <v>1269</v>
      </c>
      <c r="L161" s="3">
        <v>28.59</v>
      </c>
      <c r="M161" s="3">
        <v>30.02</v>
      </c>
      <c r="N161" s="3">
        <v>54.99</v>
      </c>
      <c r="O161" s="2" t="s">
        <v>196</v>
      </c>
      <c r="P161" s="2" t="s">
        <v>621</v>
      </c>
      <c r="Q161" s="2" t="s">
        <v>198</v>
      </c>
      <c r="R161" s="2" t="s">
        <v>199</v>
      </c>
      <c r="S161" s="2" t="s">
        <v>1270</v>
      </c>
      <c r="T161" s="2" t="s">
        <v>386</v>
      </c>
      <c r="U161" s="2" t="s">
        <v>492</v>
      </c>
      <c r="V161" s="2" t="s">
        <v>622</v>
      </c>
      <c r="W161" s="2" t="s">
        <v>510</v>
      </c>
      <c r="X161" s="2" t="s">
        <v>199</v>
      </c>
      <c r="Y161" s="2" t="s">
        <v>1271</v>
      </c>
      <c r="Z161" s="4">
        <v>39</v>
      </c>
      <c r="AA161" s="4">
        <f>=ROUNDDOWN(7.8,0)</f>
      </c>
      <c r="AB161" s="5">
        <v>5</v>
      </c>
      <c r="AC161" s="2" t="s">
        <v>1272</v>
      </c>
      <c r="AD161" s="4">
        <v>24</v>
      </c>
      <c r="AE161" s="4">
        <v>81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199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199</v>
      </c>
      <c r="BD161" s="8" t="s">
        <v>199</v>
      </c>
      <c r="BE161" s="4" t="s">
        <v>199</v>
      </c>
      <c r="BF161" s="8" t="s">
        <v>199</v>
      </c>
      <c r="BG161" s="7" t="s">
        <v>199</v>
      </c>
      <c r="BH161" s="7" t="s">
        <v>199</v>
      </c>
      <c r="BI161" s="7"/>
      <c r="BJ161" s="4">
        <v>7</v>
      </c>
      <c r="BK161" s="8">
        <v>206.3</v>
      </c>
      <c r="BL161" s="2" t="s">
        <v>1191</v>
      </c>
      <c r="BM161" s="7"/>
      <c r="BN161" s="7"/>
      <c r="BO161" s="4"/>
      <c r="BP161" s="8"/>
      <c r="BQ161" s="4"/>
      <c r="BR161" s="8"/>
      <c r="BS161" s="7"/>
      <c r="BT161" s="7"/>
      <c r="BU161" s="2" t="s">
        <v>1273</v>
      </c>
      <c r="BV161" s="2" t="s">
        <v>199</v>
      </c>
      <c r="BW161" s="2" t="s">
        <v>199</v>
      </c>
      <c r="BX161" s="2" t="s">
        <v>208</v>
      </c>
      <c r="BY161" s="2" t="s">
        <v>209</v>
      </c>
      <c r="BZ161" s="2" t="s">
        <v>196</v>
      </c>
      <c r="CA161" s="2" t="s">
        <v>1274</v>
      </c>
      <c r="CB161" s="2" t="s">
        <v>1275</v>
      </c>
      <c r="CC161" s="2" t="s">
        <v>212</v>
      </c>
      <c r="CD161" s="2" t="s">
        <v>199</v>
      </c>
      <c r="CE161" s="4"/>
      <c r="CF161" s="4"/>
      <c r="CG161" s="4"/>
      <c r="CH161" s="4">
        <v>39</v>
      </c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>
        <v>24</v>
      </c>
      <c r="EO161" s="4"/>
      <c r="EP161" s="4"/>
      <c r="EQ161" s="4"/>
      <c r="ER161" s="4"/>
      <c r="ES161" s="4">
        <v>57</v>
      </c>
      <c r="ET161" s="4">
        <v>39</v>
      </c>
      <c r="EU161" s="4">
        <v>36</v>
      </c>
      <c r="EV161" s="4">
        <v>33</v>
      </c>
      <c r="EW161" s="4">
        <v>30</v>
      </c>
      <c r="EX161" s="4">
        <v>27</v>
      </c>
      <c r="EY161" s="4">
        <v>24</v>
      </c>
      <c r="EZ161" s="4">
        <v>21</v>
      </c>
      <c r="FA161" s="4">
        <v>18</v>
      </c>
      <c r="FB161" s="4">
        <v>15</v>
      </c>
      <c r="FC161" s="4">
        <v>12</v>
      </c>
      <c r="FD161" s="4">
        <v>9</v>
      </c>
      <c r="FE161" s="4">
        <v>6</v>
      </c>
      <c r="FF161" s="4">
        <v>1</v>
      </c>
      <c r="FG161" s="4"/>
      <c r="FH161" s="4"/>
      <c r="FI161" s="4"/>
      <c r="FJ161" s="4"/>
      <c r="FK161" s="4">
        <v>24</v>
      </c>
      <c r="FL161" s="4">
        <v>10</v>
      </c>
      <c r="FM161" s="4">
        <v>5</v>
      </c>
      <c r="FN161" s="4">
        <v>57</v>
      </c>
      <c r="FO161" s="4">
        <v>52</v>
      </c>
      <c r="FP161" s="4">
        <v>47</v>
      </c>
      <c r="FQ161" s="4">
        <v>42</v>
      </c>
      <c r="FR161" s="4">
        <v>48</v>
      </c>
      <c r="FS161" s="4">
        <v>43</v>
      </c>
      <c r="FT161" s="19">
        <v>6.5</v>
      </c>
      <c r="FU161" s="19">
        <v>6</v>
      </c>
      <c r="FV161" s="19">
        <v>5.5</v>
      </c>
      <c r="FW161" s="19">
        <v>5</v>
      </c>
      <c r="FX161" s="19">
        <v>4.5</v>
      </c>
      <c r="FY161" s="19">
        <v>4</v>
      </c>
      <c r="FZ161" s="19">
        <v>3.5</v>
      </c>
      <c r="GA161" s="19">
        <v>3</v>
      </c>
      <c r="GB161" s="19">
        <v>1.9</v>
      </c>
      <c r="GC161" s="19">
        <v>2</v>
      </c>
      <c r="GD161" s="19">
        <v>2.3</v>
      </c>
      <c r="GE161" s="19">
        <v>1.5</v>
      </c>
      <c r="GF161" s="19">
        <v>0.5</v>
      </c>
      <c r="GG161" s="20">
        <v>0</v>
      </c>
      <c r="GH161" s="20">
        <v>0</v>
      </c>
      <c r="GI161" s="20">
        <v>0</v>
      </c>
      <c r="GJ161" s="20">
        <v>0</v>
      </c>
      <c r="GK161" s="19">
        <v>2</v>
      </c>
      <c r="GL161" s="19">
        <v>2.5</v>
      </c>
      <c r="GM161" s="19">
        <v>2.5</v>
      </c>
      <c r="GN161" s="19">
        <v>5.7</v>
      </c>
      <c r="GO161" s="19">
        <v>5.2</v>
      </c>
      <c r="GP161" s="19">
        <v>5.9</v>
      </c>
      <c r="GQ161" s="19">
        <v>5.3</v>
      </c>
      <c r="GR161" s="19">
        <v>10.2</v>
      </c>
      <c r="GS161" s="19">
        <v>9.2</v>
      </c>
    </row>
    <row r="162">
      <c r="A162" s="2" t="s">
        <v>1276</v>
      </c>
      <c r="B162" s="2" t="s">
        <v>630</v>
      </c>
      <c r="C162" s="2" t="s">
        <v>987</v>
      </c>
      <c r="D162" s="2" t="s">
        <v>228</v>
      </c>
      <c r="E162" s="2" t="s">
        <v>487</v>
      </c>
      <c r="F162" s="2" t="s">
        <v>1265</v>
      </c>
      <c r="G162" s="2" t="s">
        <v>1266</v>
      </c>
      <c r="H162" s="2" t="s">
        <v>1267</v>
      </c>
      <c r="I162" s="2" t="s">
        <v>1268</v>
      </c>
      <c r="J162" s="2" t="s">
        <v>285</v>
      </c>
      <c r="K162" s="2" t="s">
        <v>665</v>
      </c>
      <c r="L162" s="3">
        <v>31.19</v>
      </c>
      <c r="M162" s="3">
        <v>32.75</v>
      </c>
      <c r="N162" s="3">
        <v>59.99</v>
      </c>
      <c r="O162" s="2" t="s">
        <v>196</v>
      </c>
      <c r="P162" s="2" t="s">
        <v>621</v>
      </c>
      <c r="Q162" s="2" t="s">
        <v>198</v>
      </c>
      <c r="R162" s="2" t="s">
        <v>199</v>
      </c>
      <c r="S162" s="2" t="s">
        <v>1277</v>
      </c>
      <c r="T162" s="2" t="s">
        <v>386</v>
      </c>
      <c r="U162" s="2" t="s">
        <v>509</v>
      </c>
      <c r="V162" s="2" t="s">
        <v>622</v>
      </c>
      <c r="W162" s="2" t="s">
        <v>510</v>
      </c>
      <c r="X162" s="2" t="s">
        <v>199</v>
      </c>
      <c r="Y162" s="2" t="s">
        <v>1271</v>
      </c>
      <c r="Z162" s="4">
        <v>157</v>
      </c>
      <c r="AA162" s="4">
        <f>=ROUNDDOWN(26.1666666666667,0)</f>
      </c>
      <c r="AB162" s="5">
        <v>6</v>
      </c>
      <c r="AC162" s="2" t="s">
        <v>199</v>
      </c>
      <c r="AD162" s="4"/>
      <c r="AE162" s="4"/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199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199</v>
      </c>
      <c r="AW162" s="8" t="s">
        <v>199</v>
      </c>
      <c r="AX162" s="4" t="s">
        <v>199</v>
      </c>
      <c r="AY162" s="8" t="s">
        <v>199</v>
      </c>
      <c r="AZ162" s="7" t="s">
        <v>199</v>
      </c>
      <c r="BA162" s="7" t="s">
        <v>199</v>
      </c>
      <c r="BB162" s="7"/>
      <c r="BC162" s="4" t="s">
        <v>199</v>
      </c>
      <c r="BD162" s="8" t="s">
        <v>199</v>
      </c>
      <c r="BE162" s="4" t="s">
        <v>199</v>
      </c>
      <c r="BF162" s="8" t="s">
        <v>199</v>
      </c>
      <c r="BG162" s="7" t="s">
        <v>199</v>
      </c>
      <c r="BH162" s="7" t="s">
        <v>199</v>
      </c>
      <c r="BI162" s="7"/>
      <c r="BJ162" s="4">
        <v>36</v>
      </c>
      <c r="BK162" s="8">
        <v>1693.08</v>
      </c>
      <c r="BL162" s="2" t="s">
        <v>1278</v>
      </c>
      <c r="BM162" s="7"/>
      <c r="BN162" s="7"/>
      <c r="BO162" s="4"/>
      <c r="BP162" s="8"/>
      <c r="BQ162" s="4"/>
      <c r="BR162" s="8"/>
      <c r="BS162" s="7"/>
      <c r="BT162" s="7"/>
      <c r="BU162" s="2" t="s">
        <v>1273</v>
      </c>
      <c r="BV162" s="2" t="s">
        <v>199</v>
      </c>
      <c r="BW162" s="2" t="s">
        <v>199</v>
      </c>
      <c r="BX162" s="2" t="s">
        <v>208</v>
      </c>
      <c r="BY162" s="2" t="s">
        <v>209</v>
      </c>
      <c r="BZ162" s="2" t="s">
        <v>196</v>
      </c>
      <c r="CA162" s="2" t="s">
        <v>1274</v>
      </c>
      <c r="CB162" s="2" t="s">
        <v>199</v>
      </c>
      <c r="CC162" s="2" t="s">
        <v>212</v>
      </c>
      <c r="CD162" s="2" t="s">
        <v>199</v>
      </c>
      <c r="CE162" s="4">
        <v>31</v>
      </c>
      <c r="CF162" s="4"/>
      <c r="CG162" s="4"/>
      <c r="CH162" s="4">
        <v>126</v>
      </c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>
        <v>159</v>
      </c>
      <c r="EU162" s="4">
        <v>153</v>
      </c>
      <c r="EV162" s="4">
        <v>148</v>
      </c>
      <c r="EW162" s="4">
        <v>143</v>
      </c>
      <c r="EX162" s="4">
        <v>138</v>
      </c>
      <c r="EY162" s="4">
        <v>133</v>
      </c>
      <c r="EZ162" s="4">
        <v>128</v>
      </c>
      <c r="FA162" s="4">
        <v>123</v>
      </c>
      <c r="FB162" s="4">
        <v>117</v>
      </c>
      <c r="FC162" s="4">
        <v>112</v>
      </c>
      <c r="FD162" s="4">
        <v>107</v>
      </c>
      <c r="FE162" s="4">
        <v>102</v>
      </c>
      <c r="FF162" s="4">
        <v>97</v>
      </c>
      <c r="FG162" s="4">
        <v>92</v>
      </c>
      <c r="FH162" s="4">
        <v>87</v>
      </c>
      <c r="FI162" s="4">
        <v>82</v>
      </c>
      <c r="FJ162" s="4">
        <v>77</v>
      </c>
      <c r="FK162" s="4">
        <v>72</v>
      </c>
      <c r="FL162" s="4">
        <v>67</v>
      </c>
      <c r="FM162" s="4">
        <v>62</v>
      </c>
      <c r="FN162" s="4">
        <v>57</v>
      </c>
      <c r="FO162" s="4">
        <v>52</v>
      </c>
      <c r="FP162" s="4">
        <v>46</v>
      </c>
      <c r="FQ162" s="4">
        <v>41</v>
      </c>
      <c r="FR162" s="4">
        <v>36</v>
      </c>
      <c r="FS162" s="4">
        <v>31</v>
      </c>
      <c r="FT162" s="19">
        <v>37</v>
      </c>
      <c r="FU162" s="19">
        <v>35.9</v>
      </c>
      <c r="FV162" s="19">
        <v>34.9</v>
      </c>
      <c r="FW162" s="19">
        <v>33.9</v>
      </c>
      <c r="FX162" s="19">
        <v>32.9</v>
      </c>
      <c r="FY162" s="19">
        <v>31.9</v>
      </c>
      <c r="FZ162" s="19">
        <v>30.9</v>
      </c>
      <c r="GA162" s="19">
        <v>29.9</v>
      </c>
      <c r="GB162" s="19">
        <v>20.1</v>
      </c>
      <c r="GC162" s="19">
        <v>15.5</v>
      </c>
      <c r="GD162" s="19">
        <v>10.6</v>
      </c>
      <c r="GE162" s="19">
        <v>10.2</v>
      </c>
      <c r="GF162" s="19">
        <v>9.7</v>
      </c>
      <c r="GG162" s="19">
        <v>9.2</v>
      </c>
      <c r="GH162" s="19">
        <v>8.7</v>
      </c>
      <c r="GI162" s="19">
        <v>8.2</v>
      </c>
      <c r="GJ162" s="19">
        <v>7.7</v>
      </c>
      <c r="GK162" s="19">
        <v>7.2</v>
      </c>
      <c r="GL162" s="19">
        <v>6.7</v>
      </c>
      <c r="GM162" s="19">
        <v>6.2</v>
      </c>
      <c r="GN162" s="19">
        <v>5.7</v>
      </c>
      <c r="GO162" s="19">
        <v>5.2</v>
      </c>
      <c r="GP162" s="19">
        <v>4.6</v>
      </c>
      <c r="GQ162" s="19">
        <v>4.1</v>
      </c>
      <c r="GR162" s="19">
        <v>3.6</v>
      </c>
      <c r="GS162" s="19">
        <v>3.1</v>
      </c>
    </row>
    <row r="163">
      <c r="A163" s="2" t="s">
        <v>1279</v>
      </c>
      <c r="B163" s="2" t="s">
        <v>630</v>
      </c>
      <c r="C163" s="2" t="s">
        <v>987</v>
      </c>
      <c r="D163" s="2" t="s">
        <v>228</v>
      </c>
      <c r="E163" s="2" t="s">
        <v>487</v>
      </c>
      <c r="F163" s="2" t="s">
        <v>1265</v>
      </c>
      <c r="G163" s="2" t="s">
        <v>1266</v>
      </c>
      <c r="H163" s="2" t="s">
        <v>1267</v>
      </c>
      <c r="I163" s="2" t="s">
        <v>1268</v>
      </c>
      <c r="J163" s="2" t="s">
        <v>219</v>
      </c>
      <c r="K163" s="2" t="s">
        <v>665</v>
      </c>
      <c r="L163" s="3">
        <v>33.79</v>
      </c>
      <c r="M163" s="3">
        <v>35.48</v>
      </c>
      <c r="N163" s="3">
        <v>64.99</v>
      </c>
      <c r="O163" s="2" t="s">
        <v>196</v>
      </c>
      <c r="P163" s="2" t="s">
        <v>621</v>
      </c>
      <c r="Q163" s="2" t="s">
        <v>198</v>
      </c>
      <c r="R163" s="2" t="s">
        <v>199</v>
      </c>
      <c r="S163" s="2" t="s">
        <v>1277</v>
      </c>
      <c r="T163" s="2" t="s">
        <v>386</v>
      </c>
      <c r="U163" s="2" t="s">
        <v>509</v>
      </c>
      <c r="V163" s="2" t="s">
        <v>622</v>
      </c>
      <c r="W163" s="2" t="s">
        <v>510</v>
      </c>
      <c r="X163" s="2" t="s">
        <v>199</v>
      </c>
      <c r="Y163" s="2" t="s">
        <v>1271</v>
      </c>
      <c r="Z163" s="4">
        <v>583</v>
      </c>
      <c r="AA163" s="4">
        <f>=ROUNDDOWN(97.1666666666667,0)</f>
      </c>
      <c r="AB163" s="5">
        <v>6</v>
      </c>
      <c r="AC163" s="2" t="s">
        <v>199</v>
      </c>
      <c r="AD163" s="4"/>
      <c r="AE163" s="4"/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199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199</v>
      </c>
      <c r="AW163" s="8" t="s">
        <v>199</v>
      </c>
      <c r="AX163" s="4" t="s">
        <v>199</v>
      </c>
      <c r="AY163" s="8" t="s">
        <v>199</v>
      </c>
      <c r="AZ163" s="7" t="s">
        <v>199</v>
      </c>
      <c r="BA163" s="7" t="s">
        <v>199</v>
      </c>
      <c r="BB163" s="7"/>
      <c r="BC163" s="4" t="s">
        <v>199</v>
      </c>
      <c r="BD163" s="8" t="s">
        <v>199</v>
      </c>
      <c r="BE163" s="4" t="s">
        <v>199</v>
      </c>
      <c r="BF163" s="8" t="s">
        <v>199</v>
      </c>
      <c r="BG163" s="7" t="s">
        <v>199</v>
      </c>
      <c r="BH163" s="7" t="s">
        <v>199</v>
      </c>
      <c r="BI163" s="7"/>
      <c r="BJ163" s="4">
        <v>33</v>
      </c>
      <c r="BK163" s="8">
        <v>1440.75</v>
      </c>
      <c r="BL163" s="2" t="s">
        <v>1280</v>
      </c>
      <c r="BM163" s="7"/>
      <c r="BN163" s="7"/>
      <c r="BO163" s="4"/>
      <c r="BP163" s="8"/>
      <c r="BQ163" s="4"/>
      <c r="BR163" s="8"/>
      <c r="BS163" s="7"/>
      <c r="BT163" s="7"/>
      <c r="BU163" s="2" t="s">
        <v>1273</v>
      </c>
      <c r="BV163" s="2" t="s">
        <v>199</v>
      </c>
      <c r="BW163" s="2" t="s">
        <v>199</v>
      </c>
      <c r="BX163" s="2" t="s">
        <v>208</v>
      </c>
      <c r="BY163" s="2" t="s">
        <v>209</v>
      </c>
      <c r="BZ163" s="2" t="s">
        <v>196</v>
      </c>
      <c r="CA163" s="2" t="s">
        <v>1274</v>
      </c>
      <c r="CB163" s="2" t="s">
        <v>1281</v>
      </c>
      <c r="CC163" s="2" t="s">
        <v>212</v>
      </c>
      <c r="CD163" s="2" t="s">
        <v>199</v>
      </c>
      <c r="CE163" s="4">
        <v>124</v>
      </c>
      <c r="CF163" s="4"/>
      <c r="CG163" s="4"/>
      <c r="CH163" s="4">
        <v>459</v>
      </c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>
        <v>585</v>
      </c>
      <c r="EU163" s="4">
        <v>565</v>
      </c>
      <c r="EV163" s="4">
        <v>559</v>
      </c>
      <c r="EW163" s="4">
        <v>553</v>
      </c>
      <c r="EX163" s="4">
        <v>547</v>
      </c>
      <c r="EY163" s="4">
        <v>541</v>
      </c>
      <c r="EZ163" s="4">
        <v>535</v>
      </c>
      <c r="FA163" s="4">
        <v>529</v>
      </c>
      <c r="FB163" s="4">
        <v>523</v>
      </c>
      <c r="FC163" s="4">
        <v>517</v>
      </c>
      <c r="FD163" s="4">
        <v>511</v>
      </c>
      <c r="FE163" s="4">
        <v>505</v>
      </c>
      <c r="FF163" s="4">
        <v>499</v>
      </c>
      <c r="FG163" s="4">
        <v>493</v>
      </c>
      <c r="FH163" s="4">
        <v>487</v>
      </c>
      <c r="FI163" s="4">
        <v>480</v>
      </c>
      <c r="FJ163" s="4">
        <v>474</v>
      </c>
      <c r="FK163" s="4">
        <v>468</v>
      </c>
      <c r="FL163" s="4">
        <v>462</v>
      </c>
      <c r="FM163" s="4">
        <v>456</v>
      </c>
      <c r="FN163" s="4">
        <v>450</v>
      </c>
      <c r="FO163" s="4">
        <v>443</v>
      </c>
      <c r="FP163" s="4">
        <v>437</v>
      </c>
      <c r="FQ163" s="4">
        <v>431</v>
      </c>
      <c r="FR163" s="4">
        <v>425</v>
      </c>
      <c r="FS163" s="4">
        <v>419</v>
      </c>
      <c r="FT163" s="19">
        <v>67.9</v>
      </c>
      <c r="FU163" s="19">
        <v>127</v>
      </c>
      <c r="FV163" s="19">
        <v>126</v>
      </c>
      <c r="FW163" s="19">
        <v>125</v>
      </c>
      <c r="FX163" s="19">
        <v>124</v>
      </c>
      <c r="FY163" s="19">
        <v>123</v>
      </c>
      <c r="FZ163" s="19">
        <v>122</v>
      </c>
      <c r="GA163" s="19">
        <v>121</v>
      </c>
      <c r="GB163" s="19">
        <v>120</v>
      </c>
      <c r="GC163" s="19">
        <v>119</v>
      </c>
      <c r="GD163" s="19">
        <v>118</v>
      </c>
      <c r="GE163" s="19">
        <v>117</v>
      </c>
      <c r="GF163" s="19">
        <v>116</v>
      </c>
      <c r="GG163" s="19">
        <v>115</v>
      </c>
      <c r="GH163" s="19">
        <v>114</v>
      </c>
      <c r="GI163" s="19">
        <v>112.8</v>
      </c>
      <c r="GJ163" s="19">
        <v>111.8</v>
      </c>
      <c r="GK163" s="19">
        <v>110.8</v>
      </c>
      <c r="GL163" s="19">
        <v>109.8</v>
      </c>
      <c r="GM163" s="19">
        <v>108.8</v>
      </c>
      <c r="GN163" s="19">
        <v>107.8</v>
      </c>
      <c r="GO163" s="19">
        <v>106.5</v>
      </c>
      <c r="GP163" s="19">
        <v>105.5</v>
      </c>
      <c r="GQ163" s="19">
        <v>104.5</v>
      </c>
      <c r="GR163" s="19">
        <v>103.5</v>
      </c>
      <c r="GS163" s="19">
        <v>102.5</v>
      </c>
    </row>
    <row r="164">
      <c r="A164" s="2" t="s">
        <v>1282</v>
      </c>
      <c r="B164" s="2" t="s">
        <v>630</v>
      </c>
      <c r="C164" s="2" t="s">
        <v>987</v>
      </c>
      <c r="D164" s="2" t="s">
        <v>228</v>
      </c>
      <c r="E164" s="2" t="s">
        <v>487</v>
      </c>
      <c r="F164" s="2" t="s">
        <v>1265</v>
      </c>
      <c r="G164" s="2" t="s">
        <v>1266</v>
      </c>
      <c r="H164" s="2" t="s">
        <v>1267</v>
      </c>
      <c r="I164" s="2" t="s">
        <v>1268</v>
      </c>
      <c r="J164" s="2" t="s">
        <v>223</v>
      </c>
      <c r="K164" s="2" t="s">
        <v>665</v>
      </c>
      <c r="L164" s="3">
        <v>38.99</v>
      </c>
      <c r="M164" s="3">
        <v>40.94</v>
      </c>
      <c r="N164" s="3">
        <v>74.99</v>
      </c>
      <c r="O164" s="2" t="s">
        <v>196</v>
      </c>
      <c r="P164" s="2" t="s">
        <v>621</v>
      </c>
      <c r="Q164" s="2" t="s">
        <v>198</v>
      </c>
      <c r="R164" s="2" t="s">
        <v>199</v>
      </c>
      <c r="S164" s="2" t="s">
        <v>1277</v>
      </c>
      <c r="T164" s="2" t="s">
        <v>386</v>
      </c>
      <c r="U164" s="2" t="s">
        <v>509</v>
      </c>
      <c r="V164" s="2" t="s">
        <v>622</v>
      </c>
      <c r="W164" s="2" t="s">
        <v>510</v>
      </c>
      <c r="X164" s="2" t="s">
        <v>199</v>
      </c>
      <c r="Y164" s="2" t="s">
        <v>1271</v>
      </c>
      <c r="Z164" s="4">
        <v>219</v>
      </c>
      <c r="AA164" s="4">
        <f>=ROUNDDOWN(54.75,0)</f>
      </c>
      <c r="AB164" s="5">
        <v>4</v>
      </c>
      <c r="AC164" s="2" t="s">
        <v>199</v>
      </c>
      <c r="AD164" s="4"/>
      <c r="AE164" s="4"/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199</v>
      </c>
      <c r="AW164" s="8" t="s">
        <v>199</v>
      </c>
      <c r="AX164" s="4" t="s">
        <v>199</v>
      </c>
      <c r="AY164" s="8" t="s">
        <v>199</v>
      </c>
      <c r="AZ164" s="7" t="s">
        <v>199</v>
      </c>
      <c r="BA164" s="7" t="s">
        <v>199</v>
      </c>
      <c r="BB164" s="7"/>
      <c r="BC164" s="4" t="s">
        <v>199</v>
      </c>
      <c r="BD164" s="8" t="s">
        <v>199</v>
      </c>
      <c r="BE164" s="4" t="s">
        <v>199</v>
      </c>
      <c r="BF164" s="8" t="s">
        <v>199</v>
      </c>
      <c r="BG164" s="7" t="s">
        <v>199</v>
      </c>
      <c r="BH164" s="7" t="s">
        <v>199</v>
      </c>
      <c r="BI164" s="7"/>
      <c r="BJ164" s="4">
        <v>23</v>
      </c>
      <c r="BK164" s="8">
        <v>1511.37</v>
      </c>
      <c r="BL164" s="2" t="s">
        <v>1283</v>
      </c>
      <c r="BM164" s="7"/>
      <c r="BN164" s="7"/>
      <c r="BO164" s="4"/>
      <c r="BP164" s="8"/>
      <c r="BQ164" s="4"/>
      <c r="BR164" s="8"/>
      <c r="BS164" s="7"/>
      <c r="BT164" s="7"/>
      <c r="BU164" s="2" t="s">
        <v>1273</v>
      </c>
      <c r="BV164" s="2" t="s">
        <v>199</v>
      </c>
      <c r="BW164" s="2" t="s">
        <v>199</v>
      </c>
      <c r="BX164" s="2" t="s">
        <v>208</v>
      </c>
      <c r="BY164" s="2" t="s">
        <v>209</v>
      </c>
      <c r="BZ164" s="2" t="s">
        <v>196</v>
      </c>
      <c r="CA164" s="2" t="s">
        <v>1274</v>
      </c>
      <c r="CB164" s="2" t="s">
        <v>1284</v>
      </c>
      <c r="CC164" s="2" t="s">
        <v>212</v>
      </c>
      <c r="CD164" s="2" t="s">
        <v>199</v>
      </c>
      <c r="CE164" s="4">
        <v>130</v>
      </c>
      <c r="CF164" s="4"/>
      <c r="CG164" s="4"/>
      <c r="CH164" s="4">
        <v>89</v>
      </c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>
        <v>219</v>
      </c>
      <c r="EU164" s="4">
        <v>216</v>
      </c>
      <c r="EV164" s="4">
        <v>213</v>
      </c>
      <c r="EW164" s="4">
        <v>210</v>
      </c>
      <c r="EX164" s="4">
        <v>207</v>
      </c>
      <c r="EY164" s="4">
        <v>204</v>
      </c>
      <c r="EZ164" s="4">
        <v>201</v>
      </c>
      <c r="FA164" s="4">
        <v>198</v>
      </c>
      <c r="FB164" s="4">
        <v>194</v>
      </c>
      <c r="FC164" s="4">
        <v>191</v>
      </c>
      <c r="FD164" s="4">
        <v>188</v>
      </c>
      <c r="FE164" s="4">
        <v>185</v>
      </c>
      <c r="FF164" s="4">
        <v>182</v>
      </c>
      <c r="FG164" s="4">
        <v>178</v>
      </c>
      <c r="FH164" s="4">
        <v>174</v>
      </c>
      <c r="FI164" s="4">
        <v>170</v>
      </c>
      <c r="FJ164" s="4">
        <v>166</v>
      </c>
      <c r="FK164" s="4">
        <v>162</v>
      </c>
      <c r="FL164" s="4">
        <v>158</v>
      </c>
      <c r="FM164" s="4">
        <v>154</v>
      </c>
      <c r="FN164" s="4">
        <v>150</v>
      </c>
      <c r="FO164" s="4">
        <v>146</v>
      </c>
      <c r="FP164" s="4">
        <v>141</v>
      </c>
      <c r="FQ164" s="4">
        <v>137</v>
      </c>
      <c r="FR164" s="4">
        <v>133</v>
      </c>
      <c r="FS164" s="4">
        <v>129</v>
      </c>
      <c r="FT164" s="19">
        <v>21.7</v>
      </c>
      <c r="FU164" s="19">
        <v>21.2</v>
      </c>
      <c r="FV164" s="19">
        <v>20.7</v>
      </c>
      <c r="FW164" s="19">
        <v>20.2</v>
      </c>
      <c r="FX164" s="19">
        <v>19.7</v>
      </c>
      <c r="FY164" s="19">
        <v>19.2</v>
      </c>
      <c r="FZ164" s="19">
        <v>18.7</v>
      </c>
      <c r="GA164" s="19">
        <v>18.2</v>
      </c>
      <c r="GB164" s="19">
        <v>17.5</v>
      </c>
      <c r="GC164" s="19">
        <v>17</v>
      </c>
      <c r="GD164" s="19">
        <v>12.4</v>
      </c>
      <c r="GE164" s="19">
        <v>12</v>
      </c>
      <c r="GF164" s="19">
        <v>11.7</v>
      </c>
      <c r="GG164" s="19">
        <v>11.2</v>
      </c>
      <c r="GH164" s="19">
        <v>10.7</v>
      </c>
      <c r="GI164" s="19">
        <v>10.2</v>
      </c>
      <c r="GJ164" s="19">
        <v>9.7</v>
      </c>
      <c r="GK164" s="19">
        <v>9.2</v>
      </c>
      <c r="GL164" s="19">
        <v>8.7</v>
      </c>
      <c r="GM164" s="19">
        <v>8.2</v>
      </c>
      <c r="GN164" s="19">
        <v>7.7</v>
      </c>
      <c r="GO164" s="19">
        <v>7.2</v>
      </c>
      <c r="GP164" s="19">
        <v>6.5</v>
      </c>
      <c r="GQ164" s="19">
        <v>6</v>
      </c>
      <c r="GR164" s="19">
        <v>5.5</v>
      </c>
      <c r="GS164" s="19">
        <v>5</v>
      </c>
    </row>
    <row r="165">
      <c r="A165" s="2" t="s">
        <v>1285</v>
      </c>
      <c r="B165" s="2" t="s">
        <v>630</v>
      </c>
      <c r="C165" s="2" t="s">
        <v>987</v>
      </c>
      <c r="D165" s="2" t="s">
        <v>228</v>
      </c>
      <c r="E165" s="2" t="s">
        <v>487</v>
      </c>
      <c r="F165" s="2" t="s">
        <v>1265</v>
      </c>
      <c r="G165" s="2" t="s">
        <v>1266</v>
      </c>
      <c r="H165" s="2" t="s">
        <v>1267</v>
      </c>
      <c r="I165" s="2" t="s">
        <v>1268</v>
      </c>
      <c r="J165" s="2" t="s">
        <v>1011</v>
      </c>
      <c r="K165" s="2" t="s">
        <v>560</v>
      </c>
      <c r="L165" s="3">
        <v>28.59</v>
      </c>
      <c r="M165" s="3">
        <v>30.02</v>
      </c>
      <c r="N165" s="3">
        <v>54.99</v>
      </c>
      <c r="O165" s="2" t="s">
        <v>196</v>
      </c>
      <c r="P165" s="2" t="s">
        <v>621</v>
      </c>
      <c r="Q165" s="2" t="s">
        <v>198</v>
      </c>
      <c r="R165" s="2" t="s">
        <v>199</v>
      </c>
      <c r="S165" s="2" t="s">
        <v>1286</v>
      </c>
      <c r="T165" s="2" t="s">
        <v>386</v>
      </c>
      <c r="U165" s="2" t="s">
        <v>492</v>
      </c>
      <c r="V165" s="2" t="s">
        <v>622</v>
      </c>
      <c r="W165" s="2" t="s">
        <v>510</v>
      </c>
      <c r="X165" s="2" t="s">
        <v>199</v>
      </c>
      <c r="Y165" s="2" t="s">
        <v>1271</v>
      </c>
      <c r="Z165" s="4">
        <v>3</v>
      </c>
      <c r="AA165" s="4">
        <f>=ROUNDDOWN(1.5,0)</f>
      </c>
      <c r="AB165" s="5">
        <v>2</v>
      </c>
      <c r="AC165" s="2" t="s">
        <v>1272</v>
      </c>
      <c r="AD165" s="4">
        <v>21</v>
      </c>
      <c r="AE165" s="4">
        <v>66</v>
      </c>
      <c r="AF165" s="6">
        <v>63</v>
      </c>
      <c r="AG165" s="6">
        <v>46</v>
      </c>
      <c r="AH165" s="7">
        <v>0.5161</v>
      </c>
      <c r="AI165" s="4"/>
      <c r="AJ165" s="4">
        <f>=ROUNDDOWN({0},0)</f>
      </c>
      <c r="AK165" s="5"/>
      <c r="AL165" s="2" t="s">
        <v>199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199</v>
      </c>
      <c r="AW165" s="8" t="s">
        <v>199</v>
      </c>
      <c r="AX165" s="4" t="s">
        <v>199</v>
      </c>
      <c r="AY165" s="8" t="s">
        <v>199</v>
      </c>
      <c r="AZ165" s="7" t="s">
        <v>199</v>
      </c>
      <c r="BA165" s="7" t="s">
        <v>199</v>
      </c>
      <c r="BB165" s="7"/>
      <c r="BC165" s="4" t="s">
        <v>199</v>
      </c>
      <c r="BD165" s="8" t="s">
        <v>199</v>
      </c>
      <c r="BE165" s="4" t="s">
        <v>199</v>
      </c>
      <c r="BF165" s="8" t="s">
        <v>199</v>
      </c>
      <c r="BG165" s="7" t="s">
        <v>199</v>
      </c>
      <c r="BH165" s="7" t="s">
        <v>199</v>
      </c>
      <c r="BI165" s="7"/>
      <c r="BJ165" s="4">
        <v>13</v>
      </c>
      <c r="BK165" s="8">
        <v>494.04</v>
      </c>
      <c r="BL165" s="2" t="s">
        <v>1287</v>
      </c>
      <c r="BM165" s="7"/>
      <c r="BN165" s="7"/>
      <c r="BO165" s="4"/>
      <c r="BP165" s="8"/>
      <c r="BQ165" s="4"/>
      <c r="BR165" s="8"/>
      <c r="BS165" s="7"/>
      <c r="BT165" s="7"/>
      <c r="BU165" s="2" t="s">
        <v>1273</v>
      </c>
      <c r="BV165" s="2" t="s">
        <v>199</v>
      </c>
      <c r="BW165" s="2" t="s">
        <v>199</v>
      </c>
      <c r="BX165" s="2" t="s">
        <v>208</v>
      </c>
      <c r="BY165" s="2" t="s">
        <v>209</v>
      </c>
      <c r="BZ165" s="2" t="s">
        <v>196</v>
      </c>
      <c r="CA165" s="2" t="s">
        <v>1274</v>
      </c>
      <c r="CB165" s="2" t="s">
        <v>199</v>
      </c>
      <c r="CC165" s="2" t="s">
        <v>212</v>
      </c>
      <c r="CD165" s="2" t="s">
        <v>199</v>
      </c>
      <c r="CE165" s="4"/>
      <c r="CF165" s="4"/>
      <c r="CG165" s="4"/>
      <c r="CH165" s="4">
        <v>3</v>
      </c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>
        <v>21</v>
      </c>
      <c r="EO165" s="4"/>
      <c r="EP165" s="4"/>
      <c r="EQ165" s="4"/>
      <c r="ER165" s="4"/>
      <c r="ES165" s="4">
        <v>45</v>
      </c>
      <c r="ET165" s="4">
        <v>3</v>
      </c>
      <c r="EU165" s="4">
        <v>2</v>
      </c>
      <c r="EV165" s="4">
        <v>1</v>
      </c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>
        <v>21</v>
      </c>
      <c r="FL165" s="4">
        <v>20</v>
      </c>
      <c r="FM165" s="4">
        <v>19</v>
      </c>
      <c r="FN165" s="4">
        <v>63</v>
      </c>
      <c r="FO165" s="4">
        <v>62</v>
      </c>
      <c r="FP165" s="4">
        <v>61</v>
      </c>
      <c r="FQ165" s="4">
        <v>60</v>
      </c>
      <c r="FR165" s="4">
        <v>59</v>
      </c>
      <c r="FS165" s="4">
        <v>58</v>
      </c>
      <c r="FT165" s="19">
        <v>1.5</v>
      </c>
      <c r="FU165" s="20">
        <v>0</v>
      </c>
      <c r="FV165" s="20">
        <v>0</v>
      </c>
      <c r="FW165" s="20">
        <v>0</v>
      </c>
      <c r="FX165" s="20">
        <v>0</v>
      </c>
      <c r="FY165" s="20">
        <v>0</v>
      </c>
      <c r="FZ165" s="20">
        <v>0</v>
      </c>
      <c r="GA165" s="20">
        <v>0</v>
      </c>
      <c r="GB165" s="20">
        <v>0</v>
      </c>
      <c r="GC165" s="20">
        <v>0</v>
      </c>
      <c r="GD165" s="20">
        <v>0</v>
      </c>
      <c r="GE165" s="20">
        <v>0</v>
      </c>
      <c r="GF165" s="20">
        <v>0</v>
      </c>
      <c r="GG165" s="20">
        <v>0</v>
      </c>
      <c r="GH165" s="20">
        <v>0</v>
      </c>
      <c r="GI165" s="20">
        <v>0</v>
      </c>
      <c r="GJ165" s="20">
        <v>0</v>
      </c>
      <c r="GK165" s="19">
        <v>10.5</v>
      </c>
      <c r="GL165" s="20">
        <v>0</v>
      </c>
      <c r="GM165" s="20">
        <v>0</v>
      </c>
      <c r="GN165" s="19">
        <v>22.5</v>
      </c>
      <c r="GO165" s="19">
        <v>22</v>
      </c>
      <c r="GP165" s="19">
        <v>21.5</v>
      </c>
      <c r="GQ165" s="19">
        <v>21</v>
      </c>
      <c r="GR165" s="19">
        <v>20.5</v>
      </c>
      <c r="GS165" s="19">
        <v>20</v>
      </c>
    </row>
    <row r="166">
      <c r="A166" s="2" t="s">
        <v>1288</v>
      </c>
      <c r="B166" s="2" t="s">
        <v>630</v>
      </c>
      <c r="C166" s="2" t="s">
        <v>987</v>
      </c>
      <c r="D166" s="2" t="s">
        <v>228</v>
      </c>
      <c r="E166" s="2" t="s">
        <v>487</v>
      </c>
      <c r="F166" s="2" t="s">
        <v>1265</v>
      </c>
      <c r="G166" s="2" t="s">
        <v>1266</v>
      </c>
      <c r="H166" s="2" t="s">
        <v>1267</v>
      </c>
      <c r="I166" s="2" t="s">
        <v>1268</v>
      </c>
      <c r="J166" s="2" t="s">
        <v>285</v>
      </c>
      <c r="K166" s="2" t="s">
        <v>560</v>
      </c>
      <c r="L166" s="3">
        <v>31.19</v>
      </c>
      <c r="M166" s="3">
        <v>32.75</v>
      </c>
      <c r="N166" s="3">
        <v>59.99</v>
      </c>
      <c r="O166" s="2" t="s">
        <v>196</v>
      </c>
      <c r="P166" s="2" t="s">
        <v>621</v>
      </c>
      <c r="Q166" s="2" t="s">
        <v>198</v>
      </c>
      <c r="R166" s="2" t="s">
        <v>199</v>
      </c>
      <c r="S166" s="2" t="s">
        <v>1286</v>
      </c>
      <c r="T166" s="2" t="s">
        <v>386</v>
      </c>
      <c r="U166" s="2" t="s">
        <v>509</v>
      </c>
      <c r="V166" s="2" t="s">
        <v>622</v>
      </c>
      <c r="W166" s="2" t="s">
        <v>510</v>
      </c>
      <c r="X166" s="2" t="s">
        <v>199</v>
      </c>
      <c r="Y166" s="2" t="s">
        <v>1271</v>
      </c>
      <c r="Z166" s="4">
        <v>81</v>
      </c>
      <c r="AA166" s="4">
        <f>=ROUNDDOWN(8.1,0)</f>
      </c>
      <c r="AB166" s="5">
        <v>10</v>
      </c>
      <c r="AC166" s="2" t="s">
        <v>1272</v>
      </c>
      <c r="AD166" s="4">
        <v>18</v>
      </c>
      <c r="AE166" s="4">
        <v>87</v>
      </c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199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199</v>
      </c>
      <c r="AW166" s="8" t="s">
        <v>199</v>
      </c>
      <c r="AX166" s="4" t="s">
        <v>199</v>
      </c>
      <c r="AY166" s="8" t="s">
        <v>199</v>
      </c>
      <c r="AZ166" s="7" t="s">
        <v>199</v>
      </c>
      <c r="BA166" s="7" t="s">
        <v>199</v>
      </c>
      <c r="BB166" s="7"/>
      <c r="BC166" s="4" t="s">
        <v>199</v>
      </c>
      <c r="BD166" s="8" t="s">
        <v>199</v>
      </c>
      <c r="BE166" s="4" t="s">
        <v>199</v>
      </c>
      <c r="BF166" s="8" t="s">
        <v>199</v>
      </c>
      <c r="BG166" s="7" t="s">
        <v>199</v>
      </c>
      <c r="BH166" s="7" t="s">
        <v>199</v>
      </c>
      <c r="BI166" s="7"/>
      <c r="BJ166" s="4">
        <v>38</v>
      </c>
      <c r="BK166" s="8">
        <v>1517.3</v>
      </c>
      <c r="BL166" s="2" t="s">
        <v>1278</v>
      </c>
      <c r="BM166" s="7"/>
      <c r="BN166" s="7"/>
      <c r="BO166" s="4"/>
      <c r="BP166" s="8"/>
      <c r="BQ166" s="4"/>
      <c r="BR166" s="8"/>
      <c r="BS166" s="7"/>
      <c r="BT166" s="7"/>
      <c r="BU166" s="2" t="s">
        <v>1273</v>
      </c>
      <c r="BV166" s="2" t="s">
        <v>199</v>
      </c>
      <c r="BW166" s="2" t="s">
        <v>199</v>
      </c>
      <c r="BX166" s="2" t="s">
        <v>208</v>
      </c>
      <c r="BY166" s="2" t="s">
        <v>209</v>
      </c>
      <c r="BZ166" s="2" t="s">
        <v>196</v>
      </c>
      <c r="CA166" s="2" t="s">
        <v>1274</v>
      </c>
      <c r="CB166" s="2" t="s">
        <v>199</v>
      </c>
      <c r="CC166" s="2" t="s">
        <v>212</v>
      </c>
      <c r="CD166" s="2" t="s">
        <v>199</v>
      </c>
      <c r="CE166" s="4">
        <v>5</v>
      </c>
      <c r="CF166" s="4"/>
      <c r="CG166" s="4"/>
      <c r="CH166" s="4">
        <v>76</v>
      </c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>
        <v>18</v>
      </c>
      <c r="EO166" s="4"/>
      <c r="EP166" s="4"/>
      <c r="EQ166" s="4"/>
      <c r="ER166" s="4"/>
      <c r="ES166" s="4">
        <v>69</v>
      </c>
      <c r="ET166" s="4">
        <v>82</v>
      </c>
      <c r="EU166" s="4">
        <v>72</v>
      </c>
      <c r="EV166" s="4">
        <v>64</v>
      </c>
      <c r="EW166" s="4">
        <v>56</v>
      </c>
      <c r="EX166" s="4">
        <v>48</v>
      </c>
      <c r="EY166" s="4">
        <v>40</v>
      </c>
      <c r="EZ166" s="4">
        <v>32</v>
      </c>
      <c r="FA166" s="4">
        <v>24</v>
      </c>
      <c r="FB166" s="4">
        <v>14</v>
      </c>
      <c r="FC166" s="4">
        <v>6</v>
      </c>
      <c r="FD166" s="4"/>
      <c r="FE166" s="4"/>
      <c r="FF166" s="4"/>
      <c r="FG166" s="4"/>
      <c r="FH166" s="4"/>
      <c r="FI166" s="4"/>
      <c r="FJ166" s="4"/>
      <c r="FK166" s="4">
        <v>18</v>
      </c>
      <c r="FL166" s="4">
        <v>10</v>
      </c>
      <c r="FM166" s="4">
        <v>64</v>
      </c>
      <c r="FN166" s="4">
        <v>125</v>
      </c>
      <c r="FO166" s="4">
        <v>169</v>
      </c>
      <c r="FP166" s="4">
        <v>158</v>
      </c>
      <c r="FQ166" s="4">
        <v>149</v>
      </c>
      <c r="FR166" s="4">
        <v>140</v>
      </c>
      <c r="FS166" s="4">
        <v>131</v>
      </c>
      <c r="FT166" s="19">
        <v>7</v>
      </c>
      <c r="FU166" s="19">
        <v>4.5</v>
      </c>
      <c r="FV166" s="19">
        <v>4</v>
      </c>
      <c r="FW166" s="19">
        <v>3.5</v>
      </c>
      <c r="FX166" s="19">
        <v>3</v>
      </c>
      <c r="FY166" s="19">
        <v>2.5</v>
      </c>
      <c r="FZ166" s="19">
        <v>2</v>
      </c>
      <c r="GA166" s="19">
        <v>1.7</v>
      </c>
      <c r="GB166" s="19">
        <v>1.4</v>
      </c>
      <c r="GC166" s="19">
        <v>0.8</v>
      </c>
      <c r="GD166" s="20">
        <v>0</v>
      </c>
      <c r="GE166" s="20">
        <v>0</v>
      </c>
      <c r="GF166" s="20">
        <v>0</v>
      </c>
      <c r="GG166" s="20">
        <v>0</v>
      </c>
      <c r="GH166" s="20">
        <v>0</v>
      </c>
      <c r="GI166" s="20">
        <v>0</v>
      </c>
      <c r="GJ166" s="20">
        <v>0</v>
      </c>
      <c r="GK166" s="19">
        <v>1.3</v>
      </c>
      <c r="GL166" s="19">
        <v>0.9</v>
      </c>
      <c r="GM166" s="19">
        <v>8</v>
      </c>
      <c r="GN166" s="19">
        <v>15.1</v>
      </c>
      <c r="GO166" s="19">
        <v>18.5</v>
      </c>
      <c r="GP166" s="19">
        <v>17.3</v>
      </c>
      <c r="GQ166" s="19">
        <v>16.3</v>
      </c>
      <c r="GR166" s="19">
        <v>15.3</v>
      </c>
      <c r="GS166" s="19">
        <v>14.3</v>
      </c>
    </row>
    <row r="167">
      <c r="A167" s="2" t="s">
        <v>1289</v>
      </c>
      <c r="B167" s="2" t="s">
        <v>630</v>
      </c>
      <c r="C167" s="2" t="s">
        <v>987</v>
      </c>
      <c r="D167" s="2" t="s">
        <v>228</v>
      </c>
      <c r="E167" s="2" t="s">
        <v>487</v>
      </c>
      <c r="F167" s="2" t="s">
        <v>1265</v>
      </c>
      <c r="G167" s="2" t="s">
        <v>1266</v>
      </c>
      <c r="H167" s="2" t="s">
        <v>1267</v>
      </c>
      <c r="I167" s="2" t="s">
        <v>1268</v>
      </c>
      <c r="J167" s="2" t="s">
        <v>223</v>
      </c>
      <c r="K167" s="2" t="s">
        <v>560</v>
      </c>
      <c r="L167" s="3">
        <v>38.99</v>
      </c>
      <c r="M167" s="3">
        <v>40.94</v>
      </c>
      <c r="N167" s="3">
        <v>74.99</v>
      </c>
      <c r="O167" s="2" t="s">
        <v>196</v>
      </c>
      <c r="P167" s="2" t="s">
        <v>621</v>
      </c>
      <c r="Q167" s="2" t="s">
        <v>198</v>
      </c>
      <c r="R167" s="2" t="s">
        <v>199</v>
      </c>
      <c r="S167" s="2" t="s">
        <v>1286</v>
      </c>
      <c r="T167" s="2" t="s">
        <v>386</v>
      </c>
      <c r="U167" s="2" t="s">
        <v>509</v>
      </c>
      <c r="V167" s="2" t="s">
        <v>622</v>
      </c>
      <c r="W167" s="2" t="s">
        <v>510</v>
      </c>
      <c r="X167" s="2" t="s">
        <v>199</v>
      </c>
      <c r="Y167" s="2" t="s">
        <v>1271</v>
      </c>
      <c r="Z167" s="4">
        <v>491</v>
      </c>
      <c r="AA167" s="4">
        <f>=ROUNDDOWN(28.8823529411765,0)</f>
      </c>
      <c r="AB167" s="5">
        <v>17</v>
      </c>
      <c r="AC167" s="2" t="s">
        <v>1272</v>
      </c>
      <c r="AD167" s="4">
        <v>15</v>
      </c>
      <c r="AE167" s="4">
        <v>141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199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199</v>
      </c>
      <c r="AW167" s="8" t="s">
        <v>199</v>
      </c>
      <c r="AX167" s="4" t="s">
        <v>199</v>
      </c>
      <c r="AY167" s="8" t="s">
        <v>199</v>
      </c>
      <c r="AZ167" s="7" t="s">
        <v>199</v>
      </c>
      <c r="BA167" s="7" t="s">
        <v>199</v>
      </c>
      <c r="BB167" s="7"/>
      <c r="BC167" s="4" t="s">
        <v>199</v>
      </c>
      <c r="BD167" s="8" t="s">
        <v>199</v>
      </c>
      <c r="BE167" s="4" t="s">
        <v>199</v>
      </c>
      <c r="BF167" s="8" t="s">
        <v>199</v>
      </c>
      <c r="BG167" s="7" t="s">
        <v>199</v>
      </c>
      <c r="BH167" s="7" t="s">
        <v>199</v>
      </c>
      <c r="BI167" s="7"/>
      <c r="BJ167" s="4">
        <v>57</v>
      </c>
      <c r="BK167" s="8">
        <v>3467.15</v>
      </c>
      <c r="BL167" s="2" t="s">
        <v>1290</v>
      </c>
      <c r="BM167" s="7"/>
      <c r="BN167" s="7"/>
      <c r="BO167" s="4"/>
      <c r="BP167" s="8"/>
      <c r="BQ167" s="4"/>
      <c r="BR167" s="8"/>
      <c r="BS167" s="7"/>
      <c r="BT167" s="7"/>
      <c r="BU167" s="2" t="s">
        <v>1273</v>
      </c>
      <c r="BV167" s="2" t="s">
        <v>199</v>
      </c>
      <c r="BW167" s="2" t="s">
        <v>199</v>
      </c>
      <c r="BX167" s="2" t="s">
        <v>208</v>
      </c>
      <c r="BY167" s="2" t="s">
        <v>209</v>
      </c>
      <c r="BZ167" s="2" t="s">
        <v>196</v>
      </c>
      <c r="CA167" s="2" t="s">
        <v>1274</v>
      </c>
      <c r="CB167" s="2" t="s">
        <v>1291</v>
      </c>
      <c r="CC167" s="2" t="s">
        <v>212</v>
      </c>
      <c r="CD167" s="2" t="s">
        <v>199</v>
      </c>
      <c r="CE167" s="4">
        <v>324</v>
      </c>
      <c r="CF167" s="4"/>
      <c r="CG167" s="4"/>
      <c r="CH167" s="4">
        <v>167</v>
      </c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>
        <v>15</v>
      </c>
      <c r="EO167" s="4"/>
      <c r="EP167" s="4"/>
      <c r="EQ167" s="4"/>
      <c r="ER167" s="4"/>
      <c r="ES167" s="4">
        <v>126</v>
      </c>
      <c r="ET167" s="4">
        <v>495</v>
      </c>
      <c r="EU167" s="4">
        <v>475</v>
      </c>
      <c r="EV167" s="4">
        <v>459</v>
      </c>
      <c r="EW167" s="4">
        <v>443</v>
      </c>
      <c r="EX167" s="4">
        <v>427</v>
      </c>
      <c r="EY167" s="4">
        <v>411</v>
      </c>
      <c r="EZ167" s="4">
        <v>395</v>
      </c>
      <c r="FA167" s="4">
        <v>379</v>
      </c>
      <c r="FB167" s="4">
        <v>360</v>
      </c>
      <c r="FC167" s="4">
        <v>344</v>
      </c>
      <c r="FD167" s="4">
        <v>328</v>
      </c>
      <c r="FE167" s="4">
        <v>312</v>
      </c>
      <c r="FF167" s="4">
        <v>296</v>
      </c>
      <c r="FG167" s="4">
        <v>280</v>
      </c>
      <c r="FH167" s="4">
        <v>264</v>
      </c>
      <c r="FI167" s="4">
        <v>248</v>
      </c>
      <c r="FJ167" s="4">
        <v>232</v>
      </c>
      <c r="FK167" s="4">
        <v>231</v>
      </c>
      <c r="FL167" s="4">
        <v>215</v>
      </c>
      <c r="FM167" s="4">
        <v>248</v>
      </c>
      <c r="FN167" s="4">
        <v>358</v>
      </c>
      <c r="FO167" s="4">
        <v>342</v>
      </c>
      <c r="FP167" s="4">
        <v>323</v>
      </c>
      <c r="FQ167" s="4">
        <v>307</v>
      </c>
      <c r="FR167" s="4">
        <v>291</v>
      </c>
      <c r="FS167" s="4">
        <v>275</v>
      </c>
      <c r="FT167" s="19">
        <v>28.9</v>
      </c>
      <c r="FU167" s="19">
        <v>29.1</v>
      </c>
      <c r="FV167" s="19">
        <v>28.1</v>
      </c>
      <c r="FW167" s="19">
        <v>27.1</v>
      </c>
      <c r="FX167" s="19">
        <v>26.1</v>
      </c>
      <c r="FY167" s="19">
        <v>25.1</v>
      </c>
      <c r="FZ167" s="19">
        <v>24.1</v>
      </c>
      <c r="GA167" s="19">
        <v>23.1</v>
      </c>
      <c r="GB167" s="19">
        <v>22</v>
      </c>
      <c r="GC167" s="19">
        <v>21</v>
      </c>
      <c r="GD167" s="19">
        <v>20</v>
      </c>
      <c r="GE167" s="19">
        <v>19</v>
      </c>
      <c r="GF167" s="19">
        <v>18</v>
      </c>
      <c r="GG167" s="19">
        <v>17</v>
      </c>
      <c r="GH167" s="19">
        <v>16</v>
      </c>
      <c r="GI167" s="19">
        <v>15</v>
      </c>
      <c r="GJ167" s="19">
        <v>14</v>
      </c>
      <c r="GK167" s="19">
        <v>14.2</v>
      </c>
      <c r="GL167" s="19">
        <v>13.2</v>
      </c>
      <c r="GM167" s="19">
        <v>16.3</v>
      </c>
      <c r="GN167" s="19">
        <v>21.6</v>
      </c>
      <c r="GO167" s="19">
        <v>20.6</v>
      </c>
      <c r="GP167" s="19">
        <v>19.4</v>
      </c>
      <c r="GQ167" s="19">
        <v>18.4</v>
      </c>
      <c r="GR167" s="19">
        <v>17.4</v>
      </c>
      <c r="GS167" s="19">
        <v>16.4</v>
      </c>
    </row>
    <row r="168">
      <c r="A168" s="2" t="s">
        <v>1292</v>
      </c>
      <c r="B168" s="2" t="s">
        <v>630</v>
      </c>
      <c r="C168" s="2" t="s">
        <v>987</v>
      </c>
      <c r="D168" s="2" t="s">
        <v>228</v>
      </c>
      <c r="E168" s="2" t="s">
        <v>487</v>
      </c>
      <c r="F168" s="2" t="s">
        <v>1265</v>
      </c>
      <c r="G168" s="2" t="s">
        <v>1266</v>
      </c>
      <c r="H168" s="2" t="s">
        <v>1267</v>
      </c>
      <c r="I168" s="2" t="s">
        <v>1268</v>
      </c>
      <c r="J168" s="2" t="s">
        <v>1011</v>
      </c>
      <c r="K168" s="2" t="s">
        <v>1293</v>
      </c>
      <c r="L168" s="3">
        <v>28.59</v>
      </c>
      <c r="M168" s="3">
        <v>30.02</v>
      </c>
      <c r="N168" s="3">
        <v>54.99</v>
      </c>
      <c r="O168" s="2" t="s">
        <v>196</v>
      </c>
      <c r="P168" s="2" t="s">
        <v>724</v>
      </c>
      <c r="Q168" s="2" t="s">
        <v>198</v>
      </c>
      <c r="R168" s="2" t="s">
        <v>199</v>
      </c>
      <c r="S168" s="2" t="s">
        <v>1294</v>
      </c>
      <c r="T168" s="2" t="s">
        <v>386</v>
      </c>
      <c r="U168" s="2" t="s">
        <v>492</v>
      </c>
      <c r="V168" s="2" t="s">
        <v>622</v>
      </c>
      <c r="W168" s="2" t="s">
        <v>510</v>
      </c>
      <c r="X168" s="2" t="s">
        <v>199</v>
      </c>
      <c r="Y168" s="2" t="s">
        <v>1271</v>
      </c>
      <c r="Z168" s="4">
        <v>3</v>
      </c>
      <c r="AA168" s="4">
        <f>=ROUNDDOWN(0.428571428571429,0)</f>
      </c>
      <c r="AB168" s="5">
        <v>7</v>
      </c>
      <c r="AC168" s="2" t="s">
        <v>199</v>
      </c>
      <c r="AD168" s="4"/>
      <c r="AE168" s="4"/>
      <c r="AF168" s="6">
        <v>63</v>
      </c>
      <c r="AG168" s="6">
        <v>46</v>
      </c>
      <c r="AH168" s="7">
        <v>0.0323</v>
      </c>
      <c r="AI168" s="4"/>
      <c r="AJ168" s="4">
        <f>=ROUNDDOWN({0},0)</f>
      </c>
      <c r="AK168" s="5"/>
      <c r="AL168" s="2" t="s">
        <v>199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199</v>
      </c>
      <c r="BD168" s="8" t="s">
        <v>199</v>
      </c>
      <c r="BE168" s="4" t="s">
        <v>199</v>
      </c>
      <c r="BF168" s="8" t="s">
        <v>199</v>
      </c>
      <c r="BG168" s="7" t="s">
        <v>199</v>
      </c>
      <c r="BH168" s="7" t="s">
        <v>199</v>
      </c>
      <c r="BI168" s="7"/>
      <c r="BJ168" s="4">
        <v>1</v>
      </c>
      <c r="BK168" s="8">
        <v>33.62</v>
      </c>
      <c r="BL168" s="2" t="s">
        <v>1295</v>
      </c>
      <c r="BM168" s="7"/>
      <c r="BN168" s="7"/>
      <c r="BO168" s="4"/>
      <c r="BP168" s="8"/>
      <c r="BQ168" s="4"/>
      <c r="BR168" s="8"/>
      <c r="BS168" s="7"/>
      <c r="BT168" s="7"/>
      <c r="BU168" s="2" t="s">
        <v>1273</v>
      </c>
      <c r="BV168" s="2" t="s">
        <v>199</v>
      </c>
      <c r="BW168" s="2" t="s">
        <v>199</v>
      </c>
      <c r="BX168" s="2" t="s">
        <v>208</v>
      </c>
      <c r="BY168" s="2" t="s">
        <v>209</v>
      </c>
      <c r="BZ168" s="2" t="s">
        <v>196</v>
      </c>
      <c r="CA168" s="2" t="s">
        <v>1274</v>
      </c>
      <c r="CB168" s="2" t="s">
        <v>1296</v>
      </c>
      <c r="CC168" s="2" t="s">
        <v>212</v>
      </c>
      <c r="CD168" s="2" t="s">
        <v>199</v>
      </c>
      <c r="CE168" s="4">
        <v>2</v>
      </c>
      <c r="CF168" s="4"/>
      <c r="CG168" s="4"/>
      <c r="CH168" s="4">
        <v>1</v>
      </c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>
        <v>3</v>
      </c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>
        <v>58</v>
      </c>
      <c r="FN168" s="4">
        <v>52</v>
      </c>
      <c r="FO168" s="4">
        <v>108</v>
      </c>
      <c r="FP168" s="4">
        <v>100</v>
      </c>
      <c r="FQ168" s="4">
        <v>94</v>
      </c>
      <c r="FR168" s="4">
        <v>88</v>
      </c>
      <c r="FS168" s="4">
        <v>81</v>
      </c>
      <c r="FT168" s="19">
        <v>0.5</v>
      </c>
      <c r="FU168" s="20">
        <v>0</v>
      </c>
      <c r="FV168" s="20">
        <v>0</v>
      </c>
      <c r="FW168" s="20">
        <v>0</v>
      </c>
      <c r="FX168" s="20">
        <v>0</v>
      </c>
      <c r="FY168" s="20">
        <v>0</v>
      </c>
      <c r="FZ168" s="20">
        <v>0</v>
      </c>
      <c r="GA168" s="20">
        <v>0</v>
      </c>
      <c r="GB168" s="20">
        <v>0</v>
      </c>
      <c r="GC168" s="20">
        <v>0</v>
      </c>
      <c r="GD168" s="20">
        <v>0</v>
      </c>
      <c r="GE168" s="20">
        <v>0</v>
      </c>
      <c r="GF168" s="20">
        <v>0</v>
      </c>
      <c r="GG168" s="20">
        <v>0</v>
      </c>
      <c r="GH168" s="20">
        <v>0</v>
      </c>
      <c r="GI168" s="20">
        <v>0</v>
      </c>
      <c r="GJ168" s="20">
        <v>0</v>
      </c>
      <c r="GK168" s="20">
        <v>0</v>
      </c>
      <c r="GL168" s="20">
        <v>0</v>
      </c>
      <c r="GM168" s="19">
        <v>5.8</v>
      </c>
      <c r="GN168" s="19">
        <v>6.5</v>
      </c>
      <c r="GO168" s="19">
        <v>15.4</v>
      </c>
      <c r="GP168" s="19">
        <v>14.3</v>
      </c>
      <c r="GQ168" s="19">
        <v>13.4</v>
      </c>
      <c r="GR168" s="19">
        <v>12.5</v>
      </c>
      <c r="GS168" s="19">
        <v>11.5</v>
      </c>
    </row>
    <row r="169">
      <c r="A169" s="2" t="s">
        <v>1297</v>
      </c>
      <c r="B169" s="2" t="s">
        <v>630</v>
      </c>
      <c r="C169" s="2" t="s">
        <v>604</v>
      </c>
      <c r="D169" s="2" t="s">
        <v>1298</v>
      </c>
      <c r="E169" s="2" t="s">
        <v>1299</v>
      </c>
      <c r="F169" s="2" t="s">
        <v>1300</v>
      </c>
      <c r="G169" s="2" t="s">
        <v>1300</v>
      </c>
      <c r="H169" s="2" t="s">
        <v>1300</v>
      </c>
      <c r="I169" s="2" t="s">
        <v>1301</v>
      </c>
      <c r="J169" s="2" t="s">
        <v>1302</v>
      </c>
      <c r="K169" s="2" t="s">
        <v>723</v>
      </c>
      <c r="L169" s="3">
        <v>14.85</v>
      </c>
      <c r="M169" s="3">
        <v>15.59</v>
      </c>
      <c r="N169" s="3">
        <v>32.99</v>
      </c>
      <c r="O169" s="2" t="s">
        <v>196</v>
      </c>
      <c r="P169" s="2" t="s">
        <v>621</v>
      </c>
      <c r="Q169" s="2" t="s">
        <v>198</v>
      </c>
      <c r="R169" s="2" t="s">
        <v>199</v>
      </c>
      <c r="S169" s="2" t="s">
        <v>1303</v>
      </c>
      <c r="T169" s="2" t="s">
        <v>199</v>
      </c>
      <c r="U169" s="2" t="s">
        <v>199</v>
      </c>
      <c r="V169" s="2" t="s">
        <v>202</v>
      </c>
      <c r="W169" s="2" t="s">
        <v>255</v>
      </c>
      <c r="X169" s="2" t="s">
        <v>199</v>
      </c>
      <c r="Y169" s="2" t="s">
        <v>204</v>
      </c>
      <c r="Z169" s="4">
        <v>410</v>
      </c>
      <c r="AA169" s="4">
        <f>=ROUNDDOWN(19.5238095238095,0)</f>
      </c>
      <c r="AB169" s="5">
        <v>21</v>
      </c>
      <c r="AC169" s="2" t="s">
        <v>205</v>
      </c>
      <c r="AD169" s="4">
        <v>500</v>
      </c>
      <c r="AE169" s="4">
        <v>500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199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95</v>
      </c>
      <c r="BK169" s="8">
        <v>1399.6</v>
      </c>
      <c r="BL169" s="2" t="s">
        <v>1304</v>
      </c>
      <c r="BM169" s="7"/>
      <c r="BN169" s="7"/>
      <c r="BO169" s="4"/>
      <c r="BP169" s="8"/>
      <c r="BQ169" s="4"/>
      <c r="BR169" s="8"/>
      <c r="BS169" s="7"/>
      <c r="BT169" s="7"/>
      <c r="BU169" s="2" t="s">
        <v>1305</v>
      </c>
      <c r="BV169" s="2" t="s">
        <v>199</v>
      </c>
      <c r="BW169" s="2" t="s">
        <v>199</v>
      </c>
      <c r="BX169" s="2" t="s">
        <v>208</v>
      </c>
      <c r="BY169" s="2" t="s">
        <v>209</v>
      </c>
      <c r="BZ169" s="2" t="s">
        <v>196</v>
      </c>
      <c r="CA169" s="2" t="s">
        <v>210</v>
      </c>
      <c r="CB169" s="2" t="s">
        <v>1306</v>
      </c>
      <c r="CC169" s="2" t="s">
        <v>212</v>
      </c>
      <c r="CD169" s="2" t="s">
        <v>199</v>
      </c>
      <c r="CE169" s="4">
        <v>410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>
        <v>500</v>
      </c>
      <c r="EP169" s="4"/>
      <c r="EQ169" s="4"/>
      <c r="ER169" s="4"/>
      <c r="ES169" s="4"/>
      <c r="ET169" s="4">
        <v>417</v>
      </c>
      <c r="EU169" s="4">
        <v>396</v>
      </c>
      <c r="EV169" s="4">
        <v>382</v>
      </c>
      <c r="EW169" s="4">
        <v>368</v>
      </c>
      <c r="EX169" s="4">
        <v>354</v>
      </c>
      <c r="EY169" s="4">
        <v>339</v>
      </c>
      <c r="EZ169" s="4">
        <v>318</v>
      </c>
      <c r="FA169" s="4">
        <v>297</v>
      </c>
      <c r="FB169" s="4">
        <v>273</v>
      </c>
      <c r="FC169" s="4">
        <v>252</v>
      </c>
      <c r="FD169" s="4">
        <v>231</v>
      </c>
      <c r="FE169" s="4">
        <v>210</v>
      </c>
      <c r="FF169" s="4">
        <v>189</v>
      </c>
      <c r="FG169" s="4">
        <v>168</v>
      </c>
      <c r="FH169" s="4">
        <v>147</v>
      </c>
      <c r="FI169" s="4">
        <v>125</v>
      </c>
      <c r="FJ169" s="4">
        <v>104</v>
      </c>
      <c r="FK169" s="4">
        <v>583</v>
      </c>
      <c r="FL169" s="4">
        <v>562</v>
      </c>
      <c r="FM169" s="4">
        <v>541</v>
      </c>
      <c r="FN169" s="4">
        <v>519</v>
      </c>
      <c r="FO169" s="4">
        <v>498</v>
      </c>
      <c r="FP169" s="4">
        <v>474</v>
      </c>
      <c r="FQ169" s="4">
        <v>453</v>
      </c>
      <c r="FR169" s="4">
        <v>432</v>
      </c>
      <c r="FS169" s="4">
        <v>411</v>
      </c>
      <c r="FT169" s="19">
        <v>26.1</v>
      </c>
      <c r="FU169" s="19">
        <v>28.3</v>
      </c>
      <c r="FV169" s="19">
        <v>23.9</v>
      </c>
      <c r="FW169" s="19">
        <v>20.4</v>
      </c>
      <c r="FX169" s="19">
        <v>17.7</v>
      </c>
      <c r="FY169" s="19">
        <v>15.4</v>
      </c>
      <c r="FZ169" s="19">
        <v>14.5</v>
      </c>
      <c r="GA169" s="19">
        <v>13.5</v>
      </c>
      <c r="GB169" s="19">
        <v>13</v>
      </c>
      <c r="GC169" s="19">
        <v>12</v>
      </c>
      <c r="GD169" s="19">
        <v>11</v>
      </c>
      <c r="GE169" s="19">
        <v>10</v>
      </c>
      <c r="GF169" s="19">
        <v>9</v>
      </c>
      <c r="GG169" s="19">
        <v>8</v>
      </c>
      <c r="GH169" s="19">
        <v>7</v>
      </c>
      <c r="GI169" s="19">
        <v>6</v>
      </c>
      <c r="GJ169" s="19">
        <v>5</v>
      </c>
      <c r="GK169" s="19">
        <v>27.8</v>
      </c>
      <c r="GL169" s="19">
        <v>25.5</v>
      </c>
      <c r="GM169" s="19">
        <v>24.6</v>
      </c>
      <c r="GN169" s="19">
        <v>23.6</v>
      </c>
      <c r="GO169" s="19">
        <v>22.6</v>
      </c>
      <c r="GP169" s="19">
        <v>22.6</v>
      </c>
      <c r="GQ169" s="19">
        <v>20.6</v>
      </c>
      <c r="GR169" s="19">
        <v>19.6</v>
      </c>
      <c r="GS169" s="19">
        <v>18.7</v>
      </c>
    </row>
    <row r="170">
      <c r="A170" s="2" t="s">
        <v>1307</v>
      </c>
      <c r="B170" s="2" t="s">
        <v>613</v>
      </c>
      <c r="C170" s="2" t="s">
        <v>246</v>
      </c>
      <c r="D170" s="2" t="s">
        <v>1152</v>
      </c>
      <c r="E170" s="2" t="s">
        <v>1153</v>
      </c>
      <c r="F170" s="2" t="s">
        <v>1308</v>
      </c>
      <c r="G170" s="2" t="s">
        <v>1309</v>
      </c>
      <c r="H170" s="2" t="s">
        <v>1310</v>
      </c>
      <c r="I170" s="2" t="s">
        <v>1311</v>
      </c>
      <c r="J170" s="2" t="s">
        <v>559</v>
      </c>
      <c r="K170" s="2" t="s">
        <v>1158</v>
      </c>
      <c r="L170" s="3">
        <v>226.1</v>
      </c>
      <c r="M170" s="3">
        <v>237.4</v>
      </c>
      <c r="N170" s="3">
        <v>479</v>
      </c>
      <c r="O170" s="2" t="s">
        <v>196</v>
      </c>
      <c r="P170" s="2" t="s">
        <v>197</v>
      </c>
      <c r="Q170" s="2" t="s">
        <v>198</v>
      </c>
      <c r="R170" s="2" t="s">
        <v>199</v>
      </c>
      <c r="S170" s="2" t="s">
        <v>199</v>
      </c>
      <c r="T170" s="2" t="s">
        <v>199</v>
      </c>
      <c r="U170" s="2" t="s">
        <v>853</v>
      </c>
      <c r="V170" s="2" t="s">
        <v>202</v>
      </c>
      <c r="W170" s="2" t="s">
        <v>623</v>
      </c>
      <c r="X170" s="2" t="s">
        <v>199</v>
      </c>
      <c r="Y170" s="2" t="s">
        <v>1312</v>
      </c>
      <c r="Z170" s="4">
        <v>201</v>
      </c>
      <c r="AA170" s="4">
        <f>=ROUNDDOWN(67,0)</f>
      </c>
      <c r="AB170" s="5">
        <v>3</v>
      </c>
      <c r="AC170" s="2" t="s">
        <v>199</v>
      </c>
      <c r="AD170" s="4"/>
      <c r="AE170" s="4"/>
      <c r="AF170" s="6">
        <v>69</v>
      </c>
      <c r="AG170" s="6">
        <v>52</v>
      </c>
      <c r="AH170" s="7">
        <v>1</v>
      </c>
      <c r="AI170" s="4"/>
      <c r="AJ170" s="4">
        <f>=ROUNDDOWN({0},0)</f>
      </c>
      <c r="AK170" s="5"/>
      <c r="AL170" s="2" t="s">
        <v>199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6</v>
      </c>
      <c r="BK170" s="8">
        <v>1312.03</v>
      </c>
      <c r="BL170" s="2" t="s">
        <v>1313</v>
      </c>
      <c r="BM170" s="7"/>
      <c r="BN170" s="7"/>
      <c r="BO170" s="4"/>
      <c r="BP170" s="8"/>
      <c r="BQ170" s="4"/>
      <c r="BR170" s="8"/>
      <c r="BS170" s="7"/>
      <c r="BT170" s="7"/>
      <c r="BU170" s="2" t="s">
        <v>1314</v>
      </c>
      <c r="BV170" s="2" t="s">
        <v>199</v>
      </c>
      <c r="BW170" s="2" t="s">
        <v>199</v>
      </c>
      <c r="BX170" s="2" t="s">
        <v>208</v>
      </c>
      <c r="BY170" s="2" t="s">
        <v>209</v>
      </c>
      <c r="BZ170" s="2" t="s">
        <v>196</v>
      </c>
      <c r="CA170" s="2" t="s">
        <v>1315</v>
      </c>
      <c r="CB170" s="2" t="s">
        <v>1316</v>
      </c>
      <c r="CC170" s="2" t="s">
        <v>212</v>
      </c>
      <c r="CD170" s="2" t="s">
        <v>199</v>
      </c>
      <c r="CE170" s="4"/>
      <c r="CF170" s="4">
        <v>180</v>
      </c>
      <c r="CG170" s="4"/>
      <c r="CH170" s="4">
        <v>21</v>
      </c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>
        <v>203</v>
      </c>
      <c r="EU170" s="4">
        <v>199</v>
      </c>
      <c r="EV170" s="4">
        <v>196</v>
      </c>
      <c r="EW170" s="4">
        <v>194</v>
      </c>
      <c r="EX170" s="4">
        <v>192</v>
      </c>
      <c r="EY170" s="4">
        <v>189</v>
      </c>
      <c r="EZ170" s="4">
        <v>186</v>
      </c>
      <c r="FA170" s="4">
        <v>183</v>
      </c>
      <c r="FB170" s="4">
        <v>179</v>
      </c>
      <c r="FC170" s="4">
        <v>177</v>
      </c>
      <c r="FD170" s="4">
        <v>174</v>
      </c>
      <c r="FE170" s="4">
        <v>171</v>
      </c>
      <c r="FF170" s="4">
        <v>168</v>
      </c>
      <c r="FG170" s="4">
        <v>165</v>
      </c>
      <c r="FH170" s="4">
        <v>162</v>
      </c>
      <c r="FI170" s="4">
        <v>159</v>
      </c>
      <c r="FJ170" s="4">
        <v>156</v>
      </c>
      <c r="FK170" s="4">
        <v>153</v>
      </c>
      <c r="FL170" s="4">
        <v>150</v>
      </c>
      <c r="FM170" s="4">
        <v>147</v>
      </c>
      <c r="FN170" s="4">
        <v>144</v>
      </c>
      <c r="FO170" s="4">
        <v>141</v>
      </c>
      <c r="FP170" s="4">
        <v>138</v>
      </c>
      <c r="FQ170" s="4">
        <v>135</v>
      </c>
      <c r="FR170" s="4">
        <v>132</v>
      </c>
      <c r="FS170" s="4">
        <v>129</v>
      </c>
      <c r="FT170" s="19">
        <v>30.4</v>
      </c>
      <c r="FU170" s="19">
        <v>44.5</v>
      </c>
      <c r="FV170" s="19">
        <v>43.8</v>
      </c>
      <c r="FW170" s="19">
        <v>28.9</v>
      </c>
      <c r="FX170" s="19">
        <v>28.5</v>
      </c>
      <c r="FY170" s="19">
        <v>28</v>
      </c>
      <c r="FZ170" s="19">
        <v>27.5</v>
      </c>
      <c r="GA170" s="19">
        <v>27</v>
      </c>
      <c r="GB170" s="19">
        <v>26.4</v>
      </c>
      <c r="GC170" s="19">
        <v>26</v>
      </c>
      <c r="GD170" s="19">
        <v>25.5</v>
      </c>
      <c r="GE170" s="19">
        <v>25</v>
      </c>
      <c r="GF170" s="19">
        <v>24.5</v>
      </c>
      <c r="GG170" s="19">
        <v>24</v>
      </c>
      <c r="GH170" s="19">
        <v>23.5</v>
      </c>
      <c r="GI170" s="19">
        <v>23</v>
      </c>
      <c r="GJ170" s="19">
        <v>22.5</v>
      </c>
      <c r="GK170" s="19">
        <v>22</v>
      </c>
      <c r="GL170" s="19">
        <v>21.5</v>
      </c>
      <c r="GM170" s="19">
        <v>21</v>
      </c>
      <c r="GN170" s="19">
        <v>20.5</v>
      </c>
      <c r="GO170" s="19">
        <v>20</v>
      </c>
      <c r="GP170" s="19">
        <v>19.5</v>
      </c>
      <c r="GQ170" s="19">
        <v>19</v>
      </c>
      <c r="GR170" s="19">
        <v>18.5</v>
      </c>
      <c r="GS170" s="19">
        <v>18</v>
      </c>
    </row>
    <row r="171">
      <c r="A171" s="2" t="s">
        <v>1317</v>
      </c>
      <c r="B171" s="2" t="s">
        <v>1019</v>
      </c>
      <c r="C171" s="2" t="s">
        <v>246</v>
      </c>
      <c r="D171" s="2" t="s">
        <v>1318</v>
      </c>
      <c r="E171" s="2" t="s">
        <v>1319</v>
      </c>
      <c r="F171" s="2" t="s">
        <v>1320</v>
      </c>
      <c r="G171" s="2" t="s">
        <v>1320</v>
      </c>
      <c r="H171" s="2" t="s">
        <v>1320</v>
      </c>
      <c r="I171" s="2" t="s">
        <v>1319</v>
      </c>
      <c r="J171" s="2" t="s">
        <v>194</v>
      </c>
      <c r="K171" s="2" t="s">
        <v>195</v>
      </c>
      <c r="L171" s="3">
        <v>12.85</v>
      </c>
      <c r="M171" s="3">
        <v>13.49</v>
      </c>
      <c r="N171" s="3">
        <v>29.99</v>
      </c>
      <c r="O171" s="2" t="s">
        <v>196</v>
      </c>
      <c r="P171" s="2" t="s">
        <v>197</v>
      </c>
      <c r="Q171" s="2" t="s">
        <v>198</v>
      </c>
      <c r="R171" s="2" t="s">
        <v>199</v>
      </c>
      <c r="S171" s="2" t="s">
        <v>1321</v>
      </c>
      <c r="T171" s="2" t="s">
        <v>1322</v>
      </c>
      <c r="U171" s="2" t="s">
        <v>280</v>
      </c>
      <c r="V171" s="2" t="s">
        <v>638</v>
      </c>
      <c r="W171" s="2" t="s">
        <v>529</v>
      </c>
      <c r="X171" s="2" t="s">
        <v>623</v>
      </c>
      <c r="Y171" s="2" t="s">
        <v>1000</v>
      </c>
      <c r="Z171" s="4">
        <v>293</v>
      </c>
      <c r="AA171" s="4">
        <f>=ROUNDDOWN(32.5555555555556,0)</f>
      </c>
      <c r="AB171" s="5">
        <v>9</v>
      </c>
      <c r="AC171" s="2" t="s">
        <v>199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199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199</v>
      </c>
      <c r="AW171" s="8" t="s">
        <v>199</v>
      </c>
      <c r="AX171" s="4" t="s">
        <v>199</v>
      </c>
      <c r="AY171" s="8" t="s">
        <v>199</v>
      </c>
      <c r="AZ171" s="7" t="s">
        <v>199</v>
      </c>
      <c r="BA171" s="7" t="s">
        <v>199</v>
      </c>
      <c r="BB171" s="7"/>
      <c r="BC171" s="4" t="s">
        <v>199</v>
      </c>
      <c r="BD171" s="8" t="s">
        <v>199</v>
      </c>
      <c r="BE171" s="4" t="s">
        <v>199</v>
      </c>
      <c r="BF171" s="8" t="s">
        <v>199</v>
      </c>
      <c r="BG171" s="7" t="s">
        <v>199</v>
      </c>
      <c r="BH171" s="7" t="s">
        <v>199</v>
      </c>
      <c r="BI171" s="7"/>
      <c r="BJ171" s="4">
        <v>40</v>
      </c>
      <c r="BK171" s="8">
        <v>576.8</v>
      </c>
      <c r="BL171" s="2" t="s">
        <v>1323</v>
      </c>
      <c r="BM171" s="7"/>
      <c r="BN171" s="7"/>
      <c r="BO171" s="4"/>
      <c r="BP171" s="8"/>
      <c r="BQ171" s="4"/>
      <c r="BR171" s="8"/>
      <c r="BS171" s="7"/>
      <c r="BT171" s="7"/>
      <c r="BU171" s="2" t="s">
        <v>1324</v>
      </c>
      <c r="BV171" s="2" t="s">
        <v>199</v>
      </c>
      <c r="BW171" s="2" t="s">
        <v>199</v>
      </c>
      <c r="BX171" s="2" t="s">
        <v>208</v>
      </c>
      <c r="BY171" s="2" t="s">
        <v>209</v>
      </c>
      <c r="BZ171" s="2" t="s">
        <v>196</v>
      </c>
      <c r="CA171" s="2" t="s">
        <v>1226</v>
      </c>
      <c r="CB171" s="2" t="s">
        <v>199</v>
      </c>
      <c r="CC171" s="2" t="s">
        <v>212</v>
      </c>
      <c r="CD171" s="2" t="s">
        <v>199</v>
      </c>
      <c r="CE171" s="4">
        <v>293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>
        <v>293</v>
      </c>
      <c r="EU171" s="4">
        <v>286</v>
      </c>
      <c r="EV171" s="4">
        <v>279</v>
      </c>
      <c r="EW171" s="4">
        <v>272</v>
      </c>
      <c r="EX171" s="4">
        <v>265</v>
      </c>
      <c r="EY171" s="4">
        <v>258</v>
      </c>
      <c r="EZ171" s="4">
        <v>250</v>
      </c>
      <c r="FA171" s="4">
        <v>242</v>
      </c>
      <c r="FB171" s="4">
        <v>233</v>
      </c>
      <c r="FC171" s="4">
        <v>225</v>
      </c>
      <c r="FD171" s="4">
        <v>217</v>
      </c>
      <c r="FE171" s="4">
        <v>209</v>
      </c>
      <c r="FF171" s="4">
        <v>201</v>
      </c>
      <c r="FG171" s="4">
        <v>193</v>
      </c>
      <c r="FH171" s="4">
        <v>183</v>
      </c>
      <c r="FI171" s="4">
        <v>173</v>
      </c>
      <c r="FJ171" s="4">
        <v>163</v>
      </c>
      <c r="FK171" s="4">
        <v>153</v>
      </c>
      <c r="FL171" s="4">
        <v>144</v>
      </c>
      <c r="FM171" s="4">
        <v>135</v>
      </c>
      <c r="FN171" s="4">
        <v>126</v>
      </c>
      <c r="FO171" s="4">
        <v>117</v>
      </c>
      <c r="FP171" s="4">
        <v>107</v>
      </c>
      <c r="FQ171" s="4">
        <v>94</v>
      </c>
      <c r="FR171" s="4">
        <v>81</v>
      </c>
      <c r="FS171" s="4">
        <v>188</v>
      </c>
      <c r="FT171" s="19">
        <v>41.9</v>
      </c>
      <c r="FU171" s="19">
        <v>40.9</v>
      </c>
      <c r="FV171" s="19">
        <v>39.9</v>
      </c>
      <c r="FW171" s="19">
        <v>34</v>
      </c>
      <c r="FX171" s="19">
        <v>33.1</v>
      </c>
      <c r="FY171" s="19">
        <v>32.3</v>
      </c>
      <c r="FZ171" s="19">
        <v>31.3</v>
      </c>
      <c r="GA171" s="19">
        <v>30.3</v>
      </c>
      <c r="GB171" s="19">
        <v>29.1</v>
      </c>
      <c r="GC171" s="19">
        <v>28.1</v>
      </c>
      <c r="GD171" s="19">
        <v>27.1</v>
      </c>
      <c r="GE171" s="19">
        <v>23.2</v>
      </c>
      <c r="GF171" s="19">
        <v>20.1</v>
      </c>
      <c r="GG171" s="19">
        <v>19.3</v>
      </c>
      <c r="GH171" s="19">
        <v>18.3</v>
      </c>
      <c r="GI171" s="19">
        <v>17.3</v>
      </c>
      <c r="GJ171" s="19">
        <v>18.1</v>
      </c>
      <c r="GK171" s="19">
        <v>17</v>
      </c>
      <c r="GL171" s="19">
        <v>16</v>
      </c>
      <c r="GM171" s="19">
        <v>13.5</v>
      </c>
      <c r="GN171" s="19">
        <v>11.5</v>
      </c>
      <c r="GO171" s="19">
        <v>9.8</v>
      </c>
      <c r="GP171" s="19">
        <v>8.2</v>
      </c>
      <c r="GQ171" s="19">
        <v>6.7</v>
      </c>
      <c r="GR171" s="19">
        <v>5.8</v>
      </c>
      <c r="GS171" s="19">
        <v>12.5</v>
      </c>
    </row>
    <row r="172">
      <c r="A172" s="2" t="s">
        <v>1325</v>
      </c>
      <c r="B172" s="2" t="s">
        <v>1019</v>
      </c>
      <c r="C172" s="2" t="s">
        <v>246</v>
      </c>
      <c r="D172" s="2" t="s">
        <v>1318</v>
      </c>
      <c r="E172" s="2" t="s">
        <v>1319</v>
      </c>
      <c r="F172" s="2" t="s">
        <v>1320</v>
      </c>
      <c r="G172" s="2" t="s">
        <v>1320</v>
      </c>
      <c r="H172" s="2" t="s">
        <v>1320</v>
      </c>
      <c r="I172" s="2" t="s">
        <v>1319</v>
      </c>
      <c r="J172" s="2" t="s">
        <v>232</v>
      </c>
      <c r="K172" s="2" t="s">
        <v>195</v>
      </c>
      <c r="L172" s="3">
        <v>16</v>
      </c>
      <c r="M172" s="3">
        <v>16.8</v>
      </c>
      <c r="N172" s="3">
        <v>34.99</v>
      </c>
      <c r="O172" s="2" t="s">
        <v>196</v>
      </c>
      <c r="P172" s="2" t="s">
        <v>197</v>
      </c>
      <c r="Q172" s="2" t="s">
        <v>198</v>
      </c>
      <c r="R172" s="2" t="s">
        <v>199</v>
      </c>
      <c r="S172" s="2" t="s">
        <v>1321</v>
      </c>
      <c r="T172" s="2" t="s">
        <v>1322</v>
      </c>
      <c r="U172" s="2" t="s">
        <v>280</v>
      </c>
      <c r="V172" s="2" t="s">
        <v>638</v>
      </c>
      <c r="W172" s="2" t="s">
        <v>529</v>
      </c>
      <c r="X172" s="2" t="s">
        <v>623</v>
      </c>
      <c r="Y172" s="2" t="s">
        <v>1326</v>
      </c>
      <c r="Z172" s="4">
        <v>443</v>
      </c>
      <c r="AA172" s="4">
        <f>=ROUNDDOWN(34.0769230769231,0)</f>
      </c>
      <c r="AB172" s="5">
        <v>13</v>
      </c>
      <c r="AC172" s="2" t="s">
        <v>199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199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199</v>
      </c>
      <c r="AW172" s="8" t="s">
        <v>199</v>
      </c>
      <c r="AX172" s="4" t="s">
        <v>199</v>
      </c>
      <c r="AY172" s="8" t="s">
        <v>199</v>
      </c>
      <c r="AZ172" s="7" t="s">
        <v>199</v>
      </c>
      <c r="BA172" s="7" t="s">
        <v>199</v>
      </c>
      <c r="BB172" s="7"/>
      <c r="BC172" s="4" t="s">
        <v>199</v>
      </c>
      <c r="BD172" s="8" t="s">
        <v>199</v>
      </c>
      <c r="BE172" s="4" t="s">
        <v>199</v>
      </c>
      <c r="BF172" s="8" t="s">
        <v>199</v>
      </c>
      <c r="BG172" s="7" t="s">
        <v>199</v>
      </c>
      <c r="BH172" s="7" t="s">
        <v>199</v>
      </c>
      <c r="BI172" s="7"/>
      <c r="BJ172" s="4">
        <v>135</v>
      </c>
      <c r="BK172" s="8">
        <v>2433.2</v>
      </c>
      <c r="BL172" s="2" t="s">
        <v>304</v>
      </c>
      <c r="BM172" s="7"/>
      <c r="BN172" s="7"/>
      <c r="BO172" s="4"/>
      <c r="BP172" s="8"/>
      <c r="BQ172" s="4"/>
      <c r="BR172" s="8"/>
      <c r="BS172" s="7"/>
      <c r="BT172" s="7"/>
      <c r="BU172" s="2" t="s">
        <v>1324</v>
      </c>
      <c r="BV172" s="2" t="s">
        <v>199</v>
      </c>
      <c r="BW172" s="2" t="s">
        <v>199</v>
      </c>
      <c r="BX172" s="2" t="s">
        <v>208</v>
      </c>
      <c r="BY172" s="2" t="s">
        <v>209</v>
      </c>
      <c r="BZ172" s="2" t="s">
        <v>196</v>
      </c>
      <c r="CA172" s="2" t="s">
        <v>1226</v>
      </c>
      <c r="CB172" s="2" t="s">
        <v>199</v>
      </c>
      <c r="CC172" s="2" t="s">
        <v>212</v>
      </c>
      <c r="CD172" s="2" t="s">
        <v>199</v>
      </c>
      <c r="CE172" s="4">
        <v>443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>
        <v>451</v>
      </c>
      <c r="EU172" s="4">
        <v>439</v>
      </c>
      <c r="EV172" s="4">
        <v>430</v>
      </c>
      <c r="EW172" s="4">
        <v>421</v>
      </c>
      <c r="EX172" s="4">
        <v>412</v>
      </c>
      <c r="EY172" s="4">
        <v>403</v>
      </c>
      <c r="EZ172" s="4">
        <v>395</v>
      </c>
      <c r="FA172" s="4">
        <v>386</v>
      </c>
      <c r="FB172" s="4">
        <v>374</v>
      </c>
      <c r="FC172" s="4">
        <v>363</v>
      </c>
      <c r="FD172" s="4">
        <v>348</v>
      </c>
      <c r="FE172" s="4">
        <v>333</v>
      </c>
      <c r="FF172" s="4">
        <v>318</v>
      </c>
      <c r="FG172" s="4">
        <v>303</v>
      </c>
      <c r="FH172" s="4">
        <v>285</v>
      </c>
      <c r="FI172" s="4">
        <v>268</v>
      </c>
      <c r="FJ172" s="4">
        <v>250</v>
      </c>
      <c r="FK172" s="4">
        <v>235</v>
      </c>
      <c r="FL172" s="4">
        <v>221</v>
      </c>
      <c r="FM172" s="4">
        <v>207</v>
      </c>
      <c r="FN172" s="4">
        <v>193</v>
      </c>
      <c r="FO172" s="4">
        <v>179</v>
      </c>
      <c r="FP172" s="4">
        <v>164</v>
      </c>
      <c r="FQ172" s="4">
        <v>149</v>
      </c>
      <c r="FR172" s="4">
        <v>134</v>
      </c>
      <c r="FS172" s="4">
        <v>319</v>
      </c>
      <c r="FT172" s="19">
        <v>45.1</v>
      </c>
      <c r="FU172" s="19">
        <v>48.8</v>
      </c>
      <c r="FV172" s="19">
        <v>47.8</v>
      </c>
      <c r="FW172" s="19">
        <v>46.8</v>
      </c>
      <c r="FX172" s="19">
        <v>41.2</v>
      </c>
      <c r="FY172" s="19">
        <v>40.3</v>
      </c>
      <c r="FZ172" s="19">
        <v>32.9</v>
      </c>
      <c r="GA172" s="19">
        <v>29.7</v>
      </c>
      <c r="GB172" s="19">
        <v>26.7</v>
      </c>
      <c r="GC172" s="19">
        <v>24.2</v>
      </c>
      <c r="GD172" s="19">
        <v>21.8</v>
      </c>
      <c r="GE172" s="19">
        <v>20.8</v>
      </c>
      <c r="GF172" s="19">
        <v>18.7</v>
      </c>
      <c r="GG172" s="19">
        <v>17.8</v>
      </c>
      <c r="GH172" s="19">
        <v>17.8</v>
      </c>
      <c r="GI172" s="19">
        <v>17.9</v>
      </c>
      <c r="GJ172" s="19">
        <v>17.9</v>
      </c>
      <c r="GK172" s="19">
        <v>16.8</v>
      </c>
      <c r="GL172" s="19">
        <v>15.8</v>
      </c>
      <c r="GM172" s="19">
        <v>14.8</v>
      </c>
      <c r="GN172" s="19">
        <v>12.9</v>
      </c>
      <c r="GO172" s="19">
        <v>11.9</v>
      </c>
      <c r="GP172" s="19">
        <v>10.9</v>
      </c>
      <c r="GQ172" s="19">
        <v>9.3</v>
      </c>
      <c r="GR172" s="19">
        <v>7.9</v>
      </c>
      <c r="GS172" s="19">
        <v>17.7</v>
      </c>
    </row>
    <row r="173">
      <c r="A173" s="2" t="s">
        <v>1327</v>
      </c>
      <c r="B173" s="2" t="s">
        <v>1019</v>
      </c>
      <c r="C173" s="2" t="s">
        <v>246</v>
      </c>
      <c r="D173" s="2" t="s">
        <v>1318</v>
      </c>
      <c r="E173" s="2" t="s">
        <v>1319</v>
      </c>
      <c r="F173" s="2" t="s">
        <v>1320</v>
      </c>
      <c r="G173" s="2" t="s">
        <v>1320</v>
      </c>
      <c r="H173" s="2" t="s">
        <v>1320</v>
      </c>
      <c r="I173" s="2" t="s">
        <v>1319</v>
      </c>
      <c r="J173" s="2" t="s">
        <v>223</v>
      </c>
      <c r="K173" s="2" t="s">
        <v>195</v>
      </c>
      <c r="L173" s="3">
        <v>18.28</v>
      </c>
      <c r="M173" s="3">
        <v>19.19</v>
      </c>
      <c r="N173" s="3">
        <v>39.99</v>
      </c>
      <c r="O173" s="2" t="s">
        <v>196</v>
      </c>
      <c r="P173" s="2" t="s">
        <v>197</v>
      </c>
      <c r="Q173" s="2" t="s">
        <v>198</v>
      </c>
      <c r="R173" s="2" t="s">
        <v>199</v>
      </c>
      <c r="S173" s="2" t="s">
        <v>1321</v>
      </c>
      <c r="T173" s="2" t="s">
        <v>1322</v>
      </c>
      <c r="U173" s="2" t="s">
        <v>280</v>
      </c>
      <c r="V173" s="2" t="s">
        <v>638</v>
      </c>
      <c r="W173" s="2" t="s">
        <v>529</v>
      </c>
      <c r="X173" s="2" t="s">
        <v>623</v>
      </c>
      <c r="Y173" s="2" t="s">
        <v>1000</v>
      </c>
      <c r="Z173" s="4">
        <v>222</v>
      </c>
      <c r="AA173" s="4">
        <f>=ROUNDDOWN(27.4074074074074,0)</f>
      </c>
      <c r="AB173" s="5">
        <v>8.1</v>
      </c>
      <c r="AC173" s="2" t="s">
        <v>199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199</v>
      </c>
      <c r="AW173" s="8" t="s">
        <v>199</v>
      </c>
      <c r="AX173" s="4" t="s">
        <v>199</v>
      </c>
      <c r="AY173" s="8" t="s">
        <v>199</v>
      </c>
      <c r="AZ173" s="7" t="s">
        <v>199</v>
      </c>
      <c r="BA173" s="7" t="s">
        <v>199</v>
      </c>
      <c r="BB173" s="7"/>
      <c r="BC173" s="4" t="s">
        <v>199</v>
      </c>
      <c r="BD173" s="8" t="s">
        <v>199</v>
      </c>
      <c r="BE173" s="4" t="s">
        <v>199</v>
      </c>
      <c r="BF173" s="8" t="s">
        <v>199</v>
      </c>
      <c r="BG173" s="7" t="s">
        <v>199</v>
      </c>
      <c r="BH173" s="7" t="s">
        <v>199</v>
      </c>
      <c r="BI173" s="7"/>
      <c r="BJ173" s="4">
        <v>91</v>
      </c>
      <c r="BK173" s="8">
        <v>1864.19</v>
      </c>
      <c r="BL173" s="2" t="s">
        <v>1328</v>
      </c>
      <c r="BM173" s="7"/>
      <c r="BN173" s="7"/>
      <c r="BO173" s="4"/>
      <c r="BP173" s="8"/>
      <c r="BQ173" s="4"/>
      <c r="BR173" s="8"/>
      <c r="BS173" s="7"/>
      <c r="BT173" s="7"/>
      <c r="BU173" s="2" t="s">
        <v>1324</v>
      </c>
      <c r="BV173" s="2" t="s">
        <v>199</v>
      </c>
      <c r="BW173" s="2" t="s">
        <v>199</v>
      </c>
      <c r="BX173" s="2" t="s">
        <v>208</v>
      </c>
      <c r="BY173" s="2" t="s">
        <v>209</v>
      </c>
      <c r="BZ173" s="2" t="s">
        <v>196</v>
      </c>
      <c r="CA173" s="2" t="s">
        <v>1226</v>
      </c>
      <c r="CB173" s="2" t="s">
        <v>199</v>
      </c>
      <c r="CC173" s="2" t="s">
        <v>212</v>
      </c>
      <c r="CD173" s="2" t="s">
        <v>199</v>
      </c>
      <c r="CE173" s="4">
        <v>222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>
        <v>229</v>
      </c>
      <c r="EU173" s="4">
        <v>219</v>
      </c>
      <c r="EV173" s="4">
        <v>213</v>
      </c>
      <c r="EW173" s="4">
        <v>207</v>
      </c>
      <c r="EX173" s="4">
        <v>201</v>
      </c>
      <c r="EY173" s="4">
        <v>195</v>
      </c>
      <c r="EZ173" s="4">
        <v>188</v>
      </c>
      <c r="FA173" s="4">
        <v>181</v>
      </c>
      <c r="FB173" s="4">
        <v>173</v>
      </c>
      <c r="FC173" s="4">
        <v>166</v>
      </c>
      <c r="FD173" s="4">
        <v>158</v>
      </c>
      <c r="FE173" s="4">
        <v>150</v>
      </c>
      <c r="FF173" s="4">
        <v>142</v>
      </c>
      <c r="FG173" s="4">
        <v>134</v>
      </c>
      <c r="FH173" s="4">
        <v>124</v>
      </c>
      <c r="FI173" s="4">
        <v>114</v>
      </c>
      <c r="FJ173" s="4">
        <v>104</v>
      </c>
      <c r="FK173" s="4">
        <v>94</v>
      </c>
      <c r="FL173" s="4">
        <v>84</v>
      </c>
      <c r="FM173" s="4">
        <v>74</v>
      </c>
      <c r="FN173" s="4">
        <v>64</v>
      </c>
      <c r="FO173" s="4">
        <v>54</v>
      </c>
      <c r="FP173" s="4">
        <v>44</v>
      </c>
      <c r="FQ173" s="4">
        <v>35</v>
      </c>
      <c r="FR173" s="4">
        <v>26</v>
      </c>
      <c r="FS173" s="4">
        <v>107</v>
      </c>
      <c r="FT173" s="19">
        <v>32.7</v>
      </c>
      <c r="FU173" s="19">
        <v>36.5</v>
      </c>
      <c r="FV173" s="19">
        <v>35.5</v>
      </c>
      <c r="FW173" s="19">
        <v>34.5</v>
      </c>
      <c r="FX173" s="19">
        <v>28.7</v>
      </c>
      <c r="FY173" s="19">
        <v>27.9</v>
      </c>
      <c r="FZ173" s="19">
        <v>23.5</v>
      </c>
      <c r="GA173" s="19">
        <v>22.6</v>
      </c>
      <c r="GB173" s="19">
        <v>21.6</v>
      </c>
      <c r="GC173" s="19">
        <v>20.8</v>
      </c>
      <c r="GD173" s="19">
        <v>19.8</v>
      </c>
      <c r="GE173" s="19">
        <v>16.7</v>
      </c>
      <c r="GF173" s="19">
        <v>14.2</v>
      </c>
      <c r="GG173" s="19">
        <v>13.4</v>
      </c>
      <c r="GH173" s="19">
        <v>12.4</v>
      </c>
      <c r="GI173" s="19">
        <v>11.4</v>
      </c>
      <c r="GJ173" s="19">
        <v>10.4</v>
      </c>
      <c r="GK173" s="19">
        <v>9.4</v>
      </c>
      <c r="GL173" s="19">
        <v>8.4</v>
      </c>
      <c r="GM173" s="19">
        <v>7.4</v>
      </c>
      <c r="GN173" s="19">
        <v>6.4</v>
      </c>
      <c r="GO173" s="19">
        <v>6</v>
      </c>
      <c r="GP173" s="19">
        <v>4.9</v>
      </c>
      <c r="GQ173" s="19">
        <v>3.5</v>
      </c>
      <c r="GR173" s="19">
        <v>2.6</v>
      </c>
      <c r="GS173" s="19">
        <v>10.7</v>
      </c>
    </row>
    <row r="174">
      <c r="A174" s="2" t="s">
        <v>1329</v>
      </c>
      <c r="B174" s="2" t="s">
        <v>1019</v>
      </c>
      <c r="C174" s="2" t="s">
        <v>246</v>
      </c>
      <c r="D174" s="2" t="s">
        <v>1318</v>
      </c>
      <c r="E174" s="2" t="s">
        <v>1319</v>
      </c>
      <c r="F174" s="2" t="s">
        <v>1320</v>
      </c>
      <c r="G174" s="2" t="s">
        <v>1320</v>
      </c>
      <c r="H174" s="2" t="s">
        <v>1320</v>
      </c>
      <c r="I174" s="2" t="s">
        <v>1319</v>
      </c>
      <c r="J174" s="2" t="s">
        <v>194</v>
      </c>
      <c r="K174" s="2" t="s">
        <v>1104</v>
      </c>
      <c r="L174" s="3">
        <v>12.85</v>
      </c>
      <c r="M174" s="3">
        <v>13.49</v>
      </c>
      <c r="N174" s="3">
        <v>29.99</v>
      </c>
      <c r="O174" s="2" t="s">
        <v>196</v>
      </c>
      <c r="P174" s="2" t="s">
        <v>197</v>
      </c>
      <c r="Q174" s="2" t="s">
        <v>198</v>
      </c>
      <c r="R174" s="2" t="s">
        <v>199</v>
      </c>
      <c r="S174" s="2" t="s">
        <v>1330</v>
      </c>
      <c r="T174" s="2" t="s">
        <v>1322</v>
      </c>
      <c r="U174" s="2" t="s">
        <v>280</v>
      </c>
      <c r="V174" s="2" t="s">
        <v>638</v>
      </c>
      <c r="W174" s="2" t="s">
        <v>529</v>
      </c>
      <c r="X174" s="2" t="s">
        <v>623</v>
      </c>
      <c r="Y174" s="2" t="s">
        <v>1326</v>
      </c>
      <c r="Z174" s="4">
        <v>365</v>
      </c>
      <c r="AA174" s="4">
        <f>=ROUNDDOWN(60.8333333333333,0)</f>
      </c>
      <c r="AB174" s="5">
        <v>6</v>
      </c>
      <c r="AC174" s="2" t="s">
        <v>199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199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199</v>
      </c>
      <c r="AW174" s="8" t="s">
        <v>199</v>
      </c>
      <c r="AX174" s="4" t="s">
        <v>199</v>
      </c>
      <c r="AY174" s="8" t="s">
        <v>199</v>
      </c>
      <c r="AZ174" s="7" t="s">
        <v>199</v>
      </c>
      <c r="BA174" s="7" t="s">
        <v>199</v>
      </c>
      <c r="BB174" s="7"/>
      <c r="BC174" s="4" t="s">
        <v>199</v>
      </c>
      <c r="BD174" s="8" t="s">
        <v>199</v>
      </c>
      <c r="BE174" s="4" t="s">
        <v>199</v>
      </c>
      <c r="BF174" s="8" t="s">
        <v>199</v>
      </c>
      <c r="BG174" s="7" t="s">
        <v>199</v>
      </c>
      <c r="BH174" s="7" t="s">
        <v>199</v>
      </c>
      <c r="BI174" s="7"/>
      <c r="BJ174" s="4">
        <v>8</v>
      </c>
      <c r="BK174" s="8">
        <v>114.16</v>
      </c>
      <c r="BL174" s="2" t="s">
        <v>1331</v>
      </c>
      <c r="BM174" s="7"/>
      <c r="BN174" s="7"/>
      <c r="BO174" s="4"/>
      <c r="BP174" s="8"/>
      <c r="BQ174" s="4"/>
      <c r="BR174" s="8"/>
      <c r="BS174" s="7"/>
      <c r="BT174" s="7"/>
      <c r="BU174" s="2" t="s">
        <v>1324</v>
      </c>
      <c r="BV174" s="2" t="s">
        <v>199</v>
      </c>
      <c r="BW174" s="2" t="s">
        <v>199</v>
      </c>
      <c r="BX174" s="2" t="s">
        <v>208</v>
      </c>
      <c r="BY174" s="2" t="s">
        <v>209</v>
      </c>
      <c r="BZ174" s="2" t="s">
        <v>196</v>
      </c>
      <c r="CA174" s="2" t="s">
        <v>1226</v>
      </c>
      <c r="CB174" s="2" t="s">
        <v>199</v>
      </c>
      <c r="CC174" s="2" t="s">
        <v>212</v>
      </c>
      <c r="CD174" s="2" t="s">
        <v>199</v>
      </c>
      <c r="CE174" s="4">
        <v>365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>
        <v>367</v>
      </c>
      <c r="EU174" s="4">
        <v>360</v>
      </c>
      <c r="EV174" s="4">
        <v>355</v>
      </c>
      <c r="EW174" s="4">
        <v>350</v>
      </c>
      <c r="EX174" s="4">
        <v>345</v>
      </c>
      <c r="EY174" s="4">
        <v>340</v>
      </c>
      <c r="EZ174" s="4">
        <v>335</v>
      </c>
      <c r="FA174" s="4">
        <v>330</v>
      </c>
      <c r="FB174" s="4">
        <v>324</v>
      </c>
      <c r="FC174" s="4">
        <v>319</v>
      </c>
      <c r="FD174" s="4">
        <v>314</v>
      </c>
      <c r="FE174" s="4">
        <v>309</v>
      </c>
      <c r="FF174" s="4">
        <v>304</v>
      </c>
      <c r="FG174" s="4">
        <v>299</v>
      </c>
      <c r="FH174" s="4">
        <v>292</v>
      </c>
      <c r="FI174" s="4">
        <v>285</v>
      </c>
      <c r="FJ174" s="4">
        <v>278</v>
      </c>
      <c r="FK174" s="4">
        <v>271</v>
      </c>
      <c r="FL174" s="4">
        <v>265</v>
      </c>
      <c r="FM174" s="4">
        <v>259</v>
      </c>
      <c r="FN174" s="4">
        <v>253</v>
      </c>
      <c r="FO174" s="4">
        <v>247</v>
      </c>
      <c r="FP174" s="4">
        <v>240</v>
      </c>
      <c r="FQ174" s="4">
        <v>232</v>
      </c>
      <c r="FR174" s="4">
        <v>224</v>
      </c>
      <c r="FS174" s="4">
        <v>216</v>
      </c>
      <c r="FT174" s="19">
        <v>61.2</v>
      </c>
      <c r="FU174" s="19">
        <v>72</v>
      </c>
      <c r="FV174" s="19">
        <v>71</v>
      </c>
      <c r="FW174" s="19">
        <v>70</v>
      </c>
      <c r="FX174" s="19">
        <v>69</v>
      </c>
      <c r="FY174" s="9"/>
      <c r="FZ174" s="19">
        <v>67</v>
      </c>
      <c r="GA174" s="19">
        <v>66</v>
      </c>
      <c r="GB174" s="19">
        <v>64.8</v>
      </c>
      <c r="GC174" s="19">
        <v>63.8</v>
      </c>
      <c r="GD174" s="19">
        <v>52.3</v>
      </c>
      <c r="GE174" s="19">
        <v>51.5</v>
      </c>
      <c r="GF174" s="19">
        <v>50.7</v>
      </c>
      <c r="GG174" s="19">
        <v>42.7</v>
      </c>
      <c r="GH174" s="19">
        <v>41.7</v>
      </c>
      <c r="GI174" s="19">
        <v>47.5</v>
      </c>
      <c r="GJ174" s="19">
        <v>46.3</v>
      </c>
      <c r="GK174" s="19">
        <v>45.2</v>
      </c>
      <c r="GL174" s="19">
        <v>44.2</v>
      </c>
      <c r="GM174" s="19">
        <v>37</v>
      </c>
      <c r="GN174" s="19">
        <v>36.1</v>
      </c>
      <c r="GO174" s="19">
        <v>30.9</v>
      </c>
      <c r="GP174" s="19">
        <v>30</v>
      </c>
      <c r="GQ174" s="19">
        <v>25.8</v>
      </c>
      <c r="GR174" s="19">
        <v>24.9</v>
      </c>
      <c r="GS174" s="19">
        <v>21.6</v>
      </c>
    </row>
    <row r="175">
      <c r="A175" s="2" t="s">
        <v>1332</v>
      </c>
      <c r="B175" s="2" t="s">
        <v>1019</v>
      </c>
      <c r="C175" s="2" t="s">
        <v>246</v>
      </c>
      <c r="D175" s="2" t="s">
        <v>1318</v>
      </c>
      <c r="E175" s="2" t="s">
        <v>1319</v>
      </c>
      <c r="F175" s="2" t="s">
        <v>1320</v>
      </c>
      <c r="G175" s="2" t="s">
        <v>1320</v>
      </c>
      <c r="H175" s="2" t="s">
        <v>1320</v>
      </c>
      <c r="I175" s="2" t="s">
        <v>1319</v>
      </c>
      <c r="J175" s="2" t="s">
        <v>232</v>
      </c>
      <c r="K175" s="2" t="s">
        <v>1104</v>
      </c>
      <c r="L175" s="3">
        <v>16</v>
      </c>
      <c r="M175" s="3">
        <v>16.8</v>
      </c>
      <c r="N175" s="3">
        <v>34.99</v>
      </c>
      <c r="O175" s="2" t="s">
        <v>196</v>
      </c>
      <c r="P175" s="2" t="s">
        <v>197</v>
      </c>
      <c r="Q175" s="2" t="s">
        <v>198</v>
      </c>
      <c r="R175" s="2" t="s">
        <v>199</v>
      </c>
      <c r="S175" s="2" t="s">
        <v>1330</v>
      </c>
      <c r="T175" s="2" t="s">
        <v>1322</v>
      </c>
      <c r="U175" s="2" t="s">
        <v>280</v>
      </c>
      <c r="V175" s="2" t="s">
        <v>638</v>
      </c>
      <c r="W175" s="2" t="s">
        <v>529</v>
      </c>
      <c r="X175" s="2" t="s">
        <v>623</v>
      </c>
      <c r="Y175" s="2" t="s">
        <v>1000</v>
      </c>
      <c r="Z175" s="4">
        <v>467</v>
      </c>
      <c r="AA175" s="4">
        <f>=ROUNDDOWN(51.8888888888889,0)</f>
      </c>
      <c r="AB175" s="5">
        <v>9</v>
      </c>
      <c r="AC175" s="2" t="s">
        <v>199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199</v>
      </c>
      <c r="AW175" s="8" t="s">
        <v>199</v>
      </c>
      <c r="AX175" s="4" t="s">
        <v>199</v>
      </c>
      <c r="AY175" s="8" t="s">
        <v>199</v>
      </c>
      <c r="AZ175" s="7" t="s">
        <v>199</v>
      </c>
      <c r="BA175" s="7" t="s">
        <v>199</v>
      </c>
      <c r="BB175" s="7"/>
      <c r="BC175" s="4" t="s">
        <v>199</v>
      </c>
      <c r="BD175" s="8" t="s">
        <v>199</v>
      </c>
      <c r="BE175" s="4" t="s">
        <v>199</v>
      </c>
      <c r="BF175" s="8" t="s">
        <v>199</v>
      </c>
      <c r="BG175" s="7" t="s">
        <v>199</v>
      </c>
      <c r="BH175" s="7" t="s">
        <v>199</v>
      </c>
      <c r="BI175" s="7"/>
      <c r="BJ175" s="4">
        <v>42</v>
      </c>
      <c r="BK175" s="8">
        <v>756.14</v>
      </c>
      <c r="BL175" s="2" t="s">
        <v>1333</v>
      </c>
      <c r="BM175" s="7"/>
      <c r="BN175" s="7"/>
      <c r="BO175" s="4"/>
      <c r="BP175" s="8"/>
      <c r="BQ175" s="4"/>
      <c r="BR175" s="8"/>
      <c r="BS175" s="7"/>
      <c r="BT175" s="7"/>
      <c r="BU175" s="2" t="s">
        <v>1324</v>
      </c>
      <c r="BV175" s="2" t="s">
        <v>199</v>
      </c>
      <c r="BW175" s="2" t="s">
        <v>199</v>
      </c>
      <c r="BX175" s="2" t="s">
        <v>208</v>
      </c>
      <c r="BY175" s="2" t="s">
        <v>209</v>
      </c>
      <c r="BZ175" s="2" t="s">
        <v>196</v>
      </c>
      <c r="CA175" s="2" t="s">
        <v>1226</v>
      </c>
      <c r="CB175" s="2" t="s">
        <v>199</v>
      </c>
      <c r="CC175" s="2" t="s">
        <v>212</v>
      </c>
      <c r="CD175" s="2" t="s">
        <v>199</v>
      </c>
      <c r="CE175" s="4">
        <v>467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>
        <v>468</v>
      </c>
      <c r="EU175" s="4">
        <v>460</v>
      </c>
      <c r="EV175" s="4">
        <v>452</v>
      </c>
      <c r="EW175" s="4">
        <v>444</v>
      </c>
      <c r="EX175" s="4">
        <v>436</v>
      </c>
      <c r="EY175" s="4">
        <v>428</v>
      </c>
      <c r="EZ175" s="4">
        <v>421</v>
      </c>
      <c r="FA175" s="4">
        <v>414</v>
      </c>
      <c r="FB175" s="4">
        <v>406</v>
      </c>
      <c r="FC175" s="4">
        <v>399</v>
      </c>
      <c r="FD175" s="4">
        <v>389</v>
      </c>
      <c r="FE175" s="4">
        <v>379</v>
      </c>
      <c r="FF175" s="4">
        <v>369</v>
      </c>
      <c r="FG175" s="4">
        <v>359</v>
      </c>
      <c r="FH175" s="4">
        <v>347</v>
      </c>
      <c r="FI175" s="4">
        <v>335</v>
      </c>
      <c r="FJ175" s="4">
        <v>323</v>
      </c>
      <c r="FK175" s="4">
        <v>312</v>
      </c>
      <c r="FL175" s="4">
        <v>302</v>
      </c>
      <c r="FM175" s="4">
        <v>292</v>
      </c>
      <c r="FN175" s="4">
        <v>282</v>
      </c>
      <c r="FO175" s="4">
        <v>272</v>
      </c>
      <c r="FP175" s="4">
        <v>261</v>
      </c>
      <c r="FQ175" s="4">
        <v>250</v>
      </c>
      <c r="FR175" s="4">
        <v>239</v>
      </c>
      <c r="FS175" s="4">
        <v>228</v>
      </c>
      <c r="FT175" s="19">
        <v>58.5</v>
      </c>
      <c r="FU175" s="19">
        <v>57.5</v>
      </c>
      <c r="FV175" s="19">
        <v>56.5</v>
      </c>
      <c r="FW175" s="19">
        <v>55.5</v>
      </c>
      <c r="FX175" s="19">
        <v>54.5</v>
      </c>
      <c r="FY175" s="19">
        <v>61.1</v>
      </c>
      <c r="FZ175" s="19">
        <v>52.6</v>
      </c>
      <c r="GA175" s="19">
        <v>46</v>
      </c>
      <c r="GB175" s="19">
        <v>45.1</v>
      </c>
      <c r="GC175" s="19">
        <v>39.9</v>
      </c>
      <c r="GD175" s="19">
        <v>38.9</v>
      </c>
      <c r="GE175" s="19">
        <v>34.5</v>
      </c>
      <c r="GF175" s="19">
        <v>30.8</v>
      </c>
      <c r="GG175" s="19">
        <v>29.9</v>
      </c>
      <c r="GH175" s="19">
        <v>31.5</v>
      </c>
      <c r="GI175" s="19">
        <v>30.5</v>
      </c>
      <c r="GJ175" s="19">
        <v>32.3</v>
      </c>
      <c r="GK175" s="19">
        <v>31.2</v>
      </c>
      <c r="GL175" s="19">
        <v>30.2</v>
      </c>
      <c r="GM175" s="19">
        <v>29.2</v>
      </c>
      <c r="GN175" s="19">
        <v>25.6</v>
      </c>
      <c r="GO175" s="19">
        <v>24.7</v>
      </c>
      <c r="GP175" s="19">
        <v>23.7</v>
      </c>
      <c r="GQ175" s="19">
        <v>20.8</v>
      </c>
      <c r="GR175" s="19">
        <v>18.4</v>
      </c>
      <c r="GS175" s="19">
        <v>16.3</v>
      </c>
    </row>
    <row r="176">
      <c r="A176" s="2" t="s">
        <v>1334</v>
      </c>
      <c r="B176" s="2" t="s">
        <v>1019</v>
      </c>
      <c r="C176" s="2" t="s">
        <v>246</v>
      </c>
      <c r="D176" s="2" t="s">
        <v>1318</v>
      </c>
      <c r="E176" s="2" t="s">
        <v>1319</v>
      </c>
      <c r="F176" s="2" t="s">
        <v>1320</v>
      </c>
      <c r="G176" s="2" t="s">
        <v>1320</v>
      </c>
      <c r="H176" s="2" t="s">
        <v>1320</v>
      </c>
      <c r="I176" s="2" t="s">
        <v>1319</v>
      </c>
      <c r="J176" s="2" t="s">
        <v>223</v>
      </c>
      <c r="K176" s="2" t="s">
        <v>1104</v>
      </c>
      <c r="L176" s="3">
        <v>18.28</v>
      </c>
      <c r="M176" s="3">
        <v>19.19</v>
      </c>
      <c r="N176" s="3">
        <v>39.99</v>
      </c>
      <c r="O176" s="2" t="s">
        <v>196</v>
      </c>
      <c r="P176" s="2" t="s">
        <v>197</v>
      </c>
      <c r="Q176" s="2" t="s">
        <v>198</v>
      </c>
      <c r="R176" s="2" t="s">
        <v>199</v>
      </c>
      <c r="S176" s="2" t="s">
        <v>1330</v>
      </c>
      <c r="T176" s="2" t="s">
        <v>1322</v>
      </c>
      <c r="U176" s="2" t="s">
        <v>280</v>
      </c>
      <c r="V176" s="2" t="s">
        <v>638</v>
      </c>
      <c r="W176" s="2" t="s">
        <v>529</v>
      </c>
      <c r="X176" s="2" t="s">
        <v>623</v>
      </c>
      <c r="Y176" s="2" t="s">
        <v>1326</v>
      </c>
      <c r="Z176" s="4">
        <v>351</v>
      </c>
      <c r="AA176" s="4">
        <f>=ROUNDDOWN(58.5,0)</f>
      </c>
      <c r="AB176" s="5">
        <v>6</v>
      </c>
      <c r="AC176" s="2" t="s">
        <v>199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199</v>
      </c>
      <c r="AW176" s="8" t="s">
        <v>199</v>
      </c>
      <c r="AX176" s="4" t="s">
        <v>199</v>
      </c>
      <c r="AY176" s="8" t="s">
        <v>199</v>
      </c>
      <c r="AZ176" s="7" t="s">
        <v>199</v>
      </c>
      <c r="BA176" s="7" t="s">
        <v>199</v>
      </c>
      <c r="BB176" s="7"/>
      <c r="BC176" s="4" t="s">
        <v>199</v>
      </c>
      <c r="BD176" s="8" t="s">
        <v>199</v>
      </c>
      <c r="BE176" s="4" t="s">
        <v>199</v>
      </c>
      <c r="BF176" s="8" t="s">
        <v>199</v>
      </c>
      <c r="BG176" s="7" t="s">
        <v>199</v>
      </c>
      <c r="BH176" s="7" t="s">
        <v>199</v>
      </c>
      <c r="BI176" s="7"/>
      <c r="BJ176" s="4">
        <v>22</v>
      </c>
      <c r="BK176" s="8">
        <v>452.29</v>
      </c>
      <c r="BL176" s="2" t="s">
        <v>327</v>
      </c>
      <c r="BM176" s="7"/>
      <c r="BN176" s="7"/>
      <c r="BO176" s="4"/>
      <c r="BP176" s="8"/>
      <c r="BQ176" s="4"/>
      <c r="BR176" s="8"/>
      <c r="BS176" s="7"/>
      <c r="BT176" s="7"/>
      <c r="BU176" s="2" t="s">
        <v>1324</v>
      </c>
      <c r="BV176" s="2" t="s">
        <v>199</v>
      </c>
      <c r="BW176" s="2" t="s">
        <v>199</v>
      </c>
      <c r="BX176" s="2" t="s">
        <v>208</v>
      </c>
      <c r="BY176" s="2" t="s">
        <v>209</v>
      </c>
      <c r="BZ176" s="2" t="s">
        <v>196</v>
      </c>
      <c r="CA176" s="2" t="s">
        <v>1226</v>
      </c>
      <c r="CB176" s="2" t="s">
        <v>1335</v>
      </c>
      <c r="CC176" s="2" t="s">
        <v>212</v>
      </c>
      <c r="CD176" s="2" t="s">
        <v>199</v>
      </c>
      <c r="CE176" s="4">
        <v>351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>
        <v>354</v>
      </c>
      <c r="EU176" s="4">
        <v>346</v>
      </c>
      <c r="EV176" s="4">
        <v>341</v>
      </c>
      <c r="EW176" s="4">
        <v>336</v>
      </c>
      <c r="EX176" s="4">
        <v>331</v>
      </c>
      <c r="EY176" s="4">
        <v>326</v>
      </c>
      <c r="EZ176" s="4">
        <v>321</v>
      </c>
      <c r="FA176" s="4">
        <v>316</v>
      </c>
      <c r="FB176" s="4">
        <v>310</v>
      </c>
      <c r="FC176" s="4">
        <v>305</v>
      </c>
      <c r="FD176" s="4">
        <v>299</v>
      </c>
      <c r="FE176" s="4">
        <v>293</v>
      </c>
      <c r="FF176" s="4">
        <v>287</v>
      </c>
      <c r="FG176" s="4">
        <v>281</v>
      </c>
      <c r="FH176" s="4">
        <v>274</v>
      </c>
      <c r="FI176" s="4">
        <v>267</v>
      </c>
      <c r="FJ176" s="4">
        <v>260</v>
      </c>
      <c r="FK176" s="4">
        <v>253</v>
      </c>
      <c r="FL176" s="4">
        <v>246</v>
      </c>
      <c r="FM176" s="4">
        <v>239</v>
      </c>
      <c r="FN176" s="4">
        <v>232</v>
      </c>
      <c r="FO176" s="4">
        <v>225</v>
      </c>
      <c r="FP176" s="4">
        <v>217</v>
      </c>
      <c r="FQ176" s="4">
        <v>210</v>
      </c>
      <c r="FR176" s="4">
        <v>203</v>
      </c>
      <c r="FS176" s="4">
        <v>196</v>
      </c>
      <c r="FT176" s="19">
        <v>59</v>
      </c>
      <c r="FU176" s="19">
        <v>69.2</v>
      </c>
      <c r="FV176" s="19">
        <v>68.2</v>
      </c>
      <c r="FW176" s="19">
        <v>67.2</v>
      </c>
      <c r="FX176" s="19">
        <v>66.2</v>
      </c>
      <c r="FY176" s="19">
        <v>65.2</v>
      </c>
      <c r="FZ176" s="19">
        <v>53.5</v>
      </c>
      <c r="GA176" s="19">
        <v>52.7</v>
      </c>
      <c r="GB176" s="19">
        <v>51.7</v>
      </c>
      <c r="GC176" s="19">
        <v>50.8</v>
      </c>
      <c r="GD176" s="19">
        <v>49.8</v>
      </c>
      <c r="GE176" s="19">
        <v>48.8</v>
      </c>
      <c r="GF176" s="19">
        <v>41</v>
      </c>
      <c r="GG176" s="19">
        <v>40.1</v>
      </c>
      <c r="GH176" s="19">
        <v>39.1</v>
      </c>
      <c r="GI176" s="19">
        <v>38.1</v>
      </c>
      <c r="GJ176" s="19">
        <v>37.1</v>
      </c>
      <c r="GK176" s="19">
        <v>36.1</v>
      </c>
      <c r="GL176" s="19">
        <v>35.1</v>
      </c>
      <c r="GM176" s="19">
        <v>34.1</v>
      </c>
      <c r="GN176" s="19">
        <v>33.1</v>
      </c>
      <c r="GO176" s="19">
        <v>32.1</v>
      </c>
      <c r="GP176" s="19">
        <v>31</v>
      </c>
      <c r="GQ176" s="19">
        <v>26.3</v>
      </c>
      <c r="GR176" s="19">
        <v>25.4</v>
      </c>
      <c r="GS176" s="19">
        <v>24.5</v>
      </c>
    </row>
    <row r="177">
      <c r="A177" s="2" t="s">
        <v>1336</v>
      </c>
      <c r="B177" s="2" t="s">
        <v>1019</v>
      </c>
      <c r="C177" s="2" t="s">
        <v>246</v>
      </c>
      <c r="D177" s="2" t="s">
        <v>1318</v>
      </c>
      <c r="E177" s="2" t="s">
        <v>1319</v>
      </c>
      <c r="F177" s="2" t="s">
        <v>1320</v>
      </c>
      <c r="G177" s="2" t="s">
        <v>1320</v>
      </c>
      <c r="H177" s="2" t="s">
        <v>1320</v>
      </c>
      <c r="I177" s="2" t="s">
        <v>1319</v>
      </c>
      <c r="J177" s="2" t="s">
        <v>194</v>
      </c>
      <c r="K177" s="2" t="s">
        <v>1115</v>
      </c>
      <c r="L177" s="3">
        <v>12.85</v>
      </c>
      <c r="M177" s="3">
        <v>13.49</v>
      </c>
      <c r="N177" s="3">
        <v>29.99</v>
      </c>
      <c r="O177" s="2" t="s">
        <v>196</v>
      </c>
      <c r="P177" s="2" t="s">
        <v>197</v>
      </c>
      <c r="Q177" s="2" t="s">
        <v>198</v>
      </c>
      <c r="R177" s="2" t="s">
        <v>199</v>
      </c>
      <c r="S177" s="2" t="s">
        <v>1337</v>
      </c>
      <c r="T177" s="2" t="s">
        <v>1322</v>
      </c>
      <c r="U177" s="2" t="s">
        <v>280</v>
      </c>
      <c r="V177" s="2" t="s">
        <v>638</v>
      </c>
      <c r="W177" s="2" t="s">
        <v>529</v>
      </c>
      <c r="X177" s="2" t="s">
        <v>623</v>
      </c>
      <c r="Y177" s="2" t="s">
        <v>1000</v>
      </c>
      <c r="Z177" s="4">
        <v>249</v>
      </c>
      <c r="AA177" s="4">
        <f>=ROUNDDOWN(62.25,0)</f>
      </c>
      <c r="AB177" s="5">
        <v>4</v>
      </c>
      <c r="AC177" s="2" t="s">
        <v>199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199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199</v>
      </c>
      <c r="AW177" s="8" t="s">
        <v>199</v>
      </c>
      <c r="AX177" s="4" t="s">
        <v>199</v>
      </c>
      <c r="AY177" s="8" t="s">
        <v>199</v>
      </c>
      <c r="AZ177" s="7" t="s">
        <v>199</v>
      </c>
      <c r="BA177" s="7" t="s">
        <v>199</v>
      </c>
      <c r="BB177" s="7"/>
      <c r="BC177" s="4" t="s">
        <v>199</v>
      </c>
      <c r="BD177" s="8" t="s">
        <v>199</v>
      </c>
      <c r="BE177" s="4" t="s">
        <v>199</v>
      </c>
      <c r="BF177" s="8" t="s">
        <v>199</v>
      </c>
      <c r="BG177" s="7" t="s">
        <v>199</v>
      </c>
      <c r="BH177" s="7" t="s">
        <v>199</v>
      </c>
      <c r="BI177" s="7"/>
      <c r="BJ177" s="4">
        <v>46</v>
      </c>
      <c r="BK177" s="8">
        <v>692.78</v>
      </c>
      <c r="BL177" s="2" t="s">
        <v>282</v>
      </c>
      <c r="BM177" s="7"/>
      <c r="BN177" s="7"/>
      <c r="BO177" s="4"/>
      <c r="BP177" s="8"/>
      <c r="BQ177" s="4"/>
      <c r="BR177" s="8"/>
      <c r="BS177" s="7"/>
      <c r="BT177" s="7"/>
      <c r="BU177" s="2" t="s">
        <v>1324</v>
      </c>
      <c r="BV177" s="2" t="s">
        <v>199</v>
      </c>
      <c r="BW177" s="2" t="s">
        <v>199</v>
      </c>
      <c r="BX177" s="2" t="s">
        <v>208</v>
      </c>
      <c r="BY177" s="2" t="s">
        <v>209</v>
      </c>
      <c r="BZ177" s="2" t="s">
        <v>196</v>
      </c>
      <c r="CA177" s="2" t="s">
        <v>1226</v>
      </c>
      <c r="CB177" s="2" t="s">
        <v>199</v>
      </c>
      <c r="CC177" s="2" t="s">
        <v>212</v>
      </c>
      <c r="CD177" s="2" t="s">
        <v>199</v>
      </c>
      <c r="CE177" s="4">
        <v>249</v>
      </c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>
        <v>252</v>
      </c>
      <c r="EU177" s="4">
        <v>247</v>
      </c>
      <c r="EV177" s="4">
        <v>244</v>
      </c>
      <c r="EW177" s="4">
        <v>241</v>
      </c>
      <c r="EX177" s="4">
        <v>238</v>
      </c>
      <c r="EY177" s="4">
        <v>235</v>
      </c>
      <c r="EZ177" s="4">
        <v>231</v>
      </c>
      <c r="FA177" s="4">
        <v>227</v>
      </c>
      <c r="FB177" s="4">
        <v>223</v>
      </c>
      <c r="FC177" s="4">
        <v>219</v>
      </c>
      <c r="FD177" s="4">
        <v>215</v>
      </c>
      <c r="FE177" s="4">
        <v>211</v>
      </c>
      <c r="FF177" s="4">
        <v>207</v>
      </c>
      <c r="FG177" s="4">
        <v>203</v>
      </c>
      <c r="FH177" s="4">
        <v>199</v>
      </c>
      <c r="FI177" s="4">
        <v>195</v>
      </c>
      <c r="FJ177" s="4">
        <v>191</v>
      </c>
      <c r="FK177" s="4">
        <v>187</v>
      </c>
      <c r="FL177" s="4">
        <v>183</v>
      </c>
      <c r="FM177" s="4">
        <v>179</v>
      </c>
      <c r="FN177" s="4">
        <v>175</v>
      </c>
      <c r="FO177" s="4">
        <v>171</v>
      </c>
      <c r="FP177" s="4">
        <v>167</v>
      </c>
      <c r="FQ177" s="4">
        <v>161</v>
      </c>
      <c r="FR177" s="4">
        <v>155</v>
      </c>
      <c r="FS177" s="4">
        <v>149</v>
      </c>
      <c r="FT177" s="19">
        <v>63</v>
      </c>
      <c r="FU177" s="19">
        <v>82.3</v>
      </c>
      <c r="FV177" s="19">
        <v>81.3</v>
      </c>
      <c r="FW177" s="19">
        <v>60.3</v>
      </c>
      <c r="FX177" s="19">
        <v>59.5</v>
      </c>
      <c r="FY177" s="19">
        <v>58.8</v>
      </c>
      <c r="FZ177" s="19">
        <v>57.8</v>
      </c>
      <c r="GA177" s="19">
        <v>56.8</v>
      </c>
      <c r="GB177" s="19">
        <v>55.8</v>
      </c>
      <c r="GC177" s="19">
        <v>54.8</v>
      </c>
      <c r="GD177" s="19">
        <v>53.8</v>
      </c>
      <c r="GE177" s="19">
        <v>52.8</v>
      </c>
      <c r="GF177" s="19">
        <v>51.8</v>
      </c>
      <c r="GG177" s="19">
        <v>50.8</v>
      </c>
      <c r="GH177" s="19">
        <v>49.8</v>
      </c>
      <c r="GI177" s="19">
        <v>48.8</v>
      </c>
      <c r="GJ177" s="19">
        <v>47.8</v>
      </c>
      <c r="GK177" s="19">
        <v>46.8</v>
      </c>
      <c r="GL177" s="19">
        <v>45.8</v>
      </c>
      <c r="GM177" s="19">
        <v>44.8</v>
      </c>
      <c r="GN177" s="19">
        <v>35</v>
      </c>
      <c r="GO177" s="19">
        <v>28.5</v>
      </c>
      <c r="GP177" s="19">
        <v>27.8</v>
      </c>
      <c r="GQ177" s="19">
        <v>26.8</v>
      </c>
      <c r="GR177" s="19">
        <v>22.1</v>
      </c>
      <c r="GS177" s="19">
        <v>21.3</v>
      </c>
    </row>
    <row r="178">
      <c r="A178" s="2" t="s">
        <v>1338</v>
      </c>
      <c r="B178" s="2" t="s">
        <v>1019</v>
      </c>
      <c r="C178" s="2" t="s">
        <v>246</v>
      </c>
      <c r="D178" s="2" t="s">
        <v>1318</v>
      </c>
      <c r="E178" s="2" t="s">
        <v>1319</v>
      </c>
      <c r="F178" s="2" t="s">
        <v>1320</v>
      </c>
      <c r="G178" s="2" t="s">
        <v>1320</v>
      </c>
      <c r="H178" s="2" t="s">
        <v>1320</v>
      </c>
      <c r="I178" s="2" t="s">
        <v>1319</v>
      </c>
      <c r="J178" s="2" t="s">
        <v>232</v>
      </c>
      <c r="K178" s="2" t="s">
        <v>1115</v>
      </c>
      <c r="L178" s="3">
        <v>16</v>
      </c>
      <c r="M178" s="3">
        <v>16.8</v>
      </c>
      <c r="N178" s="3">
        <v>34.99</v>
      </c>
      <c r="O178" s="2" t="s">
        <v>196</v>
      </c>
      <c r="P178" s="2" t="s">
        <v>197</v>
      </c>
      <c r="Q178" s="2" t="s">
        <v>198</v>
      </c>
      <c r="R178" s="2" t="s">
        <v>199</v>
      </c>
      <c r="S178" s="2" t="s">
        <v>1337</v>
      </c>
      <c r="T178" s="2" t="s">
        <v>1322</v>
      </c>
      <c r="U178" s="2" t="s">
        <v>280</v>
      </c>
      <c r="V178" s="2" t="s">
        <v>638</v>
      </c>
      <c r="W178" s="2" t="s">
        <v>529</v>
      </c>
      <c r="X178" s="2" t="s">
        <v>623</v>
      </c>
      <c r="Y178" s="2" t="s">
        <v>1326</v>
      </c>
      <c r="Z178" s="4">
        <v>482</v>
      </c>
      <c r="AA178" s="4">
        <f>=ROUNDDOWN(48.2,0)</f>
      </c>
      <c r="AB178" s="5">
        <v>10</v>
      </c>
      <c r="AC178" s="2" t="s">
        <v>1339</v>
      </c>
      <c r="AD178" s="4">
        <v>120</v>
      </c>
      <c r="AE178" s="4">
        <v>120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199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199</v>
      </c>
      <c r="AW178" s="8" t="s">
        <v>199</v>
      </c>
      <c r="AX178" s="4" t="s">
        <v>199</v>
      </c>
      <c r="AY178" s="8" t="s">
        <v>199</v>
      </c>
      <c r="AZ178" s="7" t="s">
        <v>199</v>
      </c>
      <c r="BA178" s="7" t="s">
        <v>199</v>
      </c>
      <c r="BB178" s="7"/>
      <c r="BC178" s="4" t="s">
        <v>199</v>
      </c>
      <c r="BD178" s="8" t="s">
        <v>199</v>
      </c>
      <c r="BE178" s="4" t="s">
        <v>199</v>
      </c>
      <c r="BF178" s="8" t="s">
        <v>199</v>
      </c>
      <c r="BG178" s="7" t="s">
        <v>199</v>
      </c>
      <c r="BH178" s="7" t="s">
        <v>199</v>
      </c>
      <c r="BI178" s="7"/>
      <c r="BJ178" s="4">
        <v>80</v>
      </c>
      <c r="BK178" s="8">
        <v>1434.7</v>
      </c>
      <c r="BL178" s="2" t="s">
        <v>1340</v>
      </c>
      <c r="BM178" s="7"/>
      <c r="BN178" s="7"/>
      <c r="BO178" s="4"/>
      <c r="BP178" s="8"/>
      <c r="BQ178" s="4"/>
      <c r="BR178" s="8"/>
      <c r="BS178" s="7"/>
      <c r="BT178" s="7"/>
      <c r="BU178" s="2" t="s">
        <v>1324</v>
      </c>
      <c r="BV178" s="2" t="s">
        <v>199</v>
      </c>
      <c r="BW178" s="2" t="s">
        <v>199</v>
      </c>
      <c r="BX178" s="2" t="s">
        <v>208</v>
      </c>
      <c r="BY178" s="2" t="s">
        <v>209</v>
      </c>
      <c r="BZ178" s="2" t="s">
        <v>196</v>
      </c>
      <c r="CA178" s="2" t="s">
        <v>1226</v>
      </c>
      <c r="CB178" s="2" t="s">
        <v>1341</v>
      </c>
      <c r="CC178" s="2" t="s">
        <v>212</v>
      </c>
      <c r="CD178" s="2" t="s">
        <v>199</v>
      </c>
      <c r="CE178" s="4">
        <v>482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>
        <v>120</v>
      </c>
      <c r="EQ178" s="4"/>
      <c r="ER178" s="4"/>
      <c r="ES178" s="4"/>
      <c r="ET178" s="4">
        <v>485</v>
      </c>
      <c r="EU178" s="4">
        <v>474</v>
      </c>
      <c r="EV178" s="4">
        <v>466</v>
      </c>
      <c r="EW178" s="4">
        <v>458</v>
      </c>
      <c r="EX178" s="4">
        <v>450</v>
      </c>
      <c r="EY178" s="4">
        <v>442</v>
      </c>
      <c r="EZ178" s="4">
        <v>435</v>
      </c>
      <c r="FA178" s="4">
        <v>428</v>
      </c>
      <c r="FB178" s="4">
        <v>420</v>
      </c>
      <c r="FC178" s="4">
        <v>413</v>
      </c>
      <c r="FD178" s="4">
        <v>404</v>
      </c>
      <c r="FE178" s="4">
        <v>395</v>
      </c>
      <c r="FF178" s="4">
        <v>386</v>
      </c>
      <c r="FG178" s="4">
        <v>375</v>
      </c>
      <c r="FH178" s="4">
        <v>362</v>
      </c>
      <c r="FI178" s="4">
        <v>349</v>
      </c>
      <c r="FJ178" s="4">
        <v>336</v>
      </c>
      <c r="FK178" s="4">
        <v>324</v>
      </c>
      <c r="FL178" s="4">
        <v>433</v>
      </c>
      <c r="FM178" s="4">
        <v>422</v>
      </c>
      <c r="FN178" s="4">
        <v>411</v>
      </c>
      <c r="FO178" s="4">
        <v>400</v>
      </c>
      <c r="FP178" s="4">
        <v>388</v>
      </c>
      <c r="FQ178" s="4">
        <v>376</v>
      </c>
      <c r="FR178" s="4">
        <v>364</v>
      </c>
      <c r="FS178" s="4">
        <v>352</v>
      </c>
      <c r="FT178" s="19">
        <v>53.9</v>
      </c>
      <c r="FU178" s="19">
        <v>59.3</v>
      </c>
      <c r="FV178" s="19">
        <v>58.3</v>
      </c>
      <c r="FW178" s="19">
        <v>57.3</v>
      </c>
      <c r="FX178" s="19">
        <v>56.3</v>
      </c>
      <c r="FY178" s="19">
        <v>63.1</v>
      </c>
      <c r="FZ178" s="19">
        <v>54.4</v>
      </c>
      <c r="GA178" s="19">
        <v>53.5</v>
      </c>
      <c r="GB178" s="19">
        <v>52.5</v>
      </c>
      <c r="GC178" s="19">
        <v>41.3</v>
      </c>
      <c r="GD178" s="19">
        <v>40.4</v>
      </c>
      <c r="GE178" s="19">
        <v>32.9</v>
      </c>
      <c r="GF178" s="19">
        <v>32.2</v>
      </c>
      <c r="GG178" s="19">
        <v>28.8</v>
      </c>
      <c r="GH178" s="19">
        <v>30.2</v>
      </c>
      <c r="GI178" s="19">
        <v>29.1</v>
      </c>
      <c r="GJ178" s="19">
        <v>30.5</v>
      </c>
      <c r="GK178" s="19">
        <v>29.5</v>
      </c>
      <c r="GL178" s="19">
        <v>39.4</v>
      </c>
      <c r="GM178" s="19">
        <v>35.2</v>
      </c>
      <c r="GN178" s="19">
        <v>34.3</v>
      </c>
      <c r="GO178" s="19">
        <v>33.3</v>
      </c>
      <c r="GP178" s="19">
        <v>32.3</v>
      </c>
      <c r="GQ178" s="19">
        <v>28.9</v>
      </c>
      <c r="GR178" s="19">
        <v>26</v>
      </c>
      <c r="GS178" s="19">
        <v>25.1</v>
      </c>
    </row>
    <row r="179">
      <c r="A179" s="2" t="s">
        <v>1342</v>
      </c>
      <c r="B179" s="2" t="s">
        <v>1019</v>
      </c>
      <c r="C179" s="2" t="s">
        <v>246</v>
      </c>
      <c r="D179" s="2" t="s">
        <v>1318</v>
      </c>
      <c r="E179" s="2" t="s">
        <v>1319</v>
      </c>
      <c r="F179" s="2" t="s">
        <v>1320</v>
      </c>
      <c r="G179" s="2" t="s">
        <v>1320</v>
      </c>
      <c r="H179" s="2" t="s">
        <v>1320</v>
      </c>
      <c r="I179" s="2" t="s">
        <v>1319</v>
      </c>
      <c r="J179" s="2" t="s">
        <v>223</v>
      </c>
      <c r="K179" s="2" t="s">
        <v>1115</v>
      </c>
      <c r="L179" s="3">
        <v>18.28</v>
      </c>
      <c r="M179" s="3">
        <v>19.19</v>
      </c>
      <c r="N179" s="3">
        <v>39.99</v>
      </c>
      <c r="O179" s="2" t="s">
        <v>196</v>
      </c>
      <c r="P179" s="2" t="s">
        <v>197</v>
      </c>
      <c r="Q179" s="2" t="s">
        <v>198</v>
      </c>
      <c r="R179" s="2" t="s">
        <v>199</v>
      </c>
      <c r="S179" s="2" t="s">
        <v>1337</v>
      </c>
      <c r="T179" s="2" t="s">
        <v>1322</v>
      </c>
      <c r="U179" s="2" t="s">
        <v>280</v>
      </c>
      <c r="V179" s="2" t="s">
        <v>638</v>
      </c>
      <c r="W179" s="2" t="s">
        <v>529</v>
      </c>
      <c r="X179" s="2" t="s">
        <v>623</v>
      </c>
      <c r="Y179" s="2" t="s">
        <v>1326</v>
      </c>
      <c r="Z179" s="4">
        <v>168</v>
      </c>
      <c r="AA179" s="4">
        <f>=ROUNDDOWN(21,0)</f>
      </c>
      <c r="AB179" s="5">
        <v>8</v>
      </c>
      <c r="AC179" s="2" t="s">
        <v>1339</v>
      </c>
      <c r="AD179" s="4">
        <v>280</v>
      </c>
      <c r="AE179" s="4">
        <v>280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199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199</v>
      </c>
      <c r="AW179" s="8" t="s">
        <v>199</v>
      </c>
      <c r="AX179" s="4" t="s">
        <v>199</v>
      </c>
      <c r="AY179" s="8" t="s">
        <v>199</v>
      </c>
      <c r="AZ179" s="7" t="s">
        <v>199</v>
      </c>
      <c r="BA179" s="7" t="s">
        <v>199</v>
      </c>
      <c r="BB179" s="7"/>
      <c r="BC179" s="4" t="s">
        <v>199</v>
      </c>
      <c r="BD179" s="8" t="s">
        <v>199</v>
      </c>
      <c r="BE179" s="4" t="s">
        <v>199</v>
      </c>
      <c r="BF179" s="8" t="s">
        <v>199</v>
      </c>
      <c r="BG179" s="7" t="s">
        <v>199</v>
      </c>
      <c r="BH179" s="7" t="s">
        <v>199</v>
      </c>
      <c r="BI179" s="7"/>
      <c r="BJ179" s="4">
        <v>94</v>
      </c>
      <c r="BK179" s="8">
        <v>1940.59</v>
      </c>
      <c r="BL179" s="2" t="s">
        <v>482</v>
      </c>
      <c r="BM179" s="7"/>
      <c r="BN179" s="7"/>
      <c r="BO179" s="4"/>
      <c r="BP179" s="8"/>
      <c r="BQ179" s="4"/>
      <c r="BR179" s="8"/>
      <c r="BS179" s="7"/>
      <c r="BT179" s="7"/>
      <c r="BU179" s="2" t="s">
        <v>1324</v>
      </c>
      <c r="BV179" s="2" t="s">
        <v>199</v>
      </c>
      <c r="BW179" s="2" t="s">
        <v>199</v>
      </c>
      <c r="BX179" s="2" t="s">
        <v>208</v>
      </c>
      <c r="BY179" s="2" t="s">
        <v>209</v>
      </c>
      <c r="BZ179" s="2" t="s">
        <v>196</v>
      </c>
      <c r="CA179" s="2" t="s">
        <v>1226</v>
      </c>
      <c r="CB179" s="2" t="s">
        <v>1343</v>
      </c>
      <c r="CC179" s="2" t="s">
        <v>212</v>
      </c>
      <c r="CD179" s="2" t="s">
        <v>199</v>
      </c>
      <c r="CE179" s="4">
        <v>168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>
        <v>280</v>
      </c>
      <c r="EQ179" s="4"/>
      <c r="ER179" s="4"/>
      <c r="ES179" s="4"/>
      <c r="ET179" s="4">
        <v>178</v>
      </c>
      <c r="EU179" s="4">
        <v>162</v>
      </c>
      <c r="EV179" s="4">
        <v>156</v>
      </c>
      <c r="EW179" s="4">
        <v>150</v>
      </c>
      <c r="EX179" s="4">
        <v>144</v>
      </c>
      <c r="EY179" s="4">
        <v>138</v>
      </c>
      <c r="EZ179" s="4">
        <v>132</v>
      </c>
      <c r="FA179" s="4">
        <v>126</v>
      </c>
      <c r="FB179" s="4">
        <v>119</v>
      </c>
      <c r="FC179" s="4">
        <v>112</v>
      </c>
      <c r="FD179" s="4">
        <v>103</v>
      </c>
      <c r="FE179" s="4">
        <v>94</v>
      </c>
      <c r="FF179" s="4">
        <v>85</v>
      </c>
      <c r="FG179" s="4">
        <v>76</v>
      </c>
      <c r="FH179" s="4">
        <v>66</v>
      </c>
      <c r="FI179" s="4">
        <v>56</v>
      </c>
      <c r="FJ179" s="4">
        <v>46</v>
      </c>
      <c r="FK179" s="4">
        <v>37</v>
      </c>
      <c r="FL179" s="4">
        <v>308</v>
      </c>
      <c r="FM179" s="4">
        <v>299</v>
      </c>
      <c r="FN179" s="4">
        <v>290</v>
      </c>
      <c r="FO179" s="4">
        <v>281</v>
      </c>
      <c r="FP179" s="4">
        <v>271</v>
      </c>
      <c r="FQ179" s="4">
        <v>262</v>
      </c>
      <c r="FR179" s="4">
        <v>253</v>
      </c>
      <c r="FS179" s="4">
        <v>244</v>
      </c>
      <c r="FT179" s="19">
        <v>22.3</v>
      </c>
      <c r="FU179" s="19">
        <v>27</v>
      </c>
      <c r="FV179" s="19">
        <v>26</v>
      </c>
      <c r="FW179" s="19">
        <v>25</v>
      </c>
      <c r="FX179" s="19">
        <v>24</v>
      </c>
      <c r="FY179" s="19">
        <v>23</v>
      </c>
      <c r="FZ179" s="19">
        <v>18.9</v>
      </c>
      <c r="GA179" s="19">
        <v>15.8</v>
      </c>
      <c r="GB179" s="19">
        <v>14.9</v>
      </c>
      <c r="GC179" s="19">
        <v>12.4</v>
      </c>
      <c r="GD179" s="19">
        <v>11.4</v>
      </c>
      <c r="GE179" s="19">
        <v>9.4</v>
      </c>
      <c r="GF179" s="19">
        <v>8.5</v>
      </c>
      <c r="GG179" s="19">
        <v>7.6</v>
      </c>
      <c r="GH179" s="19">
        <v>6.6</v>
      </c>
      <c r="GI179" s="19">
        <v>6.2</v>
      </c>
      <c r="GJ179" s="19">
        <v>5.1</v>
      </c>
      <c r="GK179" s="19">
        <v>4.1</v>
      </c>
      <c r="GL179" s="19">
        <v>34.2</v>
      </c>
      <c r="GM179" s="19">
        <v>33.2</v>
      </c>
      <c r="GN179" s="19">
        <v>32.2</v>
      </c>
      <c r="GO179" s="19">
        <v>31.2</v>
      </c>
      <c r="GP179" s="19">
        <v>30.1</v>
      </c>
      <c r="GQ179" s="19">
        <v>26.2</v>
      </c>
      <c r="GR179" s="19">
        <v>25.3</v>
      </c>
      <c r="GS179" s="19">
        <v>24.4</v>
      </c>
    </row>
    <row r="180">
      <c r="A180" s="2" t="s">
        <v>1344</v>
      </c>
      <c r="B180" s="2" t="s">
        <v>1019</v>
      </c>
      <c r="C180" s="2" t="s">
        <v>246</v>
      </c>
      <c r="D180" s="2" t="s">
        <v>1318</v>
      </c>
      <c r="E180" s="2" t="s">
        <v>1319</v>
      </c>
      <c r="F180" s="2" t="s">
        <v>1320</v>
      </c>
      <c r="G180" s="2" t="s">
        <v>1320</v>
      </c>
      <c r="H180" s="2" t="s">
        <v>1320</v>
      </c>
      <c r="I180" s="2" t="s">
        <v>1319</v>
      </c>
      <c r="J180" s="2" t="s">
        <v>194</v>
      </c>
      <c r="K180" s="2" t="s">
        <v>371</v>
      </c>
      <c r="L180" s="3">
        <v>12.85</v>
      </c>
      <c r="M180" s="3">
        <v>13.49</v>
      </c>
      <c r="N180" s="3">
        <v>29.99</v>
      </c>
      <c r="O180" s="2" t="s">
        <v>196</v>
      </c>
      <c r="P180" s="2" t="s">
        <v>197</v>
      </c>
      <c r="Q180" s="2" t="s">
        <v>198</v>
      </c>
      <c r="R180" s="2" t="s">
        <v>199</v>
      </c>
      <c r="S180" s="2" t="s">
        <v>1345</v>
      </c>
      <c r="T180" s="2" t="s">
        <v>1322</v>
      </c>
      <c r="U180" s="2" t="s">
        <v>280</v>
      </c>
      <c r="V180" s="2" t="s">
        <v>638</v>
      </c>
      <c r="W180" s="2" t="s">
        <v>529</v>
      </c>
      <c r="X180" s="2" t="s">
        <v>623</v>
      </c>
      <c r="Y180" s="2" t="s">
        <v>1000</v>
      </c>
      <c r="Z180" s="4">
        <v>177</v>
      </c>
      <c r="AA180" s="4">
        <f>=ROUNDDOWN(52.0588235294118,0)</f>
      </c>
      <c r="AB180" s="5">
        <v>3.4</v>
      </c>
      <c r="AC180" s="2" t="s">
        <v>697</v>
      </c>
      <c r="AD180" s="4">
        <v>30</v>
      </c>
      <c r="AE180" s="4">
        <v>30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199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199</v>
      </c>
      <c r="AW180" s="8" t="s">
        <v>199</v>
      </c>
      <c r="AX180" s="4" t="s">
        <v>199</v>
      </c>
      <c r="AY180" s="8" t="s">
        <v>199</v>
      </c>
      <c r="AZ180" s="7" t="s">
        <v>199</v>
      </c>
      <c r="BA180" s="7" t="s">
        <v>199</v>
      </c>
      <c r="BB180" s="7"/>
      <c r="BC180" s="4" t="s">
        <v>199</v>
      </c>
      <c r="BD180" s="8" t="s">
        <v>199</v>
      </c>
      <c r="BE180" s="4" t="s">
        <v>199</v>
      </c>
      <c r="BF180" s="8" t="s">
        <v>199</v>
      </c>
      <c r="BG180" s="7" t="s">
        <v>199</v>
      </c>
      <c r="BH180" s="7" t="s">
        <v>199</v>
      </c>
      <c r="BI180" s="7"/>
      <c r="BJ180" s="4">
        <v>49</v>
      </c>
      <c r="BK180" s="8">
        <v>707.95</v>
      </c>
      <c r="BL180" s="2" t="s">
        <v>1346</v>
      </c>
      <c r="BM180" s="7"/>
      <c r="BN180" s="7"/>
      <c r="BO180" s="4"/>
      <c r="BP180" s="8"/>
      <c r="BQ180" s="4"/>
      <c r="BR180" s="8"/>
      <c r="BS180" s="7"/>
      <c r="BT180" s="7"/>
      <c r="BU180" s="2" t="s">
        <v>1324</v>
      </c>
      <c r="BV180" s="2" t="s">
        <v>199</v>
      </c>
      <c r="BW180" s="2" t="s">
        <v>199</v>
      </c>
      <c r="BX180" s="2" t="s">
        <v>208</v>
      </c>
      <c r="BY180" s="2" t="s">
        <v>209</v>
      </c>
      <c r="BZ180" s="2" t="s">
        <v>196</v>
      </c>
      <c r="CA180" s="2" t="s">
        <v>1226</v>
      </c>
      <c r="CB180" s="2" t="s">
        <v>1341</v>
      </c>
      <c r="CC180" s="2" t="s">
        <v>212</v>
      </c>
      <c r="CD180" s="2" t="s">
        <v>199</v>
      </c>
      <c r="CE180" s="4">
        <v>177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>
        <v>30</v>
      </c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>
        <v>181</v>
      </c>
      <c r="EU180" s="4">
        <v>175</v>
      </c>
      <c r="EV180" s="4">
        <v>173</v>
      </c>
      <c r="EW180" s="4">
        <v>171</v>
      </c>
      <c r="EX180" s="4">
        <v>199</v>
      </c>
      <c r="EY180" s="4">
        <v>197</v>
      </c>
      <c r="EZ180" s="4">
        <v>194</v>
      </c>
      <c r="FA180" s="4">
        <v>191</v>
      </c>
      <c r="FB180" s="4">
        <v>188</v>
      </c>
      <c r="FC180" s="4">
        <v>185</v>
      </c>
      <c r="FD180" s="4">
        <v>182</v>
      </c>
      <c r="FE180" s="4">
        <v>179</v>
      </c>
      <c r="FF180" s="4">
        <v>176</v>
      </c>
      <c r="FG180" s="4">
        <v>173</v>
      </c>
      <c r="FH180" s="4">
        <v>170</v>
      </c>
      <c r="FI180" s="4">
        <v>167</v>
      </c>
      <c r="FJ180" s="4">
        <v>164</v>
      </c>
      <c r="FK180" s="4">
        <v>161</v>
      </c>
      <c r="FL180" s="4">
        <v>158</v>
      </c>
      <c r="FM180" s="4">
        <v>155</v>
      </c>
      <c r="FN180" s="4">
        <v>152</v>
      </c>
      <c r="FO180" s="4">
        <v>149</v>
      </c>
      <c r="FP180" s="4">
        <v>146</v>
      </c>
      <c r="FQ180" s="4">
        <v>142</v>
      </c>
      <c r="FR180" s="4">
        <v>138</v>
      </c>
      <c r="FS180" s="4">
        <v>134</v>
      </c>
      <c r="FT180" s="19">
        <v>60.3</v>
      </c>
      <c r="FU180" s="19">
        <v>87.5</v>
      </c>
      <c r="FV180" s="19">
        <v>86.5</v>
      </c>
      <c r="FW180" s="19">
        <v>85.5</v>
      </c>
      <c r="FX180" s="19">
        <v>66.3</v>
      </c>
      <c r="FY180" s="19">
        <v>65.7</v>
      </c>
      <c r="FZ180" s="19">
        <v>64.7</v>
      </c>
      <c r="GA180" s="19">
        <v>63.7</v>
      </c>
      <c r="GB180" s="19">
        <v>62.7</v>
      </c>
      <c r="GC180" s="19">
        <v>61.7</v>
      </c>
      <c r="GD180" s="19">
        <v>60.7</v>
      </c>
      <c r="GE180" s="19">
        <v>59.7</v>
      </c>
      <c r="GF180" s="19">
        <v>58.7</v>
      </c>
      <c r="GG180" s="19">
        <v>57.7</v>
      </c>
      <c r="GH180" s="19">
        <v>56.7</v>
      </c>
      <c r="GI180" s="19">
        <v>55.7</v>
      </c>
      <c r="GJ180" s="19">
        <v>54.7</v>
      </c>
      <c r="GK180" s="19">
        <v>53.7</v>
      </c>
      <c r="GL180" s="19">
        <v>52.7</v>
      </c>
      <c r="GM180" s="19">
        <v>51.7</v>
      </c>
      <c r="GN180" s="19">
        <v>38</v>
      </c>
      <c r="GO180" s="19">
        <v>37.3</v>
      </c>
      <c r="GP180" s="19">
        <v>36.5</v>
      </c>
      <c r="GQ180" s="19">
        <v>35.5</v>
      </c>
      <c r="GR180" s="19">
        <v>27.6</v>
      </c>
      <c r="GS180" s="19">
        <v>26.8</v>
      </c>
    </row>
    <row r="181">
      <c r="A181" s="2" t="s">
        <v>1347</v>
      </c>
      <c r="B181" s="2" t="s">
        <v>1019</v>
      </c>
      <c r="C181" s="2" t="s">
        <v>246</v>
      </c>
      <c r="D181" s="2" t="s">
        <v>1318</v>
      </c>
      <c r="E181" s="2" t="s">
        <v>1319</v>
      </c>
      <c r="F181" s="2" t="s">
        <v>1320</v>
      </c>
      <c r="G181" s="2" t="s">
        <v>1320</v>
      </c>
      <c r="H181" s="2" t="s">
        <v>1320</v>
      </c>
      <c r="I181" s="2" t="s">
        <v>1319</v>
      </c>
      <c r="J181" s="2" t="s">
        <v>232</v>
      </c>
      <c r="K181" s="2" t="s">
        <v>371</v>
      </c>
      <c r="L181" s="3">
        <v>16</v>
      </c>
      <c r="M181" s="3">
        <v>16.8</v>
      </c>
      <c r="N181" s="3">
        <v>34.99</v>
      </c>
      <c r="O181" s="2" t="s">
        <v>196</v>
      </c>
      <c r="P181" s="2" t="s">
        <v>197</v>
      </c>
      <c r="Q181" s="2" t="s">
        <v>198</v>
      </c>
      <c r="R181" s="2" t="s">
        <v>199</v>
      </c>
      <c r="S181" s="2" t="s">
        <v>1345</v>
      </c>
      <c r="T181" s="2" t="s">
        <v>1322</v>
      </c>
      <c r="U181" s="2" t="s">
        <v>280</v>
      </c>
      <c r="V181" s="2" t="s">
        <v>638</v>
      </c>
      <c r="W181" s="2" t="s">
        <v>529</v>
      </c>
      <c r="X181" s="2" t="s">
        <v>623</v>
      </c>
      <c r="Y181" s="2" t="s">
        <v>1000</v>
      </c>
      <c r="Z181" s="4">
        <v>268</v>
      </c>
      <c r="AA181" s="4">
        <f>=ROUNDDOWN(26.8,0)</f>
      </c>
      <c r="AB181" s="5">
        <v>10</v>
      </c>
      <c r="AC181" s="2" t="s">
        <v>697</v>
      </c>
      <c r="AD181" s="4">
        <v>110</v>
      </c>
      <c r="AE181" s="4">
        <v>260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199</v>
      </c>
      <c r="AW181" s="8" t="s">
        <v>199</v>
      </c>
      <c r="AX181" s="4" t="s">
        <v>199</v>
      </c>
      <c r="AY181" s="8" t="s">
        <v>199</v>
      </c>
      <c r="AZ181" s="7" t="s">
        <v>199</v>
      </c>
      <c r="BA181" s="7" t="s">
        <v>199</v>
      </c>
      <c r="BB181" s="7"/>
      <c r="BC181" s="4" t="s">
        <v>199</v>
      </c>
      <c r="BD181" s="8" t="s">
        <v>199</v>
      </c>
      <c r="BE181" s="4" t="s">
        <v>199</v>
      </c>
      <c r="BF181" s="8" t="s">
        <v>199</v>
      </c>
      <c r="BG181" s="7" t="s">
        <v>199</v>
      </c>
      <c r="BH181" s="7" t="s">
        <v>199</v>
      </c>
      <c r="BI181" s="7"/>
      <c r="BJ181" s="4">
        <v>139</v>
      </c>
      <c r="BK181" s="8">
        <v>2502.76</v>
      </c>
      <c r="BL181" s="2" t="s">
        <v>327</v>
      </c>
      <c r="BM181" s="7"/>
      <c r="BN181" s="7"/>
      <c r="BO181" s="4"/>
      <c r="BP181" s="8"/>
      <c r="BQ181" s="4"/>
      <c r="BR181" s="8"/>
      <c r="BS181" s="7"/>
      <c r="BT181" s="7"/>
      <c r="BU181" s="2" t="s">
        <v>1324</v>
      </c>
      <c r="BV181" s="2" t="s">
        <v>199</v>
      </c>
      <c r="BW181" s="2" t="s">
        <v>199</v>
      </c>
      <c r="BX181" s="2" t="s">
        <v>208</v>
      </c>
      <c r="BY181" s="2" t="s">
        <v>209</v>
      </c>
      <c r="BZ181" s="2" t="s">
        <v>196</v>
      </c>
      <c r="CA181" s="2" t="s">
        <v>1226</v>
      </c>
      <c r="CB181" s="2" t="s">
        <v>1348</v>
      </c>
      <c r="CC181" s="2" t="s">
        <v>212</v>
      </c>
      <c r="CD181" s="2" t="s">
        <v>199</v>
      </c>
      <c r="CE181" s="4">
        <v>268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>
        <v>110</v>
      </c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>
        <v>150</v>
      </c>
      <c r="ET181" s="4">
        <v>272</v>
      </c>
      <c r="EU181" s="4">
        <v>261</v>
      </c>
      <c r="EV181" s="4">
        <v>252</v>
      </c>
      <c r="EW181" s="4">
        <v>243</v>
      </c>
      <c r="EX181" s="4">
        <v>344</v>
      </c>
      <c r="EY181" s="4">
        <v>335</v>
      </c>
      <c r="EZ181" s="4">
        <v>327</v>
      </c>
      <c r="FA181" s="4">
        <v>319</v>
      </c>
      <c r="FB181" s="4">
        <v>310</v>
      </c>
      <c r="FC181" s="4">
        <v>302</v>
      </c>
      <c r="FD181" s="4">
        <v>292</v>
      </c>
      <c r="FE181" s="4">
        <v>282</v>
      </c>
      <c r="FF181" s="4">
        <v>272</v>
      </c>
      <c r="FG181" s="4">
        <v>262</v>
      </c>
      <c r="FH181" s="4">
        <v>250</v>
      </c>
      <c r="FI181" s="4">
        <v>238</v>
      </c>
      <c r="FJ181" s="4">
        <v>226</v>
      </c>
      <c r="FK181" s="4">
        <v>214</v>
      </c>
      <c r="FL181" s="4">
        <v>203</v>
      </c>
      <c r="FM181" s="4">
        <v>192</v>
      </c>
      <c r="FN181" s="4">
        <v>331</v>
      </c>
      <c r="FO181" s="4">
        <v>320</v>
      </c>
      <c r="FP181" s="4">
        <v>308</v>
      </c>
      <c r="FQ181" s="4">
        <v>296</v>
      </c>
      <c r="FR181" s="4">
        <v>284</v>
      </c>
      <c r="FS181" s="4">
        <v>272</v>
      </c>
      <c r="FT181" s="19">
        <v>27.2</v>
      </c>
      <c r="FU181" s="19">
        <v>29</v>
      </c>
      <c r="FV181" s="19">
        <v>28</v>
      </c>
      <c r="FW181" s="19">
        <v>30.4</v>
      </c>
      <c r="FX181" s="19">
        <v>43</v>
      </c>
      <c r="FY181" s="19">
        <v>41.9</v>
      </c>
      <c r="FZ181" s="19">
        <v>36.3</v>
      </c>
      <c r="GA181" s="19">
        <v>35.4</v>
      </c>
      <c r="GB181" s="19">
        <v>31</v>
      </c>
      <c r="GC181" s="19">
        <v>30.2</v>
      </c>
      <c r="GD181" s="19">
        <v>29.2</v>
      </c>
      <c r="GE181" s="19">
        <v>25.6</v>
      </c>
      <c r="GF181" s="19">
        <v>22.7</v>
      </c>
      <c r="GG181" s="19">
        <v>21.8</v>
      </c>
      <c r="GH181" s="19">
        <v>20.8</v>
      </c>
      <c r="GI181" s="19">
        <v>19.8</v>
      </c>
      <c r="GJ181" s="19">
        <v>20.5</v>
      </c>
      <c r="GK181" s="19">
        <v>19.5</v>
      </c>
      <c r="GL181" s="19">
        <v>18.5</v>
      </c>
      <c r="GM181" s="19">
        <v>16</v>
      </c>
      <c r="GN181" s="19">
        <v>27.6</v>
      </c>
      <c r="GO181" s="19">
        <v>26.7</v>
      </c>
      <c r="GP181" s="19">
        <v>25.7</v>
      </c>
      <c r="GQ181" s="19">
        <v>22.8</v>
      </c>
      <c r="GR181" s="19">
        <v>20.3</v>
      </c>
      <c r="GS181" s="19">
        <v>18.1</v>
      </c>
    </row>
    <row r="182">
      <c r="A182" s="2" t="s">
        <v>1349</v>
      </c>
      <c r="B182" s="2" t="s">
        <v>1019</v>
      </c>
      <c r="C182" s="2" t="s">
        <v>246</v>
      </c>
      <c r="D182" s="2" t="s">
        <v>1318</v>
      </c>
      <c r="E182" s="2" t="s">
        <v>1319</v>
      </c>
      <c r="F182" s="2" t="s">
        <v>1320</v>
      </c>
      <c r="G182" s="2" t="s">
        <v>1320</v>
      </c>
      <c r="H182" s="2" t="s">
        <v>1320</v>
      </c>
      <c r="I182" s="2" t="s">
        <v>1319</v>
      </c>
      <c r="J182" s="2" t="s">
        <v>194</v>
      </c>
      <c r="K182" s="2" t="s">
        <v>865</v>
      </c>
      <c r="L182" s="3">
        <v>12.85</v>
      </c>
      <c r="M182" s="3">
        <v>13.49</v>
      </c>
      <c r="N182" s="3">
        <v>29.99</v>
      </c>
      <c r="O182" s="2" t="s">
        <v>196</v>
      </c>
      <c r="P182" s="2" t="s">
        <v>197</v>
      </c>
      <c r="Q182" s="2" t="s">
        <v>198</v>
      </c>
      <c r="R182" s="2" t="s">
        <v>199</v>
      </c>
      <c r="S182" s="2" t="s">
        <v>1350</v>
      </c>
      <c r="T182" s="2" t="s">
        <v>1322</v>
      </c>
      <c r="U182" s="2" t="s">
        <v>280</v>
      </c>
      <c r="V182" s="2" t="s">
        <v>638</v>
      </c>
      <c r="W182" s="2" t="s">
        <v>529</v>
      </c>
      <c r="X182" s="2" t="s">
        <v>623</v>
      </c>
      <c r="Y182" s="2" t="s">
        <v>1000</v>
      </c>
      <c r="Z182" s="4">
        <v>243</v>
      </c>
      <c r="AA182" s="4">
        <f>=ROUNDDOWN(81,0)</f>
      </c>
      <c r="AB182" s="5">
        <v>3</v>
      </c>
      <c r="AC182" s="2" t="s">
        <v>199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199</v>
      </c>
      <c r="AW182" s="8" t="s">
        <v>199</v>
      </c>
      <c r="AX182" s="4" t="s">
        <v>199</v>
      </c>
      <c r="AY182" s="8" t="s">
        <v>199</v>
      </c>
      <c r="AZ182" s="7" t="s">
        <v>199</v>
      </c>
      <c r="BA182" s="7" t="s">
        <v>199</v>
      </c>
      <c r="BB182" s="7"/>
      <c r="BC182" s="4" t="s">
        <v>199</v>
      </c>
      <c r="BD182" s="8" t="s">
        <v>199</v>
      </c>
      <c r="BE182" s="4" t="s">
        <v>199</v>
      </c>
      <c r="BF182" s="8" t="s">
        <v>199</v>
      </c>
      <c r="BG182" s="7" t="s">
        <v>199</v>
      </c>
      <c r="BH182" s="7" t="s">
        <v>199</v>
      </c>
      <c r="BI182" s="7"/>
      <c r="BJ182" s="4">
        <v>17</v>
      </c>
      <c r="BK182" s="8">
        <v>246.77</v>
      </c>
      <c r="BL182" s="2" t="s">
        <v>1351</v>
      </c>
      <c r="BM182" s="7"/>
      <c r="BN182" s="7"/>
      <c r="BO182" s="4"/>
      <c r="BP182" s="8"/>
      <c r="BQ182" s="4"/>
      <c r="BR182" s="8"/>
      <c r="BS182" s="7"/>
      <c r="BT182" s="7"/>
      <c r="BU182" s="2" t="s">
        <v>1324</v>
      </c>
      <c r="BV182" s="2" t="s">
        <v>199</v>
      </c>
      <c r="BW182" s="2" t="s">
        <v>199</v>
      </c>
      <c r="BX182" s="2" t="s">
        <v>208</v>
      </c>
      <c r="BY182" s="2" t="s">
        <v>209</v>
      </c>
      <c r="BZ182" s="2" t="s">
        <v>196</v>
      </c>
      <c r="CA182" s="2" t="s">
        <v>1226</v>
      </c>
      <c r="CB182" s="2" t="s">
        <v>199</v>
      </c>
      <c r="CC182" s="2" t="s">
        <v>212</v>
      </c>
      <c r="CD182" s="2" t="s">
        <v>199</v>
      </c>
      <c r="CE182" s="4">
        <v>243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>
        <v>244</v>
      </c>
      <c r="EU182" s="4">
        <v>242</v>
      </c>
      <c r="EV182" s="4">
        <v>240</v>
      </c>
      <c r="EW182" s="4">
        <v>238</v>
      </c>
      <c r="EX182" s="4">
        <v>236</v>
      </c>
      <c r="EY182" s="4">
        <v>234</v>
      </c>
      <c r="EZ182" s="4">
        <v>231</v>
      </c>
      <c r="FA182" s="4">
        <v>228</v>
      </c>
      <c r="FB182" s="4">
        <v>225</v>
      </c>
      <c r="FC182" s="4">
        <v>222</v>
      </c>
      <c r="FD182" s="4">
        <v>219</v>
      </c>
      <c r="FE182" s="4">
        <v>216</v>
      </c>
      <c r="FF182" s="4">
        <v>213</v>
      </c>
      <c r="FG182" s="4">
        <v>210</v>
      </c>
      <c r="FH182" s="4">
        <v>207</v>
      </c>
      <c r="FI182" s="4">
        <v>204</v>
      </c>
      <c r="FJ182" s="4">
        <v>201</v>
      </c>
      <c r="FK182" s="4">
        <v>198</v>
      </c>
      <c r="FL182" s="4">
        <v>195</v>
      </c>
      <c r="FM182" s="4">
        <v>192</v>
      </c>
      <c r="FN182" s="4">
        <v>189</v>
      </c>
      <c r="FO182" s="4">
        <v>186</v>
      </c>
      <c r="FP182" s="4">
        <v>183</v>
      </c>
      <c r="FQ182" s="4">
        <v>179</v>
      </c>
      <c r="FR182" s="4">
        <v>175</v>
      </c>
      <c r="FS182" s="4">
        <v>341</v>
      </c>
      <c r="FT182" s="19">
        <v>122</v>
      </c>
      <c r="FU182" s="19">
        <v>121</v>
      </c>
      <c r="FV182" s="19">
        <v>120</v>
      </c>
      <c r="FW182" s="19">
        <v>119</v>
      </c>
      <c r="FX182" s="19">
        <v>78.7</v>
      </c>
      <c r="FY182" s="19">
        <v>78</v>
      </c>
      <c r="FZ182" s="19">
        <v>77</v>
      </c>
      <c r="GA182" s="19">
        <v>76</v>
      </c>
      <c r="GB182" s="19">
        <v>75</v>
      </c>
      <c r="GC182" s="19">
        <v>74</v>
      </c>
      <c r="GD182" s="19">
        <v>73</v>
      </c>
      <c r="GE182" s="19">
        <v>72</v>
      </c>
      <c r="GF182" s="19">
        <v>71</v>
      </c>
      <c r="GG182" s="19">
        <v>70</v>
      </c>
      <c r="GH182" s="19">
        <v>69</v>
      </c>
      <c r="GI182" s="19">
        <v>68</v>
      </c>
      <c r="GJ182" s="19">
        <v>67</v>
      </c>
      <c r="GK182" s="19">
        <v>66</v>
      </c>
      <c r="GL182" s="19">
        <v>65</v>
      </c>
      <c r="GM182" s="19">
        <v>64</v>
      </c>
      <c r="GN182" s="19">
        <v>47.3</v>
      </c>
      <c r="GO182" s="19">
        <v>46.5</v>
      </c>
      <c r="GP182" s="19">
        <v>45.8</v>
      </c>
      <c r="GQ182" s="19">
        <v>44.8</v>
      </c>
      <c r="GR182" s="19">
        <v>35</v>
      </c>
      <c r="GS182" s="19">
        <v>68.2</v>
      </c>
    </row>
    <row r="183">
      <c r="A183" s="2" t="s">
        <v>1352</v>
      </c>
      <c r="B183" s="2" t="s">
        <v>1019</v>
      </c>
      <c r="C183" s="2" t="s">
        <v>246</v>
      </c>
      <c r="D183" s="2" t="s">
        <v>1318</v>
      </c>
      <c r="E183" s="2" t="s">
        <v>1319</v>
      </c>
      <c r="F183" s="2" t="s">
        <v>1320</v>
      </c>
      <c r="G183" s="2" t="s">
        <v>1320</v>
      </c>
      <c r="H183" s="2" t="s">
        <v>1320</v>
      </c>
      <c r="I183" s="2" t="s">
        <v>1319</v>
      </c>
      <c r="J183" s="2" t="s">
        <v>232</v>
      </c>
      <c r="K183" s="2" t="s">
        <v>865</v>
      </c>
      <c r="L183" s="3">
        <v>16</v>
      </c>
      <c r="M183" s="3">
        <v>16.8</v>
      </c>
      <c r="N183" s="3">
        <v>34.99</v>
      </c>
      <c r="O183" s="2" t="s">
        <v>196</v>
      </c>
      <c r="P183" s="2" t="s">
        <v>197</v>
      </c>
      <c r="Q183" s="2" t="s">
        <v>198</v>
      </c>
      <c r="R183" s="2" t="s">
        <v>199</v>
      </c>
      <c r="S183" s="2" t="s">
        <v>1350</v>
      </c>
      <c r="T183" s="2" t="s">
        <v>1322</v>
      </c>
      <c r="U183" s="2" t="s">
        <v>280</v>
      </c>
      <c r="V183" s="2" t="s">
        <v>638</v>
      </c>
      <c r="W183" s="2" t="s">
        <v>529</v>
      </c>
      <c r="X183" s="2" t="s">
        <v>623</v>
      </c>
      <c r="Y183" s="2" t="s">
        <v>1326</v>
      </c>
      <c r="Z183" s="4">
        <v>213</v>
      </c>
      <c r="AA183" s="4">
        <f>=ROUNDDOWN(53.25,0)</f>
      </c>
      <c r="AB183" s="5">
        <v>4</v>
      </c>
      <c r="AC183" s="2" t="s">
        <v>199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199</v>
      </c>
      <c r="AW183" s="8" t="s">
        <v>199</v>
      </c>
      <c r="AX183" s="4" t="s">
        <v>199</v>
      </c>
      <c r="AY183" s="8" t="s">
        <v>199</v>
      </c>
      <c r="AZ183" s="7" t="s">
        <v>199</v>
      </c>
      <c r="BA183" s="7" t="s">
        <v>199</v>
      </c>
      <c r="BB183" s="7"/>
      <c r="BC183" s="4" t="s">
        <v>199</v>
      </c>
      <c r="BD183" s="8" t="s">
        <v>199</v>
      </c>
      <c r="BE183" s="4" t="s">
        <v>199</v>
      </c>
      <c r="BF183" s="8" t="s">
        <v>199</v>
      </c>
      <c r="BG183" s="7" t="s">
        <v>199</v>
      </c>
      <c r="BH183" s="7" t="s">
        <v>199</v>
      </c>
      <c r="BI183" s="7"/>
      <c r="BJ183" s="4">
        <v>49</v>
      </c>
      <c r="BK183" s="8">
        <v>881.62</v>
      </c>
      <c r="BL183" s="2" t="s">
        <v>495</v>
      </c>
      <c r="BM183" s="7"/>
      <c r="BN183" s="7"/>
      <c r="BO183" s="4"/>
      <c r="BP183" s="8"/>
      <c r="BQ183" s="4"/>
      <c r="BR183" s="8"/>
      <c r="BS183" s="7"/>
      <c r="BT183" s="7"/>
      <c r="BU183" s="2" t="s">
        <v>1324</v>
      </c>
      <c r="BV183" s="2" t="s">
        <v>199</v>
      </c>
      <c r="BW183" s="2" t="s">
        <v>199</v>
      </c>
      <c r="BX183" s="2" t="s">
        <v>208</v>
      </c>
      <c r="BY183" s="2" t="s">
        <v>209</v>
      </c>
      <c r="BZ183" s="2" t="s">
        <v>196</v>
      </c>
      <c r="CA183" s="2" t="s">
        <v>1226</v>
      </c>
      <c r="CB183" s="2" t="s">
        <v>1353</v>
      </c>
      <c r="CC183" s="2" t="s">
        <v>212</v>
      </c>
      <c r="CD183" s="2" t="s">
        <v>199</v>
      </c>
      <c r="CE183" s="4">
        <v>213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>
        <v>216</v>
      </c>
      <c r="EU183" s="4">
        <v>210</v>
      </c>
      <c r="EV183" s="4">
        <v>206</v>
      </c>
      <c r="EW183" s="4">
        <v>202</v>
      </c>
      <c r="EX183" s="4">
        <v>198</v>
      </c>
      <c r="EY183" s="4">
        <v>194</v>
      </c>
      <c r="EZ183" s="4">
        <v>191</v>
      </c>
      <c r="FA183" s="4">
        <v>188</v>
      </c>
      <c r="FB183" s="4">
        <v>184</v>
      </c>
      <c r="FC183" s="4">
        <v>181</v>
      </c>
      <c r="FD183" s="4">
        <v>177</v>
      </c>
      <c r="FE183" s="4">
        <v>173</v>
      </c>
      <c r="FF183" s="4">
        <v>169</v>
      </c>
      <c r="FG183" s="4">
        <v>165</v>
      </c>
      <c r="FH183" s="4">
        <v>160</v>
      </c>
      <c r="FI183" s="4">
        <v>155</v>
      </c>
      <c r="FJ183" s="4">
        <v>150</v>
      </c>
      <c r="FK183" s="4">
        <v>145</v>
      </c>
      <c r="FL183" s="4">
        <v>141</v>
      </c>
      <c r="FM183" s="4">
        <v>137</v>
      </c>
      <c r="FN183" s="4">
        <v>133</v>
      </c>
      <c r="FO183" s="4">
        <v>129</v>
      </c>
      <c r="FP183" s="4">
        <v>124</v>
      </c>
      <c r="FQ183" s="4">
        <v>119</v>
      </c>
      <c r="FR183" s="4">
        <v>114</v>
      </c>
      <c r="FS183" s="4">
        <v>299</v>
      </c>
      <c r="FT183" s="19">
        <v>54</v>
      </c>
      <c r="FU183" s="19">
        <v>52.5</v>
      </c>
      <c r="FV183" s="19">
        <v>51.5</v>
      </c>
      <c r="FW183" s="19">
        <v>50.5</v>
      </c>
      <c r="FX183" s="19">
        <v>49.5</v>
      </c>
      <c r="FY183" s="19">
        <v>64.7</v>
      </c>
      <c r="FZ183" s="19">
        <v>47.8</v>
      </c>
      <c r="GA183" s="19">
        <v>47</v>
      </c>
      <c r="GB183" s="19">
        <v>46</v>
      </c>
      <c r="GC183" s="19">
        <v>45.3</v>
      </c>
      <c r="GD183" s="19">
        <v>44.3</v>
      </c>
      <c r="GE183" s="19">
        <v>43.3</v>
      </c>
      <c r="GF183" s="19">
        <v>33.8</v>
      </c>
      <c r="GG183" s="19">
        <v>33</v>
      </c>
      <c r="GH183" s="19">
        <v>32</v>
      </c>
      <c r="GI183" s="19">
        <v>38.8</v>
      </c>
      <c r="GJ183" s="19">
        <v>37.5</v>
      </c>
      <c r="GK183" s="19">
        <v>36.3</v>
      </c>
      <c r="GL183" s="19">
        <v>35.3</v>
      </c>
      <c r="GM183" s="19">
        <v>34.3</v>
      </c>
      <c r="GN183" s="19">
        <v>26.6</v>
      </c>
      <c r="GO183" s="19">
        <v>25.8</v>
      </c>
      <c r="GP183" s="19">
        <v>24.8</v>
      </c>
      <c r="GQ183" s="19">
        <v>19.8</v>
      </c>
      <c r="GR183" s="19">
        <v>19</v>
      </c>
      <c r="GS183" s="19">
        <v>49.8</v>
      </c>
    </row>
    <row r="184">
      <c r="A184" s="2" t="s">
        <v>1354</v>
      </c>
      <c r="B184" s="2" t="s">
        <v>1019</v>
      </c>
      <c r="C184" s="2" t="s">
        <v>246</v>
      </c>
      <c r="D184" s="2" t="s">
        <v>1318</v>
      </c>
      <c r="E184" s="2" t="s">
        <v>1319</v>
      </c>
      <c r="F184" s="2" t="s">
        <v>1320</v>
      </c>
      <c r="G184" s="2" t="s">
        <v>1320</v>
      </c>
      <c r="H184" s="2" t="s">
        <v>1320</v>
      </c>
      <c r="I184" s="2" t="s">
        <v>1319</v>
      </c>
      <c r="J184" s="2" t="s">
        <v>223</v>
      </c>
      <c r="K184" s="2" t="s">
        <v>865</v>
      </c>
      <c r="L184" s="3">
        <v>18.28</v>
      </c>
      <c r="M184" s="3">
        <v>19.19</v>
      </c>
      <c r="N184" s="3">
        <v>39.99</v>
      </c>
      <c r="O184" s="2" t="s">
        <v>196</v>
      </c>
      <c r="P184" s="2" t="s">
        <v>197</v>
      </c>
      <c r="Q184" s="2" t="s">
        <v>198</v>
      </c>
      <c r="R184" s="2" t="s">
        <v>199</v>
      </c>
      <c r="S184" s="2" t="s">
        <v>1350</v>
      </c>
      <c r="T184" s="2" t="s">
        <v>1322</v>
      </c>
      <c r="U184" s="2" t="s">
        <v>280</v>
      </c>
      <c r="V184" s="2" t="s">
        <v>638</v>
      </c>
      <c r="W184" s="2" t="s">
        <v>529</v>
      </c>
      <c r="X184" s="2" t="s">
        <v>623</v>
      </c>
      <c r="Y184" s="2" t="s">
        <v>1000</v>
      </c>
      <c r="Z184" s="4">
        <v>184</v>
      </c>
      <c r="AA184" s="4">
        <f>=ROUNDDOWN(30.6666666666667,0)</f>
      </c>
      <c r="AB184" s="5">
        <v>6</v>
      </c>
      <c r="AC184" s="2" t="s">
        <v>199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199</v>
      </c>
      <c r="AW184" s="8" t="s">
        <v>199</v>
      </c>
      <c r="AX184" s="4" t="s">
        <v>199</v>
      </c>
      <c r="AY184" s="8" t="s">
        <v>199</v>
      </c>
      <c r="AZ184" s="7" t="s">
        <v>199</v>
      </c>
      <c r="BA184" s="7" t="s">
        <v>199</v>
      </c>
      <c r="BB184" s="7"/>
      <c r="BC184" s="4" t="s">
        <v>199</v>
      </c>
      <c r="BD184" s="8" t="s">
        <v>199</v>
      </c>
      <c r="BE184" s="4" t="s">
        <v>199</v>
      </c>
      <c r="BF184" s="8" t="s">
        <v>199</v>
      </c>
      <c r="BG184" s="7" t="s">
        <v>199</v>
      </c>
      <c r="BH184" s="7" t="s">
        <v>199</v>
      </c>
      <c r="BI184" s="7"/>
      <c r="BJ184" s="4">
        <v>37</v>
      </c>
      <c r="BK184" s="8">
        <v>761.79</v>
      </c>
      <c r="BL184" s="2" t="s">
        <v>1323</v>
      </c>
      <c r="BM184" s="7"/>
      <c r="BN184" s="7"/>
      <c r="BO184" s="4"/>
      <c r="BP184" s="8"/>
      <c r="BQ184" s="4"/>
      <c r="BR184" s="8"/>
      <c r="BS184" s="7"/>
      <c r="BT184" s="7"/>
      <c r="BU184" s="2" t="s">
        <v>1324</v>
      </c>
      <c r="BV184" s="2" t="s">
        <v>199</v>
      </c>
      <c r="BW184" s="2" t="s">
        <v>199</v>
      </c>
      <c r="BX184" s="2" t="s">
        <v>208</v>
      </c>
      <c r="BY184" s="2" t="s">
        <v>209</v>
      </c>
      <c r="BZ184" s="2" t="s">
        <v>196</v>
      </c>
      <c r="CA184" s="2" t="s">
        <v>1226</v>
      </c>
      <c r="CB184" s="2" t="s">
        <v>199</v>
      </c>
      <c r="CC184" s="2" t="s">
        <v>212</v>
      </c>
      <c r="CD184" s="2" t="s">
        <v>199</v>
      </c>
      <c r="CE184" s="4">
        <v>184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>
        <v>185</v>
      </c>
      <c r="EU184" s="4">
        <v>179</v>
      </c>
      <c r="EV184" s="4">
        <v>174</v>
      </c>
      <c r="EW184" s="4">
        <v>169</v>
      </c>
      <c r="EX184" s="4">
        <v>164</v>
      </c>
      <c r="EY184" s="4">
        <v>159</v>
      </c>
      <c r="EZ184" s="4">
        <v>154</v>
      </c>
      <c r="FA184" s="4">
        <v>149</v>
      </c>
      <c r="FB184" s="4">
        <v>143</v>
      </c>
      <c r="FC184" s="4">
        <v>138</v>
      </c>
      <c r="FD184" s="4">
        <v>132</v>
      </c>
      <c r="FE184" s="4">
        <v>126</v>
      </c>
      <c r="FF184" s="4">
        <v>120</v>
      </c>
      <c r="FG184" s="4">
        <v>114</v>
      </c>
      <c r="FH184" s="4">
        <v>107</v>
      </c>
      <c r="FI184" s="4">
        <v>100</v>
      </c>
      <c r="FJ184" s="4">
        <v>93</v>
      </c>
      <c r="FK184" s="4">
        <v>86</v>
      </c>
      <c r="FL184" s="4">
        <v>79</v>
      </c>
      <c r="FM184" s="4">
        <v>72</v>
      </c>
      <c r="FN184" s="4">
        <v>65</v>
      </c>
      <c r="FO184" s="4">
        <v>58</v>
      </c>
      <c r="FP184" s="4">
        <v>50</v>
      </c>
      <c r="FQ184" s="4">
        <v>43</v>
      </c>
      <c r="FR184" s="4">
        <v>36</v>
      </c>
      <c r="FS184" s="4">
        <v>229</v>
      </c>
      <c r="FT184" s="19">
        <v>37</v>
      </c>
      <c r="FU184" s="19">
        <v>35.8</v>
      </c>
      <c r="FV184" s="19">
        <v>34.8</v>
      </c>
      <c r="FW184" s="19">
        <v>33.8</v>
      </c>
      <c r="FX184" s="19">
        <v>32.8</v>
      </c>
      <c r="FY184" s="19">
        <v>31.8</v>
      </c>
      <c r="FZ184" s="19">
        <v>25.7</v>
      </c>
      <c r="GA184" s="19">
        <v>24.8</v>
      </c>
      <c r="GB184" s="19">
        <v>23.8</v>
      </c>
      <c r="GC184" s="19">
        <v>23</v>
      </c>
      <c r="GD184" s="19">
        <v>22</v>
      </c>
      <c r="GE184" s="19">
        <v>21</v>
      </c>
      <c r="GF184" s="19">
        <v>17.1</v>
      </c>
      <c r="GG184" s="19">
        <v>16.3</v>
      </c>
      <c r="GH184" s="19">
        <v>15.3</v>
      </c>
      <c r="GI184" s="19">
        <v>14.3</v>
      </c>
      <c r="GJ184" s="19">
        <v>13.3</v>
      </c>
      <c r="GK184" s="19">
        <v>12.3</v>
      </c>
      <c r="GL184" s="19">
        <v>11.3</v>
      </c>
      <c r="GM184" s="19">
        <v>10.3</v>
      </c>
      <c r="GN184" s="19">
        <v>9.3</v>
      </c>
      <c r="GO184" s="19">
        <v>8.3</v>
      </c>
      <c r="GP184" s="19">
        <v>7.1</v>
      </c>
      <c r="GQ184" s="19">
        <v>5.4</v>
      </c>
      <c r="GR184" s="19">
        <v>4.5</v>
      </c>
      <c r="GS184" s="19">
        <v>28.6</v>
      </c>
    </row>
    <row r="185">
      <c r="A185" s="2" t="s">
        <v>1355</v>
      </c>
      <c r="B185" s="2" t="s">
        <v>736</v>
      </c>
      <c r="C185" s="2" t="s">
        <v>1007</v>
      </c>
      <c r="D185" s="2" t="s">
        <v>228</v>
      </c>
      <c r="E185" s="2" t="s">
        <v>487</v>
      </c>
      <c r="F185" s="2" t="s">
        <v>1356</v>
      </c>
      <c r="G185" s="2" t="s">
        <v>1357</v>
      </c>
      <c r="H185" s="2" t="s">
        <v>1358</v>
      </c>
      <c r="I185" s="2" t="s">
        <v>1359</v>
      </c>
      <c r="J185" s="2" t="s">
        <v>1011</v>
      </c>
      <c r="K185" s="2" t="s">
        <v>584</v>
      </c>
      <c r="L185" s="3">
        <v>31.25</v>
      </c>
      <c r="M185" s="3">
        <v>32.81</v>
      </c>
      <c r="N185" s="3">
        <v>69.99</v>
      </c>
      <c r="O185" s="2" t="s">
        <v>196</v>
      </c>
      <c r="P185" s="2" t="s">
        <v>197</v>
      </c>
      <c r="Q185" s="2" t="s">
        <v>198</v>
      </c>
      <c r="R185" s="2" t="s">
        <v>199</v>
      </c>
      <c r="S185" s="2" t="s">
        <v>1360</v>
      </c>
      <c r="T185" s="2" t="s">
        <v>386</v>
      </c>
      <c r="U185" s="2" t="s">
        <v>637</v>
      </c>
      <c r="V185" s="2" t="s">
        <v>562</v>
      </c>
      <c r="W185" s="2" t="s">
        <v>510</v>
      </c>
      <c r="X185" s="2" t="s">
        <v>203</v>
      </c>
      <c r="Y185" s="2" t="s">
        <v>1361</v>
      </c>
      <c r="Z185" s="4">
        <v>177</v>
      </c>
      <c r="AA185" s="4">
        <f>=ROUNDDOWN(73.75,0)</f>
      </c>
      <c r="AB185" s="5">
        <v>2.4</v>
      </c>
      <c r="AC185" s="2" t="s">
        <v>199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199</v>
      </c>
      <c r="AW185" s="8" t="s">
        <v>199</v>
      </c>
      <c r="AX185" s="4" t="s">
        <v>199</v>
      </c>
      <c r="AY185" s="8" t="s">
        <v>199</v>
      </c>
      <c r="AZ185" s="7" t="s">
        <v>199</v>
      </c>
      <c r="BA185" s="7" t="s">
        <v>199</v>
      </c>
      <c r="BB185" s="7"/>
      <c r="BC185" s="4" t="s">
        <v>199</v>
      </c>
      <c r="BD185" s="8" t="s">
        <v>199</v>
      </c>
      <c r="BE185" s="4" t="s">
        <v>199</v>
      </c>
      <c r="BF185" s="8" t="s">
        <v>199</v>
      </c>
      <c r="BG185" s="7" t="s">
        <v>199</v>
      </c>
      <c r="BH185" s="7" t="s">
        <v>199</v>
      </c>
      <c r="BI185" s="7"/>
      <c r="BJ185" s="4">
        <v>40</v>
      </c>
      <c r="BK185" s="8">
        <v>1295.08</v>
      </c>
      <c r="BL185" s="2" t="s">
        <v>1362</v>
      </c>
      <c r="BM185" s="7"/>
      <c r="BN185" s="7"/>
      <c r="BO185" s="4"/>
      <c r="BP185" s="8"/>
      <c r="BQ185" s="4"/>
      <c r="BR185" s="8"/>
      <c r="BS185" s="7"/>
      <c r="BT185" s="7"/>
      <c r="BU185" s="2" t="s">
        <v>1363</v>
      </c>
      <c r="BV185" s="2" t="s">
        <v>199</v>
      </c>
      <c r="BW185" s="2" t="s">
        <v>199</v>
      </c>
      <c r="BX185" s="2" t="s">
        <v>686</v>
      </c>
      <c r="BY185" s="2" t="s">
        <v>209</v>
      </c>
      <c r="BZ185" s="2" t="s">
        <v>196</v>
      </c>
      <c r="CA185" s="2" t="s">
        <v>1364</v>
      </c>
      <c r="CB185" s="2" t="s">
        <v>199</v>
      </c>
      <c r="CC185" s="2" t="s">
        <v>212</v>
      </c>
      <c r="CD185" s="2" t="s">
        <v>199</v>
      </c>
      <c r="CE185" s="4">
        <v>177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>
        <v>179</v>
      </c>
      <c r="EU185" s="4">
        <v>177</v>
      </c>
      <c r="EV185" s="4">
        <v>175</v>
      </c>
      <c r="EW185" s="4">
        <v>173</v>
      </c>
      <c r="EX185" s="4">
        <v>171</v>
      </c>
      <c r="EY185" s="4">
        <v>169</v>
      </c>
      <c r="EZ185" s="4">
        <v>166</v>
      </c>
      <c r="FA185" s="4">
        <v>163</v>
      </c>
      <c r="FB185" s="4">
        <v>160</v>
      </c>
      <c r="FC185" s="4">
        <v>157</v>
      </c>
      <c r="FD185" s="4">
        <v>154</v>
      </c>
      <c r="FE185" s="4">
        <v>151</v>
      </c>
      <c r="FF185" s="4">
        <v>148</v>
      </c>
      <c r="FG185" s="4">
        <v>145</v>
      </c>
      <c r="FH185" s="4">
        <v>142</v>
      </c>
      <c r="FI185" s="4">
        <v>139</v>
      </c>
      <c r="FJ185" s="4">
        <v>136</v>
      </c>
      <c r="FK185" s="4">
        <v>133</v>
      </c>
      <c r="FL185" s="4">
        <v>130</v>
      </c>
      <c r="FM185" s="4">
        <v>127</v>
      </c>
      <c r="FN185" s="4">
        <v>124</v>
      </c>
      <c r="FO185" s="4">
        <v>120</v>
      </c>
      <c r="FP185" s="4">
        <v>116</v>
      </c>
      <c r="FQ185" s="4">
        <v>112</v>
      </c>
      <c r="FR185" s="4">
        <v>108</v>
      </c>
      <c r="FS185" s="4">
        <v>104</v>
      </c>
      <c r="FT185" s="19">
        <v>89.5</v>
      </c>
      <c r="FU185" s="19">
        <v>88.5</v>
      </c>
      <c r="FV185" s="19">
        <v>87.5</v>
      </c>
      <c r="FW185" s="19">
        <v>86.5</v>
      </c>
      <c r="FX185" s="19">
        <v>57</v>
      </c>
      <c r="FY185" s="19">
        <v>56.3</v>
      </c>
      <c r="FZ185" s="19">
        <v>55.3</v>
      </c>
      <c r="GA185" s="19">
        <v>54.3</v>
      </c>
      <c r="GB185" s="19">
        <v>53.3</v>
      </c>
      <c r="GC185" s="19">
        <v>52.3</v>
      </c>
      <c r="GD185" s="19">
        <v>51.3</v>
      </c>
      <c r="GE185" s="19">
        <v>50.3</v>
      </c>
      <c r="GF185" s="19">
        <v>49.3</v>
      </c>
      <c r="GG185" s="19">
        <v>48.3</v>
      </c>
      <c r="GH185" s="19">
        <v>47.3</v>
      </c>
      <c r="GI185" s="19">
        <v>46.3</v>
      </c>
      <c r="GJ185" s="19">
        <v>45.3</v>
      </c>
      <c r="GK185" s="19">
        <v>44.3</v>
      </c>
      <c r="GL185" s="19">
        <v>32.5</v>
      </c>
      <c r="GM185" s="19">
        <v>31.8</v>
      </c>
      <c r="GN185" s="19">
        <v>31</v>
      </c>
      <c r="GO185" s="19">
        <v>30</v>
      </c>
      <c r="GP185" s="19">
        <v>29</v>
      </c>
      <c r="GQ185" s="19">
        <v>28</v>
      </c>
      <c r="GR185" s="19">
        <v>27</v>
      </c>
      <c r="GS185" s="19">
        <v>26</v>
      </c>
    </row>
    <row r="186">
      <c r="A186" s="2" t="s">
        <v>1365</v>
      </c>
      <c r="B186" s="2" t="s">
        <v>736</v>
      </c>
      <c r="C186" s="2" t="s">
        <v>1007</v>
      </c>
      <c r="D186" s="2" t="s">
        <v>228</v>
      </c>
      <c r="E186" s="2" t="s">
        <v>487</v>
      </c>
      <c r="F186" s="2" t="s">
        <v>1356</v>
      </c>
      <c r="G186" s="2" t="s">
        <v>1357</v>
      </c>
      <c r="H186" s="2" t="s">
        <v>1358</v>
      </c>
      <c r="I186" s="2" t="s">
        <v>1359</v>
      </c>
      <c r="J186" s="2" t="s">
        <v>241</v>
      </c>
      <c r="K186" s="2" t="s">
        <v>584</v>
      </c>
      <c r="L186" s="3">
        <v>39.5</v>
      </c>
      <c r="M186" s="3">
        <v>41.48</v>
      </c>
      <c r="N186" s="3">
        <v>89.99</v>
      </c>
      <c r="O186" s="2" t="s">
        <v>196</v>
      </c>
      <c r="P186" s="2" t="s">
        <v>197</v>
      </c>
      <c r="Q186" s="2" t="s">
        <v>198</v>
      </c>
      <c r="R186" s="2" t="s">
        <v>199</v>
      </c>
      <c r="S186" s="2" t="s">
        <v>1360</v>
      </c>
      <c r="T186" s="2" t="s">
        <v>386</v>
      </c>
      <c r="U186" s="2" t="s">
        <v>254</v>
      </c>
      <c r="V186" s="2" t="s">
        <v>562</v>
      </c>
      <c r="W186" s="2" t="s">
        <v>510</v>
      </c>
      <c r="X186" s="2" t="s">
        <v>203</v>
      </c>
      <c r="Y186" s="2" t="s">
        <v>1366</v>
      </c>
      <c r="Z186" s="4">
        <v>115</v>
      </c>
      <c r="AA186" s="4">
        <f>=ROUNDDOWN(28.75,0)</f>
      </c>
      <c r="AB186" s="5">
        <v>4</v>
      </c>
      <c r="AC186" s="2" t="s">
        <v>199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199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199</v>
      </c>
      <c r="AW186" s="8" t="s">
        <v>199</v>
      </c>
      <c r="AX186" s="4" t="s">
        <v>199</v>
      </c>
      <c r="AY186" s="8" t="s">
        <v>199</v>
      </c>
      <c r="AZ186" s="7" t="s">
        <v>199</v>
      </c>
      <c r="BA186" s="7" t="s">
        <v>199</v>
      </c>
      <c r="BB186" s="7"/>
      <c r="BC186" s="4" t="s">
        <v>199</v>
      </c>
      <c r="BD186" s="8" t="s">
        <v>199</v>
      </c>
      <c r="BE186" s="4" t="s">
        <v>199</v>
      </c>
      <c r="BF186" s="8" t="s">
        <v>199</v>
      </c>
      <c r="BG186" s="7" t="s">
        <v>199</v>
      </c>
      <c r="BH186" s="7" t="s">
        <v>199</v>
      </c>
      <c r="BI186" s="7"/>
      <c r="BJ186" s="4">
        <v>16</v>
      </c>
      <c r="BK186" s="8">
        <v>668.58</v>
      </c>
      <c r="BL186" s="2" t="s">
        <v>1367</v>
      </c>
      <c r="BM186" s="7"/>
      <c r="BN186" s="7"/>
      <c r="BO186" s="4"/>
      <c r="BP186" s="8"/>
      <c r="BQ186" s="4"/>
      <c r="BR186" s="8"/>
      <c r="BS186" s="7"/>
      <c r="BT186" s="7"/>
      <c r="BU186" s="2" t="s">
        <v>1363</v>
      </c>
      <c r="BV186" s="2" t="s">
        <v>199</v>
      </c>
      <c r="BW186" s="2" t="s">
        <v>199</v>
      </c>
      <c r="BX186" s="2" t="s">
        <v>686</v>
      </c>
      <c r="BY186" s="2" t="s">
        <v>209</v>
      </c>
      <c r="BZ186" s="2" t="s">
        <v>196</v>
      </c>
      <c r="CA186" s="2" t="s">
        <v>1364</v>
      </c>
      <c r="CB186" s="2" t="s">
        <v>1335</v>
      </c>
      <c r="CC186" s="2" t="s">
        <v>212</v>
      </c>
      <c r="CD186" s="2" t="s">
        <v>199</v>
      </c>
      <c r="CE186" s="4">
        <v>115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>
        <v>115</v>
      </c>
      <c r="EU186" s="4">
        <v>103</v>
      </c>
      <c r="EV186" s="4">
        <v>99</v>
      </c>
      <c r="EW186" s="4">
        <v>95</v>
      </c>
      <c r="EX186" s="4">
        <v>91</v>
      </c>
      <c r="EY186" s="4">
        <v>87</v>
      </c>
      <c r="EZ186" s="4">
        <v>83</v>
      </c>
      <c r="FA186" s="4">
        <v>79</v>
      </c>
      <c r="FB186" s="4">
        <v>75</v>
      </c>
      <c r="FC186" s="4">
        <v>71</v>
      </c>
      <c r="FD186" s="4">
        <v>67</v>
      </c>
      <c r="FE186" s="4">
        <v>63</v>
      </c>
      <c r="FF186" s="4">
        <v>59</v>
      </c>
      <c r="FG186" s="4">
        <v>55</v>
      </c>
      <c r="FH186" s="4">
        <v>51</v>
      </c>
      <c r="FI186" s="4">
        <v>47</v>
      </c>
      <c r="FJ186" s="4">
        <v>43</v>
      </c>
      <c r="FK186" s="4">
        <v>39</v>
      </c>
      <c r="FL186" s="4">
        <v>35</v>
      </c>
      <c r="FM186" s="4">
        <v>31</v>
      </c>
      <c r="FN186" s="4">
        <v>27</v>
      </c>
      <c r="FO186" s="4">
        <v>23</v>
      </c>
      <c r="FP186" s="4">
        <v>19</v>
      </c>
      <c r="FQ186" s="4">
        <v>75</v>
      </c>
      <c r="FR186" s="4">
        <v>71</v>
      </c>
      <c r="FS186" s="4">
        <v>66</v>
      </c>
      <c r="FT186" s="19">
        <v>19.2</v>
      </c>
      <c r="FU186" s="19">
        <v>25.8</v>
      </c>
      <c r="FV186" s="19">
        <v>24.8</v>
      </c>
      <c r="FW186" s="19">
        <v>23.8</v>
      </c>
      <c r="FX186" s="19">
        <v>22.8</v>
      </c>
      <c r="FY186" s="19">
        <v>21.8</v>
      </c>
      <c r="FZ186" s="19">
        <v>20.8</v>
      </c>
      <c r="GA186" s="19">
        <v>19.8</v>
      </c>
      <c r="GB186" s="19">
        <v>18.8</v>
      </c>
      <c r="GC186" s="19">
        <v>17.8</v>
      </c>
      <c r="GD186" s="19">
        <v>16.8</v>
      </c>
      <c r="GE186" s="19">
        <v>15.8</v>
      </c>
      <c r="GF186" s="19">
        <v>14.8</v>
      </c>
      <c r="GG186" s="19">
        <v>13.8</v>
      </c>
      <c r="GH186" s="19">
        <v>12.8</v>
      </c>
      <c r="GI186" s="19">
        <v>11.8</v>
      </c>
      <c r="GJ186" s="19">
        <v>10.8</v>
      </c>
      <c r="GK186" s="19">
        <v>9.8</v>
      </c>
      <c r="GL186" s="19">
        <v>8.8</v>
      </c>
      <c r="GM186" s="19">
        <v>7.8</v>
      </c>
      <c r="GN186" s="19">
        <v>6.8</v>
      </c>
      <c r="GO186" s="19">
        <v>5.8</v>
      </c>
      <c r="GP186" s="19">
        <v>3.8</v>
      </c>
      <c r="GQ186" s="19">
        <v>15</v>
      </c>
      <c r="GR186" s="19">
        <v>14.2</v>
      </c>
      <c r="GS186" s="19">
        <v>16.5</v>
      </c>
    </row>
    <row r="187">
      <c r="A187" s="2" t="s">
        <v>1368</v>
      </c>
      <c r="B187" s="2" t="s">
        <v>554</v>
      </c>
      <c r="C187" s="2" t="s">
        <v>604</v>
      </c>
      <c r="D187" s="2" t="s">
        <v>861</v>
      </c>
      <c r="E187" s="2" t="s">
        <v>862</v>
      </c>
      <c r="F187" s="2" t="s">
        <v>1369</v>
      </c>
      <c r="G187" s="2" t="s">
        <v>1369</v>
      </c>
      <c r="H187" s="2" t="s">
        <v>1369</v>
      </c>
      <c r="I187" s="2" t="s">
        <v>1370</v>
      </c>
      <c r="J187" s="2" t="s">
        <v>559</v>
      </c>
      <c r="K187" s="2" t="s">
        <v>665</v>
      </c>
      <c r="L187" s="3">
        <v>40.03</v>
      </c>
      <c r="M187" s="3">
        <v>42.03</v>
      </c>
      <c r="N187" s="3">
        <v>87.54</v>
      </c>
      <c r="O187" s="2" t="s">
        <v>196</v>
      </c>
      <c r="P187" s="2" t="s">
        <v>197</v>
      </c>
      <c r="Q187" s="2" t="s">
        <v>198</v>
      </c>
      <c r="R187" s="2" t="s">
        <v>199</v>
      </c>
      <c r="S187" s="2" t="s">
        <v>1371</v>
      </c>
      <c r="T187" s="2" t="s">
        <v>199</v>
      </c>
      <c r="U187" s="2" t="s">
        <v>280</v>
      </c>
      <c r="V187" s="2" t="s">
        <v>562</v>
      </c>
      <c r="W187" s="2" t="s">
        <v>510</v>
      </c>
      <c r="X187" s="2" t="s">
        <v>199</v>
      </c>
      <c r="Y187" s="2" t="s">
        <v>1372</v>
      </c>
      <c r="Z187" s="4">
        <v>82</v>
      </c>
      <c r="AA187" s="4">
        <f>=ROUNDDOWN(26.4516129032258,0)</f>
      </c>
      <c r="AB187" s="5">
        <v>3.1</v>
      </c>
      <c r="AC187" s="2" t="s">
        <v>199</v>
      </c>
      <c r="AD187" s="4"/>
      <c r="AE187" s="4"/>
      <c r="AF187" s="6">
        <v>61</v>
      </c>
      <c r="AG187" s="6"/>
      <c r="AH187" s="7">
        <v>1</v>
      </c>
      <c r="AI187" s="4"/>
      <c r="AJ187" s="4">
        <f>=ROUNDDOWN({0},0)</f>
      </c>
      <c r="AK187" s="5"/>
      <c r="AL187" s="2" t="s">
        <v>199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8</v>
      </c>
      <c r="BK187" s="8">
        <v>353.7</v>
      </c>
      <c r="BL187" s="2" t="s">
        <v>1373</v>
      </c>
      <c r="BM187" s="7"/>
      <c r="BN187" s="7"/>
      <c r="BO187" s="4"/>
      <c r="BP187" s="8"/>
      <c r="BQ187" s="4"/>
      <c r="BR187" s="8"/>
      <c r="BS187" s="7"/>
      <c r="BT187" s="7"/>
      <c r="BU187" s="2" t="s">
        <v>1374</v>
      </c>
      <c r="BV187" s="2" t="s">
        <v>199</v>
      </c>
      <c r="BW187" s="2" t="s">
        <v>199</v>
      </c>
      <c r="BX187" s="2" t="s">
        <v>208</v>
      </c>
      <c r="BY187" s="2" t="s">
        <v>209</v>
      </c>
      <c r="BZ187" s="2" t="s">
        <v>196</v>
      </c>
      <c r="CA187" s="2" t="s">
        <v>1375</v>
      </c>
      <c r="CB187" s="2" t="s">
        <v>522</v>
      </c>
      <c r="CC187" s="2" t="s">
        <v>212</v>
      </c>
      <c r="CD187" s="2" t="s">
        <v>199</v>
      </c>
      <c r="CE187" s="4"/>
      <c r="CF187" s="4">
        <v>82</v>
      </c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>
        <v>83</v>
      </c>
      <c r="EU187" s="4">
        <v>79</v>
      </c>
      <c r="EV187" s="4">
        <v>76</v>
      </c>
      <c r="EW187" s="4">
        <v>73</v>
      </c>
      <c r="EX187" s="4">
        <v>70</v>
      </c>
      <c r="EY187" s="4">
        <v>67</v>
      </c>
      <c r="EZ187" s="4">
        <v>64</v>
      </c>
      <c r="FA187" s="4">
        <v>61</v>
      </c>
      <c r="FB187" s="4">
        <v>57</v>
      </c>
      <c r="FC187" s="4">
        <v>54</v>
      </c>
      <c r="FD187" s="4">
        <v>51</v>
      </c>
      <c r="FE187" s="4">
        <v>48</v>
      </c>
      <c r="FF187" s="4">
        <v>45</v>
      </c>
      <c r="FG187" s="4">
        <v>42</v>
      </c>
      <c r="FH187" s="4">
        <v>39</v>
      </c>
      <c r="FI187" s="4">
        <v>36</v>
      </c>
      <c r="FJ187" s="4">
        <v>33</v>
      </c>
      <c r="FK187" s="4">
        <v>30</v>
      </c>
      <c r="FL187" s="4">
        <v>27</v>
      </c>
      <c r="FM187" s="4">
        <v>24</v>
      </c>
      <c r="FN187" s="4">
        <v>21</v>
      </c>
      <c r="FO187" s="4">
        <v>18</v>
      </c>
      <c r="FP187" s="4">
        <v>14</v>
      </c>
      <c r="FQ187" s="4">
        <v>11</v>
      </c>
      <c r="FR187" s="4">
        <v>22</v>
      </c>
      <c r="FS187" s="4">
        <v>19</v>
      </c>
      <c r="FT187" s="19">
        <v>27.7</v>
      </c>
      <c r="FU187" s="19">
        <v>26.3</v>
      </c>
      <c r="FV187" s="19">
        <v>25.3</v>
      </c>
      <c r="FW187" s="19">
        <v>24.3</v>
      </c>
      <c r="FX187" s="19">
        <v>23.3</v>
      </c>
      <c r="FY187" s="19">
        <v>22.3</v>
      </c>
      <c r="FZ187" s="19">
        <v>21.3</v>
      </c>
      <c r="GA187" s="19">
        <v>20.3</v>
      </c>
      <c r="GB187" s="19">
        <v>19</v>
      </c>
      <c r="GC187" s="19">
        <v>18</v>
      </c>
      <c r="GD187" s="19">
        <v>17</v>
      </c>
      <c r="GE187" s="19">
        <v>16</v>
      </c>
      <c r="GF187" s="19">
        <v>15</v>
      </c>
      <c r="GG187" s="19">
        <v>14</v>
      </c>
      <c r="GH187" s="19">
        <v>13</v>
      </c>
      <c r="GI187" s="19">
        <v>12</v>
      </c>
      <c r="GJ187" s="19">
        <v>11</v>
      </c>
      <c r="GK187" s="19">
        <v>10</v>
      </c>
      <c r="GL187" s="19">
        <v>9</v>
      </c>
      <c r="GM187" s="19">
        <v>8</v>
      </c>
      <c r="GN187" s="19">
        <v>7</v>
      </c>
      <c r="GO187" s="19">
        <v>6</v>
      </c>
      <c r="GP187" s="19">
        <v>4.7</v>
      </c>
      <c r="GQ187" s="19">
        <v>3.7</v>
      </c>
      <c r="GR187" s="19">
        <v>7.3</v>
      </c>
      <c r="GS187" s="19">
        <v>6.3</v>
      </c>
    </row>
    <row r="188">
      <c r="A188" s="2" t="s">
        <v>1376</v>
      </c>
      <c r="B188" s="2" t="s">
        <v>630</v>
      </c>
      <c r="C188" s="2" t="s">
        <v>1377</v>
      </c>
      <c r="D188" s="2" t="s">
        <v>228</v>
      </c>
      <c r="E188" s="2" t="s">
        <v>487</v>
      </c>
      <c r="F188" s="2" t="s">
        <v>1378</v>
      </c>
      <c r="G188" s="2" t="s">
        <v>199</v>
      </c>
      <c r="H188" s="2" t="s">
        <v>199</v>
      </c>
      <c r="I188" s="2" t="s">
        <v>988</v>
      </c>
      <c r="J188" s="2" t="s">
        <v>219</v>
      </c>
      <c r="K188" s="2" t="s">
        <v>1379</v>
      </c>
      <c r="L188" s="3">
        <v>89.3</v>
      </c>
      <c r="M188" s="3">
        <v>93.76</v>
      </c>
      <c r="N188" s="3">
        <v>189.99</v>
      </c>
      <c r="O188" s="2" t="s">
        <v>196</v>
      </c>
      <c r="P188" s="2" t="s">
        <v>197</v>
      </c>
      <c r="Q188" s="2" t="s">
        <v>198</v>
      </c>
      <c r="R188" s="2" t="s">
        <v>199</v>
      </c>
      <c r="S188" s="2" t="s">
        <v>1380</v>
      </c>
      <c r="T188" s="2" t="s">
        <v>199</v>
      </c>
      <c r="U188" s="2" t="s">
        <v>637</v>
      </c>
      <c r="V188" s="2" t="s">
        <v>1381</v>
      </c>
      <c r="W188" s="2" t="s">
        <v>510</v>
      </c>
      <c r="X188" s="2" t="s">
        <v>199</v>
      </c>
      <c r="Y188" s="2" t="s">
        <v>204</v>
      </c>
      <c r="Z188" s="4">
        <v>43</v>
      </c>
      <c r="AA188" s="4">
        <f>=ROUNDDOWN(28.6666666666667,0)</f>
      </c>
      <c r="AB188" s="5">
        <v>1.5</v>
      </c>
      <c r="AC188" s="2" t="s">
        <v>199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199</v>
      </c>
      <c r="AW188" s="8" t="s">
        <v>199</v>
      </c>
      <c r="AX188" s="4" t="s">
        <v>199</v>
      </c>
      <c r="AY188" s="8" t="s">
        <v>199</v>
      </c>
      <c r="AZ188" s="7" t="s">
        <v>199</v>
      </c>
      <c r="BA188" s="7" t="s">
        <v>199</v>
      </c>
      <c r="BB188" s="7"/>
      <c r="BC188" s="4" t="s">
        <v>199</v>
      </c>
      <c r="BD188" s="8" t="s">
        <v>199</v>
      </c>
      <c r="BE188" s="4" t="s">
        <v>199</v>
      </c>
      <c r="BF188" s="8" t="s">
        <v>199</v>
      </c>
      <c r="BG188" s="7" t="s">
        <v>199</v>
      </c>
      <c r="BH188" s="7" t="s">
        <v>199</v>
      </c>
      <c r="BI188" s="7"/>
      <c r="BJ188" s="4">
        <v>16</v>
      </c>
      <c r="BK188" s="8">
        <v>1454.57</v>
      </c>
      <c r="BL188" s="2" t="s">
        <v>1382</v>
      </c>
      <c r="BM188" s="7"/>
      <c r="BN188" s="7"/>
      <c r="BO188" s="4"/>
      <c r="BP188" s="8"/>
      <c r="BQ188" s="4"/>
      <c r="BR188" s="8"/>
      <c r="BS188" s="7"/>
      <c r="BT188" s="7"/>
      <c r="BU188" s="2" t="s">
        <v>1383</v>
      </c>
      <c r="BV188" s="2" t="s">
        <v>199</v>
      </c>
      <c r="BW188" s="2" t="s">
        <v>199</v>
      </c>
      <c r="BX188" s="2" t="s">
        <v>208</v>
      </c>
      <c r="BY188" s="2" t="s">
        <v>209</v>
      </c>
      <c r="BZ188" s="2" t="s">
        <v>196</v>
      </c>
      <c r="CA188" s="2" t="s">
        <v>210</v>
      </c>
      <c r="CB188" s="2" t="s">
        <v>1384</v>
      </c>
      <c r="CC188" s="2" t="s">
        <v>212</v>
      </c>
      <c r="CD188" s="2" t="s">
        <v>199</v>
      </c>
      <c r="CE188" s="4">
        <v>35</v>
      </c>
      <c r="CF188" s="4"/>
      <c r="CG188" s="4"/>
      <c r="CH188" s="4"/>
      <c r="CI188" s="4"/>
      <c r="CJ188" s="4"/>
      <c r="CK188" s="4"/>
      <c r="CL188" s="4">
        <v>8</v>
      </c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>
        <v>44</v>
      </c>
      <c r="EU188" s="4">
        <v>41</v>
      </c>
      <c r="EV188" s="4">
        <v>39</v>
      </c>
      <c r="EW188" s="4">
        <v>37</v>
      </c>
      <c r="EX188" s="4">
        <v>35</v>
      </c>
      <c r="EY188" s="4">
        <v>33</v>
      </c>
      <c r="EZ188" s="4">
        <v>31</v>
      </c>
      <c r="FA188" s="4">
        <v>29</v>
      </c>
      <c r="FB188" s="4">
        <v>27</v>
      </c>
      <c r="FC188" s="4">
        <v>25</v>
      </c>
      <c r="FD188" s="4">
        <v>23</v>
      </c>
      <c r="FE188" s="4">
        <v>21</v>
      </c>
      <c r="FF188" s="4">
        <v>19</v>
      </c>
      <c r="FG188" s="4">
        <v>17</v>
      </c>
      <c r="FH188" s="4">
        <v>15</v>
      </c>
      <c r="FI188" s="4">
        <v>13</v>
      </c>
      <c r="FJ188" s="4">
        <v>11</v>
      </c>
      <c r="FK188" s="4">
        <v>109</v>
      </c>
      <c r="FL188" s="4">
        <v>107</v>
      </c>
      <c r="FM188" s="4">
        <v>105</v>
      </c>
      <c r="FN188" s="4">
        <v>103</v>
      </c>
      <c r="FO188" s="4">
        <v>101</v>
      </c>
      <c r="FP188" s="4">
        <v>99</v>
      </c>
      <c r="FQ188" s="4">
        <v>97</v>
      </c>
      <c r="FR188" s="4">
        <v>95</v>
      </c>
      <c r="FS188" s="4">
        <v>93</v>
      </c>
      <c r="FT188" s="19">
        <v>22</v>
      </c>
      <c r="FU188" s="19">
        <v>20.5</v>
      </c>
      <c r="FV188" s="19">
        <v>19.5</v>
      </c>
      <c r="FW188" s="19">
        <v>18.5</v>
      </c>
      <c r="FX188" s="19">
        <v>17.5</v>
      </c>
      <c r="FY188" s="19">
        <v>16.5</v>
      </c>
      <c r="FZ188" s="19">
        <v>15.5</v>
      </c>
      <c r="GA188" s="19">
        <v>14.5</v>
      </c>
      <c r="GB188" s="19">
        <v>13.5</v>
      </c>
      <c r="GC188" s="19">
        <v>12.5</v>
      </c>
      <c r="GD188" s="19">
        <v>11.5</v>
      </c>
      <c r="GE188" s="19">
        <v>10.5</v>
      </c>
      <c r="GF188" s="19">
        <v>9.5</v>
      </c>
      <c r="GG188" s="19">
        <v>8.5</v>
      </c>
      <c r="GH188" s="19">
        <v>7.5</v>
      </c>
      <c r="GI188" s="19">
        <v>6.5</v>
      </c>
      <c r="GJ188" s="19">
        <v>5.5</v>
      </c>
      <c r="GK188" s="19">
        <v>54.5</v>
      </c>
      <c r="GL188" s="19">
        <v>53.5</v>
      </c>
      <c r="GM188" s="19">
        <v>52.5</v>
      </c>
      <c r="GN188" s="19">
        <v>51.5</v>
      </c>
      <c r="GO188" s="19">
        <v>50.5</v>
      </c>
      <c r="GP188" s="19">
        <v>49.5</v>
      </c>
      <c r="GQ188" s="19">
        <v>48.5</v>
      </c>
      <c r="GR188" s="19">
        <v>47.5</v>
      </c>
      <c r="GS188" s="19">
        <v>46.5</v>
      </c>
    </row>
    <row r="189">
      <c r="A189" s="2" t="s">
        <v>1385</v>
      </c>
      <c r="B189" s="2" t="s">
        <v>630</v>
      </c>
      <c r="C189" s="2" t="s">
        <v>1377</v>
      </c>
      <c r="D189" s="2" t="s">
        <v>631</v>
      </c>
      <c r="E189" s="2" t="s">
        <v>720</v>
      </c>
      <c r="F189" s="2" t="s">
        <v>1378</v>
      </c>
      <c r="G189" s="2" t="s">
        <v>199</v>
      </c>
      <c r="H189" s="2" t="s">
        <v>199</v>
      </c>
      <c r="I189" s="2" t="s">
        <v>1386</v>
      </c>
      <c r="J189" s="2" t="s">
        <v>223</v>
      </c>
      <c r="K189" s="2" t="s">
        <v>1379</v>
      </c>
      <c r="L189" s="3">
        <v>84.6</v>
      </c>
      <c r="M189" s="3">
        <v>88.83</v>
      </c>
      <c r="N189" s="3">
        <v>179.99</v>
      </c>
      <c r="O189" s="2" t="s">
        <v>196</v>
      </c>
      <c r="P189" s="2" t="s">
        <v>197</v>
      </c>
      <c r="Q189" s="2" t="s">
        <v>198</v>
      </c>
      <c r="R189" s="2" t="s">
        <v>199</v>
      </c>
      <c r="S189" s="2" t="s">
        <v>1380</v>
      </c>
      <c r="T189" s="2" t="s">
        <v>199</v>
      </c>
      <c r="U189" s="2" t="s">
        <v>637</v>
      </c>
      <c r="V189" s="2" t="s">
        <v>1381</v>
      </c>
      <c r="W189" s="2" t="s">
        <v>510</v>
      </c>
      <c r="X189" s="2" t="s">
        <v>199</v>
      </c>
      <c r="Y189" s="2" t="s">
        <v>1387</v>
      </c>
      <c r="Z189" s="4">
        <v>125</v>
      </c>
      <c r="AA189" s="4">
        <f>=ROUNDDOWN(54.3478260869565,0)</f>
      </c>
      <c r="AB189" s="5">
        <v>2.3</v>
      </c>
      <c r="AC189" s="2" t="s">
        <v>199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199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199</v>
      </c>
      <c r="AW189" s="8" t="s">
        <v>199</v>
      </c>
      <c r="AX189" s="4" t="s">
        <v>199</v>
      </c>
      <c r="AY189" s="8" t="s">
        <v>199</v>
      </c>
      <c r="AZ189" s="7" t="s">
        <v>199</v>
      </c>
      <c r="BA189" s="7" t="s">
        <v>199</v>
      </c>
      <c r="BB189" s="7"/>
      <c r="BC189" s="4" t="s">
        <v>199</v>
      </c>
      <c r="BD189" s="8" t="s">
        <v>199</v>
      </c>
      <c r="BE189" s="4" t="s">
        <v>199</v>
      </c>
      <c r="BF189" s="8" t="s">
        <v>199</v>
      </c>
      <c r="BG189" s="7" t="s">
        <v>199</v>
      </c>
      <c r="BH189" s="7" t="s">
        <v>199</v>
      </c>
      <c r="BI189" s="7"/>
      <c r="BJ189" s="4">
        <v>10</v>
      </c>
      <c r="BK189" s="8">
        <v>916.1</v>
      </c>
      <c r="BL189" s="2" t="s">
        <v>1096</v>
      </c>
      <c r="BM189" s="7"/>
      <c r="BN189" s="7"/>
      <c r="BO189" s="4"/>
      <c r="BP189" s="8"/>
      <c r="BQ189" s="4"/>
      <c r="BR189" s="8"/>
      <c r="BS189" s="7"/>
      <c r="BT189" s="7"/>
      <c r="BU189" s="2" t="s">
        <v>1388</v>
      </c>
      <c r="BV189" s="2" t="s">
        <v>199</v>
      </c>
      <c r="BW189" s="2" t="s">
        <v>199</v>
      </c>
      <c r="BX189" s="2" t="s">
        <v>208</v>
      </c>
      <c r="BY189" s="2" t="s">
        <v>209</v>
      </c>
      <c r="BZ189" s="2" t="s">
        <v>196</v>
      </c>
      <c r="CA189" s="2" t="s">
        <v>210</v>
      </c>
      <c r="CB189" s="2" t="s">
        <v>773</v>
      </c>
      <c r="CC189" s="2" t="s">
        <v>212</v>
      </c>
      <c r="CD189" s="2" t="s">
        <v>199</v>
      </c>
      <c r="CE189" s="4">
        <v>125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>
        <v>128</v>
      </c>
      <c r="EU189" s="4">
        <v>126</v>
      </c>
      <c r="EV189" s="4">
        <v>125</v>
      </c>
      <c r="EW189" s="4">
        <v>124</v>
      </c>
      <c r="EX189" s="4">
        <v>123</v>
      </c>
      <c r="EY189" s="4">
        <v>122</v>
      </c>
      <c r="EZ189" s="4">
        <v>121</v>
      </c>
      <c r="FA189" s="4">
        <v>120</v>
      </c>
      <c r="FB189" s="4">
        <v>118</v>
      </c>
      <c r="FC189" s="4">
        <v>116</v>
      </c>
      <c r="FD189" s="4">
        <v>114</v>
      </c>
      <c r="FE189" s="4">
        <v>112</v>
      </c>
      <c r="FF189" s="4">
        <v>110</v>
      </c>
      <c r="FG189" s="4">
        <v>108</v>
      </c>
      <c r="FH189" s="4">
        <v>106</v>
      </c>
      <c r="FI189" s="4">
        <v>104</v>
      </c>
      <c r="FJ189" s="4">
        <v>102</v>
      </c>
      <c r="FK189" s="4">
        <v>100</v>
      </c>
      <c r="FL189" s="4">
        <v>98</v>
      </c>
      <c r="FM189" s="4">
        <v>96</v>
      </c>
      <c r="FN189" s="4">
        <v>94</v>
      </c>
      <c r="FO189" s="4">
        <v>92</v>
      </c>
      <c r="FP189" s="4">
        <v>90</v>
      </c>
      <c r="FQ189" s="4">
        <v>88</v>
      </c>
      <c r="FR189" s="4">
        <v>86</v>
      </c>
      <c r="FS189" s="4">
        <v>84</v>
      </c>
      <c r="FT189" s="19">
        <v>128</v>
      </c>
      <c r="FU189" s="19">
        <v>126</v>
      </c>
      <c r="FV189" s="19">
        <v>125</v>
      </c>
      <c r="FW189" s="19">
        <v>124</v>
      </c>
      <c r="FX189" s="19">
        <v>123</v>
      </c>
      <c r="FY189" s="19">
        <v>61</v>
      </c>
      <c r="FZ189" s="19">
        <v>60.5</v>
      </c>
      <c r="GA189" s="19">
        <v>60</v>
      </c>
      <c r="GB189" s="19">
        <v>59</v>
      </c>
      <c r="GC189" s="19">
        <v>58</v>
      </c>
      <c r="GD189" s="19">
        <v>57</v>
      </c>
      <c r="GE189" s="19">
        <v>56</v>
      </c>
      <c r="GF189" s="19">
        <v>55</v>
      </c>
      <c r="GG189" s="19">
        <v>54</v>
      </c>
      <c r="GH189" s="19">
        <v>53</v>
      </c>
      <c r="GI189" s="19">
        <v>52</v>
      </c>
      <c r="GJ189" s="19">
        <v>51</v>
      </c>
      <c r="GK189" s="19">
        <v>50</v>
      </c>
      <c r="GL189" s="19">
        <v>49</v>
      </c>
      <c r="GM189" s="19">
        <v>48</v>
      </c>
      <c r="GN189" s="19">
        <v>47</v>
      </c>
      <c r="GO189" s="19">
        <v>46</v>
      </c>
      <c r="GP189" s="19">
        <v>45</v>
      </c>
      <c r="GQ189" s="19">
        <v>44</v>
      </c>
      <c r="GR189" s="19">
        <v>43</v>
      </c>
      <c r="GS189" s="19">
        <v>42</v>
      </c>
    </row>
    <row r="190">
      <c r="A190" s="2" t="s">
        <v>1389</v>
      </c>
      <c r="B190" s="2" t="s">
        <v>1019</v>
      </c>
      <c r="C190" s="2" t="s">
        <v>246</v>
      </c>
      <c r="D190" s="2" t="s">
        <v>1021</v>
      </c>
      <c r="E190" s="2" t="s">
        <v>1022</v>
      </c>
      <c r="F190" s="2" t="s">
        <v>1390</v>
      </c>
      <c r="G190" s="2" t="s">
        <v>1391</v>
      </c>
      <c r="H190" s="2" t="s">
        <v>1391</v>
      </c>
      <c r="I190" s="2" t="s">
        <v>1392</v>
      </c>
      <c r="J190" s="2" t="s">
        <v>1025</v>
      </c>
      <c r="K190" s="2" t="s">
        <v>371</v>
      </c>
      <c r="L190" s="3">
        <v>17.86</v>
      </c>
      <c r="M190" s="3">
        <v>18.75</v>
      </c>
      <c r="N190" s="3">
        <v>39.99</v>
      </c>
      <c r="O190" s="2" t="s">
        <v>196</v>
      </c>
      <c r="P190" s="2" t="s">
        <v>197</v>
      </c>
      <c r="Q190" s="2" t="s">
        <v>198</v>
      </c>
      <c r="R190" s="2" t="s">
        <v>199</v>
      </c>
      <c r="S190" s="2" t="s">
        <v>1393</v>
      </c>
      <c r="T190" s="2" t="s">
        <v>199</v>
      </c>
      <c r="U190" s="2" t="s">
        <v>280</v>
      </c>
      <c r="V190" s="2" t="s">
        <v>562</v>
      </c>
      <c r="W190" s="2" t="s">
        <v>1394</v>
      </c>
      <c r="X190" s="2" t="s">
        <v>199</v>
      </c>
      <c r="Y190" s="2" t="s">
        <v>1395</v>
      </c>
      <c r="Z190" s="4">
        <v>616</v>
      </c>
      <c r="AA190" s="4">
        <f>=ROUNDDOWN(102.666666666667,0)</f>
      </c>
      <c r="AB190" s="5">
        <v>6</v>
      </c>
      <c r="AC190" s="2" t="s">
        <v>199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27</v>
      </c>
      <c r="BK190" s="8">
        <v>528.88</v>
      </c>
      <c r="BL190" s="2" t="s">
        <v>1396</v>
      </c>
      <c r="BM190" s="7"/>
      <c r="BN190" s="7"/>
      <c r="BO190" s="4"/>
      <c r="BP190" s="8"/>
      <c r="BQ190" s="4"/>
      <c r="BR190" s="8"/>
      <c r="BS190" s="7"/>
      <c r="BT190" s="7"/>
      <c r="BU190" s="2" t="s">
        <v>1397</v>
      </c>
      <c r="BV190" s="2" t="s">
        <v>199</v>
      </c>
      <c r="BW190" s="2" t="s">
        <v>199</v>
      </c>
      <c r="BX190" s="2" t="s">
        <v>208</v>
      </c>
      <c r="BY190" s="2" t="s">
        <v>209</v>
      </c>
      <c r="BZ190" s="2" t="s">
        <v>196</v>
      </c>
      <c r="CA190" s="2" t="s">
        <v>1398</v>
      </c>
      <c r="CB190" s="2" t="s">
        <v>1399</v>
      </c>
      <c r="CC190" s="2" t="s">
        <v>212</v>
      </c>
      <c r="CD190" s="2" t="s">
        <v>199</v>
      </c>
      <c r="CE190" s="4">
        <v>616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>
        <v>621</v>
      </c>
      <c r="EU190" s="4">
        <v>613</v>
      </c>
      <c r="EV190" s="4">
        <v>609</v>
      </c>
      <c r="EW190" s="4">
        <v>605</v>
      </c>
      <c r="EX190" s="4">
        <v>601</v>
      </c>
      <c r="EY190" s="4">
        <v>595</v>
      </c>
      <c r="EZ190" s="4">
        <v>589</v>
      </c>
      <c r="FA190" s="4">
        <v>583</v>
      </c>
      <c r="FB190" s="4">
        <v>577</v>
      </c>
      <c r="FC190" s="4">
        <v>571</v>
      </c>
      <c r="FD190" s="4">
        <v>565</v>
      </c>
      <c r="FE190" s="4">
        <v>559</v>
      </c>
      <c r="FF190" s="4">
        <v>553</v>
      </c>
      <c r="FG190" s="4">
        <v>547</v>
      </c>
      <c r="FH190" s="4">
        <v>541</v>
      </c>
      <c r="FI190" s="4">
        <v>535</v>
      </c>
      <c r="FJ190" s="4">
        <v>529</v>
      </c>
      <c r="FK190" s="4">
        <v>523</v>
      </c>
      <c r="FL190" s="4">
        <v>517</v>
      </c>
      <c r="FM190" s="4">
        <v>511</v>
      </c>
      <c r="FN190" s="4">
        <v>505</v>
      </c>
      <c r="FO190" s="4">
        <v>499</v>
      </c>
      <c r="FP190" s="4">
        <v>493</v>
      </c>
      <c r="FQ190" s="4">
        <v>487</v>
      </c>
      <c r="FR190" s="4">
        <v>481</v>
      </c>
      <c r="FS190" s="4">
        <v>475</v>
      </c>
      <c r="FT190" s="19">
        <v>124.2</v>
      </c>
      <c r="FU190" s="19">
        <v>153.3</v>
      </c>
      <c r="FV190" s="19">
        <v>121.8</v>
      </c>
      <c r="FW190" s="19">
        <v>100.8</v>
      </c>
      <c r="FX190" s="19">
        <v>100.2</v>
      </c>
      <c r="FY190" s="19">
        <v>99.2</v>
      </c>
      <c r="FZ190" s="19">
        <v>98.2</v>
      </c>
      <c r="GA190" s="19">
        <v>97.2</v>
      </c>
      <c r="GB190" s="19">
        <v>96.2</v>
      </c>
      <c r="GC190" s="19">
        <v>95.2</v>
      </c>
      <c r="GD190" s="19">
        <v>94.2</v>
      </c>
      <c r="GE190" s="19">
        <v>93.2</v>
      </c>
      <c r="GF190" s="19">
        <v>92.2</v>
      </c>
      <c r="GG190" s="19">
        <v>91.2</v>
      </c>
      <c r="GH190" s="19">
        <v>90.2</v>
      </c>
      <c r="GI190" s="19">
        <v>89.2</v>
      </c>
      <c r="GJ190" s="19">
        <v>88.2</v>
      </c>
      <c r="GK190" s="19">
        <v>87.2</v>
      </c>
      <c r="GL190" s="19">
        <v>86.2</v>
      </c>
      <c r="GM190" s="19">
        <v>85.2</v>
      </c>
      <c r="GN190" s="19">
        <v>84.2</v>
      </c>
      <c r="GO190" s="19">
        <v>83.2</v>
      </c>
      <c r="GP190" s="19">
        <v>82.2</v>
      </c>
      <c r="GQ190" s="19">
        <v>81.2</v>
      </c>
      <c r="GR190" s="19">
        <v>80.2</v>
      </c>
      <c r="GS190" s="19">
        <v>79.2</v>
      </c>
    </row>
    <row r="191">
      <c r="A191" s="2" t="s">
        <v>1400</v>
      </c>
      <c r="B191" s="2" t="s">
        <v>736</v>
      </c>
      <c r="C191" s="2" t="s">
        <v>1007</v>
      </c>
      <c r="D191" s="2" t="s">
        <v>228</v>
      </c>
      <c r="E191" s="2" t="s">
        <v>487</v>
      </c>
      <c r="F191" s="2" t="s">
        <v>1401</v>
      </c>
      <c r="G191" s="2" t="s">
        <v>1402</v>
      </c>
      <c r="H191" s="2" t="s">
        <v>1403</v>
      </c>
      <c r="I191" s="2" t="s">
        <v>1404</v>
      </c>
      <c r="J191" s="2" t="s">
        <v>1011</v>
      </c>
      <c r="K191" s="2" t="s">
        <v>195</v>
      </c>
      <c r="L191" s="3">
        <v>23.8</v>
      </c>
      <c r="M191" s="3">
        <v>24.99</v>
      </c>
      <c r="N191" s="3">
        <v>49.99</v>
      </c>
      <c r="O191" s="2" t="s">
        <v>196</v>
      </c>
      <c r="P191" s="2" t="s">
        <v>197</v>
      </c>
      <c r="Q191" s="2" t="s">
        <v>198</v>
      </c>
      <c r="R191" s="2" t="s">
        <v>199</v>
      </c>
      <c r="S191" s="2" t="s">
        <v>1405</v>
      </c>
      <c r="T191" s="2" t="s">
        <v>386</v>
      </c>
      <c r="U191" s="2" t="s">
        <v>254</v>
      </c>
      <c r="V191" s="2" t="s">
        <v>1406</v>
      </c>
      <c r="W191" s="2" t="s">
        <v>712</v>
      </c>
      <c r="X191" s="2" t="s">
        <v>199</v>
      </c>
      <c r="Y191" s="2" t="s">
        <v>1407</v>
      </c>
      <c r="Z191" s="4">
        <v>232</v>
      </c>
      <c r="AA191" s="4">
        <f>=ROUNDDOWN(29,0)</f>
      </c>
      <c r="AB191" s="5">
        <v>8</v>
      </c>
      <c r="AC191" s="2" t="s">
        <v>199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199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199</v>
      </c>
      <c r="AW191" s="8" t="s">
        <v>199</v>
      </c>
      <c r="AX191" s="4" t="s">
        <v>199</v>
      </c>
      <c r="AY191" s="8" t="s">
        <v>199</v>
      </c>
      <c r="AZ191" s="7" t="s">
        <v>199</v>
      </c>
      <c r="BA191" s="7" t="s">
        <v>199</v>
      </c>
      <c r="BB191" s="7" t="s">
        <v>199</v>
      </c>
      <c r="BC191" s="4" t="s">
        <v>199</v>
      </c>
      <c r="BD191" s="8" t="s">
        <v>199</v>
      </c>
      <c r="BE191" s="4" t="s">
        <v>199</v>
      </c>
      <c r="BF191" s="8" t="s">
        <v>199</v>
      </c>
      <c r="BG191" s="7" t="s">
        <v>199</v>
      </c>
      <c r="BH191" s="7" t="s">
        <v>199</v>
      </c>
      <c r="BI191" s="7"/>
      <c r="BJ191" s="4">
        <v>33</v>
      </c>
      <c r="BK191" s="8">
        <v>890.42</v>
      </c>
      <c r="BL191" s="2" t="s">
        <v>268</v>
      </c>
      <c r="BM191" s="7"/>
      <c r="BN191" s="7"/>
      <c r="BO191" s="4"/>
      <c r="BP191" s="8"/>
      <c r="BQ191" s="4"/>
      <c r="BR191" s="8"/>
      <c r="BS191" s="7"/>
      <c r="BT191" s="7"/>
      <c r="BU191" s="2" t="s">
        <v>1408</v>
      </c>
      <c r="BV191" s="2" t="s">
        <v>199</v>
      </c>
      <c r="BW191" s="2" t="s">
        <v>199</v>
      </c>
      <c r="BX191" s="2" t="s">
        <v>208</v>
      </c>
      <c r="BY191" s="2" t="s">
        <v>209</v>
      </c>
      <c r="BZ191" s="2" t="s">
        <v>196</v>
      </c>
      <c r="CA191" s="2" t="s">
        <v>1409</v>
      </c>
      <c r="CB191" s="2" t="s">
        <v>199</v>
      </c>
      <c r="CC191" s="2" t="s">
        <v>212</v>
      </c>
      <c r="CD191" s="2" t="s">
        <v>199</v>
      </c>
      <c r="CE191" s="4">
        <v>232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>
        <v>238</v>
      </c>
      <c r="EU191" s="4">
        <v>227</v>
      </c>
      <c r="EV191" s="4">
        <v>220</v>
      </c>
      <c r="EW191" s="4">
        <v>212</v>
      </c>
      <c r="EX191" s="4">
        <v>204</v>
      </c>
      <c r="EY191" s="4">
        <v>196</v>
      </c>
      <c r="EZ191" s="4">
        <v>188</v>
      </c>
      <c r="FA191" s="4">
        <v>180</v>
      </c>
      <c r="FB191" s="4">
        <v>171</v>
      </c>
      <c r="FC191" s="4">
        <v>163</v>
      </c>
      <c r="FD191" s="4">
        <v>155</v>
      </c>
      <c r="FE191" s="4">
        <v>147</v>
      </c>
      <c r="FF191" s="4">
        <v>139</v>
      </c>
      <c r="FG191" s="4">
        <v>131</v>
      </c>
      <c r="FH191" s="4">
        <v>123</v>
      </c>
      <c r="FI191" s="4">
        <v>115</v>
      </c>
      <c r="FJ191" s="4">
        <v>107</v>
      </c>
      <c r="FK191" s="4">
        <v>99</v>
      </c>
      <c r="FL191" s="4">
        <v>91</v>
      </c>
      <c r="FM191" s="4">
        <v>83</v>
      </c>
      <c r="FN191" s="4">
        <v>74</v>
      </c>
      <c r="FO191" s="4">
        <v>64</v>
      </c>
      <c r="FP191" s="4">
        <v>187</v>
      </c>
      <c r="FQ191" s="4">
        <v>176</v>
      </c>
      <c r="FR191" s="4">
        <v>165</v>
      </c>
      <c r="FS191" s="4">
        <v>155</v>
      </c>
      <c r="FT191" s="19">
        <v>29.8</v>
      </c>
      <c r="FU191" s="19">
        <v>28.4</v>
      </c>
      <c r="FV191" s="19">
        <v>27.5</v>
      </c>
      <c r="FW191" s="19">
        <v>26.5</v>
      </c>
      <c r="FX191" s="19">
        <v>25.5</v>
      </c>
      <c r="FY191" s="19">
        <v>24.5</v>
      </c>
      <c r="FZ191" s="19">
        <v>23.5</v>
      </c>
      <c r="GA191" s="19">
        <v>22.5</v>
      </c>
      <c r="GB191" s="19">
        <v>21.4</v>
      </c>
      <c r="GC191" s="19">
        <v>20.4</v>
      </c>
      <c r="GD191" s="19">
        <v>19.4</v>
      </c>
      <c r="GE191" s="19">
        <v>18.4</v>
      </c>
      <c r="GF191" s="19">
        <v>17.4</v>
      </c>
      <c r="GG191" s="19">
        <v>16.4</v>
      </c>
      <c r="GH191" s="19">
        <v>15.4</v>
      </c>
      <c r="GI191" s="19">
        <v>14.4</v>
      </c>
      <c r="GJ191" s="19">
        <v>13.4</v>
      </c>
      <c r="GK191" s="19">
        <v>11</v>
      </c>
      <c r="GL191" s="19">
        <v>9.1</v>
      </c>
      <c r="GM191" s="19">
        <v>8.3</v>
      </c>
      <c r="GN191" s="19">
        <v>6.7</v>
      </c>
      <c r="GO191" s="19">
        <v>5.8</v>
      </c>
      <c r="GP191" s="19">
        <v>18.7</v>
      </c>
      <c r="GQ191" s="19">
        <v>16</v>
      </c>
      <c r="GR191" s="19">
        <v>13.8</v>
      </c>
      <c r="GS191" s="19">
        <v>11.1</v>
      </c>
    </row>
    <row r="192">
      <c r="A192" s="2" t="s">
        <v>1410</v>
      </c>
      <c r="B192" s="2" t="s">
        <v>736</v>
      </c>
      <c r="C192" s="2" t="s">
        <v>1007</v>
      </c>
      <c r="D192" s="2" t="s">
        <v>631</v>
      </c>
      <c r="E192" s="2" t="s">
        <v>632</v>
      </c>
      <c r="F192" s="2" t="s">
        <v>1401</v>
      </c>
      <c r="G192" s="2" t="s">
        <v>1402</v>
      </c>
      <c r="H192" s="2" t="s">
        <v>1403</v>
      </c>
      <c r="I192" s="2" t="s">
        <v>1411</v>
      </c>
      <c r="J192" s="2" t="s">
        <v>1011</v>
      </c>
      <c r="K192" s="2" t="s">
        <v>195</v>
      </c>
      <c r="L192" s="3">
        <v>14.28</v>
      </c>
      <c r="M192" s="3">
        <v>14.99</v>
      </c>
      <c r="N192" s="3">
        <v>29.99</v>
      </c>
      <c r="O192" s="2" t="s">
        <v>196</v>
      </c>
      <c r="P192" s="2" t="s">
        <v>197</v>
      </c>
      <c r="Q192" s="2" t="s">
        <v>198</v>
      </c>
      <c r="R192" s="2" t="s">
        <v>199</v>
      </c>
      <c r="S192" s="2" t="s">
        <v>1405</v>
      </c>
      <c r="T192" s="2" t="s">
        <v>386</v>
      </c>
      <c r="U192" s="2" t="s">
        <v>853</v>
      </c>
      <c r="V192" s="2" t="s">
        <v>1406</v>
      </c>
      <c r="W192" s="2" t="s">
        <v>712</v>
      </c>
      <c r="X192" s="2" t="s">
        <v>199</v>
      </c>
      <c r="Y192" s="2" t="s">
        <v>1407</v>
      </c>
      <c r="Z192" s="4">
        <v>111</v>
      </c>
      <c r="AA192" s="4">
        <f>=ROUNDDOWN(37,0)</f>
      </c>
      <c r="AB192" s="5">
        <v>3</v>
      </c>
      <c r="AC192" s="2" t="s">
        <v>199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199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199</v>
      </c>
      <c r="AW192" s="8" t="s">
        <v>199</v>
      </c>
      <c r="AX192" s="4" t="s">
        <v>199</v>
      </c>
      <c r="AY192" s="8" t="s">
        <v>199</v>
      </c>
      <c r="AZ192" s="7" t="s">
        <v>199</v>
      </c>
      <c r="BA192" s="7" t="s">
        <v>199</v>
      </c>
      <c r="BB192" s="7" t="s">
        <v>199</v>
      </c>
      <c r="BC192" s="4" t="s">
        <v>199</v>
      </c>
      <c r="BD192" s="8" t="s">
        <v>199</v>
      </c>
      <c r="BE192" s="4" t="s">
        <v>199</v>
      </c>
      <c r="BF192" s="8" t="s">
        <v>199</v>
      </c>
      <c r="BG192" s="7" t="s">
        <v>199</v>
      </c>
      <c r="BH192" s="7" t="s">
        <v>199</v>
      </c>
      <c r="BI192" s="7"/>
      <c r="BJ192" s="4">
        <v>9</v>
      </c>
      <c r="BK192" s="8">
        <v>143.91</v>
      </c>
      <c r="BL192" s="2" t="s">
        <v>1331</v>
      </c>
      <c r="BM192" s="7"/>
      <c r="BN192" s="7"/>
      <c r="BO192" s="4"/>
      <c r="BP192" s="8"/>
      <c r="BQ192" s="4"/>
      <c r="BR192" s="8"/>
      <c r="BS192" s="7"/>
      <c r="BT192" s="7"/>
      <c r="BU192" s="2" t="s">
        <v>1412</v>
      </c>
      <c r="BV192" s="2" t="s">
        <v>199</v>
      </c>
      <c r="BW192" s="2" t="s">
        <v>199</v>
      </c>
      <c r="BX192" s="2" t="s">
        <v>208</v>
      </c>
      <c r="BY192" s="2" t="s">
        <v>209</v>
      </c>
      <c r="BZ192" s="2" t="s">
        <v>196</v>
      </c>
      <c r="CA192" s="2" t="s">
        <v>1226</v>
      </c>
      <c r="CB192" s="2" t="s">
        <v>1413</v>
      </c>
      <c r="CC192" s="2" t="s">
        <v>212</v>
      </c>
      <c r="CD192" s="2" t="s">
        <v>199</v>
      </c>
      <c r="CE192" s="4">
        <v>111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>
        <v>113</v>
      </c>
      <c r="EU192" s="4">
        <v>108</v>
      </c>
      <c r="EV192" s="4">
        <v>105</v>
      </c>
      <c r="EW192" s="4">
        <v>102</v>
      </c>
      <c r="EX192" s="4">
        <v>99</v>
      </c>
      <c r="EY192" s="4">
        <v>96</v>
      </c>
      <c r="EZ192" s="4">
        <v>93</v>
      </c>
      <c r="FA192" s="4">
        <v>90</v>
      </c>
      <c r="FB192" s="4">
        <v>86</v>
      </c>
      <c r="FC192" s="4">
        <v>83</v>
      </c>
      <c r="FD192" s="4">
        <v>80</v>
      </c>
      <c r="FE192" s="4">
        <v>77</v>
      </c>
      <c r="FF192" s="4">
        <v>74</v>
      </c>
      <c r="FG192" s="4">
        <v>71</v>
      </c>
      <c r="FH192" s="4">
        <v>68</v>
      </c>
      <c r="FI192" s="4">
        <v>65</v>
      </c>
      <c r="FJ192" s="4">
        <v>62</v>
      </c>
      <c r="FK192" s="4">
        <v>59</v>
      </c>
      <c r="FL192" s="4">
        <v>56</v>
      </c>
      <c r="FM192" s="4">
        <v>53</v>
      </c>
      <c r="FN192" s="4">
        <v>50</v>
      </c>
      <c r="FO192" s="4">
        <v>47</v>
      </c>
      <c r="FP192" s="4">
        <v>60</v>
      </c>
      <c r="FQ192" s="4">
        <v>57</v>
      </c>
      <c r="FR192" s="4">
        <v>54</v>
      </c>
      <c r="FS192" s="4">
        <v>51</v>
      </c>
      <c r="FT192" s="19">
        <v>28.3</v>
      </c>
      <c r="FU192" s="19">
        <v>36</v>
      </c>
      <c r="FV192" s="19">
        <v>35</v>
      </c>
      <c r="FW192" s="19">
        <v>34</v>
      </c>
      <c r="FX192" s="19">
        <v>33</v>
      </c>
      <c r="FY192" s="19">
        <v>32</v>
      </c>
      <c r="FZ192" s="19">
        <v>31</v>
      </c>
      <c r="GA192" s="19">
        <v>30</v>
      </c>
      <c r="GB192" s="19">
        <v>28.7</v>
      </c>
      <c r="GC192" s="19">
        <v>27.7</v>
      </c>
      <c r="GD192" s="19">
        <v>26.7</v>
      </c>
      <c r="GE192" s="19">
        <v>25.7</v>
      </c>
      <c r="GF192" s="19">
        <v>24.7</v>
      </c>
      <c r="GG192" s="19">
        <v>23.7</v>
      </c>
      <c r="GH192" s="19">
        <v>22.7</v>
      </c>
      <c r="GI192" s="19">
        <v>21.7</v>
      </c>
      <c r="GJ192" s="19">
        <v>20.7</v>
      </c>
      <c r="GK192" s="19">
        <v>19.7</v>
      </c>
      <c r="GL192" s="19">
        <v>18.7</v>
      </c>
      <c r="GM192" s="19">
        <v>17.7</v>
      </c>
      <c r="GN192" s="19">
        <v>16.7</v>
      </c>
      <c r="GO192" s="19">
        <v>15.7</v>
      </c>
      <c r="GP192" s="19">
        <v>20</v>
      </c>
      <c r="GQ192" s="19">
        <v>14.3</v>
      </c>
      <c r="GR192" s="19">
        <v>13.5</v>
      </c>
      <c r="GS192" s="19">
        <v>10.2</v>
      </c>
    </row>
    <row r="193">
      <c r="A193" s="2" t="s">
        <v>1414</v>
      </c>
      <c r="B193" s="2" t="s">
        <v>736</v>
      </c>
      <c r="C193" s="2" t="s">
        <v>1007</v>
      </c>
      <c r="D193" s="2" t="s">
        <v>228</v>
      </c>
      <c r="E193" s="2" t="s">
        <v>487</v>
      </c>
      <c r="F193" s="2" t="s">
        <v>1401</v>
      </c>
      <c r="G193" s="2" t="s">
        <v>1402</v>
      </c>
      <c r="H193" s="2" t="s">
        <v>1403</v>
      </c>
      <c r="I193" s="2" t="s">
        <v>1404</v>
      </c>
      <c r="J193" s="2" t="s">
        <v>232</v>
      </c>
      <c r="K193" s="2" t="s">
        <v>195</v>
      </c>
      <c r="L193" s="3">
        <v>28.57</v>
      </c>
      <c r="M193" s="3">
        <v>30</v>
      </c>
      <c r="N193" s="3">
        <v>59.99</v>
      </c>
      <c r="O193" s="2" t="s">
        <v>196</v>
      </c>
      <c r="P193" s="2" t="s">
        <v>197</v>
      </c>
      <c r="Q193" s="2" t="s">
        <v>198</v>
      </c>
      <c r="R193" s="2" t="s">
        <v>199</v>
      </c>
      <c r="S193" s="2" t="s">
        <v>1405</v>
      </c>
      <c r="T193" s="2" t="s">
        <v>386</v>
      </c>
      <c r="U193" s="2" t="s">
        <v>492</v>
      </c>
      <c r="V193" s="2" t="s">
        <v>1406</v>
      </c>
      <c r="W193" s="2" t="s">
        <v>712</v>
      </c>
      <c r="X193" s="2" t="s">
        <v>199</v>
      </c>
      <c r="Y193" s="2" t="s">
        <v>1407</v>
      </c>
      <c r="Z193" s="4">
        <v>339</v>
      </c>
      <c r="AA193" s="4">
        <f>=ROUNDDOWN(28.25,0)</f>
      </c>
      <c r="AB193" s="5"/>
      <c r="AC193" s="2" t="s">
        <v>199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199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199</v>
      </c>
      <c r="AW193" s="8" t="s">
        <v>199</v>
      </c>
      <c r="AX193" s="4" t="s">
        <v>199</v>
      </c>
      <c r="AY193" s="8" t="s">
        <v>199</v>
      </c>
      <c r="AZ193" s="7" t="s">
        <v>199</v>
      </c>
      <c r="BA193" s="7" t="s">
        <v>199</v>
      </c>
      <c r="BB193" s="7" t="s">
        <v>199</v>
      </c>
      <c r="BC193" s="4" t="s">
        <v>199</v>
      </c>
      <c r="BD193" s="8" t="s">
        <v>199</v>
      </c>
      <c r="BE193" s="4" t="s">
        <v>199</v>
      </c>
      <c r="BF193" s="8" t="s">
        <v>199</v>
      </c>
      <c r="BG193" s="7" t="s">
        <v>199</v>
      </c>
      <c r="BH193" s="7" t="s">
        <v>199</v>
      </c>
      <c r="BI193" s="7"/>
      <c r="BJ193" s="4">
        <v>67</v>
      </c>
      <c r="BK193" s="8">
        <v>2232.01</v>
      </c>
      <c r="BL193" s="2" t="s">
        <v>1415</v>
      </c>
      <c r="BM193" s="7"/>
      <c r="BN193" s="7"/>
      <c r="BO193" s="4"/>
      <c r="BP193" s="8"/>
      <c r="BQ193" s="4"/>
      <c r="BR193" s="8"/>
      <c r="BS193" s="7"/>
      <c r="BT193" s="7"/>
      <c r="BU193" s="2" t="s">
        <v>1408</v>
      </c>
      <c r="BV193" s="2" t="s">
        <v>199</v>
      </c>
      <c r="BW193" s="2" t="s">
        <v>199</v>
      </c>
      <c r="BX193" s="2" t="s">
        <v>208</v>
      </c>
      <c r="BY193" s="2" t="s">
        <v>209</v>
      </c>
      <c r="BZ193" s="2" t="s">
        <v>196</v>
      </c>
      <c r="CA193" s="2" t="s">
        <v>1409</v>
      </c>
      <c r="CB193" s="2" t="s">
        <v>1341</v>
      </c>
      <c r="CC193" s="2" t="s">
        <v>212</v>
      </c>
      <c r="CD193" s="2" t="s">
        <v>199</v>
      </c>
      <c r="CE193" s="4">
        <v>339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>
        <v>345</v>
      </c>
      <c r="EU193" s="4">
        <v>329</v>
      </c>
      <c r="EV193" s="4">
        <v>319</v>
      </c>
      <c r="EW193" s="4">
        <v>309</v>
      </c>
      <c r="EX193" s="4">
        <v>299</v>
      </c>
      <c r="EY193" s="4">
        <v>289</v>
      </c>
      <c r="EZ193" s="4">
        <v>279</v>
      </c>
      <c r="FA193" s="4">
        <v>267</v>
      </c>
      <c r="FB193" s="4">
        <v>253</v>
      </c>
      <c r="FC193" s="4">
        <v>241</v>
      </c>
      <c r="FD193" s="4">
        <v>229</v>
      </c>
      <c r="FE193" s="4">
        <v>217</v>
      </c>
      <c r="FF193" s="4">
        <v>205</v>
      </c>
      <c r="FG193" s="4">
        <v>193</v>
      </c>
      <c r="FH193" s="4">
        <v>181</v>
      </c>
      <c r="FI193" s="4">
        <v>169</v>
      </c>
      <c r="FJ193" s="4">
        <v>157</v>
      </c>
      <c r="FK193" s="4">
        <v>145</v>
      </c>
      <c r="FL193" s="4">
        <v>133</v>
      </c>
      <c r="FM193" s="4">
        <v>121</v>
      </c>
      <c r="FN193" s="4">
        <v>109</v>
      </c>
      <c r="FO193" s="4">
        <v>96</v>
      </c>
      <c r="FP193" s="4">
        <v>228</v>
      </c>
      <c r="FQ193" s="4">
        <v>214</v>
      </c>
      <c r="FR193" s="4">
        <v>200</v>
      </c>
      <c r="FS193" s="4">
        <v>187</v>
      </c>
      <c r="FT193" s="19">
        <v>28.8</v>
      </c>
      <c r="FU193" s="19">
        <v>32.9</v>
      </c>
      <c r="FV193" s="19">
        <v>31.9</v>
      </c>
      <c r="FW193" s="19">
        <v>30.9</v>
      </c>
      <c r="FX193" s="19">
        <v>24.9</v>
      </c>
      <c r="FY193" s="19">
        <v>24.1</v>
      </c>
      <c r="FZ193" s="19">
        <v>23.3</v>
      </c>
      <c r="GA193" s="19">
        <v>22.3</v>
      </c>
      <c r="GB193" s="19">
        <v>21.1</v>
      </c>
      <c r="GC193" s="19">
        <v>20.1</v>
      </c>
      <c r="GD193" s="19">
        <v>19.1</v>
      </c>
      <c r="GE193" s="19">
        <v>18.1</v>
      </c>
      <c r="GF193" s="19">
        <v>17.1</v>
      </c>
      <c r="GG193" s="19">
        <v>16.1</v>
      </c>
      <c r="GH193" s="19">
        <v>15.1</v>
      </c>
      <c r="GI193" s="19">
        <v>14.1</v>
      </c>
      <c r="GJ193" s="19">
        <v>13.1</v>
      </c>
      <c r="GK193" s="19">
        <v>12.1</v>
      </c>
      <c r="GL193" s="19">
        <v>10.2</v>
      </c>
      <c r="GM193" s="19">
        <v>8.6</v>
      </c>
      <c r="GN193" s="19">
        <v>7.8</v>
      </c>
      <c r="GO193" s="19">
        <v>6.9</v>
      </c>
      <c r="GP193" s="19">
        <v>16.3</v>
      </c>
      <c r="GQ193" s="19">
        <v>15.3</v>
      </c>
      <c r="GR193" s="19">
        <v>14.3</v>
      </c>
      <c r="GS193" s="19">
        <v>11.7</v>
      </c>
    </row>
    <row r="194">
      <c r="A194" s="2" t="s">
        <v>1416</v>
      </c>
      <c r="B194" s="2" t="s">
        <v>736</v>
      </c>
      <c r="C194" s="2" t="s">
        <v>1007</v>
      </c>
      <c r="D194" s="2" t="s">
        <v>631</v>
      </c>
      <c r="E194" s="2" t="s">
        <v>632</v>
      </c>
      <c r="F194" s="2" t="s">
        <v>1401</v>
      </c>
      <c r="G194" s="2" t="s">
        <v>1402</v>
      </c>
      <c r="H194" s="2" t="s">
        <v>1403</v>
      </c>
      <c r="I194" s="2" t="s">
        <v>1411</v>
      </c>
      <c r="J194" s="2" t="s">
        <v>232</v>
      </c>
      <c r="K194" s="2" t="s">
        <v>195</v>
      </c>
      <c r="L194" s="3">
        <v>19.04</v>
      </c>
      <c r="M194" s="3">
        <v>19.99</v>
      </c>
      <c r="N194" s="3">
        <v>39.99</v>
      </c>
      <c r="O194" s="2" t="s">
        <v>196</v>
      </c>
      <c r="P194" s="2" t="s">
        <v>197</v>
      </c>
      <c r="Q194" s="2" t="s">
        <v>198</v>
      </c>
      <c r="R194" s="2" t="s">
        <v>199</v>
      </c>
      <c r="S194" s="2" t="s">
        <v>1405</v>
      </c>
      <c r="T194" s="2" t="s">
        <v>386</v>
      </c>
      <c r="U194" s="2" t="s">
        <v>637</v>
      </c>
      <c r="V194" s="2" t="s">
        <v>1406</v>
      </c>
      <c r="W194" s="2" t="s">
        <v>712</v>
      </c>
      <c r="X194" s="2" t="s">
        <v>199</v>
      </c>
      <c r="Y194" s="2" t="s">
        <v>1417</v>
      </c>
      <c r="Z194" s="4">
        <v>160</v>
      </c>
      <c r="AA194" s="4">
        <f>=ROUNDDOWN(32,0)</f>
      </c>
      <c r="AB194" s="5">
        <v>5</v>
      </c>
      <c r="AC194" s="2" t="s">
        <v>199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199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199</v>
      </c>
      <c r="AW194" s="8" t="s">
        <v>199</v>
      </c>
      <c r="AX194" s="4" t="s">
        <v>199</v>
      </c>
      <c r="AY194" s="8" t="s">
        <v>199</v>
      </c>
      <c r="AZ194" s="7" t="s">
        <v>199</v>
      </c>
      <c r="BA194" s="7" t="s">
        <v>199</v>
      </c>
      <c r="BB194" s="7" t="s">
        <v>199</v>
      </c>
      <c r="BC194" s="4" t="s">
        <v>199</v>
      </c>
      <c r="BD194" s="8" t="s">
        <v>199</v>
      </c>
      <c r="BE194" s="4" t="s">
        <v>199</v>
      </c>
      <c r="BF194" s="8" t="s">
        <v>199</v>
      </c>
      <c r="BG194" s="7" t="s">
        <v>199</v>
      </c>
      <c r="BH194" s="7" t="s">
        <v>199</v>
      </c>
      <c r="BI194" s="7"/>
      <c r="BJ194" s="4">
        <v>16</v>
      </c>
      <c r="BK194" s="8">
        <v>344.24</v>
      </c>
      <c r="BL194" s="2" t="s">
        <v>1340</v>
      </c>
      <c r="BM194" s="7"/>
      <c r="BN194" s="7"/>
      <c r="BO194" s="4"/>
      <c r="BP194" s="8"/>
      <c r="BQ194" s="4"/>
      <c r="BR194" s="8"/>
      <c r="BS194" s="7"/>
      <c r="BT194" s="7"/>
      <c r="BU194" s="2" t="s">
        <v>1412</v>
      </c>
      <c r="BV194" s="2" t="s">
        <v>199</v>
      </c>
      <c r="BW194" s="2" t="s">
        <v>199</v>
      </c>
      <c r="BX194" s="2" t="s">
        <v>208</v>
      </c>
      <c r="BY194" s="2" t="s">
        <v>209</v>
      </c>
      <c r="BZ194" s="2" t="s">
        <v>196</v>
      </c>
      <c r="CA194" s="2" t="s">
        <v>1226</v>
      </c>
      <c r="CB194" s="2" t="s">
        <v>1418</v>
      </c>
      <c r="CC194" s="2" t="s">
        <v>212</v>
      </c>
      <c r="CD194" s="2" t="s">
        <v>199</v>
      </c>
      <c r="CE194" s="4">
        <v>160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>
        <v>162</v>
      </c>
      <c r="EU194" s="4">
        <v>156</v>
      </c>
      <c r="EV194" s="4">
        <v>152</v>
      </c>
      <c r="EW194" s="4">
        <v>148</v>
      </c>
      <c r="EX194" s="4">
        <v>144</v>
      </c>
      <c r="EY194" s="4">
        <v>139</v>
      </c>
      <c r="EZ194" s="4">
        <v>134</v>
      </c>
      <c r="FA194" s="4">
        <v>129</v>
      </c>
      <c r="FB194" s="4">
        <v>123</v>
      </c>
      <c r="FC194" s="4">
        <v>118</v>
      </c>
      <c r="FD194" s="4">
        <v>113</v>
      </c>
      <c r="FE194" s="4">
        <v>108</v>
      </c>
      <c r="FF194" s="4">
        <v>103</v>
      </c>
      <c r="FG194" s="4">
        <v>98</v>
      </c>
      <c r="FH194" s="4">
        <v>93</v>
      </c>
      <c r="FI194" s="4">
        <v>88</v>
      </c>
      <c r="FJ194" s="4">
        <v>83</v>
      </c>
      <c r="FK194" s="4">
        <v>78</v>
      </c>
      <c r="FL194" s="4">
        <v>73</v>
      </c>
      <c r="FM194" s="4">
        <v>68</v>
      </c>
      <c r="FN194" s="4">
        <v>63</v>
      </c>
      <c r="FO194" s="4">
        <v>58</v>
      </c>
      <c r="FP194" s="4">
        <v>81</v>
      </c>
      <c r="FQ194" s="4">
        <v>75</v>
      </c>
      <c r="FR194" s="4">
        <v>69</v>
      </c>
      <c r="FS194" s="4">
        <v>63</v>
      </c>
      <c r="FT194" s="19">
        <v>40.5</v>
      </c>
      <c r="FU194" s="19">
        <v>39</v>
      </c>
      <c r="FV194" s="19">
        <v>38</v>
      </c>
      <c r="FW194" s="19">
        <v>29.6</v>
      </c>
      <c r="FX194" s="19">
        <v>28.8</v>
      </c>
      <c r="FY194" s="19">
        <v>27.8</v>
      </c>
      <c r="FZ194" s="19">
        <v>26.8</v>
      </c>
      <c r="GA194" s="19">
        <v>25.8</v>
      </c>
      <c r="GB194" s="19">
        <v>24.6</v>
      </c>
      <c r="GC194" s="19">
        <v>23.6</v>
      </c>
      <c r="GD194" s="19">
        <v>22.6</v>
      </c>
      <c r="GE194" s="19">
        <v>21.6</v>
      </c>
      <c r="GF194" s="19">
        <v>20.6</v>
      </c>
      <c r="GG194" s="19">
        <v>19.6</v>
      </c>
      <c r="GH194" s="19">
        <v>18.6</v>
      </c>
      <c r="GI194" s="19">
        <v>17.6</v>
      </c>
      <c r="GJ194" s="19">
        <v>16.6</v>
      </c>
      <c r="GK194" s="19">
        <v>15.6</v>
      </c>
      <c r="GL194" s="19">
        <v>12.2</v>
      </c>
      <c r="GM194" s="19">
        <v>11.3</v>
      </c>
      <c r="GN194" s="19">
        <v>10.5</v>
      </c>
      <c r="GO194" s="19">
        <v>9.7</v>
      </c>
      <c r="GP194" s="19">
        <v>13.5</v>
      </c>
      <c r="GQ194" s="19">
        <v>12.5</v>
      </c>
      <c r="GR194" s="19">
        <v>11.5</v>
      </c>
      <c r="GS194" s="19">
        <v>9</v>
      </c>
    </row>
    <row r="195">
      <c r="A195" s="2" t="s">
        <v>1419</v>
      </c>
      <c r="B195" s="2" t="s">
        <v>613</v>
      </c>
      <c r="C195" s="2" t="s">
        <v>1420</v>
      </c>
      <c r="D195" s="2" t="s">
        <v>614</v>
      </c>
      <c r="E195" s="2" t="s">
        <v>1052</v>
      </c>
      <c r="F195" s="2" t="s">
        <v>1421</v>
      </c>
      <c r="G195" s="2" t="s">
        <v>1421</v>
      </c>
      <c r="H195" s="2" t="s">
        <v>1421</v>
      </c>
      <c r="I195" s="2" t="s">
        <v>1422</v>
      </c>
      <c r="J195" s="2" t="s">
        <v>559</v>
      </c>
      <c r="K195" s="2" t="s">
        <v>918</v>
      </c>
      <c r="L195" s="3">
        <v>255</v>
      </c>
      <c r="M195" s="3">
        <v>267.75</v>
      </c>
      <c r="N195" s="3">
        <v>549</v>
      </c>
      <c r="O195" s="2" t="s">
        <v>196</v>
      </c>
      <c r="P195" s="2" t="s">
        <v>197</v>
      </c>
      <c r="Q195" s="2" t="s">
        <v>198</v>
      </c>
      <c r="R195" s="2" t="s">
        <v>199</v>
      </c>
      <c r="S195" s="2" t="s">
        <v>199</v>
      </c>
      <c r="T195" s="2" t="s">
        <v>199</v>
      </c>
      <c r="U195" s="2" t="s">
        <v>280</v>
      </c>
      <c r="V195" s="2" t="s">
        <v>493</v>
      </c>
      <c r="W195" s="2" t="s">
        <v>817</v>
      </c>
      <c r="X195" s="2" t="s">
        <v>598</v>
      </c>
      <c r="Y195" s="2" t="s">
        <v>1407</v>
      </c>
      <c r="Z195" s="4">
        <v>93</v>
      </c>
      <c r="AA195" s="4">
        <f>=ROUNDDOWN(18.6,0)</f>
      </c>
      <c r="AB195" s="5">
        <v>5</v>
      </c>
      <c r="AC195" s="2" t="s">
        <v>236</v>
      </c>
      <c r="AD195" s="4">
        <v>100</v>
      </c>
      <c r="AE195" s="4">
        <v>190</v>
      </c>
      <c r="AF195" s="6">
        <v>69</v>
      </c>
      <c r="AG195" s="6"/>
      <c r="AH195" s="7">
        <v>0.4516</v>
      </c>
      <c r="AI195" s="4"/>
      <c r="AJ195" s="4">
        <f>=ROUNDDOWN({0},0)</f>
      </c>
      <c r="AK195" s="5"/>
      <c r="AL195" s="2" t="s">
        <v>199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199</v>
      </c>
      <c r="BM195" s="7"/>
      <c r="BN195" s="7"/>
      <c r="BO195" s="4"/>
      <c r="BP195" s="8"/>
      <c r="BQ195" s="4"/>
      <c r="BR195" s="8"/>
      <c r="BS195" s="7"/>
      <c r="BT195" s="7"/>
      <c r="BU195" s="2" t="s">
        <v>1423</v>
      </c>
      <c r="BV195" s="2" t="s">
        <v>199</v>
      </c>
      <c r="BW195" s="2" t="s">
        <v>199</v>
      </c>
      <c r="BX195" s="2" t="s">
        <v>208</v>
      </c>
      <c r="BY195" s="2" t="s">
        <v>209</v>
      </c>
      <c r="BZ195" s="2" t="s">
        <v>196</v>
      </c>
      <c r="CA195" s="2" t="s">
        <v>1424</v>
      </c>
      <c r="CB195" s="2" t="s">
        <v>1425</v>
      </c>
      <c r="CC195" s="2" t="s">
        <v>212</v>
      </c>
      <c r="CD195" s="2" t="s">
        <v>199</v>
      </c>
      <c r="CE195" s="4"/>
      <c r="CF195" s="4">
        <v>93</v>
      </c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>
        <v>100</v>
      </c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>
        <v>90</v>
      </c>
      <c r="ER195" s="4"/>
      <c r="ES195" s="4"/>
      <c r="ET195" s="4">
        <v>99</v>
      </c>
      <c r="EU195" s="4">
        <v>87</v>
      </c>
      <c r="EV195" s="4">
        <v>82</v>
      </c>
      <c r="EW195" s="4">
        <v>78</v>
      </c>
      <c r="EX195" s="4">
        <v>74</v>
      </c>
      <c r="EY195" s="4">
        <v>69</v>
      </c>
      <c r="EZ195" s="4">
        <v>64</v>
      </c>
      <c r="FA195" s="4">
        <v>59</v>
      </c>
      <c r="FB195" s="4">
        <v>53</v>
      </c>
      <c r="FC195" s="4">
        <v>48</v>
      </c>
      <c r="FD195" s="4">
        <v>142</v>
      </c>
      <c r="FE195" s="4">
        <v>136</v>
      </c>
      <c r="FF195" s="4">
        <v>130</v>
      </c>
      <c r="FG195" s="4">
        <v>124</v>
      </c>
      <c r="FH195" s="4">
        <v>118</v>
      </c>
      <c r="FI195" s="4">
        <v>112</v>
      </c>
      <c r="FJ195" s="4">
        <v>106</v>
      </c>
      <c r="FK195" s="4">
        <v>100</v>
      </c>
      <c r="FL195" s="4">
        <v>95</v>
      </c>
      <c r="FM195" s="4">
        <v>180</v>
      </c>
      <c r="FN195" s="4">
        <v>175</v>
      </c>
      <c r="FO195" s="4">
        <v>170</v>
      </c>
      <c r="FP195" s="4">
        <v>164</v>
      </c>
      <c r="FQ195" s="4">
        <v>159</v>
      </c>
      <c r="FR195" s="4">
        <v>154</v>
      </c>
      <c r="FS195" s="4">
        <v>149</v>
      </c>
      <c r="FT195" s="19">
        <v>16.5</v>
      </c>
      <c r="FU195" s="19">
        <v>21.8</v>
      </c>
      <c r="FV195" s="19">
        <v>20.5</v>
      </c>
      <c r="FW195" s="19">
        <v>15.6</v>
      </c>
      <c r="FX195" s="19">
        <v>14.8</v>
      </c>
      <c r="FY195" s="19">
        <v>13.8</v>
      </c>
      <c r="FZ195" s="19">
        <v>10.7</v>
      </c>
      <c r="GA195" s="19">
        <v>9.8</v>
      </c>
      <c r="GB195" s="19">
        <v>8.8</v>
      </c>
      <c r="GC195" s="19">
        <v>8</v>
      </c>
      <c r="GD195" s="19">
        <v>23.7</v>
      </c>
      <c r="GE195" s="19">
        <v>22.7</v>
      </c>
      <c r="GF195" s="19">
        <v>21.7</v>
      </c>
      <c r="GG195" s="19">
        <v>20.7</v>
      </c>
      <c r="GH195" s="19">
        <v>19.7</v>
      </c>
      <c r="GI195" s="19">
        <v>18.7</v>
      </c>
      <c r="GJ195" s="19">
        <v>21.2</v>
      </c>
      <c r="GK195" s="19">
        <v>20</v>
      </c>
      <c r="GL195" s="19">
        <v>19</v>
      </c>
      <c r="GM195" s="19">
        <v>36</v>
      </c>
      <c r="GN195" s="19">
        <v>35</v>
      </c>
      <c r="GO195" s="19">
        <v>34</v>
      </c>
      <c r="GP195" s="19">
        <v>32.8</v>
      </c>
      <c r="GQ195" s="19">
        <v>31.8</v>
      </c>
      <c r="GR195" s="19">
        <v>30.8</v>
      </c>
      <c r="GS195" s="19">
        <v>29.8</v>
      </c>
    </row>
    <row r="196">
      <c r="A196" s="2" t="s">
        <v>1426</v>
      </c>
      <c r="B196" s="2" t="s">
        <v>630</v>
      </c>
      <c r="C196" s="2" t="s">
        <v>1427</v>
      </c>
      <c r="D196" s="2" t="s">
        <v>1298</v>
      </c>
      <c r="E196" s="2" t="s">
        <v>1428</v>
      </c>
      <c r="F196" s="2" t="s">
        <v>1429</v>
      </c>
      <c r="G196" s="2" t="s">
        <v>1429</v>
      </c>
      <c r="H196" s="2" t="s">
        <v>1429</v>
      </c>
      <c r="I196" s="2" t="s">
        <v>1430</v>
      </c>
      <c r="J196" s="2" t="s">
        <v>1121</v>
      </c>
      <c r="K196" s="2" t="s">
        <v>665</v>
      </c>
      <c r="L196" s="3">
        <v>24.76</v>
      </c>
      <c r="M196" s="3">
        <v>26</v>
      </c>
      <c r="N196" s="3">
        <v>79.99</v>
      </c>
      <c r="O196" s="2" t="s">
        <v>196</v>
      </c>
      <c r="P196" s="2" t="s">
        <v>197</v>
      </c>
      <c r="Q196" s="2" t="s">
        <v>198</v>
      </c>
      <c r="R196" s="2" t="s">
        <v>199</v>
      </c>
      <c r="S196" s="2" t="s">
        <v>199</v>
      </c>
      <c r="T196" s="2" t="s">
        <v>199</v>
      </c>
      <c r="U196" s="2" t="s">
        <v>280</v>
      </c>
      <c r="V196" s="2" t="s">
        <v>638</v>
      </c>
      <c r="W196" s="2" t="s">
        <v>529</v>
      </c>
      <c r="X196" s="2" t="s">
        <v>199</v>
      </c>
      <c r="Y196" s="2" t="s">
        <v>1431</v>
      </c>
      <c r="Z196" s="4">
        <v>248</v>
      </c>
      <c r="AA196" s="4">
        <f>=ROUNDDOWN(177.142857142857,0)</f>
      </c>
      <c r="AB196" s="5">
        <v>1.4</v>
      </c>
      <c r="AC196" s="2" t="s">
        <v>199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8</v>
      </c>
      <c r="BK196" s="8">
        <v>223.08</v>
      </c>
      <c r="BL196" s="2" t="s">
        <v>1432</v>
      </c>
      <c r="BM196" s="7"/>
      <c r="BN196" s="7"/>
      <c r="BO196" s="4"/>
      <c r="BP196" s="8"/>
      <c r="BQ196" s="4"/>
      <c r="BR196" s="8"/>
      <c r="BS196" s="7"/>
      <c r="BT196" s="7"/>
      <c r="BU196" s="2" t="s">
        <v>1433</v>
      </c>
      <c r="BV196" s="2" t="s">
        <v>199</v>
      </c>
      <c r="BW196" s="2" t="s">
        <v>199</v>
      </c>
      <c r="BX196" s="2" t="s">
        <v>208</v>
      </c>
      <c r="BY196" s="2" t="s">
        <v>209</v>
      </c>
      <c r="BZ196" s="2" t="s">
        <v>196</v>
      </c>
      <c r="CA196" s="2" t="s">
        <v>1434</v>
      </c>
      <c r="CB196" s="2" t="s">
        <v>1435</v>
      </c>
      <c r="CC196" s="2" t="s">
        <v>212</v>
      </c>
      <c r="CD196" s="2" t="s">
        <v>199</v>
      </c>
      <c r="CE196" s="4">
        <v>248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>
        <v>248</v>
      </c>
      <c r="EU196" s="4">
        <v>247</v>
      </c>
      <c r="EV196" s="4">
        <v>246</v>
      </c>
      <c r="EW196" s="4">
        <v>245</v>
      </c>
      <c r="EX196" s="4">
        <v>244</v>
      </c>
      <c r="EY196" s="4">
        <v>243</v>
      </c>
      <c r="EZ196" s="4">
        <v>242</v>
      </c>
      <c r="FA196" s="4">
        <v>241</v>
      </c>
      <c r="FB196" s="4">
        <v>240</v>
      </c>
      <c r="FC196" s="4">
        <v>239</v>
      </c>
      <c r="FD196" s="4">
        <v>238</v>
      </c>
      <c r="FE196" s="4">
        <v>237</v>
      </c>
      <c r="FF196" s="4">
        <v>236</v>
      </c>
      <c r="FG196" s="4">
        <v>235</v>
      </c>
      <c r="FH196" s="4">
        <v>234</v>
      </c>
      <c r="FI196" s="4">
        <v>233</v>
      </c>
      <c r="FJ196" s="4">
        <v>232</v>
      </c>
      <c r="FK196" s="4">
        <v>231</v>
      </c>
      <c r="FL196" s="4">
        <v>230</v>
      </c>
      <c r="FM196" s="4">
        <v>229</v>
      </c>
      <c r="FN196" s="4">
        <v>228</v>
      </c>
      <c r="FO196" s="4">
        <v>227</v>
      </c>
      <c r="FP196" s="4">
        <v>226</v>
      </c>
      <c r="FQ196" s="4">
        <v>225</v>
      </c>
      <c r="FR196" s="4">
        <v>224</v>
      </c>
      <c r="FS196" s="4">
        <v>223</v>
      </c>
      <c r="FT196" s="19">
        <v>248</v>
      </c>
      <c r="FU196" s="19">
        <v>247</v>
      </c>
      <c r="FV196" s="19">
        <v>246</v>
      </c>
      <c r="FW196" s="19">
        <v>245</v>
      </c>
      <c r="FX196" s="19">
        <v>244</v>
      </c>
      <c r="FY196" s="19">
        <v>243</v>
      </c>
      <c r="FZ196" s="19">
        <v>242</v>
      </c>
      <c r="GA196" s="19">
        <v>241</v>
      </c>
      <c r="GB196" s="19">
        <v>240</v>
      </c>
      <c r="GC196" s="19">
        <v>239</v>
      </c>
      <c r="GD196" s="19">
        <v>238</v>
      </c>
      <c r="GE196" s="19">
        <v>237</v>
      </c>
      <c r="GF196" s="19">
        <v>236</v>
      </c>
      <c r="GG196" s="19">
        <v>235</v>
      </c>
      <c r="GH196" s="19">
        <v>234</v>
      </c>
      <c r="GI196" s="19">
        <v>233</v>
      </c>
      <c r="GJ196" s="19">
        <v>232</v>
      </c>
      <c r="GK196" s="19">
        <v>231</v>
      </c>
      <c r="GL196" s="19">
        <v>230</v>
      </c>
      <c r="GM196" s="19">
        <v>229</v>
      </c>
      <c r="GN196" s="19">
        <v>228</v>
      </c>
      <c r="GO196" s="19">
        <v>227</v>
      </c>
      <c r="GP196" s="19">
        <v>226</v>
      </c>
      <c r="GQ196" s="19">
        <v>225</v>
      </c>
      <c r="GR196" s="19">
        <v>224</v>
      </c>
      <c r="GS196" s="19">
        <v>223</v>
      </c>
    </row>
    <row r="197">
      <c r="A197" s="2" t="s">
        <v>1436</v>
      </c>
      <c r="B197" s="2" t="s">
        <v>630</v>
      </c>
      <c r="C197" s="2" t="s">
        <v>719</v>
      </c>
      <c r="D197" s="2" t="s">
        <v>228</v>
      </c>
      <c r="E197" s="2" t="s">
        <v>487</v>
      </c>
      <c r="F197" s="2" t="s">
        <v>1437</v>
      </c>
      <c r="G197" s="2" t="s">
        <v>1437</v>
      </c>
      <c r="H197" s="2" t="s">
        <v>1437</v>
      </c>
      <c r="I197" s="2" t="s">
        <v>1438</v>
      </c>
      <c r="J197" s="2" t="s">
        <v>194</v>
      </c>
      <c r="K197" s="2" t="s">
        <v>360</v>
      </c>
      <c r="L197" s="3">
        <v>80</v>
      </c>
      <c r="M197" s="3">
        <v>83.99</v>
      </c>
      <c r="N197" s="3">
        <v>174.99</v>
      </c>
      <c r="O197" s="2" t="s">
        <v>196</v>
      </c>
      <c r="P197" s="2" t="s">
        <v>517</v>
      </c>
      <c r="Q197" s="2" t="s">
        <v>198</v>
      </c>
      <c r="R197" s="2" t="s">
        <v>199</v>
      </c>
      <c r="S197" s="2" t="s">
        <v>1439</v>
      </c>
      <c r="T197" s="2" t="s">
        <v>726</v>
      </c>
      <c r="U197" s="2" t="s">
        <v>199</v>
      </c>
      <c r="V197" s="2" t="s">
        <v>728</v>
      </c>
      <c r="W197" s="2" t="s">
        <v>1440</v>
      </c>
      <c r="X197" s="2" t="s">
        <v>712</v>
      </c>
      <c r="Y197" s="2" t="s">
        <v>204</v>
      </c>
      <c r="Z197" s="4">
        <v>62</v>
      </c>
      <c r="AA197" s="4">
        <f>=ROUNDDOWN(44.2857142857143,0)</f>
      </c>
      <c r="AB197" s="5">
        <v>1.4</v>
      </c>
      <c r="AC197" s="2" t="s">
        <v>199</v>
      </c>
      <c r="AD197" s="4"/>
      <c r="AE197" s="4"/>
      <c r="AF197" s="6">
        <v>68</v>
      </c>
      <c r="AG197" s="6"/>
      <c r="AH197" s="7">
        <v>1</v>
      </c>
      <c r="AI197" s="4"/>
      <c r="AJ197" s="4">
        <f>=ROUNDDOWN({0},0)</f>
      </c>
      <c r="AK197" s="5"/>
      <c r="AL197" s="2" t="s">
        <v>199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199</v>
      </c>
      <c r="AW197" s="8" t="s">
        <v>199</v>
      </c>
      <c r="AX197" s="4" t="s">
        <v>199</v>
      </c>
      <c r="AY197" s="8" t="s">
        <v>199</v>
      </c>
      <c r="AZ197" s="7" t="s">
        <v>199</v>
      </c>
      <c r="BA197" s="7" t="s">
        <v>199</v>
      </c>
      <c r="BB197" s="7"/>
      <c r="BC197" s="4" t="s">
        <v>199</v>
      </c>
      <c r="BD197" s="8" t="s">
        <v>199</v>
      </c>
      <c r="BE197" s="4" t="s">
        <v>199</v>
      </c>
      <c r="BF197" s="8" t="s">
        <v>199</v>
      </c>
      <c r="BG197" s="7" t="s">
        <v>199</v>
      </c>
      <c r="BH197" s="7" t="s">
        <v>199</v>
      </c>
      <c r="BI197" s="7"/>
      <c r="BJ197" s="4">
        <v>3</v>
      </c>
      <c r="BK197" s="8">
        <v>265.81</v>
      </c>
      <c r="BL197" s="2" t="s">
        <v>1441</v>
      </c>
      <c r="BM197" s="7"/>
      <c r="BN197" s="7"/>
      <c r="BO197" s="4"/>
      <c r="BP197" s="8"/>
      <c r="BQ197" s="4"/>
      <c r="BR197" s="8"/>
      <c r="BS197" s="7"/>
      <c r="BT197" s="7"/>
      <c r="BU197" s="2" t="s">
        <v>1442</v>
      </c>
      <c r="BV197" s="2" t="s">
        <v>199</v>
      </c>
      <c r="BW197" s="2" t="s">
        <v>199</v>
      </c>
      <c r="BX197" s="2" t="s">
        <v>208</v>
      </c>
      <c r="BY197" s="2" t="s">
        <v>209</v>
      </c>
      <c r="BZ197" s="2" t="s">
        <v>196</v>
      </c>
      <c r="CA197" s="2" t="s">
        <v>210</v>
      </c>
      <c r="CB197" s="2" t="s">
        <v>1443</v>
      </c>
      <c r="CC197" s="2" t="s">
        <v>212</v>
      </c>
      <c r="CD197" s="2" t="s">
        <v>199</v>
      </c>
      <c r="CE197" s="4">
        <v>62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>
        <v>62</v>
      </c>
      <c r="EU197" s="4">
        <v>61</v>
      </c>
      <c r="EV197" s="4">
        <v>60</v>
      </c>
      <c r="EW197" s="4">
        <v>59</v>
      </c>
      <c r="EX197" s="4">
        <v>58</v>
      </c>
      <c r="EY197" s="4">
        <v>57</v>
      </c>
      <c r="EZ197" s="4">
        <v>56</v>
      </c>
      <c r="FA197" s="4">
        <v>55</v>
      </c>
      <c r="FB197" s="4">
        <v>54</v>
      </c>
      <c r="FC197" s="4">
        <v>53</v>
      </c>
      <c r="FD197" s="4">
        <v>52</v>
      </c>
      <c r="FE197" s="4">
        <v>51</v>
      </c>
      <c r="FF197" s="4">
        <v>50</v>
      </c>
      <c r="FG197" s="4">
        <v>49</v>
      </c>
      <c r="FH197" s="4">
        <v>48</v>
      </c>
      <c r="FI197" s="4">
        <v>47</v>
      </c>
      <c r="FJ197" s="4">
        <v>46</v>
      </c>
      <c r="FK197" s="4">
        <v>45</v>
      </c>
      <c r="FL197" s="4">
        <v>44</v>
      </c>
      <c r="FM197" s="4">
        <v>43</v>
      </c>
      <c r="FN197" s="4">
        <v>42</v>
      </c>
      <c r="FO197" s="4">
        <v>41</v>
      </c>
      <c r="FP197" s="4">
        <v>40</v>
      </c>
      <c r="FQ197" s="4">
        <v>39</v>
      </c>
      <c r="FR197" s="4">
        <v>38</v>
      </c>
      <c r="FS197" s="4">
        <v>37</v>
      </c>
      <c r="FT197" s="19">
        <v>62</v>
      </c>
      <c r="FU197" s="19">
        <v>61</v>
      </c>
      <c r="FV197" s="19">
        <v>60</v>
      </c>
      <c r="FW197" s="19">
        <v>59</v>
      </c>
      <c r="FX197" s="19">
        <v>58</v>
      </c>
      <c r="FY197" s="19">
        <v>57</v>
      </c>
      <c r="FZ197" s="19">
        <v>56</v>
      </c>
      <c r="GA197" s="19">
        <v>55</v>
      </c>
      <c r="GB197" s="19">
        <v>54</v>
      </c>
      <c r="GC197" s="19">
        <v>53</v>
      </c>
      <c r="GD197" s="19">
        <v>52</v>
      </c>
      <c r="GE197" s="19">
        <v>51</v>
      </c>
      <c r="GF197" s="19">
        <v>50</v>
      </c>
      <c r="GG197" s="19">
        <v>49</v>
      </c>
      <c r="GH197" s="19">
        <v>48</v>
      </c>
      <c r="GI197" s="19">
        <v>47</v>
      </c>
      <c r="GJ197" s="19">
        <v>46</v>
      </c>
      <c r="GK197" s="19">
        <v>45</v>
      </c>
      <c r="GL197" s="19">
        <v>44</v>
      </c>
      <c r="GM197" s="19">
        <v>43</v>
      </c>
      <c r="GN197" s="19">
        <v>42</v>
      </c>
      <c r="GO197" s="19">
        <v>41</v>
      </c>
      <c r="GP197" s="19">
        <v>40</v>
      </c>
      <c r="GQ197" s="19">
        <v>39</v>
      </c>
      <c r="GR197" s="19">
        <v>38</v>
      </c>
      <c r="GS197" s="19">
        <v>37</v>
      </c>
    </row>
    <row r="198">
      <c r="A198" s="2" t="s">
        <v>1444</v>
      </c>
      <c r="B198" s="2" t="s">
        <v>630</v>
      </c>
      <c r="C198" s="2" t="s">
        <v>719</v>
      </c>
      <c r="D198" s="2" t="s">
        <v>631</v>
      </c>
      <c r="E198" s="2" t="s">
        <v>720</v>
      </c>
      <c r="F198" s="2" t="s">
        <v>1437</v>
      </c>
      <c r="G198" s="2" t="s">
        <v>1437</v>
      </c>
      <c r="H198" s="2" t="s">
        <v>1437</v>
      </c>
      <c r="I198" s="2" t="s">
        <v>1386</v>
      </c>
      <c r="J198" s="2" t="s">
        <v>232</v>
      </c>
      <c r="K198" s="2" t="s">
        <v>360</v>
      </c>
      <c r="L198" s="3">
        <v>76.49</v>
      </c>
      <c r="M198" s="3">
        <v>80.32</v>
      </c>
      <c r="N198" s="3">
        <v>174.99</v>
      </c>
      <c r="O198" s="2" t="s">
        <v>196</v>
      </c>
      <c r="P198" s="2" t="s">
        <v>517</v>
      </c>
      <c r="Q198" s="2" t="s">
        <v>198</v>
      </c>
      <c r="R198" s="2" t="s">
        <v>199</v>
      </c>
      <c r="S198" s="2" t="s">
        <v>1439</v>
      </c>
      <c r="T198" s="2" t="s">
        <v>726</v>
      </c>
      <c r="U198" s="2" t="s">
        <v>199</v>
      </c>
      <c r="V198" s="2" t="s">
        <v>728</v>
      </c>
      <c r="W198" s="2" t="s">
        <v>1440</v>
      </c>
      <c r="X198" s="2" t="s">
        <v>712</v>
      </c>
      <c r="Y198" s="2" t="s">
        <v>204</v>
      </c>
      <c r="Z198" s="4">
        <v>127</v>
      </c>
      <c r="AA198" s="4">
        <f>=ROUNDDOWN(60.4761904761905,0)</f>
      </c>
      <c r="AB198" s="5">
        <v>2.1</v>
      </c>
      <c r="AC198" s="2" t="s">
        <v>199</v>
      </c>
      <c r="AD198" s="4"/>
      <c r="AE198" s="4"/>
      <c r="AF198" s="6">
        <v>68</v>
      </c>
      <c r="AG198" s="6"/>
      <c r="AH198" s="7">
        <v>1</v>
      </c>
      <c r="AI198" s="4"/>
      <c r="AJ198" s="4">
        <f>=ROUNDDOWN({0},0)</f>
      </c>
      <c r="AK198" s="5"/>
      <c r="AL198" s="2" t="s">
        <v>199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199</v>
      </c>
      <c r="AW198" s="8" t="s">
        <v>199</v>
      </c>
      <c r="AX198" s="4" t="s">
        <v>199</v>
      </c>
      <c r="AY198" s="8" t="s">
        <v>199</v>
      </c>
      <c r="AZ198" s="7" t="s">
        <v>199</v>
      </c>
      <c r="BA198" s="7" t="s">
        <v>199</v>
      </c>
      <c r="BB198" s="7"/>
      <c r="BC198" s="4" t="s">
        <v>199</v>
      </c>
      <c r="BD198" s="8" t="s">
        <v>199</v>
      </c>
      <c r="BE198" s="4" t="s">
        <v>199</v>
      </c>
      <c r="BF198" s="8" t="s">
        <v>199</v>
      </c>
      <c r="BG198" s="7" t="s">
        <v>199</v>
      </c>
      <c r="BH198" s="7" t="s">
        <v>199</v>
      </c>
      <c r="BI198" s="7"/>
      <c r="BJ198" s="4">
        <v>2</v>
      </c>
      <c r="BK198" s="8">
        <v>164.34</v>
      </c>
      <c r="BL198" s="2" t="s">
        <v>1445</v>
      </c>
      <c r="BM198" s="7"/>
      <c r="BN198" s="7"/>
      <c r="BO198" s="4"/>
      <c r="BP198" s="8"/>
      <c r="BQ198" s="4"/>
      <c r="BR198" s="8"/>
      <c r="BS198" s="7"/>
      <c r="BT198" s="7"/>
      <c r="BU198" s="2" t="s">
        <v>1446</v>
      </c>
      <c r="BV198" s="2" t="s">
        <v>199</v>
      </c>
      <c r="BW198" s="2" t="s">
        <v>199</v>
      </c>
      <c r="BX198" s="2" t="s">
        <v>208</v>
      </c>
      <c r="BY198" s="2" t="s">
        <v>209</v>
      </c>
      <c r="BZ198" s="2" t="s">
        <v>196</v>
      </c>
      <c r="CA198" s="2" t="s">
        <v>210</v>
      </c>
      <c r="CB198" s="2" t="s">
        <v>1447</v>
      </c>
      <c r="CC198" s="2" t="s">
        <v>212</v>
      </c>
      <c r="CD198" s="2" t="s">
        <v>199</v>
      </c>
      <c r="CE198" s="4">
        <v>127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>
        <v>129</v>
      </c>
      <c r="EU198" s="4">
        <v>119</v>
      </c>
      <c r="EV198" s="4">
        <v>117</v>
      </c>
      <c r="EW198" s="4">
        <v>115</v>
      </c>
      <c r="EX198" s="4">
        <v>113</v>
      </c>
      <c r="EY198" s="4">
        <v>111</v>
      </c>
      <c r="EZ198" s="4">
        <v>109</v>
      </c>
      <c r="FA198" s="4">
        <v>107</v>
      </c>
      <c r="FB198" s="4">
        <v>105</v>
      </c>
      <c r="FC198" s="4">
        <v>103</v>
      </c>
      <c r="FD198" s="4">
        <v>101</v>
      </c>
      <c r="FE198" s="4">
        <v>99</v>
      </c>
      <c r="FF198" s="4">
        <v>97</v>
      </c>
      <c r="FG198" s="4">
        <v>95</v>
      </c>
      <c r="FH198" s="4">
        <v>93</v>
      </c>
      <c r="FI198" s="4">
        <v>91</v>
      </c>
      <c r="FJ198" s="4">
        <v>89</v>
      </c>
      <c r="FK198" s="4">
        <v>87</v>
      </c>
      <c r="FL198" s="4">
        <v>85</v>
      </c>
      <c r="FM198" s="4">
        <v>83</v>
      </c>
      <c r="FN198" s="4">
        <v>81</v>
      </c>
      <c r="FO198" s="4">
        <v>79</v>
      </c>
      <c r="FP198" s="4">
        <v>77</v>
      </c>
      <c r="FQ198" s="4">
        <v>75</v>
      </c>
      <c r="FR198" s="4">
        <v>73</v>
      </c>
      <c r="FS198" s="4">
        <v>71</v>
      </c>
      <c r="FT198" s="19">
        <v>32.3</v>
      </c>
      <c r="FU198" s="19">
        <v>59.5</v>
      </c>
      <c r="FV198" s="19">
        <v>58.5</v>
      </c>
      <c r="FW198" s="19">
        <v>57.5</v>
      </c>
      <c r="FX198" s="19">
        <v>56.5</v>
      </c>
      <c r="FY198" s="19">
        <v>55.5</v>
      </c>
      <c r="FZ198" s="19">
        <v>54.5</v>
      </c>
      <c r="GA198" s="19">
        <v>53.5</v>
      </c>
      <c r="GB198" s="19">
        <v>52.5</v>
      </c>
      <c r="GC198" s="19">
        <v>51.5</v>
      </c>
      <c r="GD198" s="19">
        <v>50.5</v>
      </c>
      <c r="GE198" s="19">
        <v>49.5</v>
      </c>
      <c r="GF198" s="19">
        <v>48.5</v>
      </c>
      <c r="GG198" s="19">
        <v>47.5</v>
      </c>
      <c r="GH198" s="19">
        <v>46.5</v>
      </c>
      <c r="GI198" s="19">
        <v>45.5</v>
      </c>
      <c r="GJ198" s="19">
        <v>44.5</v>
      </c>
      <c r="GK198" s="19">
        <v>43.5</v>
      </c>
      <c r="GL198" s="19">
        <v>42.5</v>
      </c>
      <c r="GM198" s="19">
        <v>41.5</v>
      </c>
      <c r="GN198" s="19">
        <v>40.5</v>
      </c>
      <c r="GO198" s="19">
        <v>39.5</v>
      </c>
      <c r="GP198" s="19">
        <v>38.5</v>
      </c>
      <c r="GQ198" s="19">
        <v>37.5</v>
      </c>
      <c r="GR198" s="19">
        <v>36.5</v>
      </c>
      <c r="GS198" s="19">
        <v>35.5</v>
      </c>
    </row>
    <row r="199">
      <c r="A199" s="2" t="s">
        <v>1448</v>
      </c>
      <c r="B199" s="2" t="s">
        <v>630</v>
      </c>
      <c r="C199" s="2" t="s">
        <v>1377</v>
      </c>
      <c r="D199" s="2" t="s">
        <v>228</v>
      </c>
      <c r="E199" s="2" t="s">
        <v>988</v>
      </c>
      <c r="F199" s="2" t="s">
        <v>1449</v>
      </c>
      <c r="G199" s="2" t="s">
        <v>1449</v>
      </c>
      <c r="H199" s="2" t="s">
        <v>1449</v>
      </c>
      <c r="I199" s="2" t="s">
        <v>1450</v>
      </c>
      <c r="J199" s="2" t="s">
        <v>232</v>
      </c>
      <c r="K199" s="2" t="s">
        <v>233</v>
      </c>
      <c r="L199" s="3">
        <v>72</v>
      </c>
      <c r="M199" s="3">
        <v>75.6</v>
      </c>
      <c r="N199" s="3">
        <v>159.99</v>
      </c>
      <c r="O199" s="2" t="s">
        <v>196</v>
      </c>
      <c r="P199" s="2" t="s">
        <v>197</v>
      </c>
      <c r="Q199" s="2" t="s">
        <v>198</v>
      </c>
      <c r="R199" s="2" t="s">
        <v>199</v>
      </c>
      <c r="S199" s="2" t="s">
        <v>1451</v>
      </c>
      <c r="T199" s="2" t="s">
        <v>386</v>
      </c>
      <c r="U199" s="2" t="s">
        <v>637</v>
      </c>
      <c r="V199" s="2" t="s">
        <v>202</v>
      </c>
      <c r="W199" s="2" t="s">
        <v>510</v>
      </c>
      <c r="X199" s="2" t="s">
        <v>199</v>
      </c>
      <c r="Y199" s="2" t="s">
        <v>1452</v>
      </c>
      <c r="Z199" s="4">
        <v>66</v>
      </c>
      <c r="AA199" s="4">
        <f>=ROUNDDOWN({0},0)</f>
      </c>
      <c r="AB199" s="5">
        <v>2.6</v>
      </c>
      <c r="AC199" s="2" t="s">
        <v>199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199</v>
      </c>
      <c r="AW199" s="8" t="s">
        <v>199</v>
      </c>
      <c r="AX199" s="4" t="s">
        <v>199</v>
      </c>
      <c r="AY199" s="8" t="s">
        <v>199</v>
      </c>
      <c r="AZ199" s="7" t="s">
        <v>199</v>
      </c>
      <c r="BA199" s="7" t="s">
        <v>199</v>
      </c>
      <c r="BB199" s="7" t="s">
        <v>199</v>
      </c>
      <c r="BC199" s="4" t="s">
        <v>199</v>
      </c>
      <c r="BD199" s="8" t="s">
        <v>199</v>
      </c>
      <c r="BE199" s="4" t="s">
        <v>199</v>
      </c>
      <c r="BF199" s="8" t="s">
        <v>199</v>
      </c>
      <c r="BG199" s="7" t="s">
        <v>199</v>
      </c>
      <c r="BH199" s="7" t="s">
        <v>199</v>
      </c>
      <c r="BI199" s="7"/>
      <c r="BJ199" s="4">
        <v>9</v>
      </c>
      <c r="BK199" s="8">
        <v>721.63</v>
      </c>
      <c r="BL199" s="2" t="s">
        <v>1453</v>
      </c>
      <c r="BM199" s="7"/>
      <c r="BN199" s="7"/>
      <c r="BO199" s="4"/>
      <c r="BP199" s="8"/>
      <c r="BQ199" s="4"/>
      <c r="BR199" s="8"/>
      <c r="BS199" s="7"/>
      <c r="BT199" s="7"/>
      <c r="BU199" s="2" t="s">
        <v>1454</v>
      </c>
      <c r="BV199" s="2" t="s">
        <v>199</v>
      </c>
      <c r="BW199" s="2" t="s">
        <v>199</v>
      </c>
      <c r="BX199" s="2" t="s">
        <v>208</v>
      </c>
      <c r="BY199" s="2" t="s">
        <v>209</v>
      </c>
      <c r="BZ199" s="2" t="s">
        <v>196</v>
      </c>
      <c r="CA199" s="2" t="s">
        <v>1455</v>
      </c>
      <c r="CB199" s="2" t="s">
        <v>859</v>
      </c>
      <c r="CC199" s="2" t="s">
        <v>212</v>
      </c>
      <c r="CD199" s="2" t="s">
        <v>199</v>
      </c>
      <c r="CE199" s="4">
        <v>66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>
        <v>66</v>
      </c>
      <c r="EU199" s="4">
        <v>63</v>
      </c>
      <c r="EV199" s="4">
        <v>60</v>
      </c>
      <c r="EW199" s="4">
        <v>58</v>
      </c>
      <c r="EX199" s="4">
        <v>56</v>
      </c>
      <c r="EY199" s="4">
        <v>53</v>
      </c>
      <c r="EZ199" s="4">
        <v>50</v>
      </c>
      <c r="FA199" s="4">
        <v>47</v>
      </c>
      <c r="FB199" s="4">
        <v>44</v>
      </c>
      <c r="FC199" s="4">
        <v>41</v>
      </c>
      <c r="FD199" s="4">
        <v>38</v>
      </c>
      <c r="FE199" s="4">
        <v>35</v>
      </c>
      <c r="FF199" s="4">
        <v>32</v>
      </c>
      <c r="FG199" s="4">
        <v>29</v>
      </c>
      <c r="FH199" s="4">
        <v>26</v>
      </c>
      <c r="FI199" s="4">
        <v>23</v>
      </c>
      <c r="FJ199" s="4">
        <v>20</v>
      </c>
      <c r="FK199" s="4">
        <v>17</v>
      </c>
      <c r="FL199" s="4">
        <v>14</v>
      </c>
      <c r="FM199" s="4">
        <v>11</v>
      </c>
      <c r="FN199" s="4">
        <v>8</v>
      </c>
      <c r="FO199" s="4">
        <v>5</v>
      </c>
      <c r="FP199" s="4">
        <v>2</v>
      </c>
      <c r="FQ199" s="4">
        <v>141</v>
      </c>
      <c r="FR199" s="4">
        <v>138</v>
      </c>
      <c r="FS199" s="4">
        <v>135</v>
      </c>
      <c r="FT199" s="19">
        <v>33</v>
      </c>
      <c r="FU199" s="19">
        <v>31.5</v>
      </c>
      <c r="FV199" s="19">
        <v>30</v>
      </c>
      <c r="FW199" s="19">
        <v>19.3</v>
      </c>
      <c r="FX199" s="19">
        <v>18.7</v>
      </c>
      <c r="FY199" s="19">
        <v>17.7</v>
      </c>
      <c r="FZ199" s="19">
        <v>16.7</v>
      </c>
      <c r="GA199" s="19">
        <v>15.7</v>
      </c>
      <c r="GB199" s="19">
        <v>14.7</v>
      </c>
      <c r="GC199" s="19">
        <v>13.7</v>
      </c>
      <c r="GD199" s="19">
        <v>12.7</v>
      </c>
      <c r="GE199" s="19">
        <v>11.7</v>
      </c>
      <c r="GF199" s="19">
        <v>10.7</v>
      </c>
      <c r="GG199" s="19">
        <v>9.7</v>
      </c>
      <c r="GH199" s="19">
        <v>8.7</v>
      </c>
      <c r="GI199" s="19">
        <v>7.7</v>
      </c>
      <c r="GJ199" s="19">
        <v>6.7</v>
      </c>
      <c r="GK199" s="19">
        <v>5.7</v>
      </c>
      <c r="GL199" s="19">
        <v>4.7</v>
      </c>
      <c r="GM199" s="19">
        <v>3.7</v>
      </c>
      <c r="GN199" s="19">
        <v>2.7</v>
      </c>
      <c r="GO199" s="19">
        <v>1.7</v>
      </c>
      <c r="GP199" s="19">
        <v>0.7</v>
      </c>
      <c r="GQ199" s="19">
        <v>47</v>
      </c>
      <c r="GR199" s="19">
        <v>46</v>
      </c>
      <c r="GS199" s="19">
        <v>45</v>
      </c>
    </row>
    <row r="200">
      <c r="A200" s="2" t="s">
        <v>1456</v>
      </c>
      <c r="B200" s="2" t="s">
        <v>630</v>
      </c>
      <c r="C200" s="2" t="s">
        <v>1377</v>
      </c>
      <c r="D200" s="2" t="s">
        <v>631</v>
      </c>
      <c r="E200" s="2" t="s">
        <v>632</v>
      </c>
      <c r="F200" s="2" t="s">
        <v>1449</v>
      </c>
      <c r="G200" s="2" t="s">
        <v>1449</v>
      </c>
      <c r="H200" s="2" t="s">
        <v>1449</v>
      </c>
      <c r="I200" s="2" t="s">
        <v>1457</v>
      </c>
      <c r="J200" s="2" t="s">
        <v>232</v>
      </c>
      <c r="K200" s="2" t="s">
        <v>233</v>
      </c>
      <c r="L200" s="3">
        <v>67.5</v>
      </c>
      <c r="M200" s="3">
        <v>70.88</v>
      </c>
      <c r="N200" s="3">
        <v>149.99</v>
      </c>
      <c r="O200" s="2" t="s">
        <v>196</v>
      </c>
      <c r="P200" s="2" t="s">
        <v>197</v>
      </c>
      <c r="Q200" s="2" t="s">
        <v>198</v>
      </c>
      <c r="R200" s="2" t="s">
        <v>199</v>
      </c>
      <c r="S200" s="2" t="s">
        <v>1451</v>
      </c>
      <c r="T200" s="2" t="s">
        <v>386</v>
      </c>
      <c r="U200" s="2" t="s">
        <v>637</v>
      </c>
      <c r="V200" s="2" t="s">
        <v>202</v>
      </c>
      <c r="W200" s="2" t="s">
        <v>510</v>
      </c>
      <c r="X200" s="2" t="s">
        <v>199</v>
      </c>
      <c r="Y200" s="2" t="s">
        <v>1452</v>
      </c>
      <c r="Z200" s="4">
        <v>52</v>
      </c>
      <c r="AA200" s="4">
        <f>=ROUNDDOWN(37.1428571428571,0)</f>
      </c>
      <c r="AB200" s="5">
        <v>1.4</v>
      </c>
      <c r="AC200" s="2" t="s">
        <v>199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199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199</v>
      </c>
      <c r="AW200" s="8" t="s">
        <v>199</v>
      </c>
      <c r="AX200" s="4" t="s">
        <v>199</v>
      </c>
      <c r="AY200" s="8" t="s">
        <v>199</v>
      </c>
      <c r="AZ200" s="7" t="s">
        <v>199</v>
      </c>
      <c r="BA200" s="7" t="s">
        <v>199</v>
      </c>
      <c r="BB200" s="7" t="s">
        <v>199</v>
      </c>
      <c r="BC200" s="4" t="s">
        <v>199</v>
      </c>
      <c r="BD200" s="8" t="s">
        <v>199</v>
      </c>
      <c r="BE200" s="4" t="s">
        <v>199</v>
      </c>
      <c r="BF200" s="8" t="s">
        <v>199</v>
      </c>
      <c r="BG200" s="7" t="s">
        <v>199</v>
      </c>
      <c r="BH200" s="7" t="s">
        <v>199</v>
      </c>
      <c r="BI200" s="7"/>
      <c r="BJ200" s="4">
        <v>7</v>
      </c>
      <c r="BK200" s="8">
        <v>515.97</v>
      </c>
      <c r="BL200" s="2" t="s">
        <v>1458</v>
      </c>
      <c r="BM200" s="7"/>
      <c r="BN200" s="7"/>
      <c r="BO200" s="4"/>
      <c r="BP200" s="8"/>
      <c r="BQ200" s="4"/>
      <c r="BR200" s="8"/>
      <c r="BS200" s="7"/>
      <c r="BT200" s="7"/>
      <c r="BU200" s="2" t="s">
        <v>1459</v>
      </c>
      <c r="BV200" s="2" t="s">
        <v>199</v>
      </c>
      <c r="BW200" s="2" t="s">
        <v>199</v>
      </c>
      <c r="BX200" s="2" t="s">
        <v>208</v>
      </c>
      <c r="BY200" s="2" t="s">
        <v>209</v>
      </c>
      <c r="BZ200" s="2" t="s">
        <v>196</v>
      </c>
      <c r="CA200" s="2" t="s">
        <v>1455</v>
      </c>
      <c r="CB200" s="2" t="s">
        <v>1460</v>
      </c>
      <c r="CC200" s="2" t="s">
        <v>212</v>
      </c>
      <c r="CD200" s="2" t="s">
        <v>199</v>
      </c>
      <c r="CE200" s="4">
        <v>52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>
        <v>52</v>
      </c>
      <c r="EU200" s="4">
        <v>51</v>
      </c>
      <c r="EV200" s="4">
        <v>50</v>
      </c>
      <c r="EW200" s="4">
        <v>49</v>
      </c>
      <c r="EX200" s="4">
        <v>48</v>
      </c>
      <c r="EY200" s="4">
        <v>47</v>
      </c>
      <c r="EZ200" s="4">
        <v>46</v>
      </c>
      <c r="FA200" s="4">
        <v>45</v>
      </c>
      <c r="FB200" s="4">
        <v>44</v>
      </c>
      <c r="FC200" s="4">
        <v>43</v>
      </c>
      <c r="FD200" s="4">
        <v>42</v>
      </c>
      <c r="FE200" s="4">
        <v>41</v>
      </c>
      <c r="FF200" s="4">
        <v>40</v>
      </c>
      <c r="FG200" s="4">
        <v>39</v>
      </c>
      <c r="FH200" s="4">
        <v>38</v>
      </c>
      <c r="FI200" s="4">
        <v>37</v>
      </c>
      <c r="FJ200" s="4">
        <v>36</v>
      </c>
      <c r="FK200" s="4">
        <v>35</v>
      </c>
      <c r="FL200" s="4">
        <v>34</v>
      </c>
      <c r="FM200" s="4">
        <v>33</v>
      </c>
      <c r="FN200" s="4">
        <v>32</v>
      </c>
      <c r="FO200" s="4">
        <v>31</v>
      </c>
      <c r="FP200" s="4">
        <v>30</v>
      </c>
      <c r="FQ200" s="4">
        <v>46</v>
      </c>
      <c r="FR200" s="4">
        <v>45</v>
      </c>
      <c r="FS200" s="4">
        <v>44</v>
      </c>
      <c r="FT200" s="19">
        <v>52</v>
      </c>
      <c r="FU200" s="19">
        <v>51</v>
      </c>
      <c r="FV200" s="19">
        <v>50</v>
      </c>
      <c r="FW200" s="19">
        <v>49</v>
      </c>
      <c r="FX200" s="19">
        <v>48</v>
      </c>
      <c r="FY200" s="19">
        <v>47</v>
      </c>
      <c r="FZ200" s="19">
        <v>46</v>
      </c>
      <c r="GA200" s="19">
        <v>45</v>
      </c>
      <c r="GB200" s="19">
        <v>44</v>
      </c>
      <c r="GC200" s="19">
        <v>43</v>
      </c>
      <c r="GD200" s="19">
        <v>42</v>
      </c>
      <c r="GE200" s="19">
        <v>41</v>
      </c>
      <c r="GF200" s="19">
        <v>40</v>
      </c>
      <c r="GG200" s="19">
        <v>39</v>
      </c>
      <c r="GH200" s="19">
        <v>38</v>
      </c>
      <c r="GI200" s="19">
        <v>37</v>
      </c>
      <c r="GJ200" s="19">
        <v>36</v>
      </c>
      <c r="GK200" s="19">
        <v>35</v>
      </c>
      <c r="GL200" s="19">
        <v>34</v>
      </c>
      <c r="GM200" s="19">
        <v>33</v>
      </c>
      <c r="GN200" s="19">
        <v>32</v>
      </c>
      <c r="GO200" s="19">
        <v>31</v>
      </c>
      <c r="GP200" s="19">
        <v>30</v>
      </c>
      <c r="GQ200" s="19">
        <v>46</v>
      </c>
      <c r="GR200" s="19">
        <v>45</v>
      </c>
      <c r="GS200" s="19">
        <v>44</v>
      </c>
    </row>
    <row r="201">
      <c r="A201" s="2" t="s">
        <v>1461</v>
      </c>
      <c r="B201" s="2" t="s">
        <v>630</v>
      </c>
      <c r="C201" s="2" t="s">
        <v>1377</v>
      </c>
      <c r="D201" s="2" t="s">
        <v>228</v>
      </c>
      <c r="E201" s="2" t="s">
        <v>988</v>
      </c>
      <c r="F201" s="2" t="s">
        <v>1449</v>
      </c>
      <c r="G201" s="2" t="s">
        <v>1449</v>
      </c>
      <c r="H201" s="2" t="s">
        <v>1449</v>
      </c>
      <c r="I201" s="2" t="s">
        <v>1450</v>
      </c>
      <c r="J201" s="2" t="s">
        <v>241</v>
      </c>
      <c r="K201" s="2" t="s">
        <v>233</v>
      </c>
      <c r="L201" s="3">
        <v>85.5</v>
      </c>
      <c r="M201" s="3">
        <v>89.78</v>
      </c>
      <c r="N201" s="3">
        <v>189.99</v>
      </c>
      <c r="O201" s="2" t="s">
        <v>196</v>
      </c>
      <c r="P201" s="2" t="s">
        <v>197</v>
      </c>
      <c r="Q201" s="2" t="s">
        <v>198</v>
      </c>
      <c r="R201" s="2" t="s">
        <v>199</v>
      </c>
      <c r="S201" s="2" t="s">
        <v>1451</v>
      </c>
      <c r="T201" s="2" t="s">
        <v>386</v>
      </c>
      <c r="U201" s="2" t="s">
        <v>637</v>
      </c>
      <c r="V201" s="2" t="s">
        <v>202</v>
      </c>
      <c r="W201" s="2" t="s">
        <v>510</v>
      </c>
      <c r="X201" s="2" t="s">
        <v>199</v>
      </c>
      <c r="Y201" s="2" t="s">
        <v>1452</v>
      </c>
      <c r="Z201" s="4">
        <v>340</v>
      </c>
      <c r="AA201" s="4">
        <f>=ROUNDDOWN(178.947368421053,0)</f>
      </c>
      <c r="AB201" s="5">
        <v>1.9</v>
      </c>
      <c r="AC201" s="2" t="s">
        <v>199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199</v>
      </c>
      <c r="AW201" s="8" t="s">
        <v>199</v>
      </c>
      <c r="AX201" s="4" t="s">
        <v>199</v>
      </c>
      <c r="AY201" s="8" t="s">
        <v>199</v>
      </c>
      <c r="AZ201" s="7" t="s">
        <v>199</v>
      </c>
      <c r="BA201" s="7" t="s">
        <v>199</v>
      </c>
      <c r="BB201" s="7"/>
      <c r="BC201" s="4" t="s">
        <v>199</v>
      </c>
      <c r="BD201" s="8" t="s">
        <v>199</v>
      </c>
      <c r="BE201" s="4" t="s">
        <v>199</v>
      </c>
      <c r="BF201" s="8" t="s">
        <v>199</v>
      </c>
      <c r="BG201" s="7" t="s">
        <v>199</v>
      </c>
      <c r="BH201" s="7" t="s">
        <v>199</v>
      </c>
      <c r="BI201" s="7"/>
      <c r="BJ201" s="4">
        <v>2</v>
      </c>
      <c r="BK201" s="8">
        <v>195.71</v>
      </c>
      <c r="BL201" s="2" t="s">
        <v>1462</v>
      </c>
      <c r="BM201" s="7"/>
      <c r="BN201" s="7"/>
      <c r="BO201" s="4"/>
      <c r="BP201" s="8"/>
      <c r="BQ201" s="4"/>
      <c r="BR201" s="8"/>
      <c r="BS201" s="7"/>
      <c r="BT201" s="7"/>
      <c r="BU201" s="2" t="s">
        <v>1454</v>
      </c>
      <c r="BV201" s="2" t="s">
        <v>199</v>
      </c>
      <c r="BW201" s="2" t="s">
        <v>199</v>
      </c>
      <c r="BX201" s="2" t="s">
        <v>208</v>
      </c>
      <c r="BY201" s="2" t="s">
        <v>209</v>
      </c>
      <c r="BZ201" s="2" t="s">
        <v>196</v>
      </c>
      <c r="CA201" s="2" t="s">
        <v>1455</v>
      </c>
      <c r="CB201" s="2" t="s">
        <v>859</v>
      </c>
      <c r="CC201" s="2" t="s">
        <v>212</v>
      </c>
      <c r="CD201" s="2" t="s">
        <v>199</v>
      </c>
      <c r="CE201" s="4">
        <v>340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>
        <v>340</v>
      </c>
      <c r="EU201" s="4">
        <v>337</v>
      </c>
      <c r="EV201" s="4">
        <v>335</v>
      </c>
      <c r="EW201" s="4">
        <v>333</v>
      </c>
      <c r="EX201" s="4">
        <v>331</v>
      </c>
      <c r="EY201" s="4">
        <v>329</v>
      </c>
      <c r="EZ201" s="4">
        <v>327</v>
      </c>
      <c r="FA201" s="4">
        <v>325</v>
      </c>
      <c r="FB201" s="4">
        <v>323</v>
      </c>
      <c r="FC201" s="4">
        <v>321</v>
      </c>
      <c r="FD201" s="4">
        <v>319</v>
      </c>
      <c r="FE201" s="4">
        <v>317</v>
      </c>
      <c r="FF201" s="4">
        <v>315</v>
      </c>
      <c r="FG201" s="4">
        <v>313</v>
      </c>
      <c r="FH201" s="4">
        <v>311</v>
      </c>
      <c r="FI201" s="4">
        <v>309</v>
      </c>
      <c r="FJ201" s="4">
        <v>307</v>
      </c>
      <c r="FK201" s="4">
        <v>305</v>
      </c>
      <c r="FL201" s="4">
        <v>303</v>
      </c>
      <c r="FM201" s="4">
        <v>301</v>
      </c>
      <c r="FN201" s="4">
        <v>299</v>
      </c>
      <c r="FO201" s="4">
        <v>297</v>
      </c>
      <c r="FP201" s="4">
        <v>295</v>
      </c>
      <c r="FQ201" s="4">
        <v>293</v>
      </c>
      <c r="FR201" s="4">
        <v>291</v>
      </c>
      <c r="FS201" s="4">
        <v>289</v>
      </c>
      <c r="FT201" s="19">
        <v>170</v>
      </c>
      <c r="FU201" s="19">
        <v>168.5</v>
      </c>
      <c r="FV201" s="19">
        <v>167.5</v>
      </c>
      <c r="FW201" s="19">
        <v>166.5</v>
      </c>
      <c r="FX201" s="19">
        <v>165.5</v>
      </c>
      <c r="FY201" s="19">
        <v>164.5</v>
      </c>
      <c r="FZ201" s="19">
        <v>163.5</v>
      </c>
      <c r="GA201" s="19">
        <v>162.5</v>
      </c>
      <c r="GB201" s="19">
        <v>161.5</v>
      </c>
      <c r="GC201" s="19">
        <v>160.5</v>
      </c>
      <c r="GD201" s="19">
        <v>159.5</v>
      </c>
      <c r="GE201" s="19">
        <v>158.5</v>
      </c>
      <c r="GF201" s="19">
        <v>157.5</v>
      </c>
      <c r="GG201" s="19">
        <v>156.5</v>
      </c>
      <c r="GH201" s="19">
        <v>155.5</v>
      </c>
      <c r="GI201" s="19">
        <v>154.5</v>
      </c>
      <c r="GJ201" s="19">
        <v>153.5</v>
      </c>
      <c r="GK201" s="19">
        <v>152.5</v>
      </c>
      <c r="GL201" s="19">
        <v>151.5</v>
      </c>
      <c r="GM201" s="19">
        <v>150.5</v>
      </c>
      <c r="GN201" s="19">
        <v>149.5</v>
      </c>
      <c r="GO201" s="19">
        <v>148.5</v>
      </c>
      <c r="GP201" s="19">
        <v>147.5</v>
      </c>
      <c r="GQ201" s="19">
        <v>146.5</v>
      </c>
      <c r="GR201" s="19">
        <v>145.5</v>
      </c>
      <c r="GS201" s="19">
        <v>144.5</v>
      </c>
    </row>
    <row r="202">
      <c r="A202" s="2" t="s">
        <v>1463</v>
      </c>
      <c r="B202" s="2" t="s">
        <v>630</v>
      </c>
      <c r="C202" s="2" t="s">
        <v>1377</v>
      </c>
      <c r="D202" s="2" t="s">
        <v>1298</v>
      </c>
      <c r="E202" s="2" t="s">
        <v>1428</v>
      </c>
      <c r="F202" s="2" t="s">
        <v>1449</v>
      </c>
      <c r="G202" s="2" t="s">
        <v>1449</v>
      </c>
      <c r="H202" s="2" t="s">
        <v>1449</v>
      </c>
      <c r="I202" s="2" t="s">
        <v>1464</v>
      </c>
      <c r="J202" s="2" t="s">
        <v>1302</v>
      </c>
      <c r="K202" s="2" t="s">
        <v>233</v>
      </c>
      <c r="L202" s="3">
        <v>18</v>
      </c>
      <c r="M202" s="3">
        <v>18.9</v>
      </c>
      <c r="N202" s="3">
        <v>39.99</v>
      </c>
      <c r="O202" s="2" t="s">
        <v>196</v>
      </c>
      <c r="P202" s="2" t="s">
        <v>197</v>
      </c>
      <c r="Q202" s="2" t="s">
        <v>198</v>
      </c>
      <c r="R202" s="2" t="s">
        <v>199</v>
      </c>
      <c r="S202" s="2" t="s">
        <v>1451</v>
      </c>
      <c r="T202" s="2" t="s">
        <v>386</v>
      </c>
      <c r="U202" s="2" t="s">
        <v>280</v>
      </c>
      <c r="V202" s="2" t="s">
        <v>202</v>
      </c>
      <c r="W202" s="2" t="s">
        <v>510</v>
      </c>
      <c r="X202" s="2" t="s">
        <v>199</v>
      </c>
      <c r="Y202" s="2" t="s">
        <v>1452</v>
      </c>
      <c r="Z202" s="4">
        <v>216</v>
      </c>
      <c r="AA202" s="4">
        <f>=ROUNDDOWN(93.9130434782609,0)</f>
      </c>
      <c r="AB202" s="5">
        <v>2.3</v>
      </c>
      <c r="AC202" s="2" t="s">
        <v>199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199</v>
      </c>
      <c r="AW202" s="8" t="s">
        <v>199</v>
      </c>
      <c r="AX202" s="4" t="s">
        <v>199</v>
      </c>
      <c r="AY202" s="8" t="s">
        <v>199</v>
      </c>
      <c r="AZ202" s="7" t="s">
        <v>199</v>
      </c>
      <c r="BA202" s="7" t="s">
        <v>199</v>
      </c>
      <c r="BB202" s="7"/>
      <c r="BC202" s="4" t="s">
        <v>199</v>
      </c>
      <c r="BD202" s="8" t="s">
        <v>199</v>
      </c>
      <c r="BE202" s="4" t="s">
        <v>199</v>
      </c>
      <c r="BF202" s="8" t="s">
        <v>199</v>
      </c>
      <c r="BG202" s="7" t="s">
        <v>199</v>
      </c>
      <c r="BH202" s="7" t="s">
        <v>199</v>
      </c>
      <c r="BI202" s="7"/>
      <c r="BJ202" s="4">
        <v>2</v>
      </c>
      <c r="BK202" s="8">
        <v>40.82</v>
      </c>
      <c r="BL202" s="2" t="s">
        <v>1465</v>
      </c>
      <c r="BM202" s="7"/>
      <c r="BN202" s="7"/>
      <c r="BO202" s="4"/>
      <c r="BP202" s="8"/>
      <c r="BQ202" s="4"/>
      <c r="BR202" s="8"/>
      <c r="BS202" s="7"/>
      <c r="BT202" s="7"/>
      <c r="BU202" s="2" t="s">
        <v>1466</v>
      </c>
      <c r="BV202" s="2" t="s">
        <v>199</v>
      </c>
      <c r="BW202" s="2" t="s">
        <v>199</v>
      </c>
      <c r="BX202" s="2" t="s">
        <v>208</v>
      </c>
      <c r="BY202" s="2" t="s">
        <v>209</v>
      </c>
      <c r="BZ202" s="2" t="s">
        <v>196</v>
      </c>
      <c r="CA202" s="2" t="s">
        <v>1455</v>
      </c>
      <c r="CB202" s="2" t="s">
        <v>611</v>
      </c>
      <c r="CC202" s="2" t="s">
        <v>212</v>
      </c>
      <c r="CD202" s="2" t="s">
        <v>199</v>
      </c>
      <c r="CE202" s="4">
        <v>216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>
        <v>216</v>
      </c>
      <c r="EU202" s="4">
        <v>207</v>
      </c>
      <c r="EV202" s="4">
        <v>205</v>
      </c>
      <c r="EW202" s="4">
        <v>203</v>
      </c>
      <c r="EX202" s="4">
        <v>201</v>
      </c>
      <c r="EY202" s="4">
        <v>199</v>
      </c>
      <c r="EZ202" s="4">
        <v>197</v>
      </c>
      <c r="FA202" s="4">
        <v>195</v>
      </c>
      <c r="FB202" s="4">
        <v>193</v>
      </c>
      <c r="FC202" s="4">
        <v>191</v>
      </c>
      <c r="FD202" s="4">
        <v>189</v>
      </c>
      <c r="FE202" s="4">
        <v>187</v>
      </c>
      <c r="FF202" s="4">
        <v>185</v>
      </c>
      <c r="FG202" s="4">
        <v>183</v>
      </c>
      <c r="FH202" s="4">
        <v>181</v>
      </c>
      <c r="FI202" s="4">
        <v>179</v>
      </c>
      <c r="FJ202" s="4">
        <v>177</v>
      </c>
      <c r="FK202" s="4">
        <v>175</v>
      </c>
      <c r="FL202" s="4">
        <v>173</v>
      </c>
      <c r="FM202" s="4">
        <v>171</v>
      </c>
      <c r="FN202" s="4">
        <v>169</v>
      </c>
      <c r="FO202" s="4">
        <v>167</v>
      </c>
      <c r="FP202" s="4">
        <v>165</v>
      </c>
      <c r="FQ202" s="4">
        <v>163</v>
      </c>
      <c r="FR202" s="4">
        <v>161</v>
      </c>
      <c r="FS202" s="4">
        <v>159</v>
      </c>
      <c r="FT202" s="19">
        <v>54</v>
      </c>
      <c r="FU202" s="19">
        <v>103.5</v>
      </c>
      <c r="FV202" s="19">
        <v>102.5</v>
      </c>
      <c r="FW202" s="19">
        <v>101.5</v>
      </c>
      <c r="FX202" s="19">
        <v>100.5</v>
      </c>
      <c r="FY202" s="19">
        <v>99.5</v>
      </c>
      <c r="FZ202" s="19">
        <v>98.5</v>
      </c>
      <c r="GA202" s="19">
        <v>97.5</v>
      </c>
      <c r="GB202" s="19">
        <v>96.5</v>
      </c>
      <c r="GC202" s="19">
        <v>95.5</v>
      </c>
      <c r="GD202" s="19">
        <v>94.5</v>
      </c>
      <c r="GE202" s="19">
        <v>93.5</v>
      </c>
      <c r="GF202" s="19">
        <v>92.5</v>
      </c>
      <c r="GG202" s="19">
        <v>91.5</v>
      </c>
      <c r="GH202" s="19">
        <v>90.5</v>
      </c>
      <c r="GI202" s="19">
        <v>89.5</v>
      </c>
      <c r="GJ202" s="19">
        <v>88.5</v>
      </c>
      <c r="GK202" s="19">
        <v>87.5</v>
      </c>
      <c r="GL202" s="19">
        <v>86.5</v>
      </c>
      <c r="GM202" s="19">
        <v>85.5</v>
      </c>
      <c r="GN202" s="19">
        <v>84.5</v>
      </c>
      <c r="GO202" s="19">
        <v>83.5</v>
      </c>
      <c r="GP202" s="19">
        <v>82.5</v>
      </c>
      <c r="GQ202" s="19">
        <v>81.5</v>
      </c>
      <c r="GR202" s="19">
        <v>80.5</v>
      </c>
      <c r="GS202" s="19">
        <v>79.5</v>
      </c>
    </row>
    <row r="203">
      <c r="A203" s="2" t="s">
        <v>1467</v>
      </c>
      <c r="B203" s="2" t="s">
        <v>188</v>
      </c>
      <c r="C203" s="2" t="s">
        <v>246</v>
      </c>
      <c r="D203" s="2" t="s">
        <v>1318</v>
      </c>
      <c r="E203" s="2" t="s">
        <v>1468</v>
      </c>
      <c r="F203" s="2" t="s">
        <v>1469</v>
      </c>
      <c r="G203" s="2" t="s">
        <v>1470</v>
      </c>
      <c r="H203" s="2" t="s">
        <v>1470</v>
      </c>
      <c r="I203" s="2" t="s">
        <v>1471</v>
      </c>
      <c r="J203" s="2" t="s">
        <v>232</v>
      </c>
      <c r="K203" s="2" t="s">
        <v>656</v>
      </c>
      <c r="L203" s="3">
        <v>25.39</v>
      </c>
      <c r="M203" s="3">
        <v>26.66</v>
      </c>
      <c r="N203" s="3">
        <v>54.99</v>
      </c>
      <c r="O203" s="2" t="s">
        <v>196</v>
      </c>
      <c r="P203" s="2" t="s">
        <v>197</v>
      </c>
      <c r="Q203" s="2" t="s">
        <v>198</v>
      </c>
      <c r="R203" s="2" t="s">
        <v>199</v>
      </c>
      <c r="S203" s="2" t="s">
        <v>1472</v>
      </c>
      <c r="T203" s="2" t="s">
        <v>386</v>
      </c>
      <c r="U203" s="2" t="s">
        <v>280</v>
      </c>
      <c r="V203" s="2" t="s">
        <v>202</v>
      </c>
      <c r="W203" s="2" t="s">
        <v>203</v>
      </c>
      <c r="X203" s="2" t="s">
        <v>712</v>
      </c>
      <c r="Y203" s="2" t="s">
        <v>1473</v>
      </c>
      <c r="Z203" s="4">
        <v>200</v>
      </c>
      <c r="AA203" s="4">
        <f>=ROUNDDOWN(20,0)</f>
      </c>
      <c r="AB203" s="5">
        <v>10</v>
      </c>
      <c r="AC203" s="2" t="s">
        <v>730</v>
      </c>
      <c r="AD203" s="4">
        <v>200</v>
      </c>
      <c r="AE203" s="4">
        <v>200</v>
      </c>
      <c r="AF203" s="6">
        <v>65</v>
      </c>
      <c r="AG203" s="6"/>
      <c r="AH203" s="7">
        <v>0.9677</v>
      </c>
      <c r="AI203" s="4"/>
      <c r="AJ203" s="4">
        <f>=ROUNDDOWN({0},0)</f>
      </c>
      <c r="AK203" s="5"/>
      <c r="AL203" s="2" t="s">
        <v>199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169</v>
      </c>
      <c r="BK203" s="8">
        <v>4332.43</v>
      </c>
      <c r="BL203" s="2" t="s">
        <v>1474</v>
      </c>
      <c r="BM203" s="7"/>
      <c r="BN203" s="7"/>
      <c r="BO203" s="4"/>
      <c r="BP203" s="8"/>
      <c r="BQ203" s="4"/>
      <c r="BR203" s="8"/>
      <c r="BS203" s="7"/>
      <c r="BT203" s="7"/>
      <c r="BU203" s="2" t="s">
        <v>1475</v>
      </c>
      <c r="BV203" s="2" t="s">
        <v>199</v>
      </c>
      <c r="BW203" s="2" t="s">
        <v>199</v>
      </c>
      <c r="BX203" s="2" t="s">
        <v>208</v>
      </c>
      <c r="BY203" s="2" t="s">
        <v>209</v>
      </c>
      <c r="BZ203" s="2" t="s">
        <v>196</v>
      </c>
      <c r="CA203" s="2" t="s">
        <v>1476</v>
      </c>
      <c r="CB203" s="2" t="s">
        <v>1477</v>
      </c>
      <c r="CC203" s="2" t="s">
        <v>212</v>
      </c>
      <c r="CD203" s="2" t="s">
        <v>199</v>
      </c>
      <c r="CE203" s="4">
        <v>199</v>
      </c>
      <c r="CF203" s="4"/>
      <c r="CG203" s="4"/>
      <c r="CH203" s="4">
        <v>1</v>
      </c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>
        <v>200</v>
      </c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>
        <v>202</v>
      </c>
      <c r="EU203" s="4">
        <v>189</v>
      </c>
      <c r="EV203" s="4">
        <v>179</v>
      </c>
      <c r="EW203" s="4">
        <v>170</v>
      </c>
      <c r="EX203" s="4">
        <v>162</v>
      </c>
      <c r="EY203" s="4">
        <v>154</v>
      </c>
      <c r="EZ203" s="4">
        <v>345</v>
      </c>
      <c r="FA203" s="4">
        <v>335</v>
      </c>
      <c r="FB203" s="4">
        <v>326</v>
      </c>
      <c r="FC203" s="4">
        <v>317</v>
      </c>
      <c r="FD203" s="4">
        <v>308</v>
      </c>
      <c r="FE203" s="4">
        <v>298</v>
      </c>
      <c r="FF203" s="4">
        <v>288</v>
      </c>
      <c r="FG203" s="4">
        <v>278</v>
      </c>
      <c r="FH203" s="4">
        <v>268</v>
      </c>
      <c r="FI203" s="4">
        <v>258</v>
      </c>
      <c r="FJ203" s="4">
        <v>248</v>
      </c>
      <c r="FK203" s="4">
        <v>238</v>
      </c>
      <c r="FL203" s="4">
        <v>228</v>
      </c>
      <c r="FM203" s="4">
        <v>218</v>
      </c>
      <c r="FN203" s="4">
        <v>208</v>
      </c>
      <c r="FO203" s="4">
        <v>197</v>
      </c>
      <c r="FP203" s="4">
        <v>187</v>
      </c>
      <c r="FQ203" s="4">
        <v>175</v>
      </c>
      <c r="FR203" s="4">
        <v>164</v>
      </c>
      <c r="FS203" s="4">
        <v>153</v>
      </c>
      <c r="FT203" s="19">
        <v>20.2</v>
      </c>
      <c r="FU203" s="19">
        <v>21</v>
      </c>
      <c r="FV203" s="19">
        <v>22.4</v>
      </c>
      <c r="FW203" s="19">
        <v>18.9</v>
      </c>
      <c r="FX203" s="19">
        <v>18</v>
      </c>
      <c r="FY203" s="19">
        <v>17.1</v>
      </c>
      <c r="FZ203" s="19">
        <v>38.3</v>
      </c>
      <c r="GA203" s="19">
        <v>37.2</v>
      </c>
      <c r="GB203" s="19">
        <v>32.6</v>
      </c>
      <c r="GC203" s="19">
        <v>31.7</v>
      </c>
      <c r="GD203" s="19">
        <v>30.8</v>
      </c>
      <c r="GE203" s="19">
        <v>29.8</v>
      </c>
      <c r="GF203" s="19">
        <v>28.8</v>
      </c>
      <c r="GG203" s="19">
        <v>27.8</v>
      </c>
      <c r="GH203" s="19">
        <v>26.8</v>
      </c>
      <c r="GI203" s="19">
        <v>25.8</v>
      </c>
      <c r="GJ203" s="19">
        <v>24.8</v>
      </c>
      <c r="GK203" s="19">
        <v>23.8</v>
      </c>
      <c r="GL203" s="19">
        <v>22.8</v>
      </c>
      <c r="GM203" s="19">
        <v>19.8</v>
      </c>
      <c r="GN203" s="19">
        <v>18.9</v>
      </c>
      <c r="GO203" s="19">
        <v>17.9</v>
      </c>
      <c r="GP203" s="19">
        <v>15.6</v>
      </c>
      <c r="GQ203" s="19">
        <v>15.9</v>
      </c>
      <c r="GR203" s="19">
        <v>14.9</v>
      </c>
      <c r="GS203" s="19">
        <v>15.3</v>
      </c>
    </row>
    <row r="204">
      <c r="A204" s="2" t="s">
        <v>1478</v>
      </c>
      <c r="B204" s="2" t="s">
        <v>188</v>
      </c>
      <c r="C204" s="2" t="s">
        <v>1165</v>
      </c>
      <c r="D204" s="2" t="s">
        <v>228</v>
      </c>
      <c r="E204" s="2" t="s">
        <v>229</v>
      </c>
      <c r="F204" s="2" t="s">
        <v>1479</v>
      </c>
      <c r="G204" s="2" t="s">
        <v>1479</v>
      </c>
      <c r="H204" s="2" t="s">
        <v>1479</v>
      </c>
      <c r="I204" s="2" t="s">
        <v>1480</v>
      </c>
      <c r="J204" s="2" t="s">
        <v>1011</v>
      </c>
      <c r="K204" s="2" t="s">
        <v>656</v>
      </c>
      <c r="L204" s="3">
        <v>21.42</v>
      </c>
      <c r="M204" s="3">
        <v>22.49</v>
      </c>
      <c r="N204" s="3">
        <v>49.99</v>
      </c>
      <c r="O204" s="2" t="s">
        <v>196</v>
      </c>
      <c r="P204" s="2" t="s">
        <v>197</v>
      </c>
      <c r="Q204" s="2" t="s">
        <v>198</v>
      </c>
      <c r="R204" s="2" t="s">
        <v>199</v>
      </c>
      <c r="S204" s="2" t="s">
        <v>1481</v>
      </c>
      <c r="T204" s="2" t="s">
        <v>1482</v>
      </c>
      <c r="U204" s="2" t="s">
        <v>280</v>
      </c>
      <c r="V204" s="2" t="s">
        <v>202</v>
      </c>
      <c r="W204" s="2" t="s">
        <v>203</v>
      </c>
      <c r="X204" s="2" t="s">
        <v>199</v>
      </c>
      <c r="Y204" s="2" t="s">
        <v>1483</v>
      </c>
      <c r="Z204" s="4">
        <v>396</v>
      </c>
      <c r="AA204" s="4">
        <f>=ROUNDDOWN(44,0)</f>
      </c>
      <c r="AB204" s="5">
        <v>9</v>
      </c>
      <c r="AC204" s="2" t="s">
        <v>199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199</v>
      </c>
      <c r="BD204" s="8" t="s">
        <v>199</v>
      </c>
      <c r="BE204" s="4" t="s">
        <v>199</v>
      </c>
      <c r="BF204" s="8" t="s">
        <v>199</v>
      </c>
      <c r="BG204" s="7" t="s">
        <v>199</v>
      </c>
      <c r="BH204" s="7" t="s">
        <v>199</v>
      </c>
      <c r="BI204" s="7"/>
      <c r="BJ204" s="4">
        <v>13</v>
      </c>
      <c r="BK204" s="8">
        <v>312.21</v>
      </c>
      <c r="BL204" s="2" t="s">
        <v>1484</v>
      </c>
      <c r="BM204" s="7"/>
      <c r="BN204" s="7"/>
      <c r="BO204" s="4"/>
      <c r="BP204" s="8"/>
      <c r="BQ204" s="4"/>
      <c r="BR204" s="8"/>
      <c r="BS204" s="7"/>
      <c r="BT204" s="7"/>
      <c r="BU204" s="2" t="s">
        <v>1485</v>
      </c>
      <c r="BV204" s="2" t="s">
        <v>199</v>
      </c>
      <c r="BW204" s="2" t="s">
        <v>199</v>
      </c>
      <c r="BX204" s="2" t="s">
        <v>208</v>
      </c>
      <c r="BY204" s="2" t="s">
        <v>209</v>
      </c>
      <c r="BZ204" s="2" t="s">
        <v>196</v>
      </c>
      <c r="CA204" s="2" t="s">
        <v>1486</v>
      </c>
      <c r="CB204" s="2" t="s">
        <v>1487</v>
      </c>
      <c r="CC204" s="2" t="s">
        <v>212</v>
      </c>
      <c r="CD204" s="2" t="s">
        <v>199</v>
      </c>
      <c r="CE204" s="4">
        <v>396</v>
      </c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>
        <v>398</v>
      </c>
      <c r="EU204" s="4">
        <v>391</v>
      </c>
      <c r="EV204" s="4">
        <v>385</v>
      </c>
      <c r="EW204" s="4">
        <v>378</v>
      </c>
      <c r="EX204" s="4">
        <v>371</v>
      </c>
      <c r="EY204" s="4">
        <v>364</v>
      </c>
      <c r="EZ204" s="4">
        <v>354</v>
      </c>
      <c r="FA204" s="4">
        <v>345</v>
      </c>
      <c r="FB204" s="4">
        <v>336</v>
      </c>
      <c r="FC204" s="4">
        <v>327</v>
      </c>
      <c r="FD204" s="4">
        <v>316</v>
      </c>
      <c r="FE204" s="4">
        <v>305</v>
      </c>
      <c r="FF204" s="4">
        <v>295</v>
      </c>
      <c r="FG204" s="4">
        <v>285</v>
      </c>
      <c r="FH204" s="4">
        <v>276</v>
      </c>
      <c r="FI204" s="4">
        <v>267</v>
      </c>
      <c r="FJ204" s="4">
        <v>256</v>
      </c>
      <c r="FK204" s="4">
        <v>245</v>
      </c>
      <c r="FL204" s="4">
        <v>234</v>
      </c>
      <c r="FM204" s="4">
        <v>227</v>
      </c>
      <c r="FN204" s="4">
        <v>220</v>
      </c>
      <c r="FO204" s="4">
        <v>213</v>
      </c>
      <c r="FP204" s="4">
        <v>205</v>
      </c>
      <c r="FQ204" s="4">
        <v>189</v>
      </c>
      <c r="FR204" s="4">
        <v>175</v>
      </c>
      <c r="FS204" s="4">
        <v>160</v>
      </c>
      <c r="FT204" s="19">
        <v>56.9</v>
      </c>
      <c r="FU204" s="19">
        <v>55.9</v>
      </c>
      <c r="FV204" s="19">
        <v>48.1</v>
      </c>
      <c r="FW204" s="19">
        <v>47.3</v>
      </c>
      <c r="FX204" s="19">
        <v>41.2</v>
      </c>
      <c r="FY204" s="19">
        <v>40.4</v>
      </c>
      <c r="FZ204" s="19">
        <v>35.4</v>
      </c>
      <c r="GA204" s="19">
        <v>34.5</v>
      </c>
      <c r="GB204" s="19">
        <v>33.6</v>
      </c>
      <c r="GC204" s="19">
        <v>32.7</v>
      </c>
      <c r="GD204" s="19">
        <v>31.6</v>
      </c>
      <c r="GE204" s="19">
        <v>30.5</v>
      </c>
      <c r="GF204" s="19">
        <v>29.5</v>
      </c>
      <c r="GG204" s="19">
        <v>28.5</v>
      </c>
      <c r="GH204" s="19">
        <v>27.6</v>
      </c>
      <c r="GI204" s="19">
        <v>26.7</v>
      </c>
      <c r="GJ204" s="19">
        <v>28.4</v>
      </c>
      <c r="GK204" s="19">
        <v>30.6</v>
      </c>
      <c r="GL204" s="19">
        <v>33.4</v>
      </c>
      <c r="GM204" s="19">
        <v>22.7</v>
      </c>
      <c r="GN204" s="19">
        <v>20</v>
      </c>
      <c r="GO204" s="19">
        <v>16.4</v>
      </c>
      <c r="GP204" s="19">
        <v>13.7</v>
      </c>
      <c r="GQ204" s="19">
        <v>13.5</v>
      </c>
      <c r="GR204" s="19">
        <v>12.5</v>
      </c>
      <c r="GS204" s="19">
        <v>12.3</v>
      </c>
    </row>
    <row r="205">
      <c r="A205" s="2" t="s">
        <v>1488</v>
      </c>
      <c r="B205" s="2" t="s">
        <v>188</v>
      </c>
      <c r="C205" s="2" t="s">
        <v>1165</v>
      </c>
      <c r="D205" s="2" t="s">
        <v>228</v>
      </c>
      <c r="E205" s="2" t="s">
        <v>229</v>
      </c>
      <c r="F205" s="2" t="s">
        <v>1479</v>
      </c>
      <c r="G205" s="2" t="s">
        <v>1479</v>
      </c>
      <c r="H205" s="2" t="s">
        <v>1479</v>
      </c>
      <c r="I205" s="2" t="s">
        <v>1480</v>
      </c>
      <c r="J205" s="2" t="s">
        <v>1011</v>
      </c>
      <c r="K205" s="2" t="s">
        <v>371</v>
      </c>
      <c r="L205" s="3">
        <v>21.42</v>
      </c>
      <c r="M205" s="3">
        <v>22.49</v>
      </c>
      <c r="N205" s="3">
        <v>49.99</v>
      </c>
      <c r="O205" s="2" t="s">
        <v>196</v>
      </c>
      <c r="P205" s="2" t="s">
        <v>197</v>
      </c>
      <c r="Q205" s="2" t="s">
        <v>198</v>
      </c>
      <c r="R205" s="2" t="s">
        <v>199</v>
      </c>
      <c r="S205" s="2" t="s">
        <v>1489</v>
      </c>
      <c r="T205" s="2" t="s">
        <v>1482</v>
      </c>
      <c r="U205" s="2" t="s">
        <v>280</v>
      </c>
      <c r="V205" s="2" t="s">
        <v>202</v>
      </c>
      <c r="W205" s="2" t="s">
        <v>203</v>
      </c>
      <c r="X205" s="2" t="s">
        <v>199</v>
      </c>
      <c r="Y205" s="2" t="s">
        <v>1490</v>
      </c>
      <c r="Z205" s="4">
        <v>411</v>
      </c>
      <c r="AA205" s="4">
        <f>=ROUNDDOWN(41.1,0)</f>
      </c>
      <c r="AB205" s="5">
        <v>10</v>
      </c>
      <c r="AC205" s="2" t="s">
        <v>199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199</v>
      </c>
      <c r="BD205" s="8" t="s">
        <v>199</v>
      </c>
      <c r="BE205" s="4" t="s">
        <v>199</v>
      </c>
      <c r="BF205" s="8" t="s">
        <v>199</v>
      </c>
      <c r="BG205" s="7" t="s">
        <v>199</v>
      </c>
      <c r="BH205" s="7" t="s">
        <v>199</v>
      </c>
      <c r="BI205" s="7"/>
      <c r="BJ205" s="4">
        <v>11</v>
      </c>
      <c r="BK205" s="8">
        <v>274.3</v>
      </c>
      <c r="BL205" s="2" t="s">
        <v>1491</v>
      </c>
      <c r="BM205" s="7"/>
      <c r="BN205" s="7"/>
      <c r="BO205" s="4"/>
      <c r="BP205" s="8"/>
      <c r="BQ205" s="4"/>
      <c r="BR205" s="8"/>
      <c r="BS205" s="7"/>
      <c r="BT205" s="7"/>
      <c r="BU205" s="2" t="s">
        <v>1485</v>
      </c>
      <c r="BV205" s="2" t="s">
        <v>199</v>
      </c>
      <c r="BW205" s="2" t="s">
        <v>199</v>
      </c>
      <c r="BX205" s="2" t="s">
        <v>208</v>
      </c>
      <c r="BY205" s="2" t="s">
        <v>209</v>
      </c>
      <c r="BZ205" s="2" t="s">
        <v>196</v>
      </c>
      <c r="CA205" s="2" t="s">
        <v>1486</v>
      </c>
      <c r="CB205" s="2" t="s">
        <v>1492</v>
      </c>
      <c r="CC205" s="2" t="s">
        <v>212</v>
      </c>
      <c r="CD205" s="2" t="s">
        <v>199</v>
      </c>
      <c r="CE205" s="4">
        <v>411</v>
      </c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>
        <v>414</v>
      </c>
      <c r="EU205" s="4">
        <v>407</v>
      </c>
      <c r="EV205" s="4">
        <v>402</v>
      </c>
      <c r="EW205" s="4">
        <v>397</v>
      </c>
      <c r="EX205" s="4">
        <v>392</v>
      </c>
      <c r="EY205" s="4">
        <v>386</v>
      </c>
      <c r="EZ205" s="4">
        <v>376</v>
      </c>
      <c r="FA205" s="4">
        <v>366</v>
      </c>
      <c r="FB205" s="4">
        <v>356</v>
      </c>
      <c r="FC205" s="4">
        <v>346</v>
      </c>
      <c r="FD205" s="4">
        <v>333</v>
      </c>
      <c r="FE205" s="4">
        <v>320</v>
      </c>
      <c r="FF205" s="4">
        <v>307</v>
      </c>
      <c r="FG205" s="4">
        <v>294</v>
      </c>
      <c r="FH205" s="4">
        <v>283</v>
      </c>
      <c r="FI205" s="4">
        <v>272</v>
      </c>
      <c r="FJ205" s="4">
        <v>260</v>
      </c>
      <c r="FK205" s="4">
        <v>248</v>
      </c>
      <c r="FL205" s="4">
        <v>236</v>
      </c>
      <c r="FM205" s="4">
        <v>229</v>
      </c>
      <c r="FN205" s="4">
        <v>222</v>
      </c>
      <c r="FO205" s="4">
        <v>216</v>
      </c>
      <c r="FP205" s="4">
        <v>209</v>
      </c>
      <c r="FQ205" s="4">
        <v>192</v>
      </c>
      <c r="FR205" s="4">
        <v>176</v>
      </c>
      <c r="FS205" s="4">
        <v>160</v>
      </c>
      <c r="FT205" s="19">
        <v>69</v>
      </c>
      <c r="FU205" s="19">
        <v>81.4</v>
      </c>
      <c r="FV205" s="19">
        <v>67</v>
      </c>
      <c r="FW205" s="19">
        <v>49.6</v>
      </c>
      <c r="FX205" s="19">
        <v>43.6</v>
      </c>
      <c r="FY205" s="19">
        <v>38.6</v>
      </c>
      <c r="FZ205" s="19">
        <v>34.2</v>
      </c>
      <c r="GA205" s="19">
        <v>30.5</v>
      </c>
      <c r="GB205" s="19">
        <v>29.7</v>
      </c>
      <c r="GC205" s="19">
        <v>26.6</v>
      </c>
      <c r="GD205" s="19">
        <v>27.8</v>
      </c>
      <c r="GE205" s="19">
        <v>26.7</v>
      </c>
      <c r="GF205" s="19">
        <v>25.6</v>
      </c>
      <c r="GG205" s="19">
        <v>24.5</v>
      </c>
      <c r="GH205" s="19">
        <v>23.6</v>
      </c>
      <c r="GI205" s="19">
        <v>24.7</v>
      </c>
      <c r="GJ205" s="19">
        <v>26</v>
      </c>
      <c r="GK205" s="19">
        <v>31</v>
      </c>
      <c r="GL205" s="19">
        <v>33.7</v>
      </c>
      <c r="GM205" s="19">
        <v>25.4</v>
      </c>
      <c r="GN205" s="19">
        <v>18.5</v>
      </c>
      <c r="GO205" s="19">
        <v>15.4</v>
      </c>
      <c r="GP205" s="19">
        <v>13.1</v>
      </c>
      <c r="GQ205" s="19">
        <v>12</v>
      </c>
      <c r="GR205" s="19">
        <v>11.7</v>
      </c>
      <c r="GS205" s="19">
        <v>10.7</v>
      </c>
    </row>
    <row r="206">
      <c r="A206" s="2" t="s">
        <v>1493</v>
      </c>
      <c r="B206" s="2" t="s">
        <v>188</v>
      </c>
      <c r="C206" s="2" t="s">
        <v>1165</v>
      </c>
      <c r="D206" s="2" t="s">
        <v>228</v>
      </c>
      <c r="E206" s="2" t="s">
        <v>229</v>
      </c>
      <c r="F206" s="2" t="s">
        <v>1479</v>
      </c>
      <c r="G206" s="2" t="s">
        <v>1479</v>
      </c>
      <c r="H206" s="2" t="s">
        <v>1479</v>
      </c>
      <c r="I206" s="2" t="s">
        <v>1480</v>
      </c>
      <c r="J206" s="2" t="s">
        <v>1011</v>
      </c>
      <c r="K206" s="2" t="s">
        <v>665</v>
      </c>
      <c r="L206" s="3">
        <v>21.42</v>
      </c>
      <c r="M206" s="3">
        <v>22.49</v>
      </c>
      <c r="N206" s="3">
        <v>49.99</v>
      </c>
      <c r="O206" s="2" t="s">
        <v>196</v>
      </c>
      <c r="P206" s="2" t="s">
        <v>197</v>
      </c>
      <c r="Q206" s="2" t="s">
        <v>198</v>
      </c>
      <c r="R206" s="2" t="s">
        <v>199</v>
      </c>
      <c r="S206" s="2" t="s">
        <v>1494</v>
      </c>
      <c r="T206" s="2" t="s">
        <v>1482</v>
      </c>
      <c r="U206" s="2" t="s">
        <v>280</v>
      </c>
      <c r="V206" s="2" t="s">
        <v>202</v>
      </c>
      <c r="W206" s="2" t="s">
        <v>203</v>
      </c>
      <c r="X206" s="2" t="s">
        <v>199</v>
      </c>
      <c r="Y206" s="2" t="s">
        <v>1490</v>
      </c>
      <c r="Z206" s="4">
        <v>327</v>
      </c>
      <c r="AA206" s="4">
        <f>=ROUNDDOWN(40.875,0)</f>
      </c>
      <c r="AB206" s="5">
        <v>8</v>
      </c>
      <c r="AC206" s="2" t="s">
        <v>199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199</v>
      </c>
      <c r="AW206" s="8" t="s">
        <v>199</v>
      </c>
      <c r="AX206" s="4" t="s">
        <v>199</v>
      </c>
      <c r="AY206" s="8" t="s">
        <v>199</v>
      </c>
      <c r="AZ206" s="7" t="s">
        <v>199</v>
      </c>
      <c r="BA206" s="7" t="s">
        <v>199</v>
      </c>
      <c r="BB206" s="7"/>
      <c r="BC206" s="4" t="s">
        <v>199</v>
      </c>
      <c r="BD206" s="8" t="s">
        <v>199</v>
      </c>
      <c r="BE206" s="4" t="s">
        <v>199</v>
      </c>
      <c r="BF206" s="8" t="s">
        <v>199</v>
      </c>
      <c r="BG206" s="7" t="s">
        <v>199</v>
      </c>
      <c r="BH206" s="7" t="s">
        <v>199</v>
      </c>
      <c r="BI206" s="7"/>
      <c r="BJ206" s="4">
        <v>11</v>
      </c>
      <c r="BK206" s="8">
        <v>268.67</v>
      </c>
      <c r="BL206" s="2" t="s">
        <v>380</v>
      </c>
      <c r="BM206" s="7"/>
      <c r="BN206" s="7"/>
      <c r="BO206" s="4"/>
      <c r="BP206" s="8"/>
      <c r="BQ206" s="4"/>
      <c r="BR206" s="8"/>
      <c r="BS206" s="7"/>
      <c r="BT206" s="7"/>
      <c r="BU206" s="2" t="s">
        <v>1485</v>
      </c>
      <c r="BV206" s="2" t="s">
        <v>199</v>
      </c>
      <c r="BW206" s="2" t="s">
        <v>199</v>
      </c>
      <c r="BX206" s="2" t="s">
        <v>208</v>
      </c>
      <c r="BY206" s="2" t="s">
        <v>209</v>
      </c>
      <c r="BZ206" s="2" t="s">
        <v>196</v>
      </c>
      <c r="CA206" s="2" t="s">
        <v>1486</v>
      </c>
      <c r="CB206" s="2" t="s">
        <v>1495</v>
      </c>
      <c r="CC206" s="2" t="s">
        <v>212</v>
      </c>
      <c r="CD206" s="2" t="s">
        <v>199</v>
      </c>
      <c r="CE206" s="4">
        <v>327</v>
      </c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>
        <v>328</v>
      </c>
      <c r="EU206" s="4">
        <v>324</v>
      </c>
      <c r="EV206" s="4">
        <v>320</v>
      </c>
      <c r="EW206" s="4">
        <v>316</v>
      </c>
      <c r="EX206" s="4">
        <v>312</v>
      </c>
      <c r="EY206" s="4">
        <v>308</v>
      </c>
      <c r="EZ206" s="4">
        <v>300</v>
      </c>
      <c r="FA206" s="4">
        <v>292</v>
      </c>
      <c r="FB206" s="4">
        <v>284</v>
      </c>
      <c r="FC206" s="4">
        <v>276</v>
      </c>
      <c r="FD206" s="4">
        <v>266</v>
      </c>
      <c r="FE206" s="4">
        <v>256</v>
      </c>
      <c r="FF206" s="4">
        <v>246</v>
      </c>
      <c r="FG206" s="4">
        <v>236</v>
      </c>
      <c r="FH206" s="4">
        <v>227</v>
      </c>
      <c r="FI206" s="4">
        <v>218</v>
      </c>
      <c r="FJ206" s="4">
        <v>208</v>
      </c>
      <c r="FK206" s="4">
        <v>198</v>
      </c>
      <c r="FL206" s="4">
        <v>188</v>
      </c>
      <c r="FM206" s="4">
        <v>182</v>
      </c>
      <c r="FN206" s="4">
        <v>176</v>
      </c>
      <c r="FO206" s="4">
        <v>171</v>
      </c>
      <c r="FP206" s="4">
        <v>165</v>
      </c>
      <c r="FQ206" s="4">
        <v>151</v>
      </c>
      <c r="FR206" s="4">
        <v>138</v>
      </c>
      <c r="FS206" s="4">
        <v>125</v>
      </c>
      <c r="FT206" s="19">
        <v>82</v>
      </c>
      <c r="FU206" s="19">
        <v>81</v>
      </c>
      <c r="FV206" s="19">
        <v>64</v>
      </c>
      <c r="FW206" s="19">
        <v>52.7</v>
      </c>
      <c r="FX206" s="19">
        <v>44.6</v>
      </c>
      <c r="FY206" s="19">
        <v>38.5</v>
      </c>
      <c r="FZ206" s="19">
        <v>37.5</v>
      </c>
      <c r="GA206" s="19">
        <v>32.4</v>
      </c>
      <c r="GB206" s="19">
        <v>28.4</v>
      </c>
      <c r="GC206" s="19">
        <v>27.6</v>
      </c>
      <c r="GD206" s="19">
        <v>26.6</v>
      </c>
      <c r="GE206" s="19">
        <v>25.6</v>
      </c>
      <c r="GF206" s="19">
        <v>24.6</v>
      </c>
      <c r="GG206" s="19">
        <v>23.6</v>
      </c>
      <c r="GH206" s="19">
        <v>22.7</v>
      </c>
      <c r="GI206" s="19">
        <v>24.2</v>
      </c>
      <c r="GJ206" s="19">
        <v>26</v>
      </c>
      <c r="GK206" s="19">
        <v>28.3</v>
      </c>
      <c r="GL206" s="19">
        <v>31.3</v>
      </c>
      <c r="GM206" s="19">
        <v>22.8</v>
      </c>
      <c r="GN206" s="19">
        <v>17.6</v>
      </c>
      <c r="GO206" s="19">
        <v>14.3</v>
      </c>
      <c r="GP206" s="19">
        <v>12.7</v>
      </c>
      <c r="GQ206" s="19">
        <v>11.6</v>
      </c>
      <c r="GR206" s="19">
        <v>11.5</v>
      </c>
      <c r="GS206" s="19">
        <v>10.4</v>
      </c>
    </row>
    <row r="207">
      <c r="A207" s="2" t="s">
        <v>1496</v>
      </c>
      <c r="B207" s="2" t="s">
        <v>188</v>
      </c>
      <c r="C207" s="2" t="s">
        <v>1165</v>
      </c>
      <c r="D207" s="2" t="s">
        <v>228</v>
      </c>
      <c r="E207" s="2" t="s">
        <v>229</v>
      </c>
      <c r="F207" s="2" t="s">
        <v>1479</v>
      </c>
      <c r="G207" s="2" t="s">
        <v>1479</v>
      </c>
      <c r="H207" s="2" t="s">
        <v>1479</v>
      </c>
      <c r="I207" s="2" t="s">
        <v>1480</v>
      </c>
      <c r="J207" s="2" t="s">
        <v>232</v>
      </c>
      <c r="K207" s="2" t="s">
        <v>665</v>
      </c>
      <c r="L207" s="3">
        <v>25.14</v>
      </c>
      <c r="M207" s="3">
        <v>26.4</v>
      </c>
      <c r="N207" s="3">
        <v>54.99</v>
      </c>
      <c r="O207" s="2" t="s">
        <v>196</v>
      </c>
      <c r="P207" s="2" t="s">
        <v>197</v>
      </c>
      <c r="Q207" s="2" t="s">
        <v>198</v>
      </c>
      <c r="R207" s="2" t="s">
        <v>199</v>
      </c>
      <c r="S207" s="2" t="s">
        <v>1494</v>
      </c>
      <c r="T207" s="2" t="s">
        <v>1482</v>
      </c>
      <c r="U207" s="2" t="s">
        <v>280</v>
      </c>
      <c r="V207" s="2" t="s">
        <v>202</v>
      </c>
      <c r="W207" s="2" t="s">
        <v>203</v>
      </c>
      <c r="X207" s="2" t="s">
        <v>199</v>
      </c>
      <c r="Y207" s="2" t="s">
        <v>1490</v>
      </c>
      <c r="Z207" s="4">
        <v>383</v>
      </c>
      <c r="AA207" s="4">
        <f>=ROUNDDOWN(38.3,0)</f>
      </c>
      <c r="AB207" s="5">
        <v>10</v>
      </c>
      <c r="AC207" s="2" t="s">
        <v>199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199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199</v>
      </c>
      <c r="AW207" s="8" t="s">
        <v>199</v>
      </c>
      <c r="AX207" s="4" t="s">
        <v>199</v>
      </c>
      <c r="AY207" s="8" t="s">
        <v>199</v>
      </c>
      <c r="AZ207" s="7" t="s">
        <v>199</v>
      </c>
      <c r="BA207" s="7" t="s">
        <v>199</v>
      </c>
      <c r="BB207" s="7"/>
      <c r="BC207" s="4" t="s">
        <v>199</v>
      </c>
      <c r="BD207" s="8" t="s">
        <v>199</v>
      </c>
      <c r="BE207" s="4" t="s">
        <v>199</v>
      </c>
      <c r="BF207" s="8" t="s">
        <v>199</v>
      </c>
      <c r="BG207" s="7" t="s">
        <v>199</v>
      </c>
      <c r="BH207" s="7" t="s">
        <v>199</v>
      </c>
      <c r="BI207" s="7"/>
      <c r="BJ207" s="4">
        <v>53</v>
      </c>
      <c r="BK207" s="8">
        <v>1501.01</v>
      </c>
      <c r="BL207" s="2" t="s">
        <v>1497</v>
      </c>
      <c r="BM207" s="7"/>
      <c r="BN207" s="7"/>
      <c r="BO207" s="4"/>
      <c r="BP207" s="8"/>
      <c r="BQ207" s="4"/>
      <c r="BR207" s="8"/>
      <c r="BS207" s="7"/>
      <c r="BT207" s="7"/>
      <c r="BU207" s="2" t="s">
        <v>1485</v>
      </c>
      <c r="BV207" s="2" t="s">
        <v>199</v>
      </c>
      <c r="BW207" s="2" t="s">
        <v>199</v>
      </c>
      <c r="BX207" s="2" t="s">
        <v>208</v>
      </c>
      <c r="BY207" s="2" t="s">
        <v>209</v>
      </c>
      <c r="BZ207" s="2" t="s">
        <v>196</v>
      </c>
      <c r="CA207" s="2" t="s">
        <v>1486</v>
      </c>
      <c r="CB207" s="2" t="s">
        <v>1492</v>
      </c>
      <c r="CC207" s="2" t="s">
        <v>212</v>
      </c>
      <c r="CD207" s="2" t="s">
        <v>199</v>
      </c>
      <c r="CE207" s="4">
        <v>383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>
        <v>388</v>
      </c>
      <c r="EU207" s="4">
        <v>382</v>
      </c>
      <c r="EV207" s="4">
        <v>378</v>
      </c>
      <c r="EW207" s="4">
        <v>370</v>
      </c>
      <c r="EX207" s="4">
        <v>362</v>
      </c>
      <c r="EY207" s="4">
        <v>354</v>
      </c>
      <c r="EZ207" s="4">
        <v>343</v>
      </c>
      <c r="FA207" s="4">
        <v>333</v>
      </c>
      <c r="FB207" s="4">
        <v>322</v>
      </c>
      <c r="FC207" s="4">
        <v>312</v>
      </c>
      <c r="FD207" s="4">
        <v>300</v>
      </c>
      <c r="FE207" s="4">
        <v>288</v>
      </c>
      <c r="FF207" s="4">
        <v>277</v>
      </c>
      <c r="FG207" s="4">
        <v>266</v>
      </c>
      <c r="FH207" s="4">
        <v>256</v>
      </c>
      <c r="FI207" s="4">
        <v>246</v>
      </c>
      <c r="FJ207" s="4">
        <v>235</v>
      </c>
      <c r="FK207" s="4">
        <v>224</v>
      </c>
      <c r="FL207" s="4">
        <v>213</v>
      </c>
      <c r="FM207" s="4">
        <v>205</v>
      </c>
      <c r="FN207" s="4">
        <v>198</v>
      </c>
      <c r="FO207" s="4">
        <v>191</v>
      </c>
      <c r="FP207" s="4">
        <v>183</v>
      </c>
      <c r="FQ207" s="4">
        <v>172</v>
      </c>
      <c r="FR207" s="4">
        <v>162</v>
      </c>
      <c r="FS207" s="4">
        <v>152</v>
      </c>
      <c r="FT207" s="19">
        <v>64.7</v>
      </c>
      <c r="FU207" s="19">
        <v>54.6</v>
      </c>
      <c r="FV207" s="19">
        <v>42</v>
      </c>
      <c r="FW207" s="19">
        <v>41.1</v>
      </c>
      <c r="FX207" s="19">
        <v>36.2</v>
      </c>
      <c r="FY207" s="19">
        <v>35.4</v>
      </c>
      <c r="FZ207" s="19">
        <v>31.2</v>
      </c>
      <c r="GA207" s="19">
        <v>30.3</v>
      </c>
      <c r="GB207" s="19">
        <v>29.3</v>
      </c>
      <c r="GC207" s="19">
        <v>26</v>
      </c>
      <c r="GD207" s="19">
        <v>27.3</v>
      </c>
      <c r="GE207" s="19">
        <v>28.8</v>
      </c>
      <c r="GF207" s="19">
        <v>27.7</v>
      </c>
      <c r="GG207" s="19">
        <v>26.6</v>
      </c>
      <c r="GH207" s="19">
        <v>23.3</v>
      </c>
      <c r="GI207" s="19">
        <v>24.6</v>
      </c>
      <c r="GJ207" s="19">
        <v>26.1</v>
      </c>
      <c r="GK207" s="19">
        <v>28</v>
      </c>
      <c r="GL207" s="19">
        <v>26.6</v>
      </c>
      <c r="GM207" s="19">
        <v>25.6</v>
      </c>
      <c r="GN207" s="19">
        <v>22</v>
      </c>
      <c r="GO207" s="19">
        <v>19.1</v>
      </c>
      <c r="GP207" s="19">
        <v>18.3</v>
      </c>
      <c r="GQ207" s="19">
        <v>17.2</v>
      </c>
      <c r="GR207" s="19">
        <v>18</v>
      </c>
      <c r="GS207" s="19">
        <v>16.9</v>
      </c>
    </row>
    <row r="208">
      <c r="A208" s="2" t="s">
        <v>1498</v>
      </c>
      <c r="B208" s="2" t="s">
        <v>672</v>
      </c>
      <c r="C208" s="2" t="s">
        <v>246</v>
      </c>
      <c r="D208" s="2" t="s">
        <v>673</v>
      </c>
      <c r="E208" s="2" t="s">
        <v>1499</v>
      </c>
      <c r="F208" s="2" t="s">
        <v>1500</v>
      </c>
      <c r="G208" s="2" t="s">
        <v>1267</v>
      </c>
      <c r="H208" s="2" t="s">
        <v>1501</v>
      </c>
      <c r="I208" s="2" t="s">
        <v>1502</v>
      </c>
      <c r="J208" s="2" t="s">
        <v>1503</v>
      </c>
      <c r="K208" s="2" t="s">
        <v>252</v>
      </c>
      <c r="L208" s="3">
        <v>34.5</v>
      </c>
      <c r="M208" s="3">
        <v>36.23</v>
      </c>
      <c r="N208" s="3">
        <v>74.99</v>
      </c>
      <c r="O208" s="2" t="s">
        <v>196</v>
      </c>
      <c r="P208" s="2" t="s">
        <v>197</v>
      </c>
      <c r="Q208" s="2" t="s">
        <v>198</v>
      </c>
      <c r="R208" s="2" t="s">
        <v>199</v>
      </c>
      <c r="S208" s="2" t="s">
        <v>1504</v>
      </c>
      <c r="T208" s="2" t="s">
        <v>386</v>
      </c>
      <c r="U208" s="2" t="s">
        <v>280</v>
      </c>
      <c r="V208" s="2" t="s">
        <v>202</v>
      </c>
      <c r="W208" s="2" t="s">
        <v>510</v>
      </c>
      <c r="X208" s="2" t="s">
        <v>199</v>
      </c>
      <c r="Y208" s="2" t="s">
        <v>1505</v>
      </c>
      <c r="Z208" s="4">
        <v>334</v>
      </c>
      <c r="AA208" s="4">
        <f>=ROUNDDOWN(33.4,0)</f>
      </c>
      <c r="AB208" s="5">
        <v>10</v>
      </c>
      <c r="AC208" s="2" t="s">
        <v>387</v>
      </c>
      <c r="AD208" s="4">
        <v>282</v>
      </c>
      <c r="AE208" s="4">
        <v>282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199</v>
      </c>
      <c r="BD208" s="8" t="s">
        <v>199</v>
      </c>
      <c r="BE208" s="4" t="s">
        <v>199</v>
      </c>
      <c r="BF208" s="8" t="s">
        <v>199</v>
      </c>
      <c r="BG208" s="7" t="s">
        <v>199</v>
      </c>
      <c r="BH208" s="7" t="s">
        <v>199</v>
      </c>
      <c r="BI208" s="7"/>
      <c r="BJ208" s="4">
        <v>8</v>
      </c>
      <c r="BK208" s="8">
        <v>312.79</v>
      </c>
      <c r="BL208" s="2" t="s">
        <v>1506</v>
      </c>
      <c r="BM208" s="7"/>
      <c r="BN208" s="7"/>
      <c r="BO208" s="4"/>
      <c r="BP208" s="8"/>
      <c r="BQ208" s="4"/>
      <c r="BR208" s="8"/>
      <c r="BS208" s="7"/>
      <c r="BT208" s="7"/>
      <c r="BU208" s="2" t="s">
        <v>1507</v>
      </c>
      <c r="BV208" s="2" t="s">
        <v>199</v>
      </c>
      <c r="BW208" s="2" t="s">
        <v>199</v>
      </c>
      <c r="BX208" s="2" t="s">
        <v>208</v>
      </c>
      <c r="BY208" s="2" t="s">
        <v>209</v>
      </c>
      <c r="BZ208" s="2" t="s">
        <v>196</v>
      </c>
      <c r="CA208" s="2" t="s">
        <v>1508</v>
      </c>
      <c r="CB208" s="2" t="s">
        <v>1509</v>
      </c>
      <c r="CC208" s="2" t="s">
        <v>212</v>
      </c>
      <c r="CD208" s="2" t="s">
        <v>199</v>
      </c>
      <c r="CE208" s="4">
        <v>334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>
        <v>282</v>
      </c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>
        <v>339</v>
      </c>
      <c r="EU208" s="4">
        <v>329</v>
      </c>
      <c r="EV208" s="4">
        <v>322</v>
      </c>
      <c r="EW208" s="4">
        <v>597</v>
      </c>
      <c r="EX208" s="4">
        <v>590</v>
      </c>
      <c r="EY208" s="4">
        <v>583</v>
      </c>
      <c r="EZ208" s="4">
        <v>576</v>
      </c>
      <c r="FA208" s="4">
        <v>569</v>
      </c>
      <c r="FB208" s="4">
        <v>561</v>
      </c>
      <c r="FC208" s="4">
        <v>554</v>
      </c>
      <c r="FD208" s="4">
        <v>547</v>
      </c>
      <c r="FE208" s="4">
        <v>540</v>
      </c>
      <c r="FF208" s="4">
        <v>533</v>
      </c>
      <c r="FG208" s="4">
        <v>526</v>
      </c>
      <c r="FH208" s="4">
        <v>519</v>
      </c>
      <c r="FI208" s="4">
        <v>512</v>
      </c>
      <c r="FJ208" s="4">
        <v>505</v>
      </c>
      <c r="FK208" s="4">
        <v>498</v>
      </c>
      <c r="FL208" s="4">
        <v>491</v>
      </c>
      <c r="FM208" s="4">
        <v>484</v>
      </c>
      <c r="FN208" s="4">
        <v>474</v>
      </c>
      <c r="FO208" s="4">
        <v>464</v>
      </c>
      <c r="FP208" s="4">
        <v>453</v>
      </c>
      <c r="FQ208" s="4">
        <v>443</v>
      </c>
      <c r="FR208" s="4">
        <v>433</v>
      </c>
      <c r="FS208" s="4">
        <v>423</v>
      </c>
      <c r="FT208" s="19">
        <v>42.4</v>
      </c>
      <c r="FU208" s="19">
        <v>47</v>
      </c>
      <c r="FV208" s="19">
        <v>46</v>
      </c>
      <c r="FW208" s="19">
        <v>85.3</v>
      </c>
      <c r="FX208" s="19">
        <v>84.3</v>
      </c>
      <c r="FY208" s="19">
        <v>83.3</v>
      </c>
      <c r="FZ208" s="19">
        <v>82.3</v>
      </c>
      <c r="GA208" s="19">
        <v>81.3</v>
      </c>
      <c r="GB208" s="19">
        <v>80.1</v>
      </c>
      <c r="GC208" s="19">
        <v>79.1</v>
      </c>
      <c r="GD208" s="19">
        <v>78.1</v>
      </c>
      <c r="GE208" s="19">
        <v>77.1</v>
      </c>
      <c r="GF208" s="19">
        <v>76.1</v>
      </c>
      <c r="GG208" s="19">
        <v>75.1</v>
      </c>
      <c r="GH208" s="19">
        <v>74.1</v>
      </c>
      <c r="GI208" s="19">
        <v>73.1</v>
      </c>
      <c r="GJ208" s="19">
        <v>63.1</v>
      </c>
      <c r="GK208" s="19">
        <v>62.3</v>
      </c>
      <c r="GL208" s="19">
        <v>49.1</v>
      </c>
      <c r="GM208" s="19">
        <v>48.4</v>
      </c>
      <c r="GN208" s="19">
        <v>47.4</v>
      </c>
      <c r="GO208" s="19">
        <v>46.4</v>
      </c>
      <c r="GP208" s="19">
        <v>45.3</v>
      </c>
      <c r="GQ208" s="19">
        <v>44.3</v>
      </c>
      <c r="GR208" s="19">
        <v>43.3</v>
      </c>
      <c r="GS208" s="19">
        <v>42.3</v>
      </c>
    </row>
    <row r="209">
      <c r="A209" s="2" t="s">
        <v>1510</v>
      </c>
      <c r="B209" s="2" t="s">
        <v>672</v>
      </c>
      <c r="C209" s="2" t="s">
        <v>246</v>
      </c>
      <c r="D209" s="2" t="s">
        <v>673</v>
      </c>
      <c r="E209" s="2" t="s">
        <v>1499</v>
      </c>
      <c r="F209" s="2" t="s">
        <v>1500</v>
      </c>
      <c r="G209" s="2" t="s">
        <v>1267</v>
      </c>
      <c r="H209" s="2" t="s">
        <v>1501</v>
      </c>
      <c r="I209" s="2" t="s">
        <v>1502</v>
      </c>
      <c r="J209" s="2" t="s">
        <v>1511</v>
      </c>
      <c r="K209" s="2" t="s">
        <v>723</v>
      </c>
      <c r="L209" s="3">
        <v>29.25</v>
      </c>
      <c r="M209" s="3">
        <v>30.71</v>
      </c>
      <c r="N209" s="3">
        <v>64.99</v>
      </c>
      <c r="O209" s="2" t="s">
        <v>196</v>
      </c>
      <c r="P209" s="2" t="s">
        <v>197</v>
      </c>
      <c r="Q209" s="2" t="s">
        <v>198</v>
      </c>
      <c r="R209" s="2" t="s">
        <v>199</v>
      </c>
      <c r="S209" s="2" t="s">
        <v>1512</v>
      </c>
      <c r="T209" s="2" t="s">
        <v>386</v>
      </c>
      <c r="U209" s="2" t="s">
        <v>280</v>
      </c>
      <c r="V209" s="2" t="s">
        <v>202</v>
      </c>
      <c r="W209" s="2" t="s">
        <v>510</v>
      </c>
      <c r="X209" s="2" t="s">
        <v>199</v>
      </c>
      <c r="Y209" s="2" t="s">
        <v>1505</v>
      </c>
      <c r="Z209" s="4">
        <v>172</v>
      </c>
      <c r="AA209" s="4">
        <f>=ROUNDDOWN(43,0)</f>
      </c>
      <c r="AB209" s="5">
        <v>4</v>
      </c>
      <c r="AC209" s="2" t="s">
        <v>387</v>
      </c>
      <c r="AD209" s="4">
        <v>72</v>
      </c>
      <c r="AE209" s="4">
        <v>72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199</v>
      </c>
      <c r="AW209" s="8" t="s">
        <v>199</v>
      </c>
      <c r="AX209" s="4" t="s">
        <v>199</v>
      </c>
      <c r="AY209" s="8" t="s">
        <v>199</v>
      </c>
      <c r="AZ209" s="7" t="s">
        <v>199</v>
      </c>
      <c r="BA209" s="7" t="s">
        <v>199</v>
      </c>
      <c r="BB209" s="7"/>
      <c r="BC209" s="4" t="s">
        <v>199</v>
      </c>
      <c r="BD209" s="8" t="s">
        <v>199</v>
      </c>
      <c r="BE209" s="4" t="s">
        <v>199</v>
      </c>
      <c r="BF209" s="8" t="s">
        <v>199</v>
      </c>
      <c r="BG209" s="7" t="s">
        <v>199</v>
      </c>
      <c r="BH209" s="7" t="s">
        <v>199</v>
      </c>
      <c r="BI209" s="7"/>
      <c r="BJ209" s="4">
        <v>4</v>
      </c>
      <c r="BK209" s="8">
        <v>122.6</v>
      </c>
      <c r="BL209" s="2" t="s">
        <v>1513</v>
      </c>
      <c r="BM209" s="7"/>
      <c r="BN209" s="7"/>
      <c r="BO209" s="4"/>
      <c r="BP209" s="8"/>
      <c r="BQ209" s="4"/>
      <c r="BR209" s="8"/>
      <c r="BS209" s="7"/>
      <c r="BT209" s="7"/>
      <c r="BU209" s="2" t="s">
        <v>1507</v>
      </c>
      <c r="BV209" s="2" t="s">
        <v>199</v>
      </c>
      <c r="BW209" s="2" t="s">
        <v>199</v>
      </c>
      <c r="BX209" s="2" t="s">
        <v>208</v>
      </c>
      <c r="BY209" s="2" t="s">
        <v>209</v>
      </c>
      <c r="BZ209" s="2" t="s">
        <v>196</v>
      </c>
      <c r="CA209" s="2" t="s">
        <v>1508</v>
      </c>
      <c r="CB209" s="2" t="s">
        <v>1514</v>
      </c>
      <c r="CC209" s="2" t="s">
        <v>212</v>
      </c>
      <c r="CD209" s="2" t="s">
        <v>199</v>
      </c>
      <c r="CE209" s="4">
        <v>172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>
        <v>72</v>
      </c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>
        <v>173</v>
      </c>
      <c r="EU209" s="4">
        <v>168</v>
      </c>
      <c r="EV209" s="4">
        <v>164</v>
      </c>
      <c r="EW209" s="4">
        <v>232</v>
      </c>
      <c r="EX209" s="4">
        <v>228</v>
      </c>
      <c r="EY209" s="4">
        <v>224</v>
      </c>
      <c r="EZ209" s="4">
        <v>220</v>
      </c>
      <c r="FA209" s="4">
        <v>216</v>
      </c>
      <c r="FB209" s="4">
        <v>212</v>
      </c>
      <c r="FC209" s="4">
        <v>208</v>
      </c>
      <c r="FD209" s="4">
        <v>204</v>
      </c>
      <c r="FE209" s="4">
        <v>200</v>
      </c>
      <c r="FF209" s="4">
        <v>196</v>
      </c>
      <c r="FG209" s="4">
        <v>192</v>
      </c>
      <c r="FH209" s="4">
        <v>188</v>
      </c>
      <c r="FI209" s="4">
        <v>184</v>
      </c>
      <c r="FJ209" s="4">
        <v>180</v>
      </c>
      <c r="FK209" s="4">
        <v>176</v>
      </c>
      <c r="FL209" s="4">
        <v>172</v>
      </c>
      <c r="FM209" s="4">
        <v>168</v>
      </c>
      <c r="FN209" s="4">
        <v>164</v>
      </c>
      <c r="FO209" s="4">
        <v>160</v>
      </c>
      <c r="FP209" s="4">
        <v>156</v>
      </c>
      <c r="FQ209" s="4">
        <v>152</v>
      </c>
      <c r="FR209" s="4">
        <v>148</v>
      </c>
      <c r="FS209" s="4">
        <v>144</v>
      </c>
      <c r="FT209" s="19">
        <v>43.3</v>
      </c>
      <c r="FU209" s="19">
        <v>42</v>
      </c>
      <c r="FV209" s="19">
        <v>41</v>
      </c>
      <c r="FW209" s="19">
        <v>58</v>
      </c>
      <c r="FX209" s="19">
        <v>57</v>
      </c>
      <c r="FY209" s="19">
        <v>56</v>
      </c>
      <c r="FZ209" s="19">
        <v>55</v>
      </c>
      <c r="GA209" s="19">
        <v>54</v>
      </c>
      <c r="GB209" s="19">
        <v>53</v>
      </c>
      <c r="GC209" s="19">
        <v>52</v>
      </c>
      <c r="GD209" s="19">
        <v>51</v>
      </c>
      <c r="GE209" s="19">
        <v>50</v>
      </c>
      <c r="GF209" s="19">
        <v>49</v>
      </c>
      <c r="GG209" s="19">
        <v>48</v>
      </c>
      <c r="GH209" s="19">
        <v>47</v>
      </c>
      <c r="GI209" s="19">
        <v>46</v>
      </c>
      <c r="GJ209" s="19">
        <v>45</v>
      </c>
      <c r="GK209" s="19">
        <v>44</v>
      </c>
      <c r="GL209" s="19">
        <v>43</v>
      </c>
      <c r="GM209" s="19">
        <v>42</v>
      </c>
      <c r="GN209" s="19">
        <v>41</v>
      </c>
      <c r="GO209" s="19">
        <v>40</v>
      </c>
      <c r="GP209" s="19">
        <v>39</v>
      </c>
      <c r="GQ209" s="19">
        <v>38</v>
      </c>
      <c r="GR209" s="19">
        <v>37</v>
      </c>
      <c r="GS209" s="19">
        <v>36</v>
      </c>
    </row>
    <row r="210">
      <c r="A210" s="2" t="s">
        <v>1515</v>
      </c>
      <c r="B210" s="2" t="s">
        <v>672</v>
      </c>
      <c r="C210" s="2" t="s">
        <v>246</v>
      </c>
      <c r="D210" s="2" t="s">
        <v>673</v>
      </c>
      <c r="E210" s="2" t="s">
        <v>1499</v>
      </c>
      <c r="F210" s="2" t="s">
        <v>1500</v>
      </c>
      <c r="G210" s="2" t="s">
        <v>1267</v>
      </c>
      <c r="H210" s="2" t="s">
        <v>1501</v>
      </c>
      <c r="I210" s="2" t="s">
        <v>1502</v>
      </c>
      <c r="J210" s="2" t="s">
        <v>1516</v>
      </c>
      <c r="K210" s="2" t="s">
        <v>723</v>
      </c>
      <c r="L210" s="3">
        <v>32.2</v>
      </c>
      <c r="M210" s="3">
        <v>33.81</v>
      </c>
      <c r="N210" s="3">
        <v>69.99</v>
      </c>
      <c r="O210" s="2" t="s">
        <v>196</v>
      </c>
      <c r="P210" s="2" t="s">
        <v>197</v>
      </c>
      <c r="Q210" s="2" t="s">
        <v>198</v>
      </c>
      <c r="R210" s="2" t="s">
        <v>199</v>
      </c>
      <c r="S210" s="2" t="s">
        <v>1512</v>
      </c>
      <c r="T210" s="2" t="s">
        <v>386</v>
      </c>
      <c r="U210" s="2" t="s">
        <v>280</v>
      </c>
      <c r="V210" s="2" t="s">
        <v>202</v>
      </c>
      <c r="W210" s="2" t="s">
        <v>510</v>
      </c>
      <c r="X210" s="2" t="s">
        <v>199</v>
      </c>
      <c r="Y210" s="2" t="s">
        <v>1505</v>
      </c>
      <c r="Z210" s="4">
        <v>251</v>
      </c>
      <c r="AA210" s="4">
        <f>=ROUNDDOWN(50.2,0)</f>
      </c>
      <c r="AB210" s="5">
        <v>5</v>
      </c>
      <c r="AC210" s="2" t="s">
        <v>387</v>
      </c>
      <c r="AD210" s="4">
        <v>132</v>
      </c>
      <c r="AE210" s="4">
        <v>132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199</v>
      </c>
      <c r="AW210" s="8" t="s">
        <v>199</v>
      </c>
      <c r="AX210" s="4" t="s">
        <v>199</v>
      </c>
      <c r="AY210" s="8" t="s">
        <v>199</v>
      </c>
      <c r="AZ210" s="7" t="s">
        <v>199</v>
      </c>
      <c r="BA210" s="7" t="s">
        <v>199</v>
      </c>
      <c r="BB210" s="7"/>
      <c r="BC210" s="4" t="s">
        <v>199</v>
      </c>
      <c r="BD210" s="8" t="s">
        <v>199</v>
      </c>
      <c r="BE210" s="4" t="s">
        <v>199</v>
      </c>
      <c r="BF210" s="8" t="s">
        <v>199</v>
      </c>
      <c r="BG210" s="7" t="s">
        <v>199</v>
      </c>
      <c r="BH210" s="7" t="s">
        <v>199</v>
      </c>
      <c r="BI210" s="7"/>
      <c r="BJ210" s="4">
        <v>19</v>
      </c>
      <c r="BK210" s="8">
        <v>704.79</v>
      </c>
      <c r="BL210" s="2" t="s">
        <v>1517</v>
      </c>
      <c r="BM210" s="7"/>
      <c r="BN210" s="7"/>
      <c r="BO210" s="4"/>
      <c r="BP210" s="8"/>
      <c r="BQ210" s="4"/>
      <c r="BR210" s="8"/>
      <c r="BS210" s="7"/>
      <c r="BT210" s="7"/>
      <c r="BU210" s="2" t="s">
        <v>1507</v>
      </c>
      <c r="BV210" s="2" t="s">
        <v>199</v>
      </c>
      <c r="BW210" s="2" t="s">
        <v>199</v>
      </c>
      <c r="BX210" s="2" t="s">
        <v>208</v>
      </c>
      <c r="BY210" s="2" t="s">
        <v>209</v>
      </c>
      <c r="BZ210" s="2" t="s">
        <v>196</v>
      </c>
      <c r="CA210" s="2" t="s">
        <v>1508</v>
      </c>
      <c r="CB210" s="2" t="s">
        <v>1518</v>
      </c>
      <c r="CC210" s="2" t="s">
        <v>212</v>
      </c>
      <c r="CD210" s="2" t="s">
        <v>199</v>
      </c>
      <c r="CE210" s="4">
        <v>251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>
        <v>132</v>
      </c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>
        <v>252</v>
      </c>
      <c r="EU210" s="4">
        <v>249</v>
      </c>
      <c r="EV210" s="4">
        <v>247</v>
      </c>
      <c r="EW210" s="4">
        <v>377</v>
      </c>
      <c r="EX210" s="4">
        <v>375</v>
      </c>
      <c r="EY210" s="4">
        <v>373</v>
      </c>
      <c r="EZ210" s="4">
        <v>371</v>
      </c>
      <c r="FA210" s="4">
        <v>369</v>
      </c>
      <c r="FB210" s="4">
        <v>367</v>
      </c>
      <c r="FC210" s="4">
        <v>365</v>
      </c>
      <c r="FD210" s="4">
        <v>363</v>
      </c>
      <c r="FE210" s="4">
        <v>358</v>
      </c>
      <c r="FF210" s="4">
        <v>353</v>
      </c>
      <c r="FG210" s="4">
        <v>348</v>
      </c>
      <c r="FH210" s="4">
        <v>343</v>
      </c>
      <c r="FI210" s="4">
        <v>337</v>
      </c>
      <c r="FJ210" s="4">
        <v>332</v>
      </c>
      <c r="FK210" s="4">
        <v>327</v>
      </c>
      <c r="FL210" s="4">
        <v>322</v>
      </c>
      <c r="FM210" s="4">
        <v>317</v>
      </c>
      <c r="FN210" s="4">
        <v>311</v>
      </c>
      <c r="FO210" s="4">
        <v>306</v>
      </c>
      <c r="FP210" s="4">
        <v>301</v>
      </c>
      <c r="FQ210" s="4">
        <v>296</v>
      </c>
      <c r="FR210" s="4">
        <v>291</v>
      </c>
      <c r="FS210" s="4">
        <v>286</v>
      </c>
      <c r="FT210" s="19">
        <v>126</v>
      </c>
      <c r="FU210" s="19">
        <v>124.5</v>
      </c>
      <c r="FV210" s="19">
        <v>123.5</v>
      </c>
      <c r="FW210" s="19">
        <v>188.5</v>
      </c>
      <c r="FX210" s="19">
        <v>187.5</v>
      </c>
      <c r="FY210" s="19">
        <v>186.5</v>
      </c>
      <c r="FZ210" s="19">
        <v>185.5</v>
      </c>
      <c r="GA210" s="19">
        <v>123</v>
      </c>
      <c r="GB210" s="19">
        <v>91.8</v>
      </c>
      <c r="GC210" s="19">
        <v>91.3</v>
      </c>
      <c r="GD210" s="19">
        <v>72.6</v>
      </c>
      <c r="GE210" s="19">
        <v>71.6</v>
      </c>
      <c r="GF210" s="19">
        <v>70.6</v>
      </c>
      <c r="GG210" s="19">
        <v>69.6</v>
      </c>
      <c r="GH210" s="19">
        <v>68.6</v>
      </c>
      <c r="GI210" s="19">
        <v>67.4</v>
      </c>
      <c r="GJ210" s="19">
        <v>66.4</v>
      </c>
      <c r="GK210" s="19">
        <v>65.4</v>
      </c>
      <c r="GL210" s="19">
        <v>64.4</v>
      </c>
      <c r="GM210" s="19">
        <v>63.4</v>
      </c>
      <c r="GN210" s="19">
        <v>62.2</v>
      </c>
      <c r="GO210" s="19">
        <v>61.2</v>
      </c>
      <c r="GP210" s="19">
        <v>60.2</v>
      </c>
      <c r="GQ210" s="19">
        <v>59.2</v>
      </c>
      <c r="GR210" s="19">
        <v>58.2</v>
      </c>
      <c r="GS210" s="19">
        <v>57.2</v>
      </c>
    </row>
    <row r="211">
      <c r="A211" s="2" t="s">
        <v>1519</v>
      </c>
      <c r="B211" s="2" t="s">
        <v>672</v>
      </c>
      <c r="C211" s="2" t="s">
        <v>246</v>
      </c>
      <c r="D211" s="2" t="s">
        <v>673</v>
      </c>
      <c r="E211" s="2" t="s">
        <v>1499</v>
      </c>
      <c r="F211" s="2" t="s">
        <v>1500</v>
      </c>
      <c r="G211" s="2" t="s">
        <v>1267</v>
      </c>
      <c r="H211" s="2" t="s">
        <v>1501</v>
      </c>
      <c r="I211" s="2" t="s">
        <v>1502</v>
      </c>
      <c r="J211" s="2" t="s">
        <v>1520</v>
      </c>
      <c r="K211" s="2" t="s">
        <v>723</v>
      </c>
      <c r="L211" s="3">
        <v>38.4</v>
      </c>
      <c r="M211" s="3">
        <v>40.32</v>
      </c>
      <c r="N211" s="3">
        <v>79.99</v>
      </c>
      <c r="O211" s="2" t="s">
        <v>196</v>
      </c>
      <c r="P211" s="2" t="s">
        <v>197</v>
      </c>
      <c r="Q211" s="2" t="s">
        <v>198</v>
      </c>
      <c r="R211" s="2" t="s">
        <v>199</v>
      </c>
      <c r="S211" s="2" t="s">
        <v>1512</v>
      </c>
      <c r="T211" s="2" t="s">
        <v>386</v>
      </c>
      <c r="U211" s="2" t="s">
        <v>280</v>
      </c>
      <c r="V211" s="2" t="s">
        <v>202</v>
      </c>
      <c r="W211" s="2" t="s">
        <v>510</v>
      </c>
      <c r="X211" s="2" t="s">
        <v>199</v>
      </c>
      <c r="Y211" s="2" t="s">
        <v>1505</v>
      </c>
      <c r="Z211" s="4">
        <v>69</v>
      </c>
      <c r="AA211" s="4">
        <f>=ROUNDDOWN(13.8,0)</f>
      </c>
      <c r="AB211" s="5">
        <v>5</v>
      </c>
      <c r="AC211" s="2" t="s">
        <v>387</v>
      </c>
      <c r="AD211" s="4">
        <v>60</v>
      </c>
      <c r="AE211" s="4">
        <v>60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199</v>
      </c>
      <c r="AW211" s="8" t="s">
        <v>199</v>
      </c>
      <c r="AX211" s="4" t="s">
        <v>199</v>
      </c>
      <c r="AY211" s="8" t="s">
        <v>199</v>
      </c>
      <c r="AZ211" s="7" t="s">
        <v>199</v>
      </c>
      <c r="BA211" s="7" t="s">
        <v>199</v>
      </c>
      <c r="BB211" s="7"/>
      <c r="BC211" s="4" t="s">
        <v>199</v>
      </c>
      <c r="BD211" s="8" t="s">
        <v>199</v>
      </c>
      <c r="BE211" s="4" t="s">
        <v>199</v>
      </c>
      <c r="BF211" s="8" t="s">
        <v>199</v>
      </c>
      <c r="BG211" s="7" t="s">
        <v>199</v>
      </c>
      <c r="BH211" s="7" t="s">
        <v>199</v>
      </c>
      <c r="BI211" s="7"/>
      <c r="BJ211" s="4">
        <v>22</v>
      </c>
      <c r="BK211" s="8">
        <v>971.52</v>
      </c>
      <c r="BL211" s="2" t="s">
        <v>1521</v>
      </c>
      <c r="BM211" s="7"/>
      <c r="BN211" s="7"/>
      <c r="BO211" s="4"/>
      <c r="BP211" s="8"/>
      <c r="BQ211" s="4"/>
      <c r="BR211" s="8"/>
      <c r="BS211" s="7"/>
      <c r="BT211" s="7"/>
      <c r="BU211" s="2" t="s">
        <v>1507</v>
      </c>
      <c r="BV211" s="2" t="s">
        <v>199</v>
      </c>
      <c r="BW211" s="2" t="s">
        <v>199</v>
      </c>
      <c r="BX211" s="2" t="s">
        <v>208</v>
      </c>
      <c r="BY211" s="2" t="s">
        <v>209</v>
      </c>
      <c r="BZ211" s="2" t="s">
        <v>196</v>
      </c>
      <c r="CA211" s="2" t="s">
        <v>1508</v>
      </c>
      <c r="CB211" s="2" t="s">
        <v>1522</v>
      </c>
      <c r="CC211" s="2" t="s">
        <v>212</v>
      </c>
      <c r="CD211" s="2" t="s">
        <v>199</v>
      </c>
      <c r="CE211" s="4">
        <v>69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>
        <v>60</v>
      </c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>
        <v>71</v>
      </c>
      <c r="EU211" s="4">
        <v>67</v>
      </c>
      <c r="EV211" s="4">
        <v>65</v>
      </c>
      <c r="EW211" s="4">
        <v>123</v>
      </c>
      <c r="EX211" s="4">
        <v>121</v>
      </c>
      <c r="EY211" s="4">
        <v>119</v>
      </c>
      <c r="EZ211" s="4">
        <v>117</v>
      </c>
      <c r="FA211" s="4">
        <v>115</v>
      </c>
      <c r="FB211" s="4">
        <v>112</v>
      </c>
      <c r="FC211" s="4">
        <v>107</v>
      </c>
      <c r="FD211" s="4">
        <v>102</v>
      </c>
      <c r="FE211" s="4">
        <v>97</v>
      </c>
      <c r="FF211" s="4">
        <v>92</v>
      </c>
      <c r="FG211" s="4">
        <v>87</v>
      </c>
      <c r="FH211" s="4">
        <v>82</v>
      </c>
      <c r="FI211" s="4">
        <v>76</v>
      </c>
      <c r="FJ211" s="4">
        <v>71</v>
      </c>
      <c r="FK211" s="4">
        <v>66</v>
      </c>
      <c r="FL211" s="4">
        <v>61</v>
      </c>
      <c r="FM211" s="4">
        <v>56</v>
      </c>
      <c r="FN211" s="4">
        <v>50</v>
      </c>
      <c r="FO211" s="4">
        <v>45</v>
      </c>
      <c r="FP211" s="4">
        <v>40</v>
      </c>
      <c r="FQ211" s="4">
        <v>35</v>
      </c>
      <c r="FR211" s="4">
        <v>30</v>
      </c>
      <c r="FS211" s="4">
        <v>25</v>
      </c>
      <c r="FT211" s="19">
        <v>35.5</v>
      </c>
      <c r="FU211" s="19">
        <v>33.5</v>
      </c>
      <c r="FV211" s="19">
        <v>32.5</v>
      </c>
      <c r="FW211" s="19">
        <v>61.5</v>
      </c>
      <c r="FX211" s="19">
        <v>60.5</v>
      </c>
      <c r="FY211" s="19">
        <v>39.7</v>
      </c>
      <c r="FZ211" s="19">
        <v>29.3</v>
      </c>
      <c r="GA211" s="19">
        <v>28.8</v>
      </c>
      <c r="GB211" s="19">
        <v>22.4</v>
      </c>
      <c r="GC211" s="19">
        <v>21.4</v>
      </c>
      <c r="GD211" s="19">
        <v>20.4</v>
      </c>
      <c r="GE211" s="19">
        <v>19.4</v>
      </c>
      <c r="GF211" s="19">
        <v>18.4</v>
      </c>
      <c r="GG211" s="19">
        <v>17.4</v>
      </c>
      <c r="GH211" s="19">
        <v>16.4</v>
      </c>
      <c r="GI211" s="19">
        <v>15.2</v>
      </c>
      <c r="GJ211" s="19">
        <v>14.2</v>
      </c>
      <c r="GK211" s="19">
        <v>13.2</v>
      </c>
      <c r="GL211" s="19">
        <v>12.2</v>
      </c>
      <c r="GM211" s="19">
        <v>11.2</v>
      </c>
      <c r="GN211" s="19">
        <v>10</v>
      </c>
      <c r="GO211" s="19">
        <v>9</v>
      </c>
      <c r="GP211" s="19">
        <v>8</v>
      </c>
      <c r="GQ211" s="19">
        <v>7</v>
      </c>
      <c r="GR211" s="19">
        <v>6</v>
      </c>
      <c r="GS211" s="19">
        <v>5</v>
      </c>
    </row>
    <row r="212">
      <c r="A212" s="2" t="s">
        <v>1523</v>
      </c>
      <c r="B212" s="2" t="s">
        <v>591</v>
      </c>
      <c r="C212" s="2" t="s">
        <v>604</v>
      </c>
      <c r="D212" s="2" t="s">
        <v>593</v>
      </c>
      <c r="E212" s="2" t="s">
        <v>594</v>
      </c>
      <c r="F212" s="2" t="s">
        <v>1524</v>
      </c>
      <c r="G212" s="2" t="s">
        <v>1524</v>
      </c>
      <c r="H212" s="2" t="s">
        <v>1524</v>
      </c>
      <c r="I212" s="2" t="s">
        <v>1525</v>
      </c>
      <c r="J212" s="2" t="s">
        <v>559</v>
      </c>
      <c r="K212" s="2" t="s">
        <v>252</v>
      </c>
      <c r="L212" s="3">
        <v>46.72</v>
      </c>
      <c r="M212" s="3">
        <v>49.06</v>
      </c>
      <c r="N212" s="3">
        <v>109.99</v>
      </c>
      <c r="O212" s="2" t="s">
        <v>196</v>
      </c>
      <c r="P212" s="2" t="s">
        <v>197</v>
      </c>
      <c r="Q212" s="2" t="s">
        <v>198</v>
      </c>
      <c r="R212" s="2" t="s">
        <v>199</v>
      </c>
      <c r="S212" s="2" t="s">
        <v>1526</v>
      </c>
      <c r="T212" s="2" t="s">
        <v>199</v>
      </c>
      <c r="U212" s="2" t="s">
        <v>199</v>
      </c>
      <c r="V212" s="2" t="s">
        <v>202</v>
      </c>
      <c r="W212" s="2" t="s">
        <v>510</v>
      </c>
      <c r="X212" s="2" t="s">
        <v>199</v>
      </c>
      <c r="Y212" s="2" t="s">
        <v>204</v>
      </c>
      <c r="Z212" s="4">
        <v>45</v>
      </c>
      <c r="AA212" s="4">
        <f>=ROUNDDOWN(11.25,0)</f>
      </c>
      <c r="AB212" s="5">
        <v>4</v>
      </c>
      <c r="AC212" s="2" t="s">
        <v>1527</v>
      </c>
      <c r="AD212" s="4">
        <v>120</v>
      </c>
      <c r="AE212" s="4">
        <v>120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11</v>
      </c>
      <c r="BK212" s="8">
        <v>578.69</v>
      </c>
      <c r="BL212" s="2" t="s">
        <v>1528</v>
      </c>
      <c r="BM212" s="7"/>
      <c r="BN212" s="7"/>
      <c r="BO212" s="4"/>
      <c r="BP212" s="8"/>
      <c r="BQ212" s="4"/>
      <c r="BR212" s="8"/>
      <c r="BS212" s="7"/>
      <c r="BT212" s="7"/>
      <c r="BU212" s="2" t="s">
        <v>1529</v>
      </c>
      <c r="BV212" s="2" t="s">
        <v>199</v>
      </c>
      <c r="BW212" s="2" t="s">
        <v>199</v>
      </c>
      <c r="BX212" s="2" t="s">
        <v>208</v>
      </c>
      <c r="BY212" s="2" t="s">
        <v>209</v>
      </c>
      <c r="BZ212" s="2" t="s">
        <v>196</v>
      </c>
      <c r="CA212" s="2" t="s">
        <v>1530</v>
      </c>
      <c r="CB212" s="2" t="s">
        <v>1531</v>
      </c>
      <c r="CC212" s="2" t="s">
        <v>212</v>
      </c>
      <c r="CD212" s="2" t="s">
        <v>199</v>
      </c>
      <c r="CE212" s="4"/>
      <c r="CF212" s="4">
        <v>45</v>
      </c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>
        <v>120</v>
      </c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>
        <v>45</v>
      </c>
      <c r="EU212" s="4">
        <v>34</v>
      </c>
      <c r="EV212" s="4">
        <v>30</v>
      </c>
      <c r="EW212" s="4">
        <v>26</v>
      </c>
      <c r="EX212" s="4">
        <v>22</v>
      </c>
      <c r="EY212" s="4">
        <v>138</v>
      </c>
      <c r="EZ212" s="4">
        <v>134</v>
      </c>
      <c r="FA212" s="4">
        <v>130</v>
      </c>
      <c r="FB212" s="4">
        <v>125</v>
      </c>
      <c r="FC212" s="4">
        <v>121</v>
      </c>
      <c r="FD212" s="4">
        <v>117</v>
      </c>
      <c r="FE212" s="4">
        <v>113</v>
      </c>
      <c r="FF212" s="4">
        <v>109</v>
      </c>
      <c r="FG212" s="4">
        <v>105</v>
      </c>
      <c r="FH212" s="4">
        <v>101</v>
      </c>
      <c r="FI212" s="4">
        <v>97</v>
      </c>
      <c r="FJ212" s="4">
        <v>93</v>
      </c>
      <c r="FK212" s="4">
        <v>89</v>
      </c>
      <c r="FL212" s="4">
        <v>85</v>
      </c>
      <c r="FM212" s="4">
        <v>81</v>
      </c>
      <c r="FN212" s="4">
        <v>77</v>
      </c>
      <c r="FO212" s="4">
        <v>73</v>
      </c>
      <c r="FP212" s="4">
        <v>68</v>
      </c>
      <c r="FQ212" s="4">
        <v>64</v>
      </c>
      <c r="FR212" s="4">
        <v>60</v>
      </c>
      <c r="FS212" s="4">
        <v>56</v>
      </c>
      <c r="FT212" s="19">
        <v>7.5</v>
      </c>
      <c r="FU212" s="19">
        <v>8.5</v>
      </c>
      <c r="FV212" s="19">
        <v>7.5</v>
      </c>
      <c r="FW212" s="19">
        <v>6.5</v>
      </c>
      <c r="FX212" s="19">
        <v>5.5</v>
      </c>
      <c r="FY212" s="19">
        <v>34.5</v>
      </c>
      <c r="FZ212" s="19">
        <v>33.5</v>
      </c>
      <c r="GA212" s="19">
        <v>32.5</v>
      </c>
      <c r="GB212" s="19">
        <v>31.3</v>
      </c>
      <c r="GC212" s="19">
        <v>30.3</v>
      </c>
      <c r="GD212" s="19">
        <v>29.3</v>
      </c>
      <c r="GE212" s="19">
        <v>28.3</v>
      </c>
      <c r="GF212" s="19">
        <v>27.3</v>
      </c>
      <c r="GG212" s="19">
        <v>26.3</v>
      </c>
      <c r="GH212" s="19">
        <v>25.3</v>
      </c>
      <c r="GI212" s="19">
        <v>24.3</v>
      </c>
      <c r="GJ212" s="19">
        <v>23.3</v>
      </c>
      <c r="GK212" s="19">
        <v>22.3</v>
      </c>
      <c r="GL212" s="19">
        <v>21.3</v>
      </c>
      <c r="GM212" s="19">
        <v>20.3</v>
      </c>
      <c r="GN212" s="19">
        <v>19.3</v>
      </c>
      <c r="GO212" s="19">
        <v>18.3</v>
      </c>
      <c r="GP212" s="19">
        <v>17</v>
      </c>
      <c r="GQ212" s="19">
        <v>16</v>
      </c>
      <c r="GR212" s="19">
        <v>15</v>
      </c>
      <c r="GS212" s="19">
        <v>14</v>
      </c>
    </row>
    <row r="213">
      <c r="A213" s="2" t="s">
        <v>1532</v>
      </c>
      <c r="B213" s="2" t="s">
        <v>554</v>
      </c>
      <c r="C213" s="2" t="s">
        <v>1165</v>
      </c>
      <c r="D213" s="2" t="s">
        <v>861</v>
      </c>
      <c r="E213" s="2" t="s">
        <v>556</v>
      </c>
      <c r="F213" s="2" t="s">
        <v>1533</v>
      </c>
      <c r="G213" s="2" t="s">
        <v>1533</v>
      </c>
      <c r="H213" s="2" t="s">
        <v>1533</v>
      </c>
      <c r="I213" s="2" t="s">
        <v>1534</v>
      </c>
      <c r="J213" s="2" t="s">
        <v>559</v>
      </c>
      <c r="K213" s="2" t="s">
        <v>1535</v>
      </c>
      <c r="L213" s="3">
        <v>37.27</v>
      </c>
      <c r="M213" s="3">
        <v>39.13</v>
      </c>
      <c r="N213" s="3">
        <v>76.49</v>
      </c>
      <c r="O213" s="2" t="s">
        <v>196</v>
      </c>
      <c r="P213" s="2" t="s">
        <v>841</v>
      </c>
      <c r="Q213" s="2" t="s">
        <v>198</v>
      </c>
      <c r="R213" s="2" t="s">
        <v>199</v>
      </c>
      <c r="S213" s="2" t="s">
        <v>1536</v>
      </c>
      <c r="T213" s="2" t="s">
        <v>199</v>
      </c>
      <c r="U213" s="2" t="s">
        <v>637</v>
      </c>
      <c r="V213" s="2" t="s">
        <v>638</v>
      </c>
      <c r="W213" s="2" t="s">
        <v>510</v>
      </c>
      <c r="X213" s="2" t="s">
        <v>1261</v>
      </c>
      <c r="Y213" s="2" t="s">
        <v>1537</v>
      </c>
      <c r="Z213" s="4">
        <v>71</v>
      </c>
      <c r="AA213" s="4">
        <f>=ROUNDDOWN(32.2727272727273,0)</f>
      </c>
      <c r="AB213" s="5">
        <v>2.2</v>
      </c>
      <c r="AC213" s="2" t="s">
        <v>199</v>
      </c>
      <c r="AD213" s="4"/>
      <c r="AE213" s="4"/>
      <c r="AF213" s="6">
        <v>61</v>
      </c>
      <c r="AG213" s="6"/>
      <c r="AH213" s="7">
        <v>1</v>
      </c>
      <c r="AI213" s="4"/>
      <c r="AJ213" s="4">
        <f>=ROUNDDOWN({0},0)</f>
      </c>
      <c r="AK213" s="5"/>
      <c r="AL213" s="2" t="s">
        <v>199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9</v>
      </c>
      <c r="BK213" s="8">
        <v>374.78</v>
      </c>
      <c r="BL213" s="2" t="s">
        <v>1538</v>
      </c>
      <c r="BM213" s="7"/>
      <c r="BN213" s="7"/>
      <c r="BO213" s="4"/>
      <c r="BP213" s="8"/>
      <c r="BQ213" s="4"/>
      <c r="BR213" s="8"/>
      <c r="BS213" s="7"/>
      <c r="BT213" s="7"/>
      <c r="BU213" s="2" t="s">
        <v>1539</v>
      </c>
      <c r="BV213" s="2" t="s">
        <v>199</v>
      </c>
      <c r="BW213" s="2" t="s">
        <v>199</v>
      </c>
      <c r="BX213" s="2" t="s">
        <v>208</v>
      </c>
      <c r="BY213" s="2" t="s">
        <v>209</v>
      </c>
      <c r="BZ213" s="2" t="s">
        <v>196</v>
      </c>
      <c r="CA213" s="2" t="s">
        <v>1540</v>
      </c>
      <c r="CB213" s="2" t="s">
        <v>1541</v>
      </c>
      <c r="CC213" s="2" t="s">
        <v>212</v>
      </c>
      <c r="CD213" s="2" t="s">
        <v>199</v>
      </c>
      <c r="CE213" s="4"/>
      <c r="CF213" s="4">
        <v>71</v>
      </c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>
        <v>72</v>
      </c>
      <c r="EU213" s="4">
        <v>68</v>
      </c>
      <c r="EV213" s="4">
        <v>66</v>
      </c>
      <c r="EW213" s="4">
        <v>64</v>
      </c>
      <c r="EX213" s="4">
        <v>62</v>
      </c>
      <c r="EY213" s="4">
        <v>60</v>
      </c>
      <c r="EZ213" s="4">
        <v>58</v>
      </c>
      <c r="FA213" s="4">
        <v>56</v>
      </c>
      <c r="FB213" s="4">
        <v>54</v>
      </c>
      <c r="FC213" s="4">
        <v>52</v>
      </c>
      <c r="FD213" s="4">
        <v>50</v>
      </c>
      <c r="FE213" s="4">
        <v>48</v>
      </c>
      <c r="FF213" s="4">
        <v>46</v>
      </c>
      <c r="FG213" s="4">
        <v>44</v>
      </c>
      <c r="FH213" s="4">
        <v>42</v>
      </c>
      <c r="FI213" s="4">
        <v>40</v>
      </c>
      <c r="FJ213" s="4">
        <v>38</v>
      </c>
      <c r="FK213" s="4">
        <v>36</v>
      </c>
      <c r="FL213" s="4">
        <v>34</v>
      </c>
      <c r="FM213" s="4">
        <v>32</v>
      </c>
      <c r="FN213" s="4">
        <v>30</v>
      </c>
      <c r="FO213" s="4">
        <v>28</v>
      </c>
      <c r="FP213" s="4">
        <v>26</v>
      </c>
      <c r="FQ213" s="4">
        <v>24</v>
      </c>
      <c r="FR213" s="4">
        <v>22</v>
      </c>
      <c r="FS213" s="4">
        <v>20</v>
      </c>
      <c r="FT213" s="19">
        <v>36</v>
      </c>
      <c r="FU213" s="19">
        <v>34</v>
      </c>
      <c r="FV213" s="19">
        <v>33</v>
      </c>
      <c r="FW213" s="19">
        <v>32</v>
      </c>
      <c r="FX213" s="19">
        <v>31</v>
      </c>
      <c r="FY213" s="19">
        <v>30</v>
      </c>
      <c r="FZ213" s="19">
        <v>29</v>
      </c>
      <c r="GA213" s="19">
        <v>28</v>
      </c>
      <c r="GB213" s="19">
        <v>27</v>
      </c>
      <c r="GC213" s="19">
        <v>26</v>
      </c>
      <c r="GD213" s="19">
        <v>25</v>
      </c>
      <c r="GE213" s="19">
        <v>24</v>
      </c>
      <c r="GF213" s="19">
        <v>23</v>
      </c>
      <c r="GG213" s="19">
        <v>22</v>
      </c>
      <c r="GH213" s="19">
        <v>21</v>
      </c>
      <c r="GI213" s="19">
        <v>20</v>
      </c>
      <c r="GJ213" s="19">
        <v>19</v>
      </c>
      <c r="GK213" s="19">
        <v>18</v>
      </c>
      <c r="GL213" s="19">
        <v>17</v>
      </c>
      <c r="GM213" s="19">
        <v>16</v>
      </c>
      <c r="GN213" s="19">
        <v>15</v>
      </c>
      <c r="GO213" s="19">
        <v>14</v>
      </c>
      <c r="GP213" s="19">
        <v>13</v>
      </c>
      <c r="GQ213" s="19">
        <v>12</v>
      </c>
      <c r="GR213" s="19">
        <v>11</v>
      </c>
      <c r="GS213" s="19">
        <v>10</v>
      </c>
    </row>
    <row r="214">
      <c r="A214" s="2" t="s">
        <v>1542</v>
      </c>
      <c r="B214" s="2" t="s">
        <v>245</v>
      </c>
      <c r="C214" s="2" t="s">
        <v>1020</v>
      </c>
      <c r="D214" s="2" t="s">
        <v>247</v>
      </c>
      <c r="E214" s="2" t="s">
        <v>248</v>
      </c>
      <c r="F214" s="2" t="s">
        <v>1543</v>
      </c>
      <c r="G214" s="2" t="s">
        <v>1543</v>
      </c>
      <c r="H214" s="2" t="s">
        <v>1543</v>
      </c>
      <c r="I214" s="2" t="s">
        <v>297</v>
      </c>
      <c r="J214" s="2" t="s">
        <v>223</v>
      </c>
      <c r="K214" s="2" t="s">
        <v>1544</v>
      </c>
      <c r="L214" s="3">
        <v>28.98</v>
      </c>
      <c r="M214" s="3">
        <v>30.43</v>
      </c>
      <c r="N214" s="3">
        <v>64.99</v>
      </c>
      <c r="O214" s="2" t="s">
        <v>196</v>
      </c>
      <c r="P214" s="2" t="s">
        <v>197</v>
      </c>
      <c r="Q214" s="2" t="s">
        <v>198</v>
      </c>
      <c r="R214" s="2" t="s">
        <v>199</v>
      </c>
      <c r="S214" s="2" t="s">
        <v>1545</v>
      </c>
      <c r="T214" s="2" t="s">
        <v>1546</v>
      </c>
      <c r="U214" s="2" t="s">
        <v>254</v>
      </c>
      <c r="V214" s="2" t="s">
        <v>1547</v>
      </c>
      <c r="W214" s="2" t="s">
        <v>1014</v>
      </c>
      <c r="X214" s="2" t="s">
        <v>203</v>
      </c>
      <c r="Y214" s="2" t="s">
        <v>1548</v>
      </c>
      <c r="Z214" s="4"/>
      <c r="AA214" s="4">
        <f>=ROUNDDOWN({0},0)</f>
      </c>
      <c r="AB214" s="5">
        <v>16</v>
      </c>
      <c r="AC214" s="2" t="s">
        <v>199</v>
      </c>
      <c r="AD214" s="4"/>
      <c r="AE214" s="4"/>
      <c r="AF214" s="6">
        <v>74</v>
      </c>
      <c r="AG214" s="6"/>
      <c r="AH214" s="7">
        <v>0.5484</v>
      </c>
      <c r="AI214" s="4"/>
      <c r="AJ214" s="4">
        <f>=ROUNDDOWN({0},0)</f>
      </c>
      <c r="AK214" s="5"/>
      <c r="AL214" s="2" t="s">
        <v>199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199</v>
      </c>
      <c r="AW214" s="8" t="s">
        <v>199</v>
      </c>
      <c r="AX214" s="4" t="s">
        <v>199</v>
      </c>
      <c r="AY214" s="8" t="s">
        <v>199</v>
      </c>
      <c r="AZ214" s="7" t="s">
        <v>199</v>
      </c>
      <c r="BA214" s="7" t="s">
        <v>199</v>
      </c>
      <c r="BB214" s="7"/>
      <c r="BC214" s="4" t="s">
        <v>199</v>
      </c>
      <c r="BD214" s="8" t="s">
        <v>199</v>
      </c>
      <c r="BE214" s="4" t="s">
        <v>199</v>
      </c>
      <c r="BF214" s="8" t="s">
        <v>199</v>
      </c>
      <c r="BG214" s="7" t="s">
        <v>199</v>
      </c>
      <c r="BH214" s="7" t="s">
        <v>199</v>
      </c>
      <c r="BI214" s="7"/>
      <c r="BJ214" s="4">
        <v>285</v>
      </c>
      <c r="BK214" s="8">
        <v>10116.37</v>
      </c>
      <c r="BL214" s="2" t="s">
        <v>1549</v>
      </c>
      <c r="BM214" s="7"/>
      <c r="BN214" s="7"/>
      <c r="BO214" s="4"/>
      <c r="BP214" s="8"/>
      <c r="BQ214" s="4"/>
      <c r="BR214" s="8"/>
      <c r="BS214" s="7"/>
      <c r="BT214" s="7"/>
      <c r="BU214" s="2" t="s">
        <v>1550</v>
      </c>
      <c r="BV214" s="2" t="s">
        <v>199</v>
      </c>
      <c r="BW214" s="2" t="s">
        <v>199</v>
      </c>
      <c r="BX214" s="2" t="s">
        <v>208</v>
      </c>
      <c r="BY214" s="2" t="s">
        <v>209</v>
      </c>
      <c r="BZ214" s="2" t="s">
        <v>196</v>
      </c>
      <c r="CA214" s="2" t="s">
        <v>901</v>
      </c>
      <c r="CB214" s="2" t="s">
        <v>1551</v>
      </c>
      <c r="CC214" s="2" t="s">
        <v>212</v>
      </c>
      <c r="CD214" s="2" t="s">
        <v>199</v>
      </c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>
        <v>2</v>
      </c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19">
        <v>0.2</v>
      </c>
      <c r="FU214" s="20">
        <v>0</v>
      </c>
      <c r="FV214" s="20">
        <v>0</v>
      </c>
      <c r="FW214" s="20">
        <v>0</v>
      </c>
      <c r="FX214" s="20">
        <v>0</v>
      </c>
      <c r="FY214" s="20">
        <v>0</v>
      </c>
      <c r="FZ214" s="20">
        <v>0</v>
      </c>
      <c r="GA214" s="20">
        <v>0</v>
      </c>
      <c r="GB214" s="20">
        <v>0</v>
      </c>
      <c r="GC214" s="20">
        <v>0</v>
      </c>
      <c r="GD214" s="20">
        <v>0</v>
      </c>
      <c r="GE214" s="20">
        <v>0</v>
      </c>
      <c r="GF214" s="20">
        <v>0</v>
      </c>
      <c r="GG214" s="20">
        <v>0</v>
      </c>
      <c r="GH214" s="20">
        <v>0</v>
      </c>
      <c r="GI214" s="20">
        <v>0</v>
      </c>
      <c r="GJ214" s="20">
        <v>0</v>
      </c>
      <c r="GK214" s="20">
        <v>0</v>
      </c>
      <c r="GL214" s="20">
        <v>0</v>
      </c>
      <c r="GM214" s="20">
        <v>0</v>
      </c>
      <c r="GN214" s="20">
        <v>0</v>
      </c>
      <c r="GO214" s="20">
        <v>0</v>
      </c>
      <c r="GP214" s="20">
        <v>0</v>
      </c>
      <c r="GQ214" s="20">
        <v>0</v>
      </c>
      <c r="GR214" s="20">
        <v>0</v>
      </c>
      <c r="GS214" s="20">
        <v>0</v>
      </c>
    </row>
    <row r="215">
      <c r="A215" s="2" t="s">
        <v>1552</v>
      </c>
      <c r="B215" s="2" t="s">
        <v>245</v>
      </c>
      <c r="C215" s="2" t="s">
        <v>1020</v>
      </c>
      <c r="D215" s="2" t="s">
        <v>247</v>
      </c>
      <c r="E215" s="2" t="s">
        <v>248</v>
      </c>
      <c r="F215" s="2" t="s">
        <v>1543</v>
      </c>
      <c r="G215" s="2" t="s">
        <v>1543</v>
      </c>
      <c r="H215" s="2" t="s">
        <v>1543</v>
      </c>
      <c r="I215" s="2" t="s">
        <v>297</v>
      </c>
      <c r="J215" s="2" t="s">
        <v>251</v>
      </c>
      <c r="K215" s="2" t="s">
        <v>1544</v>
      </c>
      <c r="L215" s="3">
        <v>28.98</v>
      </c>
      <c r="M215" s="3">
        <v>30.43</v>
      </c>
      <c r="N215" s="3">
        <v>64.99</v>
      </c>
      <c r="O215" s="2" t="s">
        <v>196</v>
      </c>
      <c r="P215" s="2" t="s">
        <v>197</v>
      </c>
      <c r="Q215" s="2" t="s">
        <v>198</v>
      </c>
      <c r="R215" s="2" t="s">
        <v>199</v>
      </c>
      <c r="S215" s="2" t="s">
        <v>1545</v>
      </c>
      <c r="T215" s="2" t="s">
        <v>1546</v>
      </c>
      <c r="U215" s="2" t="s">
        <v>254</v>
      </c>
      <c r="V215" s="2" t="s">
        <v>1547</v>
      </c>
      <c r="W215" s="2" t="s">
        <v>1014</v>
      </c>
      <c r="X215" s="2" t="s">
        <v>203</v>
      </c>
      <c r="Y215" s="2" t="s">
        <v>1548</v>
      </c>
      <c r="Z215" s="4">
        <v>68</v>
      </c>
      <c r="AA215" s="4">
        <f>=ROUNDDOWN(8.5,0)</f>
      </c>
      <c r="AB215" s="5">
        <v>8</v>
      </c>
      <c r="AC215" s="2" t="s">
        <v>199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199</v>
      </c>
      <c r="AW215" s="8" t="s">
        <v>199</v>
      </c>
      <c r="AX215" s="4" t="s">
        <v>199</v>
      </c>
      <c r="AY215" s="8" t="s">
        <v>199</v>
      </c>
      <c r="AZ215" s="7" t="s">
        <v>199</v>
      </c>
      <c r="BA215" s="7" t="s">
        <v>199</v>
      </c>
      <c r="BB215" s="7"/>
      <c r="BC215" s="4" t="s">
        <v>199</v>
      </c>
      <c r="BD215" s="8" t="s">
        <v>199</v>
      </c>
      <c r="BE215" s="4" t="s">
        <v>199</v>
      </c>
      <c r="BF215" s="8" t="s">
        <v>199</v>
      </c>
      <c r="BG215" s="7" t="s">
        <v>199</v>
      </c>
      <c r="BH215" s="7" t="s">
        <v>199</v>
      </c>
      <c r="BI215" s="7"/>
      <c r="BJ215" s="4">
        <v>177</v>
      </c>
      <c r="BK215" s="8">
        <v>6241.46</v>
      </c>
      <c r="BL215" s="2" t="s">
        <v>1553</v>
      </c>
      <c r="BM215" s="7"/>
      <c r="BN215" s="7"/>
      <c r="BO215" s="4"/>
      <c r="BP215" s="8"/>
      <c r="BQ215" s="4"/>
      <c r="BR215" s="8"/>
      <c r="BS215" s="7"/>
      <c r="BT215" s="7"/>
      <c r="BU215" s="2" t="s">
        <v>1550</v>
      </c>
      <c r="BV215" s="2" t="s">
        <v>199</v>
      </c>
      <c r="BW215" s="2" t="s">
        <v>199</v>
      </c>
      <c r="BX215" s="2" t="s">
        <v>208</v>
      </c>
      <c r="BY215" s="2" t="s">
        <v>209</v>
      </c>
      <c r="BZ215" s="2" t="s">
        <v>196</v>
      </c>
      <c r="CA215" s="2" t="s">
        <v>901</v>
      </c>
      <c r="CB215" s="2" t="s">
        <v>199</v>
      </c>
      <c r="CC215" s="2" t="s">
        <v>212</v>
      </c>
      <c r="CD215" s="2" t="s">
        <v>199</v>
      </c>
      <c r="CE215" s="4">
        <v>68</v>
      </c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>
        <v>84</v>
      </c>
      <c r="EU215" s="4">
        <v>62</v>
      </c>
      <c r="EV215" s="4">
        <v>56</v>
      </c>
      <c r="EW215" s="4">
        <v>52</v>
      </c>
      <c r="EX215" s="4">
        <v>48</v>
      </c>
      <c r="EY215" s="4">
        <v>43</v>
      </c>
      <c r="EZ215" s="4">
        <v>38</v>
      </c>
      <c r="FA215" s="4">
        <v>33</v>
      </c>
      <c r="FB215" s="4">
        <v>28</v>
      </c>
      <c r="FC215" s="4">
        <v>24</v>
      </c>
      <c r="FD215" s="4">
        <v>20</v>
      </c>
      <c r="FE215" s="4">
        <v>16</v>
      </c>
      <c r="FF215" s="4">
        <v>12</v>
      </c>
      <c r="FG215" s="4">
        <v>8</v>
      </c>
      <c r="FH215" s="4">
        <v>4</v>
      </c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19">
        <v>9.3</v>
      </c>
      <c r="FU215" s="19">
        <v>12.4</v>
      </c>
      <c r="FV215" s="19">
        <v>14</v>
      </c>
      <c r="FW215" s="19">
        <v>10.4</v>
      </c>
      <c r="FX215" s="19">
        <v>9.6</v>
      </c>
      <c r="FY215" s="19">
        <v>8.6</v>
      </c>
      <c r="FZ215" s="19">
        <v>9.5</v>
      </c>
      <c r="GA215" s="19">
        <v>8.3</v>
      </c>
      <c r="GB215" s="19">
        <v>7</v>
      </c>
      <c r="GC215" s="19">
        <v>6</v>
      </c>
      <c r="GD215" s="19">
        <v>5</v>
      </c>
      <c r="GE215" s="19">
        <v>4</v>
      </c>
      <c r="GF215" s="19">
        <v>3</v>
      </c>
      <c r="GG215" s="19">
        <v>2</v>
      </c>
      <c r="GH215" s="19">
        <v>1</v>
      </c>
      <c r="GI215" s="20">
        <v>0</v>
      </c>
      <c r="GJ215" s="20">
        <v>0</v>
      </c>
      <c r="GK215" s="20">
        <v>0</v>
      </c>
      <c r="GL215" s="20">
        <v>0</v>
      </c>
      <c r="GM215" s="20">
        <v>0</v>
      </c>
      <c r="GN215" s="20">
        <v>0</v>
      </c>
      <c r="GO215" s="20">
        <v>0</v>
      </c>
      <c r="GP215" s="20">
        <v>0</v>
      </c>
      <c r="GQ215" s="20">
        <v>0</v>
      </c>
      <c r="GR215" s="20">
        <v>0</v>
      </c>
      <c r="GS215" s="20">
        <v>0</v>
      </c>
    </row>
    <row r="216">
      <c r="A216" s="2" t="s">
        <v>1554</v>
      </c>
      <c r="B216" s="2" t="s">
        <v>245</v>
      </c>
      <c r="C216" s="2" t="s">
        <v>1020</v>
      </c>
      <c r="D216" s="2" t="s">
        <v>247</v>
      </c>
      <c r="E216" s="2" t="s">
        <v>248</v>
      </c>
      <c r="F216" s="2" t="s">
        <v>1543</v>
      </c>
      <c r="G216" s="2" t="s">
        <v>1543</v>
      </c>
      <c r="H216" s="2" t="s">
        <v>1543</v>
      </c>
      <c r="I216" s="2" t="s">
        <v>297</v>
      </c>
      <c r="J216" s="2" t="s">
        <v>223</v>
      </c>
      <c r="K216" s="2" t="s">
        <v>1555</v>
      </c>
      <c r="L216" s="3">
        <v>28.98</v>
      </c>
      <c r="M216" s="3">
        <v>30.43</v>
      </c>
      <c r="N216" s="3">
        <v>64.99</v>
      </c>
      <c r="O216" s="2" t="s">
        <v>196</v>
      </c>
      <c r="P216" s="2" t="s">
        <v>197</v>
      </c>
      <c r="Q216" s="2" t="s">
        <v>198</v>
      </c>
      <c r="R216" s="2" t="s">
        <v>199</v>
      </c>
      <c r="S216" s="2" t="s">
        <v>1556</v>
      </c>
      <c r="T216" s="2" t="s">
        <v>1546</v>
      </c>
      <c r="U216" s="2" t="s">
        <v>254</v>
      </c>
      <c r="V216" s="2" t="s">
        <v>1547</v>
      </c>
      <c r="W216" s="2" t="s">
        <v>1014</v>
      </c>
      <c r="X216" s="2" t="s">
        <v>203</v>
      </c>
      <c r="Y216" s="2" t="s">
        <v>1557</v>
      </c>
      <c r="Z216" s="4">
        <v>17</v>
      </c>
      <c r="AA216" s="4">
        <f>=ROUNDDOWN(0.944444444444445,0)</f>
      </c>
      <c r="AB216" s="5">
        <v>18</v>
      </c>
      <c r="AC216" s="2" t="s">
        <v>199</v>
      </c>
      <c r="AD216" s="4"/>
      <c r="AE216" s="4"/>
      <c r="AF216" s="6">
        <v>70</v>
      </c>
      <c r="AG216" s="6"/>
      <c r="AH216" s="7">
        <v>1</v>
      </c>
      <c r="AI216" s="4"/>
      <c r="AJ216" s="4">
        <f>=ROUNDDOWN({0},0)</f>
      </c>
      <c r="AK216" s="5"/>
      <c r="AL216" s="2" t="s">
        <v>199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199</v>
      </c>
      <c r="AW216" s="8" t="s">
        <v>199</v>
      </c>
      <c r="AX216" s="4" t="s">
        <v>199</v>
      </c>
      <c r="AY216" s="8" t="s">
        <v>199</v>
      </c>
      <c r="AZ216" s="7" t="s">
        <v>199</v>
      </c>
      <c r="BA216" s="7" t="s">
        <v>199</v>
      </c>
      <c r="BB216" s="7"/>
      <c r="BC216" s="4" t="s">
        <v>199</v>
      </c>
      <c r="BD216" s="8" t="s">
        <v>199</v>
      </c>
      <c r="BE216" s="4" t="s">
        <v>199</v>
      </c>
      <c r="BF216" s="8" t="s">
        <v>199</v>
      </c>
      <c r="BG216" s="7" t="s">
        <v>199</v>
      </c>
      <c r="BH216" s="7" t="s">
        <v>199</v>
      </c>
      <c r="BI216" s="7"/>
      <c r="BJ216" s="4">
        <v>259</v>
      </c>
      <c r="BK216" s="8">
        <v>9096.07</v>
      </c>
      <c r="BL216" s="2" t="s">
        <v>1558</v>
      </c>
      <c r="BM216" s="7"/>
      <c r="BN216" s="7"/>
      <c r="BO216" s="4"/>
      <c r="BP216" s="8"/>
      <c r="BQ216" s="4"/>
      <c r="BR216" s="8"/>
      <c r="BS216" s="7"/>
      <c r="BT216" s="7"/>
      <c r="BU216" s="2" t="s">
        <v>1550</v>
      </c>
      <c r="BV216" s="2" t="s">
        <v>199</v>
      </c>
      <c r="BW216" s="2" t="s">
        <v>199</v>
      </c>
      <c r="BX216" s="2" t="s">
        <v>208</v>
      </c>
      <c r="BY216" s="2" t="s">
        <v>209</v>
      </c>
      <c r="BZ216" s="2" t="s">
        <v>196</v>
      </c>
      <c r="CA216" s="2" t="s">
        <v>1559</v>
      </c>
      <c r="CB216" s="2" t="s">
        <v>1560</v>
      </c>
      <c r="CC216" s="2" t="s">
        <v>212</v>
      </c>
      <c r="CD216" s="2" t="s">
        <v>199</v>
      </c>
      <c r="CE216" s="4"/>
      <c r="CF216" s="4">
        <v>17</v>
      </c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>
        <v>35</v>
      </c>
      <c r="EU216" s="4">
        <v>1</v>
      </c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>
        <v>90</v>
      </c>
      <c r="FS216" s="4">
        <v>76</v>
      </c>
      <c r="FT216" s="19">
        <v>2.1</v>
      </c>
      <c r="FU216" s="19">
        <v>0.1</v>
      </c>
      <c r="FV216" s="20">
        <v>0</v>
      </c>
      <c r="FW216" s="20">
        <v>0</v>
      </c>
      <c r="FX216" s="20">
        <v>0</v>
      </c>
      <c r="FY216" s="20">
        <v>0</v>
      </c>
      <c r="FZ216" s="20">
        <v>0</v>
      </c>
      <c r="GA216" s="20">
        <v>0</v>
      </c>
      <c r="GB216" s="20">
        <v>0</v>
      </c>
      <c r="GC216" s="20">
        <v>0</v>
      </c>
      <c r="GD216" s="20">
        <v>0</v>
      </c>
      <c r="GE216" s="20">
        <v>0</v>
      </c>
      <c r="GF216" s="20">
        <v>0</v>
      </c>
      <c r="GG216" s="20">
        <v>0</v>
      </c>
      <c r="GH216" s="20">
        <v>0</v>
      </c>
      <c r="GI216" s="20">
        <v>0</v>
      </c>
      <c r="GJ216" s="20">
        <v>0</v>
      </c>
      <c r="GK216" s="20">
        <v>0</v>
      </c>
      <c r="GL216" s="20">
        <v>0</v>
      </c>
      <c r="GM216" s="20">
        <v>0</v>
      </c>
      <c r="GN216" s="20">
        <v>0</v>
      </c>
      <c r="GO216" s="20">
        <v>0</v>
      </c>
      <c r="GP216" s="20">
        <v>0</v>
      </c>
      <c r="GQ216" s="20">
        <v>0</v>
      </c>
      <c r="GR216" s="19">
        <v>10</v>
      </c>
      <c r="GS216" s="19">
        <v>10.9</v>
      </c>
    </row>
    <row r="217">
      <c r="A217" s="2" t="s">
        <v>1561</v>
      </c>
      <c r="B217" s="2" t="s">
        <v>245</v>
      </c>
      <c r="C217" s="2" t="s">
        <v>1020</v>
      </c>
      <c r="D217" s="2" t="s">
        <v>247</v>
      </c>
      <c r="E217" s="2" t="s">
        <v>248</v>
      </c>
      <c r="F217" s="2" t="s">
        <v>1543</v>
      </c>
      <c r="G217" s="2" t="s">
        <v>1543</v>
      </c>
      <c r="H217" s="2" t="s">
        <v>1543</v>
      </c>
      <c r="I217" s="2" t="s">
        <v>297</v>
      </c>
      <c r="J217" s="2" t="s">
        <v>251</v>
      </c>
      <c r="K217" s="2" t="s">
        <v>1555</v>
      </c>
      <c r="L217" s="3">
        <v>28.98</v>
      </c>
      <c r="M217" s="3">
        <v>30.43</v>
      </c>
      <c r="N217" s="3">
        <v>64.99</v>
      </c>
      <c r="O217" s="2" t="s">
        <v>196</v>
      </c>
      <c r="P217" s="2" t="s">
        <v>197</v>
      </c>
      <c r="Q217" s="2" t="s">
        <v>198</v>
      </c>
      <c r="R217" s="2" t="s">
        <v>199</v>
      </c>
      <c r="S217" s="2" t="s">
        <v>1562</v>
      </c>
      <c r="T217" s="2" t="s">
        <v>1546</v>
      </c>
      <c r="U217" s="2" t="s">
        <v>254</v>
      </c>
      <c r="V217" s="2" t="s">
        <v>1547</v>
      </c>
      <c r="W217" s="2" t="s">
        <v>1014</v>
      </c>
      <c r="X217" s="2" t="s">
        <v>203</v>
      </c>
      <c r="Y217" s="2" t="s">
        <v>1557</v>
      </c>
      <c r="Z217" s="4">
        <v>171</v>
      </c>
      <c r="AA217" s="4">
        <f>=ROUNDDOWN(19,0)</f>
      </c>
      <c r="AB217" s="5">
        <v>9</v>
      </c>
      <c r="AC217" s="2" t="s">
        <v>199</v>
      </c>
      <c r="AD217" s="4"/>
      <c r="AE217" s="4"/>
      <c r="AF217" s="6">
        <v>70</v>
      </c>
      <c r="AG217" s="6"/>
      <c r="AH217" s="7">
        <v>1</v>
      </c>
      <c r="AI217" s="4"/>
      <c r="AJ217" s="4">
        <f>=ROUNDDOWN({0},0)</f>
      </c>
      <c r="AK217" s="5"/>
      <c r="AL217" s="2" t="s">
        <v>199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199</v>
      </c>
      <c r="AW217" s="8" t="s">
        <v>199</v>
      </c>
      <c r="AX217" s="4" t="s">
        <v>199</v>
      </c>
      <c r="AY217" s="8" t="s">
        <v>199</v>
      </c>
      <c r="AZ217" s="7" t="s">
        <v>199</v>
      </c>
      <c r="BA217" s="7" t="s">
        <v>199</v>
      </c>
      <c r="BB217" s="7"/>
      <c r="BC217" s="4" t="s">
        <v>199</v>
      </c>
      <c r="BD217" s="8" t="s">
        <v>199</v>
      </c>
      <c r="BE217" s="4" t="s">
        <v>199</v>
      </c>
      <c r="BF217" s="8" t="s">
        <v>199</v>
      </c>
      <c r="BG217" s="7" t="s">
        <v>199</v>
      </c>
      <c r="BH217" s="7" t="s">
        <v>199</v>
      </c>
      <c r="BI217" s="7"/>
      <c r="BJ217" s="4">
        <v>73</v>
      </c>
      <c r="BK217" s="8">
        <v>2576.8</v>
      </c>
      <c r="BL217" s="2" t="s">
        <v>1563</v>
      </c>
      <c r="BM217" s="7"/>
      <c r="BN217" s="7"/>
      <c r="BO217" s="4"/>
      <c r="BP217" s="8"/>
      <c r="BQ217" s="4"/>
      <c r="BR217" s="8"/>
      <c r="BS217" s="7"/>
      <c r="BT217" s="7"/>
      <c r="BU217" s="2" t="s">
        <v>1550</v>
      </c>
      <c r="BV217" s="2" t="s">
        <v>199</v>
      </c>
      <c r="BW217" s="2" t="s">
        <v>199</v>
      </c>
      <c r="BX217" s="2" t="s">
        <v>208</v>
      </c>
      <c r="BY217" s="2" t="s">
        <v>209</v>
      </c>
      <c r="BZ217" s="2" t="s">
        <v>196</v>
      </c>
      <c r="CA217" s="2" t="s">
        <v>1559</v>
      </c>
      <c r="CB217" s="2" t="s">
        <v>1564</v>
      </c>
      <c r="CC217" s="2" t="s">
        <v>212</v>
      </c>
      <c r="CD217" s="2" t="s">
        <v>199</v>
      </c>
      <c r="CE217" s="4">
        <v>109</v>
      </c>
      <c r="CF217" s="4">
        <v>62</v>
      </c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>
        <v>182</v>
      </c>
      <c r="EU217" s="4">
        <v>171</v>
      </c>
      <c r="EV217" s="4">
        <v>167</v>
      </c>
      <c r="EW217" s="4">
        <v>164</v>
      </c>
      <c r="EX217" s="4">
        <v>159</v>
      </c>
      <c r="EY217" s="4">
        <v>153</v>
      </c>
      <c r="EZ217" s="4">
        <v>147</v>
      </c>
      <c r="FA217" s="4">
        <v>141</v>
      </c>
      <c r="FB217" s="4">
        <v>135</v>
      </c>
      <c r="FC217" s="4">
        <v>130</v>
      </c>
      <c r="FD217" s="4">
        <v>125</v>
      </c>
      <c r="FE217" s="4">
        <v>120</v>
      </c>
      <c r="FF217" s="4">
        <v>115</v>
      </c>
      <c r="FG217" s="4">
        <v>110</v>
      </c>
      <c r="FH217" s="4">
        <v>105</v>
      </c>
      <c r="FI217" s="4">
        <v>100</v>
      </c>
      <c r="FJ217" s="4">
        <v>95</v>
      </c>
      <c r="FK217" s="4">
        <v>90</v>
      </c>
      <c r="FL217" s="4">
        <v>86</v>
      </c>
      <c r="FM217" s="4">
        <v>82</v>
      </c>
      <c r="FN217" s="4">
        <v>78</v>
      </c>
      <c r="FO217" s="4">
        <v>74</v>
      </c>
      <c r="FP217" s="4">
        <v>70</v>
      </c>
      <c r="FQ217" s="4">
        <v>66</v>
      </c>
      <c r="FR217" s="4">
        <v>62</v>
      </c>
      <c r="FS217" s="4">
        <v>58</v>
      </c>
      <c r="FT217" s="19">
        <v>30.3</v>
      </c>
      <c r="FU217" s="19">
        <v>42.8</v>
      </c>
      <c r="FV217" s="19">
        <v>33.4</v>
      </c>
      <c r="FW217" s="19">
        <v>27.3</v>
      </c>
      <c r="FX217" s="19">
        <v>26.5</v>
      </c>
      <c r="FY217" s="19">
        <v>25.5</v>
      </c>
      <c r="FZ217" s="19">
        <v>24.5</v>
      </c>
      <c r="GA217" s="19">
        <v>28.2</v>
      </c>
      <c r="GB217" s="19">
        <v>27</v>
      </c>
      <c r="GC217" s="19">
        <v>26</v>
      </c>
      <c r="GD217" s="19">
        <v>25</v>
      </c>
      <c r="GE217" s="19">
        <v>24</v>
      </c>
      <c r="GF217" s="19">
        <v>23</v>
      </c>
      <c r="GG217" s="19">
        <v>22</v>
      </c>
      <c r="GH217" s="19">
        <v>21</v>
      </c>
      <c r="GI217" s="19">
        <v>25</v>
      </c>
      <c r="GJ217" s="19">
        <v>23.8</v>
      </c>
      <c r="GK217" s="19">
        <v>22.5</v>
      </c>
      <c r="GL217" s="19">
        <v>21.5</v>
      </c>
      <c r="GM217" s="19">
        <v>20.5</v>
      </c>
      <c r="GN217" s="19">
        <v>19.5</v>
      </c>
      <c r="GO217" s="19">
        <v>18.5</v>
      </c>
      <c r="GP217" s="19">
        <v>17.5</v>
      </c>
      <c r="GQ217" s="19">
        <v>16.5</v>
      </c>
      <c r="GR217" s="19">
        <v>15.5</v>
      </c>
      <c r="GS217" s="19">
        <v>14.5</v>
      </c>
    </row>
    <row r="218">
      <c r="A218" s="2" t="s">
        <v>1565</v>
      </c>
      <c r="B218" s="2" t="s">
        <v>245</v>
      </c>
      <c r="C218" s="2" t="s">
        <v>1020</v>
      </c>
      <c r="D218" s="2" t="s">
        <v>247</v>
      </c>
      <c r="E218" s="2" t="s">
        <v>248</v>
      </c>
      <c r="F218" s="2" t="s">
        <v>1543</v>
      </c>
      <c r="G218" s="2" t="s">
        <v>1543</v>
      </c>
      <c r="H218" s="2" t="s">
        <v>1543</v>
      </c>
      <c r="I218" s="2" t="s">
        <v>297</v>
      </c>
      <c r="J218" s="2" t="s">
        <v>219</v>
      </c>
      <c r="K218" s="2" t="s">
        <v>1566</v>
      </c>
      <c r="L218" s="3">
        <v>24.3</v>
      </c>
      <c r="M218" s="3">
        <v>25.52</v>
      </c>
      <c r="N218" s="3">
        <v>54.99</v>
      </c>
      <c r="O218" s="2" t="s">
        <v>196</v>
      </c>
      <c r="P218" s="2" t="s">
        <v>517</v>
      </c>
      <c r="Q218" s="2" t="s">
        <v>198</v>
      </c>
      <c r="R218" s="2" t="s">
        <v>199</v>
      </c>
      <c r="S218" s="2" t="s">
        <v>1567</v>
      </c>
      <c r="T218" s="2" t="s">
        <v>1546</v>
      </c>
      <c r="U218" s="2" t="s">
        <v>199</v>
      </c>
      <c r="V218" s="2" t="s">
        <v>681</v>
      </c>
      <c r="W218" s="2" t="s">
        <v>1014</v>
      </c>
      <c r="X218" s="2" t="s">
        <v>203</v>
      </c>
      <c r="Y218" s="2" t="s">
        <v>408</v>
      </c>
      <c r="Z218" s="4">
        <v>1</v>
      </c>
      <c r="AA218" s="4">
        <f>=ROUNDDOWN(0.03125,0)</f>
      </c>
      <c r="AB218" s="5">
        <v>32</v>
      </c>
      <c r="AC218" s="2" t="s">
        <v>199</v>
      </c>
      <c r="AD218" s="4"/>
      <c r="AE218" s="4"/>
      <c r="AF218" s="6">
        <v>65</v>
      </c>
      <c r="AG218" s="6"/>
      <c r="AH218" s="7">
        <v>0.7742</v>
      </c>
      <c r="AI218" s="4"/>
      <c r="AJ218" s="4">
        <f>=ROUNDDOWN({0},0)</f>
      </c>
      <c r="AK218" s="5"/>
      <c r="AL218" s="2" t="s">
        <v>199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199</v>
      </c>
      <c r="AW218" s="8" t="s">
        <v>199</v>
      </c>
      <c r="AX218" s="4" t="s">
        <v>199</v>
      </c>
      <c r="AY218" s="8" t="s">
        <v>199</v>
      </c>
      <c r="AZ218" s="7" t="s">
        <v>199</v>
      </c>
      <c r="BA218" s="7" t="s">
        <v>199</v>
      </c>
      <c r="BB218" s="7"/>
      <c r="BC218" s="4" t="s">
        <v>199</v>
      </c>
      <c r="BD218" s="8" t="s">
        <v>199</v>
      </c>
      <c r="BE218" s="4" t="s">
        <v>199</v>
      </c>
      <c r="BF218" s="8" t="s">
        <v>199</v>
      </c>
      <c r="BG218" s="7" t="s">
        <v>199</v>
      </c>
      <c r="BH218" s="7" t="s">
        <v>199</v>
      </c>
      <c r="BI218" s="7"/>
      <c r="BJ218" s="4">
        <v>302</v>
      </c>
      <c r="BK218" s="8">
        <v>8669.38</v>
      </c>
      <c r="BL218" s="2" t="s">
        <v>1568</v>
      </c>
      <c r="BM218" s="7"/>
      <c r="BN218" s="7"/>
      <c r="BO218" s="4"/>
      <c r="BP218" s="8"/>
      <c r="BQ218" s="4"/>
      <c r="BR218" s="8"/>
      <c r="BS218" s="7"/>
      <c r="BT218" s="7"/>
      <c r="BU218" s="2" t="s">
        <v>1550</v>
      </c>
      <c r="BV218" s="2" t="s">
        <v>199</v>
      </c>
      <c r="BW218" s="2" t="s">
        <v>199</v>
      </c>
      <c r="BX218" s="2" t="s">
        <v>208</v>
      </c>
      <c r="BY218" s="2" t="s">
        <v>209</v>
      </c>
      <c r="BZ218" s="2" t="s">
        <v>196</v>
      </c>
      <c r="CA218" s="2" t="s">
        <v>1569</v>
      </c>
      <c r="CB218" s="2" t="s">
        <v>1530</v>
      </c>
      <c r="CC218" s="2" t="s">
        <v>212</v>
      </c>
      <c r="CD218" s="2" t="s">
        <v>199</v>
      </c>
      <c r="CE218" s="4">
        <v>1</v>
      </c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>
        <v>1</v>
      </c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>
        <v>239</v>
      </c>
      <c r="FN218" s="4">
        <v>184</v>
      </c>
      <c r="FO218" s="4">
        <v>171</v>
      </c>
      <c r="FP218" s="4">
        <v>158</v>
      </c>
      <c r="FQ218" s="4">
        <v>145</v>
      </c>
      <c r="FR218" s="4">
        <v>132</v>
      </c>
      <c r="FS218" s="4">
        <v>119</v>
      </c>
      <c r="FT218" s="19">
        <v>0.1</v>
      </c>
      <c r="FU218" s="20">
        <v>0</v>
      </c>
      <c r="FV218" s="20">
        <v>0</v>
      </c>
      <c r="FW218" s="20">
        <v>0</v>
      </c>
      <c r="FX218" s="20">
        <v>0</v>
      </c>
      <c r="FY218" s="20">
        <v>0</v>
      </c>
      <c r="FZ218" s="20">
        <v>0</v>
      </c>
      <c r="GA218" s="20">
        <v>0</v>
      </c>
      <c r="GB218" s="20">
        <v>0</v>
      </c>
      <c r="GC218" s="20">
        <v>0</v>
      </c>
      <c r="GD218" s="20">
        <v>0</v>
      </c>
      <c r="GE218" s="20">
        <v>0</v>
      </c>
      <c r="GF218" s="20">
        <v>0</v>
      </c>
      <c r="GG218" s="20">
        <v>0</v>
      </c>
      <c r="GH218" s="20">
        <v>0</v>
      </c>
      <c r="GI218" s="20">
        <v>0</v>
      </c>
      <c r="GJ218" s="20">
        <v>0</v>
      </c>
      <c r="GK218" s="20">
        <v>0</v>
      </c>
      <c r="GL218" s="20">
        <v>0</v>
      </c>
      <c r="GM218" s="19">
        <v>10</v>
      </c>
      <c r="GN218" s="19">
        <v>14.2</v>
      </c>
      <c r="GO218" s="19">
        <v>13.2</v>
      </c>
      <c r="GP218" s="19">
        <v>12.2</v>
      </c>
      <c r="GQ218" s="19">
        <v>11.2</v>
      </c>
      <c r="GR218" s="19">
        <v>9.4</v>
      </c>
      <c r="GS218" s="19">
        <v>8.5</v>
      </c>
    </row>
    <row r="219">
      <c r="A219" s="2" t="s">
        <v>1570</v>
      </c>
      <c r="B219" s="2" t="s">
        <v>245</v>
      </c>
      <c r="C219" s="2" t="s">
        <v>1020</v>
      </c>
      <c r="D219" s="2" t="s">
        <v>247</v>
      </c>
      <c r="E219" s="2" t="s">
        <v>248</v>
      </c>
      <c r="F219" s="2" t="s">
        <v>1543</v>
      </c>
      <c r="G219" s="2" t="s">
        <v>1543</v>
      </c>
      <c r="H219" s="2" t="s">
        <v>1543</v>
      </c>
      <c r="I219" s="2" t="s">
        <v>297</v>
      </c>
      <c r="J219" s="2" t="s">
        <v>251</v>
      </c>
      <c r="K219" s="2" t="s">
        <v>1566</v>
      </c>
      <c r="L219" s="3">
        <v>28.98</v>
      </c>
      <c r="M219" s="3">
        <v>30.43</v>
      </c>
      <c r="N219" s="3">
        <v>64.99</v>
      </c>
      <c r="O219" s="2" t="s">
        <v>196</v>
      </c>
      <c r="P219" s="2" t="s">
        <v>197</v>
      </c>
      <c r="Q219" s="2" t="s">
        <v>198</v>
      </c>
      <c r="R219" s="2" t="s">
        <v>199</v>
      </c>
      <c r="S219" s="2" t="s">
        <v>1567</v>
      </c>
      <c r="T219" s="2" t="s">
        <v>1546</v>
      </c>
      <c r="U219" s="2" t="s">
        <v>199</v>
      </c>
      <c r="V219" s="2" t="s">
        <v>681</v>
      </c>
      <c r="W219" s="2" t="s">
        <v>1014</v>
      </c>
      <c r="X219" s="2" t="s">
        <v>203</v>
      </c>
      <c r="Y219" s="2" t="s">
        <v>204</v>
      </c>
      <c r="Z219" s="4">
        <v>131</v>
      </c>
      <c r="AA219" s="4">
        <f>=ROUNDDOWN(13.1,0)</f>
      </c>
      <c r="AB219" s="5">
        <v>10</v>
      </c>
      <c r="AC219" s="2" t="s">
        <v>199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199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199</v>
      </c>
      <c r="AW219" s="8" t="s">
        <v>199</v>
      </c>
      <c r="AX219" s="4" t="s">
        <v>199</v>
      </c>
      <c r="AY219" s="8" t="s">
        <v>199</v>
      </c>
      <c r="AZ219" s="7" t="s">
        <v>199</v>
      </c>
      <c r="BA219" s="7" t="s">
        <v>199</v>
      </c>
      <c r="BB219" s="7"/>
      <c r="BC219" s="4" t="s">
        <v>199</v>
      </c>
      <c r="BD219" s="8" t="s">
        <v>199</v>
      </c>
      <c r="BE219" s="4" t="s">
        <v>199</v>
      </c>
      <c r="BF219" s="8" t="s">
        <v>199</v>
      </c>
      <c r="BG219" s="7" t="s">
        <v>199</v>
      </c>
      <c r="BH219" s="7" t="s">
        <v>199</v>
      </c>
      <c r="BI219" s="7"/>
      <c r="BJ219" s="4">
        <v>93</v>
      </c>
      <c r="BK219" s="8">
        <v>3175.14</v>
      </c>
      <c r="BL219" s="2" t="s">
        <v>1571</v>
      </c>
      <c r="BM219" s="7"/>
      <c r="BN219" s="7"/>
      <c r="BO219" s="4"/>
      <c r="BP219" s="8"/>
      <c r="BQ219" s="4"/>
      <c r="BR219" s="8"/>
      <c r="BS219" s="7"/>
      <c r="BT219" s="7"/>
      <c r="BU219" s="2" t="s">
        <v>1550</v>
      </c>
      <c r="BV219" s="2" t="s">
        <v>199</v>
      </c>
      <c r="BW219" s="2" t="s">
        <v>199</v>
      </c>
      <c r="BX219" s="2" t="s">
        <v>208</v>
      </c>
      <c r="BY219" s="2" t="s">
        <v>209</v>
      </c>
      <c r="BZ219" s="2" t="s">
        <v>196</v>
      </c>
      <c r="CA219" s="2" t="s">
        <v>1569</v>
      </c>
      <c r="CB219" s="2" t="s">
        <v>1572</v>
      </c>
      <c r="CC219" s="2" t="s">
        <v>212</v>
      </c>
      <c r="CD219" s="2" t="s">
        <v>199</v>
      </c>
      <c r="CE219" s="4">
        <v>131</v>
      </c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>
        <v>151</v>
      </c>
      <c r="EU219" s="4">
        <v>132</v>
      </c>
      <c r="EV219" s="4">
        <v>127</v>
      </c>
      <c r="EW219" s="4">
        <v>123</v>
      </c>
      <c r="EX219" s="4">
        <v>119</v>
      </c>
      <c r="EY219" s="4">
        <v>115</v>
      </c>
      <c r="EZ219" s="4">
        <v>111</v>
      </c>
      <c r="FA219" s="4">
        <v>105</v>
      </c>
      <c r="FB219" s="4">
        <v>99</v>
      </c>
      <c r="FC219" s="4">
        <v>94</v>
      </c>
      <c r="FD219" s="4">
        <v>89</v>
      </c>
      <c r="FE219" s="4">
        <v>84</v>
      </c>
      <c r="FF219" s="4">
        <v>79</v>
      </c>
      <c r="FG219" s="4">
        <v>74</v>
      </c>
      <c r="FH219" s="4">
        <v>69</v>
      </c>
      <c r="FI219" s="4">
        <v>64</v>
      </c>
      <c r="FJ219" s="4">
        <v>59</v>
      </c>
      <c r="FK219" s="4">
        <v>54</v>
      </c>
      <c r="FL219" s="4">
        <v>50</v>
      </c>
      <c r="FM219" s="4">
        <v>48</v>
      </c>
      <c r="FN219" s="4">
        <v>44</v>
      </c>
      <c r="FO219" s="4">
        <v>40</v>
      </c>
      <c r="FP219" s="4">
        <v>36</v>
      </c>
      <c r="FQ219" s="4">
        <v>32</v>
      </c>
      <c r="FR219" s="4">
        <v>28</v>
      </c>
      <c r="FS219" s="4">
        <v>24</v>
      </c>
      <c r="FT219" s="19">
        <v>18.9</v>
      </c>
      <c r="FU219" s="19">
        <v>33</v>
      </c>
      <c r="FV219" s="19">
        <v>31.8</v>
      </c>
      <c r="FW219" s="19">
        <v>30.8</v>
      </c>
      <c r="FX219" s="19">
        <v>23.8</v>
      </c>
      <c r="FY219" s="19">
        <v>23</v>
      </c>
      <c r="FZ219" s="19">
        <v>18.5</v>
      </c>
      <c r="GA219" s="19">
        <v>21</v>
      </c>
      <c r="GB219" s="19">
        <v>19.8</v>
      </c>
      <c r="GC219" s="19">
        <v>18.8</v>
      </c>
      <c r="GD219" s="19">
        <v>17.8</v>
      </c>
      <c r="GE219" s="19">
        <v>16.8</v>
      </c>
      <c r="GF219" s="19">
        <v>15.8</v>
      </c>
      <c r="GG219" s="19">
        <v>14.8</v>
      </c>
      <c r="GH219" s="19">
        <v>13.8</v>
      </c>
      <c r="GI219" s="19">
        <v>16</v>
      </c>
      <c r="GJ219" s="19">
        <v>14.8</v>
      </c>
      <c r="GK219" s="19">
        <v>13.5</v>
      </c>
      <c r="GL219" s="19">
        <v>12.5</v>
      </c>
      <c r="GM219" s="19">
        <v>12</v>
      </c>
      <c r="GN219" s="19">
        <v>11</v>
      </c>
      <c r="GO219" s="19">
        <v>10</v>
      </c>
      <c r="GP219" s="19">
        <v>9</v>
      </c>
      <c r="GQ219" s="19">
        <v>8</v>
      </c>
      <c r="GR219" s="19">
        <v>7</v>
      </c>
      <c r="GS219" s="19">
        <v>6</v>
      </c>
    </row>
    <row r="220">
      <c r="A220" s="2" t="s">
        <v>1573</v>
      </c>
      <c r="B220" s="2" t="s">
        <v>245</v>
      </c>
      <c r="C220" s="2" t="s">
        <v>1020</v>
      </c>
      <c r="D220" s="2" t="s">
        <v>247</v>
      </c>
      <c r="E220" s="2" t="s">
        <v>248</v>
      </c>
      <c r="F220" s="2" t="s">
        <v>1543</v>
      </c>
      <c r="G220" s="2" t="s">
        <v>1543</v>
      </c>
      <c r="H220" s="2" t="s">
        <v>1543</v>
      </c>
      <c r="I220" s="2" t="s">
        <v>297</v>
      </c>
      <c r="J220" s="2" t="s">
        <v>251</v>
      </c>
      <c r="K220" s="2" t="s">
        <v>1574</v>
      </c>
      <c r="L220" s="3">
        <v>28.98</v>
      </c>
      <c r="M220" s="3">
        <v>30.43</v>
      </c>
      <c r="N220" s="3">
        <v>64.99</v>
      </c>
      <c r="O220" s="2" t="s">
        <v>196</v>
      </c>
      <c r="P220" s="2" t="s">
        <v>197</v>
      </c>
      <c r="Q220" s="2" t="s">
        <v>198</v>
      </c>
      <c r="R220" s="2" t="s">
        <v>199</v>
      </c>
      <c r="S220" s="2" t="s">
        <v>1575</v>
      </c>
      <c r="T220" s="2" t="s">
        <v>1546</v>
      </c>
      <c r="U220" s="2" t="s">
        <v>254</v>
      </c>
      <c r="V220" s="2" t="s">
        <v>1547</v>
      </c>
      <c r="W220" s="2" t="s">
        <v>1014</v>
      </c>
      <c r="X220" s="2" t="s">
        <v>203</v>
      </c>
      <c r="Y220" s="2" t="s">
        <v>1548</v>
      </c>
      <c r="Z220" s="4">
        <v>210</v>
      </c>
      <c r="AA220" s="4">
        <f>=ROUNDDOWN(35,0)</f>
      </c>
      <c r="AB220" s="5">
        <v>6</v>
      </c>
      <c r="AC220" s="2" t="s">
        <v>199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199</v>
      </c>
      <c r="BD220" s="8" t="s">
        <v>199</v>
      </c>
      <c r="BE220" s="4" t="s">
        <v>199</v>
      </c>
      <c r="BF220" s="8" t="s">
        <v>199</v>
      </c>
      <c r="BG220" s="7" t="s">
        <v>199</v>
      </c>
      <c r="BH220" s="7" t="s">
        <v>199</v>
      </c>
      <c r="BI220" s="7"/>
      <c r="BJ220" s="4">
        <v>161</v>
      </c>
      <c r="BK220" s="8">
        <v>5671.07</v>
      </c>
      <c r="BL220" s="2" t="s">
        <v>304</v>
      </c>
      <c r="BM220" s="7"/>
      <c r="BN220" s="7"/>
      <c r="BO220" s="4"/>
      <c r="BP220" s="8"/>
      <c r="BQ220" s="4"/>
      <c r="BR220" s="8"/>
      <c r="BS220" s="7"/>
      <c r="BT220" s="7"/>
      <c r="BU220" s="2" t="s">
        <v>1550</v>
      </c>
      <c r="BV220" s="2" t="s">
        <v>199</v>
      </c>
      <c r="BW220" s="2" t="s">
        <v>199</v>
      </c>
      <c r="BX220" s="2" t="s">
        <v>208</v>
      </c>
      <c r="BY220" s="2" t="s">
        <v>209</v>
      </c>
      <c r="BZ220" s="2" t="s">
        <v>196</v>
      </c>
      <c r="CA220" s="2" t="s">
        <v>901</v>
      </c>
      <c r="CB220" s="2" t="s">
        <v>1576</v>
      </c>
      <c r="CC220" s="2" t="s">
        <v>212</v>
      </c>
      <c r="CD220" s="2" t="s">
        <v>199</v>
      </c>
      <c r="CE220" s="4">
        <v>210</v>
      </c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>
        <v>216</v>
      </c>
      <c r="EU220" s="4">
        <v>200</v>
      </c>
      <c r="EV220" s="4">
        <v>191</v>
      </c>
      <c r="EW220" s="4">
        <v>184</v>
      </c>
      <c r="EX220" s="4">
        <v>181</v>
      </c>
      <c r="EY220" s="4">
        <v>177</v>
      </c>
      <c r="EZ220" s="4">
        <v>173</v>
      </c>
      <c r="FA220" s="4">
        <v>169</v>
      </c>
      <c r="FB220" s="4">
        <v>165</v>
      </c>
      <c r="FC220" s="4">
        <v>162</v>
      </c>
      <c r="FD220" s="4">
        <v>159</v>
      </c>
      <c r="FE220" s="4">
        <v>156</v>
      </c>
      <c r="FF220" s="4">
        <v>153</v>
      </c>
      <c r="FG220" s="4">
        <v>150</v>
      </c>
      <c r="FH220" s="4">
        <v>147</v>
      </c>
      <c r="FI220" s="4">
        <v>144</v>
      </c>
      <c r="FJ220" s="4">
        <v>141</v>
      </c>
      <c r="FK220" s="4">
        <v>138</v>
      </c>
      <c r="FL220" s="4">
        <v>136</v>
      </c>
      <c r="FM220" s="4">
        <v>134</v>
      </c>
      <c r="FN220" s="4">
        <v>132</v>
      </c>
      <c r="FO220" s="4">
        <v>130</v>
      </c>
      <c r="FP220" s="4">
        <v>128</v>
      </c>
      <c r="FQ220" s="4">
        <v>126</v>
      </c>
      <c r="FR220" s="4">
        <v>124</v>
      </c>
      <c r="FS220" s="4">
        <v>122</v>
      </c>
      <c r="FT220" s="19">
        <v>24</v>
      </c>
      <c r="FU220" s="19">
        <v>33.3</v>
      </c>
      <c r="FV220" s="19">
        <v>47.8</v>
      </c>
      <c r="FW220" s="19">
        <v>46</v>
      </c>
      <c r="FX220" s="19">
        <v>45.3</v>
      </c>
      <c r="FY220" s="19">
        <v>44.3</v>
      </c>
      <c r="FZ220" s="19">
        <v>43.3</v>
      </c>
      <c r="GA220" s="19">
        <v>56.3</v>
      </c>
      <c r="GB220" s="19">
        <v>55</v>
      </c>
      <c r="GC220" s="19">
        <v>54</v>
      </c>
      <c r="GD220" s="19">
        <v>53</v>
      </c>
      <c r="GE220" s="19">
        <v>52</v>
      </c>
      <c r="GF220" s="19">
        <v>51</v>
      </c>
      <c r="GG220" s="19">
        <v>50</v>
      </c>
      <c r="GH220" s="19">
        <v>49</v>
      </c>
      <c r="GI220" s="19">
        <v>72</v>
      </c>
      <c r="GJ220" s="19">
        <v>70.5</v>
      </c>
      <c r="GK220" s="19">
        <v>69</v>
      </c>
      <c r="GL220" s="19">
        <v>68</v>
      </c>
      <c r="GM220" s="19">
        <v>67</v>
      </c>
      <c r="GN220" s="19">
        <v>66</v>
      </c>
      <c r="GO220" s="19">
        <v>65</v>
      </c>
      <c r="GP220" s="19">
        <v>64</v>
      </c>
      <c r="GQ220" s="19">
        <v>63</v>
      </c>
      <c r="GR220" s="19">
        <v>62</v>
      </c>
      <c r="GS220" s="19">
        <v>61</v>
      </c>
    </row>
    <row r="221">
      <c r="A221" s="2" t="s">
        <v>1577</v>
      </c>
      <c r="B221" s="2" t="s">
        <v>245</v>
      </c>
      <c r="C221" s="2" t="s">
        <v>1020</v>
      </c>
      <c r="D221" s="2" t="s">
        <v>247</v>
      </c>
      <c r="E221" s="2" t="s">
        <v>248</v>
      </c>
      <c r="F221" s="2" t="s">
        <v>1543</v>
      </c>
      <c r="G221" s="2" t="s">
        <v>1543</v>
      </c>
      <c r="H221" s="2" t="s">
        <v>1543</v>
      </c>
      <c r="I221" s="2" t="s">
        <v>297</v>
      </c>
      <c r="J221" s="2" t="s">
        <v>219</v>
      </c>
      <c r="K221" s="2" t="s">
        <v>1578</v>
      </c>
      <c r="L221" s="3">
        <v>24.3</v>
      </c>
      <c r="M221" s="3">
        <v>25.52</v>
      </c>
      <c r="N221" s="3">
        <v>54.99</v>
      </c>
      <c r="O221" s="2" t="s">
        <v>196</v>
      </c>
      <c r="P221" s="2" t="s">
        <v>197</v>
      </c>
      <c r="Q221" s="2" t="s">
        <v>198</v>
      </c>
      <c r="R221" s="2" t="s">
        <v>199</v>
      </c>
      <c r="S221" s="2" t="s">
        <v>1556</v>
      </c>
      <c r="T221" s="2" t="s">
        <v>1546</v>
      </c>
      <c r="U221" s="2" t="s">
        <v>254</v>
      </c>
      <c r="V221" s="2" t="s">
        <v>1547</v>
      </c>
      <c r="W221" s="2" t="s">
        <v>1014</v>
      </c>
      <c r="X221" s="2" t="s">
        <v>203</v>
      </c>
      <c r="Y221" s="2" t="s">
        <v>1557</v>
      </c>
      <c r="Z221" s="4">
        <v>48</v>
      </c>
      <c r="AA221" s="4">
        <f>=ROUNDDOWN(2.28571428571429,0)</f>
      </c>
      <c r="AB221" s="5">
        <v>21</v>
      </c>
      <c r="AC221" s="2" t="s">
        <v>199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199</v>
      </c>
      <c r="AW221" s="8" t="s">
        <v>199</v>
      </c>
      <c r="AX221" s="4" t="s">
        <v>199</v>
      </c>
      <c r="AY221" s="8" t="s">
        <v>199</v>
      </c>
      <c r="AZ221" s="7" t="s">
        <v>199</v>
      </c>
      <c r="BA221" s="7" t="s">
        <v>199</v>
      </c>
      <c r="BB221" s="7"/>
      <c r="BC221" s="4" t="s">
        <v>199</v>
      </c>
      <c r="BD221" s="8" t="s">
        <v>199</v>
      </c>
      <c r="BE221" s="4" t="s">
        <v>199</v>
      </c>
      <c r="BF221" s="8" t="s">
        <v>199</v>
      </c>
      <c r="BG221" s="7" t="s">
        <v>199</v>
      </c>
      <c r="BH221" s="7" t="s">
        <v>199</v>
      </c>
      <c r="BI221" s="7"/>
      <c r="BJ221" s="4">
        <v>284</v>
      </c>
      <c r="BK221" s="8">
        <v>8409.23</v>
      </c>
      <c r="BL221" s="2" t="s">
        <v>1579</v>
      </c>
      <c r="BM221" s="7"/>
      <c r="BN221" s="7"/>
      <c r="BO221" s="4"/>
      <c r="BP221" s="8"/>
      <c r="BQ221" s="4"/>
      <c r="BR221" s="8"/>
      <c r="BS221" s="7"/>
      <c r="BT221" s="7"/>
      <c r="BU221" s="2" t="s">
        <v>1550</v>
      </c>
      <c r="BV221" s="2" t="s">
        <v>199</v>
      </c>
      <c r="BW221" s="2" t="s">
        <v>199</v>
      </c>
      <c r="BX221" s="2" t="s">
        <v>208</v>
      </c>
      <c r="BY221" s="2" t="s">
        <v>209</v>
      </c>
      <c r="BZ221" s="2" t="s">
        <v>196</v>
      </c>
      <c r="CA221" s="2" t="s">
        <v>1559</v>
      </c>
      <c r="CB221" s="2" t="s">
        <v>1580</v>
      </c>
      <c r="CC221" s="2" t="s">
        <v>212</v>
      </c>
      <c r="CD221" s="2" t="s">
        <v>199</v>
      </c>
      <c r="CE221" s="4"/>
      <c r="CF221" s="4">
        <v>48</v>
      </c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>
        <v>69</v>
      </c>
      <c r="EU221" s="4">
        <v>21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>
        <v>147</v>
      </c>
      <c r="FN221" s="4">
        <v>124</v>
      </c>
      <c r="FO221" s="4">
        <v>115</v>
      </c>
      <c r="FP221" s="4">
        <v>106</v>
      </c>
      <c r="FQ221" s="4">
        <v>97</v>
      </c>
      <c r="FR221" s="4">
        <v>88</v>
      </c>
      <c r="FS221" s="4">
        <v>79</v>
      </c>
      <c r="FT221" s="19">
        <v>2.9</v>
      </c>
      <c r="FU221" s="19">
        <v>1.4</v>
      </c>
      <c r="FV221" s="20">
        <v>0</v>
      </c>
      <c r="FW221" s="20">
        <v>0</v>
      </c>
      <c r="FX221" s="20">
        <v>0</v>
      </c>
      <c r="FY221" s="20">
        <v>0</v>
      </c>
      <c r="FZ221" s="20">
        <v>0</v>
      </c>
      <c r="GA221" s="20">
        <v>0</v>
      </c>
      <c r="GB221" s="20">
        <v>0</v>
      </c>
      <c r="GC221" s="20">
        <v>0</v>
      </c>
      <c r="GD221" s="20">
        <v>0</v>
      </c>
      <c r="GE221" s="20">
        <v>0</v>
      </c>
      <c r="GF221" s="20">
        <v>0</v>
      </c>
      <c r="GG221" s="20">
        <v>0</v>
      </c>
      <c r="GH221" s="20">
        <v>0</v>
      </c>
      <c r="GI221" s="20">
        <v>0</v>
      </c>
      <c r="GJ221" s="20">
        <v>0</v>
      </c>
      <c r="GK221" s="20">
        <v>0</v>
      </c>
      <c r="GL221" s="20">
        <v>0</v>
      </c>
      <c r="GM221" s="19">
        <v>12.3</v>
      </c>
      <c r="GN221" s="19">
        <v>13.8</v>
      </c>
      <c r="GO221" s="19">
        <v>12.8</v>
      </c>
      <c r="GP221" s="19">
        <v>11.8</v>
      </c>
      <c r="GQ221" s="19">
        <v>10.8</v>
      </c>
      <c r="GR221" s="19">
        <v>9.8</v>
      </c>
      <c r="GS221" s="19">
        <v>8.8</v>
      </c>
    </row>
    <row r="222">
      <c r="A222" s="2" t="s">
        <v>1581</v>
      </c>
      <c r="B222" s="2" t="s">
        <v>245</v>
      </c>
      <c r="C222" s="2" t="s">
        <v>1020</v>
      </c>
      <c r="D222" s="2" t="s">
        <v>247</v>
      </c>
      <c r="E222" s="2" t="s">
        <v>248</v>
      </c>
      <c r="F222" s="2" t="s">
        <v>1543</v>
      </c>
      <c r="G222" s="2" t="s">
        <v>1543</v>
      </c>
      <c r="H222" s="2" t="s">
        <v>1543</v>
      </c>
      <c r="I222" s="2" t="s">
        <v>297</v>
      </c>
      <c r="J222" s="2" t="s">
        <v>223</v>
      </c>
      <c r="K222" s="2" t="s">
        <v>1578</v>
      </c>
      <c r="L222" s="3">
        <v>28.98</v>
      </c>
      <c r="M222" s="3">
        <v>30.43</v>
      </c>
      <c r="N222" s="3">
        <v>64.99</v>
      </c>
      <c r="O222" s="2" t="s">
        <v>196</v>
      </c>
      <c r="P222" s="2" t="s">
        <v>197</v>
      </c>
      <c r="Q222" s="2" t="s">
        <v>198</v>
      </c>
      <c r="R222" s="2" t="s">
        <v>199</v>
      </c>
      <c r="S222" s="2" t="s">
        <v>1556</v>
      </c>
      <c r="T222" s="2" t="s">
        <v>1546</v>
      </c>
      <c r="U222" s="2" t="s">
        <v>254</v>
      </c>
      <c r="V222" s="2" t="s">
        <v>1547</v>
      </c>
      <c r="W222" s="2" t="s">
        <v>1014</v>
      </c>
      <c r="X222" s="2" t="s">
        <v>203</v>
      </c>
      <c r="Y222" s="2" t="s">
        <v>1557</v>
      </c>
      <c r="Z222" s="4">
        <v>3</v>
      </c>
      <c r="AA222" s="4">
        <f>=ROUNDDOWN(0.230769230769231,0)</f>
      </c>
      <c r="AB222" s="5">
        <v>13</v>
      </c>
      <c r="AC222" s="2" t="s">
        <v>199</v>
      </c>
      <c r="AD222" s="4"/>
      <c r="AE222" s="4"/>
      <c r="AF222" s="6">
        <v>65</v>
      </c>
      <c r="AG222" s="6"/>
      <c r="AH222" s="7">
        <v>0.129</v>
      </c>
      <c r="AI222" s="4"/>
      <c r="AJ222" s="4">
        <f>=ROUNDDOWN({0},0)</f>
      </c>
      <c r="AK222" s="5"/>
      <c r="AL222" s="2" t="s">
        <v>199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199</v>
      </c>
      <c r="AW222" s="8" t="s">
        <v>199</v>
      </c>
      <c r="AX222" s="4" t="s">
        <v>199</v>
      </c>
      <c r="AY222" s="8" t="s">
        <v>199</v>
      </c>
      <c r="AZ222" s="7" t="s">
        <v>199</v>
      </c>
      <c r="BA222" s="7" t="s">
        <v>199</v>
      </c>
      <c r="BB222" s="7"/>
      <c r="BC222" s="4" t="s">
        <v>199</v>
      </c>
      <c r="BD222" s="8" t="s">
        <v>199</v>
      </c>
      <c r="BE222" s="4" t="s">
        <v>199</v>
      </c>
      <c r="BF222" s="8" t="s">
        <v>199</v>
      </c>
      <c r="BG222" s="7" t="s">
        <v>199</v>
      </c>
      <c r="BH222" s="7" t="s">
        <v>199</v>
      </c>
      <c r="BI222" s="7"/>
      <c r="BJ222" s="4">
        <v>74</v>
      </c>
      <c r="BK222" s="8">
        <v>2565.7</v>
      </c>
      <c r="BL222" s="2" t="s">
        <v>1582</v>
      </c>
      <c r="BM222" s="7"/>
      <c r="BN222" s="7"/>
      <c r="BO222" s="4"/>
      <c r="BP222" s="8"/>
      <c r="BQ222" s="4"/>
      <c r="BR222" s="8"/>
      <c r="BS222" s="7"/>
      <c r="BT222" s="7"/>
      <c r="BU222" s="2" t="s">
        <v>1550</v>
      </c>
      <c r="BV222" s="2" t="s">
        <v>199</v>
      </c>
      <c r="BW222" s="2" t="s">
        <v>199</v>
      </c>
      <c r="BX222" s="2" t="s">
        <v>208</v>
      </c>
      <c r="BY222" s="2" t="s">
        <v>209</v>
      </c>
      <c r="BZ222" s="2" t="s">
        <v>196</v>
      </c>
      <c r="CA222" s="2" t="s">
        <v>1559</v>
      </c>
      <c r="CB222" s="2" t="s">
        <v>1583</v>
      </c>
      <c r="CC222" s="2" t="s">
        <v>212</v>
      </c>
      <c r="CD222" s="2" t="s">
        <v>199</v>
      </c>
      <c r="CE222" s="4">
        <v>1</v>
      </c>
      <c r="CF222" s="4">
        <v>2</v>
      </c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>
        <v>3</v>
      </c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>
        <v>102</v>
      </c>
      <c r="FN222" s="4">
        <v>82</v>
      </c>
      <c r="FO222" s="4">
        <v>76</v>
      </c>
      <c r="FP222" s="4">
        <v>70</v>
      </c>
      <c r="FQ222" s="4">
        <v>64</v>
      </c>
      <c r="FR222" s="4">
        <v>58</v>
      </c>
      <c r="FS222" s="4">
        <v>52</v>
      </c>
      <c r="FT222" s="19">
        <v>0.3</v>
      </c>
      <c r="FU222" s="20">
        <v>0</v>
      </c>
      <c r="FV222" s="20">
        <v>0</v>
      </c>
      <c r="FW222" s="20">
        <v>0</v>
      </c>
      <c r="FX222" s="20">
        <v>0</v>
      </c>
      <c r="FY222" s="20">
        <v>0</v>
      </c>
      <c r="FZ222" s="20">
        <v>0</v>
      </c>
      <c r="GA222" s="20">
        <v>0</v>
      </c>
      <c r="GB222" s="20">
        <v>0</v>
      </c>
      <c r="GC222" s="20">
        <v>0</v>
      </c>
      <c r="GD222" s="20">
        <v>0</v>
      </c>
      <c r="GE222" s="20">
        <v>0</v>
      </c>
      <c r="GF222" s="20">
        <v>0</v>
      </c>
      <c r="GG222" s="20">
        <v>0</v>
      </c>
      <c r="GH222" s="20">
        <v>0</v>
      </c>
      <c r="GI222" s="20">
        <v>0</v>
      </c>
      <c r="GJ222" s="20">
        <v>0</v>
      </c>
      <c r="GK222" s="20">
        <v>0</v>
      </c>
      <c r="GL222" s="20">
        <v>0</v>
      </c>
      <c r="GM222" s="19">
        <v>10.2</v>
      </c>
      <c r="GN222" s="19">
        <v>13.7</v>
      </c>
      <c r="GO222" s="19">
        <v>12.7</v>
      </c>
      <c r="GP222" s="19">
        <v>11.7</v>
      </c>
      <c r="GQ222" s="19">
        <v>10.7</v>
      </c>
      <c r="GR222" s="19">
        <v>9.7</v>
      </c>
      <c r="GS222" s="19">
        <v>8.7</v>
      </c>
    </row>
    <row r="223">
      <c r="A223" s="2" t="s">
        <v>1584</v>
      </c>
      <c r="B223" s="2" t="s">
        <v>245</v>
      </c>
      <c r="C223" s="2" t="s">
        <v>1020</v>
      </c>
      <c r="D223" s="2" t="s">
        <v>247</v>
      </c>
      <c r="E223" s="2" t="s">
        <v>248</v>
      </c>
      <c r="F223" s="2" t="s">
        <v>1543</v>
      </c>
      <c r="G223" s="2" t="s">
        <v>1543</v>
      </c>
      <c r="H223" s="2" t="s">
        <v>1543</v>
      </c>
      <c r="I223" s="2" t="s">
        <v>297</v>
      </c>
      <c r="J223" s="2" t="s">
        <v>223</v>
      </c>
      <c r="K223" s="2" t="s">
        <v>1585</v>
      </c>
      <c r="L223" s="3">
        <v>28.98</v>
      </c>
      <c r="M223" s="3">
        <v>30.43</v>
      </c>
      <c r="N223" s="3">
        <v>64.99</v>
      </c>
      <c r="O223" s="2" t="s">
        <v>196</v>
      </c>
      <c r="P223" s="2" t="s">
        <v>197</v>
      </c>
      <c r="Q223" s="2" t="s">
        <v>198</v>
      </c>
      <c r="R223" s="2" t="s">
        <v>199</v>
      </c>
      <c r="S223" s="2" t="s">
        <v>1586</v>
      </c>
      <c r="T223" s="2" t="s">
        <v>1546</v>
      </c>
      <c r="U223" s="2" t="s">
        <v>199</v>
      </c>
      <c r="V223" s="2" t="s">
        <v>681</v>
      </c>
      <c r="W223" s="2" t="s">
        <v>1014</v>
      </c>
      <c r="X223" s="2" t="s">
        <v>203</v>
      </c>
      <c r="Y223" s="2" t="s">
        <v>1587</v>
      </c>
      <c r="Z223" s="4">
        <v>2</v>
      </c>
      <c r="AA223" s="4">
        <f>=ROUNDDOWN(0.133333333333333,0)</f>
      </c>
      <c r="AB223" s="5">
        <v>15</v>
      </c>
      <c r="AC223" s="2" t="s">
        <v>199</v>
      </c>
      <c r="AD223" s="4"/>
      <c r="AE223" s="4"/>
      <c r="AF223" s="6">
        <v>65</v>
      </c>
      <c r="AG223" s="6"/>
      <c r="AH223" s="7">
        <v>0.9677</v>
      </c>
      <c r="AI223" s="4"/>
      <c r="AJ223" s="4">
        <f>=ROUNDDOWN({0},0)</f>
      </c>
      <c r="AK223" s="5"/>
      <c r="AL223" s="2" t="s">
        <v>199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199</v>
      </c>
      <c r="BD223" s="8" t="s">
        <v>199</v>
      </c>
      <c r="BE223" s="4" t="s">
        <v>199</v>
      </c>
      <c r="BF223" s="8" t="s">
        <v>199</v>
      </c>
      <c r="BG223" s="7" t="s">
        <v>199</v>
      </c>
      <c r="BH223" s="7" t="s">
        <v>199</v>
      </c>
      <c r="BI223" s="7"/>
      <c r="BJ223" s="4">
        <v>190</v>
      </c>
      <c r="BK223" s="8">
        <v>6353.33</v>
      </c>
      <c r="BL223" s="2" t="s">
        <v>1588</v>
      </c>
      <c r="BM223" s="7"/>
      <c r="BN223" s="7"/>
      <c r="BO223" s="4"/>
      <c r="BP223" s="8"/>
      <c r="BQ223" s="4"/>
      <c r="BR223" s="8"/>
      <c r="BS223" s="7"/>
      <c r="BT223" s="7"/>
      <c r="BU223" s="2" t="s">
        <v>1550</v>
      </c>
      <c r="BV223" s="2" t="s">
        <v>199</v>
      </c>
      <c r="BW223" s="2" t="s">
        <v>199</v>
      </c>
      <c r="BX223" s="2" t="s">
        <v>208</v>
      </c>
      <c r="BY223" s="2" t="s">
        <v>209</v>
      </c>
      <c r="BZ223" s="2" t="s">
        <v>196</v>
      </c>
      <c r="CA223" s="2" t="s">
        <v>1589</v>
      </c>
      <c r="CB223" s="2" t="s">
        <v>547</v>
      </c>
      <c r="CC223" s="2" t="s">
        <v>212</v>
      </c>
      <c r="CD223" s="2" t="s">
        <v>199</v>
      </c>
      <c r="CE223" s="4">
        <v>2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>
        <v>15</v>
      </c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>
        <v>102</v>
      </c>
      <c r="FN223" s="4">
        <v>89</v>
      </c>
      <c r="FO223" s="4">
        <v>83</v>
      </c>
      <c r="FP223" s="4">
        <v>77</v>
      </c>
      <c r="FQ223" s="4">
        <v>71</v>
      </c>
      <c r="FR223" s="4">
        <v>65</v>
      </c>
      <c r="FS223" s="4">
        <v>59</v>
      </c>
      <c r="FT223" s="19">
        <v>1.5</v>
      </c>
      <c r="FU223" s="20">
        <v>0</v>
      </c>
      <c r="FV223" s="20">
        <v>0</v>
      </c>
      <c r="FW223" s="20">
        <v>0</v>
      </c>
      <c r="FX223" s="20">
        <v>0</v>
      </c>
      <c r="FY223" s="20">
        <v>0</v>
      </c>
      <c r="FZ223" s="20">
        <v>0</v>
      </c>
      <c r="GA223" s="20">
        <v>0</v>
      </c>
      <c r="GB223" s="20">
        <v>0</v>
      </c>
      <c r="GC223" s="20">
        <v>0</v>
      </c>
      <c r="GD223" s="20">
        <v>0</v>
      </c>
      <c r="GE223" s="20">
        <v>0</v>
      </c>
      <c r="GF223" s="20">
        <v>0</v>
      </c>
      <c r="GG223" s="20">
        <v>0</v>
      </c>
      <c r="GH223" s="20">
        <v>0</v>
      </c>
      <c r="GI223" s="20">
        <v>0</v>
      </c>
      <c r="GJ223" s="20">
        <v>0</v>
      </c>
      <c r="GK223" s="20">
        <v>0</v>
      </c>
      <c r="GL223" s="20">
        <v>0</v>
      </c>
      <c r="GM223" s="19">
        <v>12.8</v>
      </c>
      <c r="GN223" s="19">
        <v>14.8</v>
      </c>
      <c r="GO223" s="19">
        <v>13.8</v>
      </c>
      <c r="GP223" s="19">
        <v>12.8</v>
      </c>
      <c r="GQ223" s="19">
        <v>11.8</v>
      </c>
      <c r="GR223" s="19">
        <v>10.8</v>
      </c>
      <c r="GS223" s="19">
        <v>9.8</v>
      </c>
    </row>
    <row r="224">
      <c r="A224" s="2" t="s">
        <v>1590</v>
      </c>
      <c r="B224" s="2" t="s">
        <v>245</v>
      </c>
      <c r="C224" s="2" t="s">
        <v>1020</v>
      </c>
      <c r="D224" s="2" t="s">
        <v>247</v>
      </c>
      <c r="E224" s="2" t="s">
        <v>248</v>
      </c>
      <c r="F224" s="2" t="s">
        <v>1543</v>
      </c>
      <c r="G224" s="2" t="s">
        <v>1543</v>
      </c>
      <c r="H224" s="2" t="s">
        <v>1543</v>
      </c>
      <c r="I224" s="2" t="s">
        <v>297</v>
      </c>
      <c r="J224" s="2" t="s">
        <v>223</v>
      </c>
      <c r="K224" s="2" t="s">
        <v>1591</v>
      </c>
      <c r="L224" s="3">
        <v>28.98</v>
      </c>
      <c r="M224" s="3">
        <v>30.43</v>
      </c>
      <c r="N224" s="3">
        <v>64.99</v>
      </c>
      <c r="O224" s="2" t="s">
        <v>196</v>
      </c>
      <c r="P224" s="2" t="s">
        <v>197</v>
      </c>
      <c r="Q224" s="2" t="s">
        <v>198</v>
      </c>
      <c r="R224" s="2" t="s">
        <v>199</v>
      </c>
      <c r="S224" s="2" t="s">
        <v>1562</v>
      </c>
      <c r="T224" s="2" t="s">
        <v>1546</v>
      </c>
      <c r="U224" s="2" t="s">
        <v>254</v>
      </c>
      <c r="V224" s="2" t="s">
        <v>622</v>
      </c>
      <c r="W224" s="2" t="s">
        <v>1014</v>
      </c>
      <c r="X224" s="2" t="s">
        <v>203</v>
      </c>
      <c r="Y224" s="2" t="s">
        <v>1557</v>
      </c>
      <c r="Z224" s="4">
        <v>215</v>
      </c>
      <c r="AA224" s="4">
        <f>=ROUNDDOWN(21.5,0)</f>
      </c>
      <c r="AB224" s="5">
        <v>10</v>
      </c>
      <c r="AC224" s="2" t="s">
        <v>199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199</v>
      </c>
      <c r="BD224" s="8" t="s">
        <v>199</v>
      </c>
      <c r="BE224" s="4" t="s">
        <v>199</v>
      </c>
      <c r="BF224" s="8" t="s">
        <v>199</v>
      </c>
      <c r="BG224" s="7" t="s">
        <v>199</v>
      </c>
      <c r="BH224" s="7" t="s">
        <v>199</v>
      </c>
      <c r="BI224" s="7"/>
      <c r="BJ224" s="4">
        <v>189</v>
      </c>
      <c r="BK224" s="8">
        <v>6519.89</v>
      </c>
      <c r="BL224" s="2" t="s">
        <v>1592</v>
      </c>
      <c r="BM224" s="7"/>
      <c r="BN224" s="7"/>
      <c r="BO224" s="4"/>
      <c r="BP224" s="8"/>
      <c r="BQ224" s="4"/>
      <c r="BR224" s="8"/>
      <c r="BS224" s="7"/>
      <c r="BT224" s="7"/>
      <c r="BU224" s="2" t="s">
        <v>1550</v>
      </c>
      <c r="BV224" s="2" t="s">
        <v>199</v>
      </c>
      <c r="BW224" s="2" t="s">
        <v>199</v>
      </c>
      <c r="BX224" s="2" t="s">
        <v>208</v>
      </c>
      <c r="BY224" s="2" t="s">
        <v>209</v>
      </c>
      <c r="BZ224" s="2" t="s">
        <v>196</v>
      </c>
      <c r="CA224" s="2" t="s">
        <v>1559</v>
      </c>
      <c r="CB224" s="2" t="s">
        <v>262</v>
      </c>
      <c r="CC224" s="2" t="s">
        <v>212</v>
      </c>
      <c r="CD224" s="2" t="s">
        <v>199</v>
      </c>
      <c r="CE224" s="4">
        <v>139</v>
      </c>
      <c r="CF224" s="4">
        <v>76</v>
      </c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>
        <v>220</v>
      </c>
      <c r="EU224" s="4">
        <v>187</v>
      </c>
      <c r="EV224" s="4">
        <v>174</v>
      </c>
      <c r="EW224" s="4">
        <v>164</v>
      </c>
      <c r="EX224" s="4">
        <v>158</v>
      </c>
      <c r="EY224" s="4">
        <v>151</v>
      </c>
      <c r="EZ224" s="4">
        <v>144</v>
      </c>
      <c r="FA224" s="4">
        <v>137</v>
      </c>
      <c r="FB224" s="4">
        <v>130</v>
      </c>
      <c r="FC224" s="4">
        <v>124</v>
      </c>
      <c r="FD224" s="4">
        <v>118</v>
      </c>
      <c r="FE224" s="4">
        <v>113</v>
      </c>
      <c r="FF224" s="4">
        <v>108</v>
      </c>
      <c r="FG224" s="4">
        <v>103</v>
      </c>
      <c r="FH224" s="4">
        <v>98</v>
      </c>
      <c r="FI224" s="4">
        <v>93</v>
      </c>
      <c r="FJ224" s="4">
        <v>88</v>
      </c>
      <c r="FK224" s="4">
        <v>83</v>
      </c>
      <c r="FL224" s="4">
        <v>79</v>
      </c>
      <c r="FM224" s="4">
        <v>75</v>
      </c>
      <c r="FN224" s="4">
        <v>71</v>
      </c>
      <c r="FO224" s="4">
        <v>67</v>
      </c>
      <c r="FP224" s="4">
        <v>63</v>
      </c>
      <c r="FQ224" s="4">
        <v>59</v>
      </c>
      <c r="FR224" s="4">
        <v>55</v>
      </c>
      <c r="FS224" s="4">
        <v>51</v>
      </c>
      <c r="FT224" s="19">
        <v>13.8</v>
      </c>
      <c r="FU224" s="19">
        <v>20.8</v>
      </c>
      <c r="FV224" s="19">
        <v>21.8</v>
      </c>
      <c r="FW224" s="19">
        <v>23.4</v>
      </c>
      <c r="FX224" s="19">
        <v>22.6</v>
      </c>
      <c r="FY224" s="19">
        <v>21.6</v>
      </c>
      <c r="FZ224" s="19">
        <v>24</v>
      </c>
      <c r="GA224" s="19">
        <v>22.8</v>
      </c>
      <c r="GB224" s="19">
        <v>21.7</v>
      </c>
      <c r="GC224" s="19">
        <v>24.8</v>
      </c>
      <c r="GD224" s="19">
        <v>23.6</v>
      </c>
      <c r="GE224" s="19">
        <v>22.6</v>
      </c>
      <c r="GF224" s="19">
        <v>21.6</v>
      </c>
      <c r="GG224" s="19">
        <v>20.6</v>
      </c>
      <c r="GH224" s="19">
        <v>19.6</v>
      </c>
      <c r="GI224" s="19">
        <v>23.3</v>
      </c>
      <c r="GJ224" s="19">
        <v>22</v>
      </c>
      <c r="GK224" s="19">
        <v>20.8</v>
      </c>
      <c r="GL224" s="19">
        <v>19.8</v>
      </c>
      <c r="GM224" s="19">
        <v>18.8</v>
      </c>
      <c r="GN224" s="19">
        <v>17.8</v>
      </c>
      <c r="GO224" s="19">
        <v>16.8</v>
      </c>
      <c r="GP224" s="19">
        <v>15.8</v>
      </c>
      <c r="GQ224" s="19">
        <v>14.8</v>
      </c>
      <c r="GR224" s="19">
        <v>13.8</v>
      </c>
      <c r="GS224" s="19">
        <v>12.8</v>
      </c>
    </row>
    <row r="225">
      <c r="A225" s="2" t="s">
        <v>1593</v>
      </c>
      <c r="B225" s="2" t="s">
        <v>245</v>
      </c>
      <c r="C225" s="2" t="s">
        <v>1020</v>
      </c>
      <c r="D225" s="2" t="s">
        <v>247</v>
      </c>
      <c r="E225" s="2" t="s">
        <v>248</v>
      </c>
      <c r="F225" s="2" t="s">
        <v>1543</v>
      </c>
      <c r="G225" s="2" t="s">
        <v>1543</v>
      </c>
      <c r="H225" s="2" t="s">
        <v>1543</v>
      </c>
      <c r="I225" s="2" t="s">
        <v>297</v>
      </c>
      <c r="J225" s="2" t="s">
        <v>194</v>
      </c>
      <c r="K225" s="2" t="s">
        <v>1594</v>
      </c>
      <c r="L225" s="3">
        <v>19.8</v>
      </c>
      <c r="M225" s="3">
        <v>20.79</v>
      </c>
      <c r="N225" s="3">
        <v>44.99</v>
      </c>
      <c r="O225" s="2" t="s">
        <v>196</v>
      </c>
      <c r="P225" s="2" t="s">
        <v>197</v>
      </c>
      <c r="Q225" s="2" t="s">
        <v>198</v>
      </c>
      <c r="R225" s="2" t="s">
        <v>199</v>
      </c>
      <c r="S225" s="2" t="s">
        <v>1595</v>
      </c>
      <c r="T225" s="2" t="s">
        <v>1546</v>
      </c>
      <c r="U225" s="2" t="s">
        <v>199</v>
      </c>
      <c r="V225" s="2" t="s">
        <v>1547</v>
      </c>
      <c r="W225" s="2" t="s">
        <v>1014</v>
      </c>
      <c r="X225" s="2" t="s">
        <v>203</v>
      </c>
      <c r="Y225" s="2" t="s">
        <v>1596</v>
      </c>
      <c r="Z225" s="4">
        <v>66</v>
      </c>
      <c r="AA225" s="4">
        <f>=ROUNDDOWN(7.33333333333333,0)</f>
      </c>
      <c r="AB225" s="5">
        <v>9</v>
      </c>
      <c r="AC225" s="2" t="s">
        <v>199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199</v>
      </c>
      <c r="AW225" s="8" t="s">
        <v>199</v>
      </c>
      <c r="AX225" s="4" t="s">
        <v>199</v>
      </c>
      <c r="AY225" s="8" t="s">
        <v>199</v>
      </c>
      <c r="AZ225" s="7" t="s">
        <v>199</v>
      </c>
      <c r="BA225" s="7" t="s">
        <v>199</v>
      </c>
      <c r="BB225" s="7"/>
      <c r="BC225" s="4" t="s">
        <v>199</v>
      </c>
      <c r="BD225" s="8" t="s">
        <v>199</v>
      </c>
      <c r="BE225" s="4" t="s">
        <v>199</v>
      </c>
      <c r="BF225" s="8" t="s">
        <v>199</v>
      </c>
      <c r="BG225" s="7" t="s">
        <v>199</v>
      </c>
      <c r="BH225" s="7" t="s">
        <v>199</v>
      </c>
      <c r="BI225" s="7"/>
      <c r="BJ225" s="4">
        <v>134</v>
      </c>
      <c r="BK225" s="8">
        <v>3128.92</v>
      </c>
      <c r="BL225" s="2" t="s">
        <v>1597</v>
      </c>
      <c r="BM225" s="7"/>
      <c r="BN225" s="7"/>
      <c r="BO225" s="4"/>
      <c r="BP225" s="8"/>
      <c r="BQ225" s="4"/>
      <c r="BR225" s="8"/>
      <c r="BS225" s="7"/>
      <c r="BT225" s="7"/>
      <c r="BU225" s="2" t="s">
        <v>1550</v>
      </c>
      <c r="BV225" s="2" t="s">
        <v>199</v>
      </c>
      <c r="BW225" s="2" t="s">
        <v>199</v>
      </c>
      <c r="BX225" s="2" t="s">
        <v>208</v>
      </c>
      <c r="BY225" s="2" t="s">
        <v>209</v>
      </c>
      <c r="BZ225" s="2" t="s">
        <v>196</v>
      </c>
      <c r="CA225" s="2" t="s">
        <v>1589</v>
      </c>
      <c r="CB225" s="2" t="s">
        <v>1598</v>
      </c>
      <c r="CC225" s="2" t="s">
        <v>212</v>
      </c>
      <c r="CD225" s="2" t="s">
        <v>199</v>
      </c>
      <c r="CE225" s="4">
        <v>66</v>
      </c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>
        <v>69</v>
      </c>
      <c r="EU225" s="4">
        <v>54</v>
      </c>
      <c r="EV225" s="4">
        <v>44</v>
      </c>
      <c r="EW225" s="4">
        <v>37</v>
      </c>
      <c r="EX225" s="4">
        <v>33</v>
      </c>
      <c r="EY225" s="4">
        <v>29</v>
      </c>
      <c r="EZ225" s="4">
        <v>25</v>
      </c>
      <c r="FA225" s="4">
        <v>21</v>
      </c>
      <c r="FB225" s="4">
        <v>17</v>
      </c>
      <c r="FC225" s="4">
        <v>14</v>
      </c>
      <c r="FD225" s="4">
        <v>11</v>
      </c>
      <c r="FE225" s="4">
        <v>8</v>
      </c>
      <c r="FF225" s="4">
        <v>5</v>
      </c>
      <c r="FG225" s="4">
        <v>2</v>
      </c>
      <c r="FH225" s="4"/>
      <c r="FI225" s="4"/>
      <c r="FJ225" s="4"/>
      <c r="FK225" s="4"/>
      <c r="FL225" s="4"/>
      <c r="FM225" s="4">
        <v>54</v>
      </c>
      <c r="FN225" s="4">
        <v>47</v>
      </c>
      <c r="FO225" s="4">
        <v>44</v>
      </c>
      <c r="FP225" s="4">
        <v>41</v>
      </c>
      <c r="FQ225" s="4">
        <v>38</v>
      </c>
      <c r="FR225" s="4">
        <v>35</v>
      </c>
      <c r="FS225" s="4">
        <v>32</v>
      </c>
      <c r="FT225" s="19">
        <v>7.7</v>
      </c>
      <c r="FU225" s="19">
        <v>9</v>
      </c>
      <c r="FV225" s="19">
        <v>8.8</v>
      </c>
      <c r="FW225" s="19">
        <v>9.3</v>
      </c>
      <c r="FX225" s="19">
        <v>8.3</v>
      </c>
      <c r="FY225" s="19">
        <v>7.3</v>
      </c>
      <c r="FZ225" s="19">
        <v>6.3</v>
      </c>
      <c r="GA225" s="19">
        <v>7</v>
      </c>
      <c r="GB225" s="19">
        <v>5.7</v>
      </c>
      <c r="GC225" s="19">
        <v>4.7</v>
      </c>
      <c r="GD225" s="19">
        <v>3.7</v>
      </c>
      <c r="GE225" s="19">
        <v>2.7</v>
      </c>
      <c r="GF225" s="19">
        <v>1.7</v>
      </c>
      <c r="GG225" s="19">
        <v>0.7</v>
      </c>
      <c r="GH225" s="20">
        <v>0</v>
      </c>
      <c r="GI225" s="20">
        <v>0</v>
      </c>
      <c r="GJ225" s="20">
        <v>0</v>
      </c>
      <c r="GK225" s="20">
        <v>0</v>
      </c>
      <c r="GL225" s="20">
        <v>0</v>
      </c>
      <c r="GM225" s="19">
        <v>13.5</v>
      </c>
      <c r="GN225" s="19">
        <v>15.7</v>
      </c>
      <c r="GO225" s="19">
        <v>14.7</v>
      </c>
      <c r="GP225" s="19">
        <v>13.7</v>
      </c>
      <c r="GQ225" s="19">
        <v>12.7</v>
      </c>
      <c r="GR225" s="19">
        <v>11.7</v>
      </c>
      <c r="GS225" s="19">
        <v>8</v>
      </c>
    </row>
    <row r="226">
      <c r="A226" s="2" t="s">
        <v>1599</v>
      </c>
      <c r="B226" s="2" t="s">
        <v>245</v>
      </c>
      <c r="C226" s="2" t="s">
        <v>1020</v>
      </c>
      <c r="D226" s="2" t="s">
        <v>247</v>
      </c>
      <c r="E226" s="2" t="s">
        <v>248</v>
      </c>
      <c r="F226" s="2" t="s">
        <v>1543</v>
      </c>
      <c r="G226" s="2" t="s">
        <v>1543</v>
      </c>
      <c r="H226" s="2" t="s">
        <v>1543</v>
      </c>
      <c r="I226" s="2" t="s">
        <v>297</v>
      </c>
      <c r="J226" s="2" t="s">
        <v>285</v>
      </c>
      <c r="K226" s="2" t="s">
        <v>1594</v>
      </c>
      <c r="L226" s="3">
        <v>21.78</v>
      </c>
      <c r="M226" s="3">
        <v>22.87</v>
      </c>
      <c r="N226" s="3">
        <v>49.99</v>
      </c>
      <c r="O226" s="2" t="s">
        <v>196</v>
      </c>
      <c r="P226" s="2" t="s">
        <v>197</v>
      </c>
      <c r="Q226" s="2" t="s">
        <v>198</v>
      </c>
      <c r="R226" s="2" t="s">
        <v>199</v>
      </c>
      <c r="S226" s="2" t="s">
        <v>1595</v>
      </c>
      <c r="T226" s="2" t="s">
        <v>1546</v>
      </c>
      <c r="U226" s="2" t="s">
        <v>199</v>
      </c>
      <c r="V226" s="2" t="s">
        <v>1547</v>
      </c>
      <c r="W226" s="2" t="s">
        <v>1014</v>
      </c>
      <c r="X226" s="2" t="s">
        <v>203</v>
      </c>
      <c r="Y226" s="2" t="s">
        <v>1596</v>
      </c>
      <c r="Z226" s="4">
        <v>122</v>
      </c>
      <c r="AA226" s="4">
        <f>=ROUNDDOWN(12.2,0)</f>
      </c>
      <c r="AB226" s="5">
        <v>10</v>
      </c>
      <c r="AC226" s="2" t="s">
        <v>199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199</v>
      </c>
      <c r="AW226" s="8" t="s">
        <v>199</v>
      </c>
      <c r="AX226" s="4" t="s">
        <v>199</v>
      </c>
      <c r="AY226" s="8" t="s">
        <v>199</v>
      </c>
      <c r="AZ226" s="7" t="s">
        <v>199</v>
      </c>
      <c r="BA226" s="7" t="s">
        <v>199</v>
      </c>
      <c r="BB226" s="7"/>
      <c r="BC226" s="4" t="s">
        <v>199</v>
      </c>
      <c r="BD226" s="8" t="s">
        <v>199</v>
      </c>
      <c r="BE226" s="4" t="s">
        <v>199</v>
      </c>
      <c r="BF226" s="8" t="s">
        <v>199</v>
      </c>
      <c r="BG226" s="7" t="s">
        <v>199</v>
      </c>
      <c r="BH226" s="7" t="s">
        <v>199</v>
      </c>
      <c r="BI226" s="7"/>
      <c r="BJ226" s="4">
        <v>134</v>
      </c>
      <c r="BK226" s="8">
        <v>3494.03</v>
      </c>
      <c r="BL226" s="2" t="s">
        <v>1600</v>
      </c>
      <c r="BM226" s="7"/>
      <c r="BN226" s="7"/>
      <c r="BO226" s="4"/>
      <c r="BP226" s="8"/>
      <c r="BQ226" s="4"/>
      <c r="BR226" s="8"/>
      <c r="BS226" s="7"/>
      <c r="BT226" s="7"/>
      <c r="BU226" s="2" t="s">
        <v>1550</v>
      </c>
      <c r="BV226" s="2" t="s">
        <v>199</v>
      </c>
      <c r="BW226" s="2" t="s">
        <v>199</v>
      </c>
      <c r="BX226" s="2" t="s">
        <v>208</v>
      </c>
      <c r="BY226" s="2" t="s">
        <v>209</v>
      </c>
      <c r="BZ226" s="2" t="s">
        <v>196</v>
      </c>
      <c r="CA226" s="2" t="s">
        <v>1589</v>
      </c>
      <c r="CB226" s="2" t="s">
        <v>1601</v>
      </c>
      <c r="CC226" s="2" t="s">
        <v>212</v>
      </c>
      <c r="CD226" s="2" t="s">
        <v>199</v>
      </c>
      <c r="CE226" s="4">
        <v>122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>
        <v>125</v>
      </c>
      <c r="EU226" s="4">
        <v>103</v>
      </c>
      <c r="EV226" s="4">
        <v>89</v>
      </c>
      <c r="EW226" s="4">
        <v>78</v>
      </c>
      <c r="EX226" s="4">
        <v>75</v>
      </c>
      <c r="EY226" s="4">
        <v>71</v>
      </c>
      <c r="EZ226" s="4">
        <v>67</v>
      </c>
      <c r="FA226" s="4">
        <v>63</v>
      </c>
      <c r="FB226" s="4">
        <v>59</v>
      </c>
      <c r="FC226" s="4">
        <v>55</v>
      </c>
      <c r="FD226" s="4">
        <v>49</v>
      </c>
      <c r="FE226" s="4">
        <v>44</v>
      </c>
      <c r="FF226" s="4">
        <v>39</v>
      </c>
      <c r="FG226" s="4">
        <v>34</v>
      </c>
      <c r="FH226" s="4">
        <v>29</v>
      </c>
      <c r="FI226" s="4">
        <v>24</v>
      </c>
      <c r="FJ226" s="4">
        <v>19</v>
      </c>
      <c r="FK226" s="4">
        <v>14</v>
      </c>
      <c r="FL226" s="4">
        <v>10</v>
      </c>
      <c r="FM226" s="4">
        <v>62</v>
      </c>
      <c r="FN226" s="4">
        <v>58</v>
      </c>
      <c r="FO226" s="4">
        <v>54</v>
      </c>
      <c r="FP226" s="4">
        <v>50</v>
      </c>
      <c r="FQ226" s="4">
        <v>46</v>
      </c>
      <c r="FR226" s="4">
        <v>42</v>
      </c>
      <c r="FS226" s="4">
        <v>38</v>
      </c>
      <c r="FT226" s="19">
        <v>10.4</v>
      </c>
      <c r="FU226" s="19">
        <v>12.9</v>
      </c>
      <c r="FV226" s="19">
        <v>14.8</v>
      </c>
      <c r="FW226" s="19">
        <v>19.5</v>
      </c>
      <c r="FX226" s="19">
        <v>18.8</v>
      </c>
      <c r="FY226" s="19">
        <v>17.8</v>
      </c>
      <c r="FZ226" s="19">
        <v>16.8</v>
      </c>
      <c r="GA226" s="19">
        <v>12.6</v>
      </c>
      <c r="GB226" s="19">
        <v>11.8</v>
      </c>
      <c r="GC226" s="19">
        <v>11</v>
      </c>
      <c r="GD226" s="19">
        <v>9.8</v>
      </c>
      <c r="GE226" s="19">
        <v>8.8</v>
      </c>
      <c r="GF226" s="19">
        <v>7.8</v>
      </c>
      <c r="GG226" s="19">
        <v>6.8</v>
      </c>
      <c r="GH226" s="19">
        <v>5.8</v>
      </c>
      <c r="GI226" s="19">
        <v>6</v>
      </c>
      <c r="GJ226" s="19">
        <v>4.8</v>
      </c>
      <c r="GK226" s="19">
        <v>3.5</v>
      </c>
      <c r="GL226" s="19">
        <v>2.5</v>
      </c>
      <c r="GM226" s="19">
        <v>15.5</v>
      </c>
      <c r="GN226" s="19">
        <v>14.5</v>
      </c>
      <c r="GO226" s="19">
        <v>13.5</v>
      </c>
      <c r="GP226" s="19">
        <v>12.5</v>
      </c>
      <c r="GQ226" s="19">
        <v>11.5</v>
      </c>
      <c r="GR226" s="19">
        <v>10.5</v>
      </c>
      <c r="GS226" s="19">
        <v>9.5</v>
      </c>
    </row>
    <row r="227">
      <c r="A227" s="2" t="s">
        <v>1602</v>
      </c>
      <c r="B227" s="2" t="s">
        <v>245</v>
      </c>
      <c r="C227" s="2" t="s">
        <v>1020</v>
      </c>
      <c r="D227" s="2" t="s">
        <v>247</v>
      </c>
      <c r="E227" s="2" t="s">
        <v>248</v>
      </c>
      <c r="F227" s="2" t="s">
        <v>1543</v>
      </c>
      <c r="G227" s="2" t="s">
        <v>1543</v>
      </c>
      <c r="H227" s="2" t="s">
        <v>1543</v>
      </c>
      <c r="I227" s="2" t="s">
        <v>297</v>
      </c>
      <c r="J227" s="2" t="s">
        <v>223</v>
      </c>
      <c r="K227" s="2" t="s">
        <v>1594</v>
      </c>
      <c r="L227" s="3">
        <v>28.98</v>
      </c>
      <c r="M227" s="3">
        <v>30.43</v>
      </c>
      <c r="N227" s="3">
        <v>64.99</v>
      </c>
      <c r="O227" s="2" t="s">
        <v>196</v>
      </c>
      <c r="P227" s="2" t="s">
        <v>197</v>
      </c>
      <c r="Q227" s="2" t="s">
        <v>198</v>
      </c>
      <c r="R227" s="2" t="s">
        <v>199</v>
      </c>
      <c r="S227" s="2" t="s">
        <v>1603</v>
      </c>
      <c r="T227" s="2" t="s">
        <v>1546</v>
      </c>
      <c r="U227" s="2" t="s">
        <v>199</v>
      </c>
      <c r="V227" s="2" t="s">
        <v>1547</v>
      </c>
      <c r="W227" s="2" t="s">
        <v>1014</v>
      </c>
      <c r="X227" s="2" t="s">
        <v>203</v>
      </c>
      <c r="Y227" s="2" t="s">
        <v>1596</v>
      </c>
      <c r="Z227" s="4">
        <v>3</v>
      </c>
      <c r="AA227" s="4">
        <f>=ROUNDDOWN(0.333333333333333,0)</f>
      </c>
      <c r="AB227" s="5">
        <v>9</v>
      </c>
      <c r="AC227" s="2" t="s">
        <v>199</v>
      </c>
      <c r="AD227" s="4"/>
      <c r="AE227" s="4"/>
      <c r="AF227" s="6">
        <v>65</v>
      </c>
      <c r="AG227" s="6"/>
      <c r="AH227" s="7">
        <v>0.0968</v>
      </c>
      <c r="AI227" s="4"/>
      <c r="AJ227" s="4">
        <f>=ROUNDDOWN({0},0)</f>
      </c>
      <c r="AK227" s="5"/>
      <c r="AL227" s="2" t="s">
        <v>199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199</v>
      </c>
      <c r="AW227" s="8" t="s">
        <v>199</v>
      </c>
      <c r="AX227" s="4" t="s">
        <v>199</v>
      </c>
      <c r="AY227" s="8" t="s">
        <v>199</v>
      </c>
      <c r="AZ227" s="7" t="s">
        <v>199</v>
      </c>
      <c r="BA227" s="7" t="s">
        <v>199</v>
      </c>
      <c r="BB227" s="7"/>
      <c r="BC227" s="4" t="s">
        <v>199</v>
      </c>
      <c r="BD227" s="8" t="s">
        <v>199</v>
      </c>
      <c r="BE227" s="4" t="s">
        <v>199</v>
      </c>
      <c r="BF227" s="8" t="s">
        <v>199</v>
      </c>
      <c r="BG227" s="7" t="s">
        <v>199</v>
      </c>
      <c r="BH227" s="7" t="s">
        <v>199</v>
      </c>
      <c r="BI227" s="7"/>
      <c r="BJ227" s="4">
        <v>51</v>
      </c>
      <c r="BK227" s="8">
        <v>1805.27</v>
      </c>
      <c r="BL227" s="2" t="s">
        <v>1604</v>
      </c>
      <c r="BM227" s="7"/>
      <c r="BN227" s="7"/>
      <c r="BO227" s="4"/>
      <c r="BP227" s="8"/>
      <c r="BQ227" s="4"/>
      <c r="BR227" s="8"/>
      <c r="BS227" s="7"/>
      <c r="BT227" s="7"/>
      <c r="BU227" s="2" t="s">
        <v>1550</v>
      </c>
      <c r="BV227" s="2" t="s">
        <v>199</v>
      </c>
      <c r="BW227" s="2" t="s">
        <v>199</v>
      </c>
      <c r="BX227" s="2" t="s">
        <v>208</v>
      </c>
      <c r="BY227" s="2" t="s">
        <v>209</v>
      </c>
      <c r="BZ227" s="2" t="s">
        <v>196</v>
      </c>
      <c r="CA227" s="2" t="s">
        <v>1589</v>
      </c>
      <c r="CB227" s="2" t="s">
        <v>1605</v>
      </c>
      <c r="CC227" s="2" t="s">
        <v>212</v>
      </c>
      <c r="CD227" s="2" t="s">
        <v>199</v>
      </c>
      <c r="CE227" s="4">
        <v>3</v>
      </c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>
        <v>3</v>
      </c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>
        <v>63</v>
      </c>
      <c r="FN227" s="4">
        <v>46</v>
      </c>
      <c r="FO227" s="4">
        <v>43</v>
      </c>
      <c r="FP227" s="4">
        <v>40</v>
      </c>
      <c r="FQ227" s="4">
        <v>37</v>
      </c>
      <c r="FR227" s="4">
        <v>34</v>
      </c>
      <c r="FS227" s="4">
        <v>31</v>
      </c>
      <c r="FT227" s="19">
        <v>0.3</v>
      </c>
      <c r="FU227" s="20">
        <v>0</v>
      </c>
      <c r="FV227" s="20">
        <v>0</v>
      </c>
      <c r="FW227" s="20">
        <v>0</v>
      </c>
      <c r="FX227" s="20">
        <v>0</v>
      </c>
      <c r="FY227" s="20">
        <v>0</v>
      </c>
      <c r="FZ227" s="20">
        <v>0</v>
      </c>
      <c r="GA227" s="20">
        <v>0</v>
      </c>
      <c r="GB227" s="20">
        <v>0</v>
      </c>
      <c r="GC227" s="20">
        <v>0</v>
      </c>
      <c r="GD227" s="20">
        <v>0</v>
      </c>
      <c r="GE227" s="20">
        <v>0</v>
      </c>
      <c r="GF227" s="20">
        <v>0</v>
      </c>
      <c r="GG227" s="20">
        <v>0</v>
      </c>
      <c r="GH227" s="20">
        <v>0</v>
      </c>
      <c r="GI227" s="20">
        <v>0</v>
      </c>
      <c r="GJ227" s="20">
        <v>0</v>
      </c>
      <c r="GK227" s="20">
        <v>0</v>
      </c>
      <c r="GL227" s="20">
        <v>0</v>
      </c>
      <c r="GM227" s="19">
        <v>10.5</v>
      </c>
      <c r="GN227" s="19">
        <v>15.3</v>
      </c>
      <c r="GO227" s="19">
        <v>14.3</v>
      </c>
      <c r="GP227" s="19">
        <v>13.3</v>
      </c>
      <c r="GQ227" s="19">
        <v>12.3</v>
      </c>
      <c r="GR227" s="19">
        <v>11.3</v>
      </c>
      <c r="GS227" s="19">
        <v>7.8</v>
      </c>
    </row>
    <row r="228">
      <c r="A228" s="2" t="s">
        <v>1606</v>
      </c>
      <c r="B228" s="2" t="s">
        <v>245</v>
      </c>
      <c r="C228" s="2" t="s">
        <v>1020</v>
      </c>
      <c r="D228" s="2" t="s">
        <v>247</v>
      </c>
      <c r="E228" s="2" t="s">
        <v>248</v>
      </c>
      <c r="F228" s="2" t="s">
        <v>1543</v>
      </c>
      <c r="G228" s="2" t="s">
        <v>1543</v>
      </c>
      <c r="H228" s="2" t="s">
        <v>1543</v>
      </c>
      <c r="I228" s="2" t="s">
        <v>297</v>
      </c>
      <c r="J228" s="2" t="s">
        <v>251</v>
      </c>
      <c r="K228" s="2" t="s">
        <v>1594</v>
      </c>
      <c r="L228" s="3">
        <v>28.98</v>
      </c>
      <c r="M228" s="3">
        <v>30.43</v>
      </c>
      <c r="N228" s="3">
        <v>64.99</v>
      </c>
      <c r="O228" s="2" t="s">
        <v>196</v>
      </c>
      <c r="P228" s="2" t="s">
        <v>197</v>
      </c>
      <c r="Q228" s="2" t="s">
        <v>198</v>
      </c>
      <c r="R228" s="2" t="s">
        <v>199</v>
      </c>
      <c r="S228" s="2" t="s">
        <v>1603</v>
      </c>
      <c r="T228" s="2" t="s">
        <v>1546</v>
      </c>
      <c r="U228" s="2" t="s">
        <v>199</v>
      </c>
      <c r="V228" s="2" t="s">
        <v>1547</v>
      </c>
      <c r="W228" s="2" t="s">
        <v>203</v>
      </c>
      <c r="X228" s="2" t="s">
        <v>199</v>
      </c>
      <c r="Y228" s="2" t="s">
        <v>1596</v>
      </c>
      <c r="Z228" s="4"/>
      <c r="AA228" s="4">
        <f>=ROUNDDOWN({0},0)</f>
      </c>
      <c r="AB228" s="5">
        <v>8</v>
      </c>
      <c r="AC228" s="2" t="s">
        <v>199</v>
      </c>
      <c r="AD228" s="4"/>
      <c r="AE228" s="4"/>
      <c r="AF228" s="6">
        <v>65</v>
      </c>
      <c r="AG228" s="6"/>
      <c r="AH228" s="7">
        <v>0.0323</v>
      </c>
      <c r="AI228" s="4"/>
      <c r="AJ228" s="4">
        <f>=ROUNDDOWN({0},0)</f>
      </c>
      <c r="AK228" s="5"/>
      <c r="AL228" s="2" t="s">
        <v>199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199</v>
      </c>
      <c r="AW228" s="8" t="s">
        <v>199</v>
      </c>
      <c r="AX228" s="4" t="s">
        <v>199</v>
      </c>
      <c r="AY228" s="8" t="s">
        <v>199</v>
      </c>
      <c r="AZ228" s="7" t="s">
        <v>199</v>
      </c>
      <c r="BA228" s="7" t="s">
        <v>199</v>
      </c>
      <c r="BB228" s="7"/>
      <c r="BC228" s="4" t="s">
        <v>199</v>
      </c>
      <c r="BD228" s="8" t="s">
        <v>199</v>
      </c>
      <c r="BE228" s="4" t="s">
        <v>199</v>
      </c>
      <c r="BF228" s="8" t="s">
        <v>199</v>
      </c>
      <c r="BG228" s="7" t="s">
        <v>199</v>
      </c>
      <c r="BH228" s="7" t="s">
        <v>199</v>
      </c>
      <c r="BI228" s="7"/>
      <c r="BJ228" s="4">
        <v>8</v>
      </c>
      <c r="BK228" s="8">
        <v>275.55</v>
      </c>
      <c r="BL228" s="2" t="s">
        <v>1607</v>
      </c>
      <c r="BM228" s="7"/>
      <c r="BN228" s="7"/>
      <c r="BO228" s="4"/>
      <c r="BP228" s="8"/>
      <c r="BQ228" s="4"/>
      <c r="BR228" s="8"/>
      <c r="BS228" s="7"/>
      <c r="BT228" s="7"/>
      <c r="BU228" s="2" t="s">
        <v>1550</v>
      </c>
      <c r="BV228" s="2" t="s">
        <v>199</v>
      </c>
      <c r="BW228" s="2" t="s">
        <v>199</v>
      </c>
      <c r="BX228" s="2" t="s">
        <v>208</v>
      </c>
      <c r="BY228" s="2" t="s">
        <v>209</v>
      </c>
      <c r="BZ228" s="2" t="s">
        <v>196</v>
      </c>
      <c r="CA228" s="2" t="s">
        <v>1589</v>
      </c>
      <c r="CB228" s="2" t="s">
        <v>1608</v>
      </c>
      <c r="CC228" s="2" t="s">
        <v>212</v>
      </c>
      <c r="CD228" s="2" t="s">
        <v>199</v>
      </c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>
        <v>51</v>
      </c>
      <c r="FN228" s="4">
        <v>41</v>
      </c>
      <c r="FO228" s="4">
        <v>38</v>
      </c>
      <c r="FP228" s="4">
        <v>35</v>
      </c>
      <c r="FQ228" s="4">
        <v>32</v>
      </c>
      <c r="FR228" s="4">
        <v>29</v>
      </c>
      <c r="FS228" s="4">
        <v>26</v>
      </c>
      <c r="FT228" s="20">
        <v>0</v>
      </c>
      <c r="FU228" s="20">
        <v>0</v>
      </c>
      <c r="FV228" s="20">
        <v>0</v>
      </c>
      <c r="FW228" s="20">
        <v>0</v>
      </c>
      <c r="FX228" s="20">
        <v>0</v>
      </c>
      <c r="FY228" s="20">
        <v>0</v>
      </c>
      <c r="FZ228" s="20">
        <v>0</v>
      </c>
      <c r="GA228" s="20">
        <v>0</v>
      </c>
      <c r="GB228" s="20">
        <v>0</v>
      </c>
      <c r="GC228" s="20">
        <v>0</v>
      </c>
      <c r="GD228" s="20">
        <v>0</v>
      </c>
      <c r="GE228" s="20">
        <v>0</v>
      </c>
      <c r="GF228" s="20">
        <v>0</v>
      </c>
      <c r="GG228" s="20">
        <v>0</v>
      </c>
      <c r="GH228" s="20">
        <v>0</v>
      </c>
      <c r="GI228" s="20">
        <v>0</v>
      </c>
      <c r="GJ228" s="20">
        <v>0</v>
      </c>
      <c r="GK228" s="20">
        <v>0</v>
      </c>
      <c r="GL228" s="20">
        <v>0</v>
      </c>
      <c r="GM228" s="19">
        <v>10.2</v>
      </c>
      <c r="GN228" s="19">
        <v>13.7</v>
      </c>
      <c r="GO228" s="19">
        <v>12.7</v>
      </c>
      <c r="GP228" s="19">
        <v>11.7</v>
      </c>
      <c r="GQ228" s="19">
        <v>10.7</v>
      </c>
      <c r="GR228" s="19">
        <v>9.7</v>
      </c>
      <c r="GS228" s="19">
        <v>8.7</v>
      </c>
    </row>
    <row r="229">
      <c r="A229" s="2" t="s">
        <v>1609</v>
      </c>
      <c r="B229" s="2" t="s">
        <v>245</v>
      </c>
      <c r="C229" s="2" t="s">
        <v>1020</v>
      </c>
      <c r="D229" s="2" t="s">
        <v>247</v>
      </c>
      <c r="E229" s="2" t="s">
        <v>248</v>
      </c>
      <c r="F229" s="2" t="s">
        <v>1543</v>
      </c>
      <c r="G229" s="2" t="s">
        <v>1543</v>
      </c>
      <c r="H229" s="2" t="s">
        <v>1543</v>
      </c>
      <c r="I229" s="2" t="s">
        <v>297</v>
      </c>
      <c r="J229" s="2" t="s">
        <v>194</v>
      </c>
      <c r="K229" s="2" t="s">
        <v>1610</v>
      </c>
      <c r="L229" s="3">
        <v>19.8</v>
      </c>
      <c r="M229" s="3">
        <v>20.79</v>
      </c>
      <c r="N229" s="3">
        <v>44.99</v>
      </c>
      <c r="O229" s="2" t="s">
        <v>196</v>
      </c>
      <c r="P229" s="2" t="s">
        <v>197</v>
      </c>
      <c r="Q229" s="2" t="s">
        <v>198</v>
      </c>
      <c r="R229" s="2" t="s">
        <v>199</v>
      </c>
      <c r="S229" s="2" t="s">
        <v>1611</v>
      </c>
      <c r="T229" s="2" t="s">
        <v>1546</v>
      </c>
      <c r="U229" s="2" t="s">
        <v>199</v>
      </c>
      <c r="V229" s="2" t="s">
        <v>1547</v>
      </c>
      <c r="W229" s="2" t="s">
        <v>1014</v>
      </c>
      <c r="X229" s="2" t="s">
        <v>203</v>
      </c>
      <c r="Y229" s="2" t="s">
        <v>1587</v>
      </c>
      <c r="Z229" s="4">
        <v>3</v>
      </c>
      <c r="AA229" s="4">
        <f>=ROUNDDOWN(0.333333333333333,0)</f>
      </c>
      <c r="AB229" s="5">
        <v>9</v>
      </c>
      <c r="AC229" s="2" t="s">
        <v>199</v>
      </c>
      <c r="AD229" s="4"/>
      <c r="AE229" s="4"/>
      <c r="AF229" s="6">
        <v>65</v>
      </c>
      <c r="AG229" s="6"/>
      <c r="AH229" s="7">
        <v>0.4839</v>
      </c>
      <c r="AI229" s="4"/>
      <c r="AJ229" s="4">
        <f>=ROUNDDOWN({0},0)</f>
      </c>
      <c r="AK229" s="5"/>
      <c r="AL229" s="2" t="s">
        <v>199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199</v>
      </c>
      <c r="AW229" s="8" t="s">
        <v>199</v>
      </c>
      <c r="AX229" s="4" t="s">
        <v>199</v>
      </c>
      <c r="AY229" s="8" t="s">
        <v>199</v>
      </c>
      <c r="AZ229" s="7" t="s">
        <v>199</v>
      </c>
      <c r="BA229" s="7" t="s">
        <v>199</v>
      </c>
      <c r="BB229" s="7"/>
      <c r="BC229" s="4" t="s">
        <v>199</v>
      </c>
      <c r="BD229" s="8" t="s">
        <v>199</v>
      </c>
      <c r="BE229" s="4" t="s">
        <v>199</v>
      </c>
      <c r="BF229" s="8" t="s">
        <v>199</v>
      </c>
      <c r="BG229" s="7" t="s">
        <v>199</v>
      </c>
      <c r="BH229" s="7" t="s">
        <v>199</v>
      </c>
      <c r="BI229" s="7"/>
      <c r="BJ229" s="4">
        <v>77</v>
      </c>
      <c r="BK229" s="8">
        <v>1792.34</v>
      </c>
      <c r="BL229" s="2" t="s">
        <v>1612</v>
      </c>
      <c r="BM229" s="7"/>
      <c r="BN229" s="7"/>
      <c r="BO229" s="4"/>
      <c r="BP229" s="8"/>
      <c r="BQ229" s="4"/>
      <c r="BR229" s="8"/>
      <c r="BS229" s="7"/>
      <c r="BT229" s="7"/>
      <c r="BU229" s="2" t="s">
        <v>1550</v>
      </c>
      <c r="BV229" s="2" t="s">
        <v>199</v>
      </c>
      <c r="BW229" s="2" t="s">
        <v>199</v>
      </c>
      <c r="BX229" s="2" t="s">
        <v>208</v>
      </c>
      <c r="BY229" s="2" t="s">
        <v>209</v>
      </c>
      <c r="BZ229" s="2" t="s">
        <v>196</v>
      </c>
      <c r="CA229" s="2" t="s">
        <v>1589</v>
      </c>
      <c r="CB229" s="2" t="s">
        <v>1613</v>
      </c>
      <c r="CC229" s="2" t="s">
        <v>212</v>
      </c>
      <c r="CD229" s="2" t="s">
        <v>199</v>
      </c>
      <c r="CE229" s="4">
        <v>3</v>
      </c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>
        <v>3</v>
      </c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>
        <v>72</v>
      </c>
      <c r="FN229" s="4">
        <v>54</v>
      </c>
      <c r="FO229" s="4">
        <v>50</v>
      </c>
      <c r="FP229" s="4">
        <v>46</v>
      </c>
      <c r="FQ229" s="4">
        <v>42</v>
      </c>
      <c r="FR229" s="4">
        <v>38</v>
      </c>
      <c r="FS229" s="4">
        <v>34</v>
      </c>
      <c r="FT229" s="19">
        <v>0.4</v>
      </c>
      <c r="FU229" s="20">
        <v>0</v>
      </c>
      <c r="FV229" s="20">
        <v>0</v>
      </c>
      <c r="FW229" s="20">
        <v>0</v>
      </c>
      <c r="FX229" s="20">
        <v>0</v>
      </c>
      <c r="FY229" s="20">
        <v>0</v>
      </c>
      <c r="FZ229" s="20">
        <v>0</v>
      </c>
      <c r="GA229" s="20">
        <v>0</v>
      </c>
      <c r="GB229" s="20">
        <v>0</v>
      </c>
      <c r="GC229" s="20">
        <v>0</v>
      </c>
      <c r="GD229" s="20">
        <v>0</v>
      </c>
      <c r="GE229" s="20">
        <v>0</v>
      </c>
      <c r="GF229" s="20">
        <v>0</v>
      </c>
      <c r="GG229" s="20">
        <v>0</v>
      </c>
      <c r="GH229" s="20">
        <v>0</v>
      </c>
      <c r="GI229" s="20">
        <v>0</v>
      </c>
      <c r="GJ229" s="20">
        <v>0</v>
      </c>
      <c r="GK229" s="20">
        <v>0</v>
      </c>
      <c r="GL229" s="20">
        <v>0</v>
      </c>
      <c r="GM229" s="19">
        <v>9</v>
      </c>
      <c r="GN229" s="19">
        <v>13.5</v>
      </c>
      <c r="GO229" s="19">
        <v>12.5</v>
      </c>
      <c r="GP229" s="19">
        <v>11.5</v>
      </c>
      <c r="GQ229" s="19">
        <v>10.5</v>
      </c>
      <c r="GR229" s="19">
        <v>9.5</v>
      </c>
      <c r="GS229" s="19">
        <v>8.5</v>
      </c>
    </row>
    <row r="230">
      <c r="A230" s="2" t="s">
        <v>1614</v>
      </c>
      <c r="B230" s="2" t="s">
        <v>245</v>
      </c>
      <c r="C230" s="2" t="s">
        <v>1020</v>
      </c>
      <c r="D230" s="2" t="s">
        <v>247</v>
      </c>
      <c r="E230" s="2" t="s">
        <v>248</v>
      </c>
      <c r="F230" s="2" t="s">
        <v>1543</v>
      </c>
      <c r="G230" s="2" t="s">
        <v>1543</v>
      </c>
      <c r="H230" s="2" t="s">
        <v>1543</v>
      </c>
      <c r="I230" s="2" t="s">
        <v>297</v>
      </c>
      <c r="J230" s="2" t="s">
        <v>285</v>
      </c>
      <c r="K230" s="2" t="s">
        <v>1610</v>
      </c>
      <c r="L230" s="3">
        <v>21.78</v>
      </c>
      <c r="M230" s="3">
        <v>22.87</v>
      </c>
      <c r="N230" s="3">
        <v>49.99</v>
      </c>
      <c r="O230" s="2" t="s">
        <v>196</v>
      </c>
      <c r="P230" s="2" t="s">
        <v>197</v>
      </c>
      <c r="Q230" s="2" t="s">
        <v>198</v>
      </c>
      <c r="R230" s="2" t="s">
        <v>199</v>
      </c>
      <c r="S230" s="2" t="s">
        <v>1611</v>
      </c>
      <c r="T230" s="2" t="s">
        <v>1546</v>
      </c>
      <c r="U230" s="2" t="s">
        <v>199</v>
      </c>
      <c r="V230" s="2" t="s">
        <v>1547</v>
      </c>
      <c r="W230" s="2" t="s">
        <v>1014</v>
      </c>
      <c r="X230" s="2" t="s">
        <v>203</v>
      </c>
      <c r="Y230" s="2" t="s">
        <v>1587</v>
      </c>
      <c r="Z230" s="4">
        <v>3</v>
      </c>
      <c r="AA230" s="4">
        <f>=ROUNDDOWN(0.272727272727273,0)</f>
      </c>
      <c r="AB230" s="5">
        <v>11</v>
      </c>
      <c r="AC230" s="2" t="s">
        <v>199</v>
      </c>
      <c r="AD230" s="4"/>
      <c r="AE230" s="4"/>
      <c r="AF230" s="6">
        <v>65</v>
      </c>
      <c r="AG230" s="6"/>
      <c r="AH230" s="7">
        <v>0.5161</v>
      </c>
      <c r="AI230" s="4"/>
      <c r="AJ230" s="4">
        <f>=ROUNDDOWN({0},0)</f>
      </c>
      <c r="AK230" s="5"/>
      <c r="AL230" s="2" t="s">
        <v>199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199</v>
      </c>
      <c r="AW230" s="8" t="s">
        <v>199</v>
      </c>
      <c r="AX230" s="4" t="s">
        <v>199</v>
      </c>
      <c r="AY230" s="8" t="s">
        <v>199</v>
      </c>
      <c r="AZ230" s="7" t="s">
        <v>199</v>
      </c>
      <c r="BA230" s="7" t="s">
        <v>199</v>
      </c>
      <c r="BB230" s="7"/>
      <c r="BC230" s="4" t="s">
        <v>199</v>
      </c>
      <c r="BD230" s="8" t="s">
        <v>199</v>
      </c>
      <c r="BE230" s="4" t="s">
        <v>199</v>
      </c>
      <c r="BF230" s="8" t="s">
        <v>199</v>
      </c>
      <c r="BG230" s="7" t="s">
        <v>199</v>
      </c>
      <c r="BH230" s="7" t="s">
        <v>199</v>
      </c>
      <c r="BI230" s="7"/>
      <c r="BJ230" s="4">
        <v>84</v>
      </c>
      <c r="BK230" s="8">
        <v>2165.35</v>
      </c>
      <c r="BL230" s="2" t="s">
        <v>1615</v>
      </c>
      <c r="BM230" s="7"/>
      <c r="BN230" s="7"/>
      <c r="BO230" s="4"/>
      <c r="BP230" s="8"/>
      <c r="BQ230" s="4"/>
      <c r="BR230" s="8"/>
      <c r="BS230" s="7"/>
      <c r="BT230" s="7"/>
      <c r="BU230" s="2" t="s">
        <v>1550</v>
      </c>
      <c r="BV230" s="2" t="s">
        <v>199</v>
      </c>
      <c r="BW230" s="2" t="s">
        <v>199</v>
      </c>
      <c r="BX230" s="2" t="s">
        <v>208</v>
      </c>
      <c r="BY230" s="2" t="s">
        <v>209</v>
      </c>
      <c r="BZ230" s="2" t="s">
        <v>196</v>
      </c>
      <c r="CA230" s="2" t="s">
        <v>1589</v>
      </c>
      <c r="CB230" s="2" t="s">
        <v>1616</v>
      </c>
      <c r="CC230" s="2" t="s">
        <v>212</v>
      </c>
      <c r="CD230" s="2" t="s">
        <v>199</v>
      </c>
      <c r="CE230" s="4"/>
      <c r="CF230" s="4">
        <v>3</v>
      </c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>
        <v>3</v>
      </c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>
        <v>72</v>
      </c>
      <c r="FN230" s="4">
        <v>61</v>
      </c>
      <c r="FO230" s="4">
        <v>57</v>
      </c>
      <c r="FP230" s="4">
        <v>53</v>
      </c>
      <c r="FQ230" s="4">
        <v>49</v>
      </c>
      <c r="FR230" s="4">
        <v>45</v>
      </c>
      <c r="FS230" s="4">
        <v>41</v>
      </c>
      <c r="FT230" s="19">
        <v>0.3</v>
      </c>
      <c r="FU230" s="20">
        <v>0</v>
      </c>
      <c r="FV230" s="20">
        <v>0</v>
      </c>
      <c r="FW230" s="20">
        <v>0</v>
      </c>
      <c r="FX230" s="20">
        <v>0</v>
      </c>
      <c r="FY230" s="20">
        <v>0</v>
      </c>
      <c r="FZ230" s="20">
        <v>0</v>
      </c>
      <c r="GA230" s="20">
        <v>0</v>
      </c>
      <c r="GB230" s="20">
        <v>0</v>
      </c>
      <c r="GC230" s="20">
        <v>0</v>
      </c>
      <c r="GD230" s="20">
        <v>0</v>
      </c>
      <c r="GE230" s="20">
        <v>0</v>
      </c>
      <c r="GF230" s="20">
        <v>0</v>
      </c>
      <c r="GG230" s="20">
        <v>0</v>
      </c>
      <c r="GH230" s="20">
        <v>0</v>
      </c>
      <c r="GI230" s="20">
        <v>0</v>
      </c>
      <c r="GJ230" s="20">
        <v>0</v>
      </c>
      <c r="GK230" s="20">
        <v>0</v>
      </c>
      <c r="GL230" s="20">
        <v>0</v>
      </c>
      <c r="GM230" s="19">
        <v>12</v>
      </c>
      <c r="GN230" s="19">
        <v>15.3</v>
      </c>
      <c r="GO230" s="19">
        <v>14.3</v>
      </c>
      <c r="GP230" s="19">
        <v>13.3</v>
      </c>
      <c r="GQ230" s="19">
        <v>12.3</v>
      </c>
      <c r="GR230" s="19">
        <v>11.3</v>
      </c>
      <c r="GS230" s="19">
        <v>10.3</v>
      </c>
    </row>
    <row r="231">
      <c r="A231" s="2" t="s">
        <v>1617</v>
      </c>
      <c r="B231" s="2" t="s">
        <v>245</v>
      </c>
      <c r="C231" s="2" t="s">
        <v>1020</v>
      </c>
      <c r="D231" s="2" t="s">
        <v>247</v>
      </c>
      <c r="E231" s="2" t="s">
        <v>248</v>
      </c>
      <c r="F231" s="2" t="s">
        <v>1543</v>
      </c>
      <c r="G231" s="2" t="s">
        <v>1543</v>
      </c>
      <c r="H231" s="2" t="s">
        <v>1543</v>
      </c>
      <c r="I231" s="2" t="s">
        <v>297</v>
      </c>
      <c r="J231" s="2" t="s">
        <v>223</v>
      </c>
      <c r="K231" s="2" t="s">
        <v>1610</v>
      </c>
      <c r="L231" s="3">
        <v>28.98</v>
      </c>
      <c r="M231" s="3">
        <v>30.43</v>
      </c>
      <c r="N231" s="3">
        <v>64.99</v>
      </c>
      <c r="O231" s="2" t="s">
        <v>196</v>
      </c>
      <c r="P231" s="2" t="s">
        <v>197</v>
      </c>
      <c r="Q231" s="2" t="s">
        <v>198</v>
      </c>
      <c r="R231" s="2" t="s">
        <v>199</v>
      </c>
      <c r="S231" s="2" t="s">
        <v>1618</v>
      </c>
      <c r="T231" s="2" t="s">
        <v>1546</v>
      </c>
      <c r="U231" s="2" t="s">
        <v>199</v>
      </c>
      <c r="V231" s="2" t="s">
        <v>1547</v>
      </c>
      <c r="W231" s="2" t="s">
        <v>1014</v>
      </c>
      <c r="X231" s="2" t="s">
        <v>203</v>
      </c>
      <c r="Y231" s="2" t="s">
        <v>1587</v>
      </c>
      <c r="Z231" s="4">
        <v>3</v>
      </c>
      <c r="AA231" s="4">
        <f>=ROUNDDOWN(0.272727272727273,0)</f>
      </c>
      <c r="AB231" s="5">
        <v>11</v>
      </c>
      <c r="AC231" s="2" t="s">
        <v>199</v>
      </c>
      <c r="AD231" s="4"/>
      <c r="AE231" s="4"/>
      <c r="AF231" s="6">
        <v>65</v>
      </c>
      <c r="AG231" s="6"/>
      <c r="AH231" s="7">
        <v>0.6129</v>
      </c>
      <c r="AI231" s="4"/>
      <c r="AJ231" s="4">
        <f>=ROUNDDOWN({0},0)</f>
      </c>
      <c r="AK231" s="5"/>
      <c r="AL231" s="2" t="s">
        <v>199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199</v>
      </c>
      <c r="AW231" s="8" t="s">
        <v>199</v>
      </c>
      <c r="AX231" s="4" t="s">
        <v>199</v>
      </c>
      <c r="AY231" s="8" t="s">
        <v>199</v>
      </c>
      <c r="AZ231" s="7" t="s">
        <v>199</v>
      </c>
      <c r="BA231" s="7" t="s">
        <v>199</v>
      </c>
      <c r="BB231" s="7"/>
      <c r="BC231" s="4" t="s">
        <v>199</v>
      </c>
      <c r="BD231" s="8" t="s">
        <v>199</v>
      </c>
      <c r="BE231" s="4" t="s">
        <v>199</v>
      </c>
      <c r="BF231" s="8" t="s">
        <v>199</v>
      </c>
      <c r="BG231" s="7" t="s">
        <v>199</v>
      </c>
      <c r="BH231" s="7" t="s">
        <v>199</v>
      </c>
      <c r="BI231" s="7"/>
      <c r="BJ231" s="4">
        <v>88</v>
      </c>
      <c r="BK231" s="8">
        <v>3021.78</v>
      </c>
      <c r="BL231" s="2" t="s">
        <v>1619</v>
      </c>
      <c r="BM231" s="7"/>
      <c r="BN231" s="7"/>
      <c r="BO231" s="4"/>
      <c r="BP231" s="8"/>
      <c r="BQ231" s="4"/>
      <c r="BR231" s="8"/>
      <c r="BS231" s="7"/>
      <c r="BT231" s="7"/>
      <c r="BU231" s="2" t="s">
        <v>1550</v>
      </c>
      <c r="BV231" s="2" t="s">
        <v>199</v>
      </c>
      <c r="BW231" s="2" t="s">
        <v>199</v>
      </c>
      <c r="BX231" s="2" t="s">
        <v>208</v>
      </c>
      <c r="BY231" s="2" t="s">
        <v>209</v>
      </c>
      <c r="BZ231" s="2" t="s">
        <v>196</v>
      </c>
      <c r="CA231" s="2" t="s">
        <v>1589</v>
      </c>
      <c r="CB231" s="2" t="s">
        <v>1620</v>
      </c>
      <c r="CC231" s="2" t="s">
        <v>212</v>
      </c>
      <c r="CD231" s="2" t="s">
        <v>199</v>
      </c>
      <c r="CE231" s="4"/>
      <c r="CF231" s="4">
        <v>3</v>
      </c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>
        <v>3</v>
      </c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>
        <v>72</v>
      </c>
      <c r="FN231" s="4">
        <v>61</v>
      </c>
      <c r="FO231" s="4">
        <v>57</v>
      </c>
      <c r="FP231" s="4">
        <v>53</v>
      </c>
      <c r="FQ231" s="4">
        <v>49</v>
      </c>
      <c r="FR231" s="4">
        <v>45</v>
      </c>
      <c r="FS231" s="4">
        <v>41</v>
      </c>
      <c r="FT231" s="19">
        <v>0.3</v>
      </c>
      <c r="FU231" s="20">
        <v>0</v>
      </c>
      <c r="FV231" s="20">
        <v>0</v>
      </c>
      <c r="FW231" s="20">
        <v>0</v>
      </c>
      <c r="FX231" s="20">
        <v>0</v>
      </c>
      <c r="FY231" s="20">
        <v>0</v>
      </c>
      <c r="FZ231" s="20">
        <v>0</v>
      </c>
      <c r="GA231" s="20">
        <v>0</v>
      </c>
      <c r="GB231" s="20">
        <v>0</v>
      </c>
      <c r="GC231" s="20">
        <v>0</v>
      </c>
      <c r="GD231" s="20">
        <v>0</v>
      </c>
      <c r="GE231" s="20">
        <v>0</v>
      </c>
      <c r="GF231" s="20">
        <v>0</v>
      </c>
      <c r="GG231" s="20">
        <v>0</v>
      </c>
      <c r="GH231" s="20">
        <v>0</v>
      </c>
      <c r="GI231" s="20">
        <v>0</v>
      </c>
      <c r="GJ231" s="20">
        <v>0</v>
      </c>
      <c r="GK231" s="20">
        <v>0</v>
      </c>
      <c r="GL231" s="20">
        <v>0</v>
      </c>
      <c r="GM231" s="19">
        <v>12</v>
      </c>
      <c r="GN231" s="19">
        <v>15.3</v>
      </c>
      <c r="GO231" s="19">
        <v>14.3</v>
      </c>
      <c r="GP231" s="19">
        <v>13.3</v>
      </c>
      <c r="GQ231" s="19">
        <v>12.3</v>
      </c>
      <c r="GR231" s="19">
        <v>11.3</v>
      </c>
      <c r="GS231" s="19">
        <v>10.3</v>
      </c>
    </row>
    <row r="232">
      <c r="A232" s="2" t="s">
        <v>1621</v>
      </c>
      <c r="B232" s="2" t="s">
        <v>245</v>
      </c>
      <c r="C232" s="2" t="s">
        <v>1020</v>
      </c>
      <c r="D232" s="2" t="s">
        <v>247</v>
      </c>
      <c r="E232" s="2" t="s">
        <v>248</v>
      </c>
      <c r="F232" s="2" t="s">
        <v>1543</v>
      </c>
      <c r="G232" s="2" t="s">
        <v>1543</v>
      </c>
      <c r="H232" s="2" t="s">
        <v>1543</v>
      </c>
      <c r="I232" s="2" t="s">
        <v>297</v>
      </c>
      <c r="J232" s="2" t="s">
        <v>251</v>
      </c>
      <c r="K232" s="2" t="s">
        <v>1610</v>
      </c>
      <c r="L232" s="3">
        <v>28.98</v>
      </c>
      <c r="M232" s="3">
        <v>30.43</v>
      </c>
      <c r="N232" s="3">
        <v>64.99</v>
      </c>
      <c r="O232" s="2" t="s">
        <v>196</v>
      </c>
      <c r="P232" s="2" t="s">
        <v>197</v>
      </c>
      <c r="Q232" s="2" t="s">
        <v>198</v>
      </c>
      <c r="R232" s="2" t="s">
        <v>199</v>
      </c>
      <c r="S232" s="2" t="s">
        <v>1618</v>
      </c>
      <c r="T232" s="2" t="s">
        <v>1546</v>
      </c>
      <c r="U232" s="2" t="s">
        <v>199</v>
      </c>
      <c r="V232" s="2" t="s">
        <v>1547</v>
      </c>
      <c r="W232" s="2" t="s">
        <v>1014</v>
      </c>
      <c r="X232" s="2" t="s">
        <v>203</v>
      </c>
      <c r="Y232" s="2" t="s">
        <v>1622</v>
      </c>
      <c r="Z232" s="4">
        <v>330</v>
      </c>
      <c r="AA232" s="4">
        <f>=ROUNDDOWN(66,0)</f>
      </c>
      <c r="AB232" s="5">
        <v>5</v>
      </c>
      <c r="AC232" s="2" t="s">
        <v>199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199</v>
      </c>
      <c r="AW232" s="8" t="s">
        <v>199</v>
      </c>
      <c r="AX232" s="4" t="s">
        <v>199</v>
      </c>
      <c r="AY232" s="8" t="s">
        <v>199</v>
      </c>
      <c r="AZ232" s="7" t="s">
        <v>199</v>
      </c>
      <c r="BA232" s="7" t="s">
        <v>199</v>
      </c>
      <c r="BB232" s="7"/>
      <c r="BC232" s="4" t="s">
        <v>199</v>
      </c>
      <c r="BD232" s="8" t="s">
        <v>199</v>
      </c>
      <c r="BE232" s="4" t="s">
        <v>199</v>
      </c>
      <c r="BF232" s="8" t="s">
        <v>199</v>
      </c>
      <c r="BG232" s="7" t="s">
        <v>199</v>
      </c>
      <c r="BH232" s="7" t="s">
        <v>199</v>
      </c>
      <c r="BI232" s="7"/>
      <c r="BJ232" s="4">
        <v>69</v>
      </c>
      <c r="BK232" s="8">
        <v>2382.41</v>
      </c>
      <c r="BL232" s="2" t="s">
        <v>1623</v>
      </c>
      <c r="BM232" s="7"/>
      <c r="BN232" s="7"/>
      <c r="BO232" s="4"/>
      <c r="BP232" s="8"/>
      <c r="BQ232" s="4"/>
      <c r="BR232" s="8"/>
      <c r="BS232" s="7"/>
      <c r="BT232" s="7"/>
      <c r="BU232" s="2" t="s">
        <v>1550</v>
      </c>
      <c r="BV232" s="2" t="s">
        <v>199</v>
      </c>
      <c r="BW232" s="2" t="s">
        <v>199</v>
      </c>
      <c r="BX232" s="2" t="s">
        <v>208</v>
      </c>
      <c r="BY232" s="2" t="s">
        <v>209</v>
      </c>
      <c r="BZ232" s="2" t="s">
        <v>196</v>
      </c>
      <c r="CA232" s="2" t="s">
        <v>1589</v>
      </c>
      <c r="CB232" s="2" t="s">
        <v>1583</v>
      </c>
      <c r="CC232" s="2" t="s">
        <v>212</v>
      </c>
      <c r="CD232" s="2" t="s">
        <v>199</v>
      </c>
      <c r="CE232" s="4">
        <v>330</v>
      </c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>
        <v>335</v>
      </c>
      <c r="EU232" s="4">
        <v>329</v>
      </c>
      <c r="EV232" s="4">
        <v>327</v>
      </c>
      <c r="EW232" s="4">
        <v>325</v>
      </c>
      <c r="EX232" s="4">
        <v>323</v>
      </c>
      <c r="EY232" s="4">
        <v>321</v>
      </c>
      <c r="EZ232" s="4">
        <v>319</v>
      </c>
      <c r="FA232" s="4">
        <v>317</v>
      </c>
      <c r="FB232" s="4">
        <v>314</v>
      </c>
      <c r="FC232" s="4">
        <v>311</v>
      </c>
      <c r="FD232" s="4">
        <v>308</v>
      </c>
      <c r="FE232" s="4">
        <v>305</v>
      </c>
      <c r="FF232" s="4">
        <v>302</v>
      </c>
      <c r="FG232" s="4">
        <v>299</v>
      </c>
      <c r="FH232" s="4">
        <v>296</v>
      </c>
      <c r="FI232" s="4">
        <v>293</v>
      </c>
      <c r="FJ232" s="4">
        <v>290</v>
      </c>
      <c r="FK232" s="4">
        <v>287</v>
      </c>
      <c r="FL232" s="4">
        <v>285</v>
      </c>
      <c r="FM232" s="4">
        <v>283</v>
      </c>
      <c r="FN232" s="4">
        <v>281</v>
      </c>
      <c r="FO232" s="4">
        <v>279</v>
      </c>
      <c r="FP232" s="4">
        <v>277</v>
      </c>
      <c r="FQ232" s="4">
        <v>275</v>
      </c>
      <c r="FR232" s="4">
        <v>273</v>
      </c>
      <c r="FS232" s="4">
        <v>271</v>
      </c>
      <c r="FT232" s="19">
        <v>111.7</v>
      </c>
      <c r="FU232" s="19">
        <v>164.5</v>
      </c>
      <c r="FV232" s="19">
        <v>163.5</v>
      </c>
      <c r="FW232" s="19">
        <v>162.5</v>
      </c>
      <c r="FX232" s="19">
        <v>161.5</v>
      </c>
      <c r="FY232" s="19">
        <v>160.5</v>
      </c>
      <c r="FZ232" s="19">
        <v>106.3</v>
      </c>
      <c r="GA232" s="19">
        <v>105.7</v>
      </c>
      <c r="GB232" s="19">
        <v>104.7</v>
      </c>
      <c r="GC232" s="19">
        <v>103.7</v>
      </c>
      <c r="GD232" s="19">
        <v>102.7</v>
      </c>
      <c r="GE232" s="19">
        <v>101.7</v>
      </c>
      <c r="GF232" s="19">
        <v>100.7</v>
      </c>
      <c r="GG232" s="19">
        <v>99.7</v>
      </c>
      <c r="GH232" s="19">
        <v>98.7</v>
      </c>
      <c r="GI232" s="19">
        <v>146.5</v>
      </c>
      <c r="GJ232" s="19">
        <v>145</v>
      </c>
      <c r="GK232" s="19">
        <v>143.5</v>
      </c>
      <c r="GL232" s="19">
        <v>142.5</v>
      </c>
      <c r="GM232" s="19">
        <v>141.5</v>
      </c>
      <c r="GN232" s="19">
        <v>140.5</v>
      </c>
      <c r="GO232" s="19">
        <v>139.5</v>
      </c>
      <c r="GP232" s="19">
        <v>138.5</v>
      </c>
      <c r="GQ232" s="19">
        <v>137.5</v>
      </c>
      <c r="GR232" s="19">
        <v>136.5</v>
      </c>
      <c r="GS232" s="19">
        <v>135.5</v>
      </c>
    </row>
    <row r="233">
      <c r="A233" s="2" t="s">
        <v>1624</v>
      </c>
      <c r="B233" s="2" t="s">
        <v>245</v>
      </c>
      <c r="C233" s="2" t="s">
        <v>1625</v>
      </c>
      <c r="D233" s="2" t="s">
        <v>247</v>
      </c>
      <c r="E233" s="2" t="s">
        <v>248</v>
      </c>
      <c r="F233" s="2" t="s">
        <v>1626</v>
      </c>
      <c r="G233" s="2" t="s">
        <v>1626</v>
      </c>
      <c r="H233" s="2" t="s">
        <v>1626</v>
      </c>
      <c r="I233" s="2" t="s">
        <v>1627</v>
      </c>
      <c r="J233" s="2" t="s">
        <v>223</v>
      </c>
      <c r="K233" s="2" t="s">
        <v>1628</v>
      </c>
      <c r="L233" s="3">
        <v>27.39</v>
      </c>
      <c r="M233" s="3">
        <v>28.76</v>
      </c>
      <c r="N233" s="3">
        <v>62.99</v>
      </c>
      <c r="O233" s="2" t="s">
        <v>196</v>
      </c>
      <c r="P233" s="2" t="s">
        <v>197</v>
      </c>
      <c r="Q233" s="2" t="s">
        <v>198</v>
      </c>
      <c r="R233" s="2" t="s">
        <v>199</v>
      </c>
      <c r="S233" s="2" t="s">
        <v>1629</v>
      </c>
      <c r="T233" s="2" t="s">
        <v>1546</v>
      </c>
      <c r="U233" s="2" t="s">
        <v>254</v>
      </c>
      <c r="V233" s="2" t="s">
        <v>1630</v>
      </c>
      <c r="W233" s="2" t="s">
        <v>203</v>
      </c>
      <c r="X233" s="2" t="s">
        <v>1014</v>
      </c>
      <c r="Y233" s="2" t="s">
        <v>1631</v>
      </c>
      <c r="Z233" s="4">
        <v>496</v>
      </c>
      <c r="AA233" s="4">
        <f>=ROUNDDOWN(29.1764705882353,0)</f>
      </c>
      <c r="AB233" s="5">
        <v>17</v>
      </c>
      <c r="AC233" s="2" t="s">
        <v>199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199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199</v>
      </c>
      <c r="BD233" s="8" t="s">
        <v>199</v>
      </c>
      <c r="BE233" s="4" t="s">
        <v>199</v>
      </c>
      <c r="BF233" s="8" t="s">
        <v>199</v>
      </c>
      <c r="BG233" s="7" t="s">
        <v>199</v>
      </c>
      <c r="BH233" s="7" t="s">
        <v>199</v>
      </c>
      <c r="BI233" s="7"/>
      <c r="BJ233" s="4">
        <v>140</v>
      </c>
      <c r="BK233" s="8">
        <v>4178.95</v>
      </c>
      <c r="BL233" s="2" t="s">
        <v>1632</v>
      </c>
      <c r="BM233" s="7"/>
      <c r="BN233" s="7"/>
      <c r="BO233" s="4"/>
      <c r="BP233" s="8"/>
      <c r="BQ233" s="4"/>
      <c r="BR233" s="8"/>
      <c r="BS233" s="7"/>
      <c r="BT233" s="7"/>
      <c r="BU233" s="2" t="s">
        <v>1633</v>
      </c>
      <c r="BV233" s="2" t="s">
        <v>199</v>
      </c>
      <c r="BW233" s="2" t="s">
        <v>199</v>
      </c>
      <c r="BX233" s="2" t="s">
        <v>208</v>
      </c>
      <c r="BY233" s="2" t="s">
        <v>209</v>
      </c>
      <c r="BZ233" s="2" t="s">
        <v>196</v>
      </c>
      <c r="CA233" s="2" t="s">
        <v>1634</v>
      </c>
      <c r="CB233" s="2" t="s">
        <v>1635</v>
      </c>
      <c r="CC233" s="2" t="s">
        <v>212</v>
      </c>
      <c r="CD233" s="2" t="s">
        <v>199</v>
      </c>
      <c r="CE233" s="4">
        <v>350</v>
      </c>
      <c r="CF233" s="4">
        <v>146</v>
      </c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>
        <v>572</v>
      </c>
      <c r="EU233" s="4">
        <v>511</v>
      </c>
      <c r="EV233" s="4">
        <v>505</v>
      </c>
      <c r="EW233" s="4">
        <v>501</v>
      </c>
      <c r="EX233" s="4">
        <v>497</v>
      </c>
      <c r="EY233" s="4">
        <v>492</v>
      </c>
      <c r="EZ233" s="4">
        <v>487</v>
      </c>
      <c r="FA233" s="4">
        <v>482</v>
      </c>
      <c r="FB233" s="4">
        <v>477</v>
      </c>
      <c r="FC233" s="4">
        <v>473</v>
      </c>
      <c r="FD233" s="4">
        <v>464</v>
      </c>
      <c r="FE233" s="4">
        <v>456</v>
      </c>
      <c r="FF233" s="4">
        <v>448</v>
      </c>
      <c r="FG233" s="4">
        <v>440</v>
      </c>
      <c r="FH233" s="4">
        <v>432</v>
      </c>
      <c r="FI233" s="4">
        <v>424</v>
      </c>
      <c r="FJ233" s="4">
        <v>416</v>
      </c>
      <c r="FK233" s="4">
        <v>408</v>
      </c>
      <c r="FL233" s="4">
        <v>401</v>
      </c>
      <c r="FM233" s="4">
        <v>394</v>
      </c>
      <c r="FN233" s="4">
        <v>387</v>
      </c>
      <c r="FO233" s="4">
        <v>380</v>
      </c>
      <c r="FP233" s="4">
        <v>373</v>
      </c>
      <c r="FQ233" s="4">
        <v>366</v>
      </c>
      <c r="FR233" s="4">
        <v>359</v>
      </c>
      <c r="FS233" s="4">
        <v>352</v>
      </c>
      <c r="FT233" s="19">
        <v>30.1</v>
      </c>
      <c r="FU233" s="19">
        <v>102.2</v>
      </c>
      <c r="FV233" s="19">
        <v>126.3</v>
      </c>
      <c r="FW233" s="19">
        <v>100.2</v>
      </c>
      <c r="FX233" s="19">
        <v>99.4</v>
      </c>
      <c r="FY233" s="19">
        <v>98.4</v>
      </c>
      <c r="FZ233" s="19">
        <v>81.2</v>
      </c>
      <c r="GA233" s="19">
        <v>80.3</v>
      </c>
      <c r="GB233" s="19">
        <v>68.1</v>
      </c>
      <c r="GC233" s="19">
        <v>59.1</v>
      </c>
      <c r="GD233" s="19">
        <v>58</v>
      </c>
      <c r="GE233" s="19">
        <v>57</v>
      </c>
      <c r="GF233" s="19">
        <v>56</v>
      </c>
      <c r="GG233" s="19">
        <v>55</v>
      </c>
      <c r="GH233" s="19">
        <v>54</v>
      </c>
      <c r="GI233" s="19">
        <v>53</v>
      </c>
      <c r="GJ233" s="19">
        <v>59.4</v>
      </c>
      <c r="GK233" s="19">
        <v>58.3</v>
      </c>
      <c r="GL233" s="19">
        <v>57.3</v>
      </c>
      <c r="GM233" s="19">
        <v>56.3</v>
      </c>
      <c r="GN233" s="19">
        <v>55.3</v>
      </c>
      <c r="GO233" s="19">
        <v>54.3</v>
      </c>
      <c r="GP233" s="19">
        <v>53.3</v>
      </c>
      <c r="GQ233" s="19">
        <v>52.3</v>
      </c>
      <c r="GR233" s="19">
        <v>51.3</v>
      </c>
      <c r="GS233" s="19">
        <v>44</v>
      </c>
    </row>
    <row r="234">
      <c r="A234" s="2" t="s">
        <v>1636</v>
      </c>
      <c r="B234" s="2" t="s">
        <v>245</v>
      </c>
      <c r="C234" s="2" t="s">
        <v>1625</v>
      </c>
      <c r="D234" s="2" t="s">
        <v>247</v>
      </c>
      <c r="E234" s="2" t="s">
        <v>248</v>
      </c>
      <c r="F234" s="2" t="s">
        <v>1626</v>
      </c>
      <c r="G234" s="2" t="s">
        <v>1626</v>
      </c>
      <c r="H234" s="2" t="s">
        <v>1626</v>
      </c>
      <c r="I234" s="2" t="s">
        <v>1627</v>
      </c>
      <c r="J234" s="2" t="s">
        <v>194</v>
      </c>
      <c r="K234" s="2" t="s">
        <v>1637</v>
      </c>
      <c r="L234" s="3">
        <v>14.89</v>
      </c>
      <c r="M234" s="3">
        <v>15.63</v>
      </c>
      <c r="N234" s="3">
        <v>31.99</v>
      </c>
      <c r="O234" s="2" t="s">
        <v>196</v>
      </c>
      <c r="P234" s="2" t="s">
        <v>621</v>
      </c>
      <c r="Q234" s="2" t="s">
        <v>198</v>
      </c>
      <c r="R234" s="2" t="s">
        <v>199</v>
      </c>
      <c r="S234" s="2" t="s">
        <v>1638</v>
      </c>
      <c r="T234" s="2" t="s">
        <v>1546</v>
      </c>
      <c r="U234" s="2" t="s">
        <v>637</v>
      </c>
      <c r="V234" s="2" t="s">
        <v>1547</v>
      </c>
      <c r="W234" s="2" t="s">
        <v>203</v>
      </c>
      <c r="X234" s="2" t="s">
        <v>199</v>
      </c>
      <c r="Y234" s="2" t="s">
        <v>1587</v>
      </c>
      <c r="Z234" s="4">
        <v>681</v>
      </c>
      <c r="AA234" s="4">
        <f>=ROUNDDOWN(20.6363636363636,0)</f>
      </c>
      <c r="AB234" s="5">
        <v>33</v>
      </c>
      <c r="AC234" s="2" t="s">
        <v>1639</v>
      </c>
      <c r="AD234" s="4">
        <v>303</v>
      </c>
      <c r="AE234" s="4">
        <v>303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199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199</v>
      </c>
      <c r="AW234" s="8" t="s">
        <v>199</v>
      </c>
      <c r="AX234" s="4" t="s">
        <v>199</v>
      </c>
      <c r="AY234" s="8" t="s">
        <v>199</v>
      </c>
      <c r="AZ234" s="7" t="s">
        <v>199</v>
      </c>
      <c r="BA234" s="7" t="s">
        <v>199</v>
      </c>
      <c r="BB234" s="7"/>
      <c r="BC234" s="4" t="s">
        <v>199</v>
      </c>
      <c r="BD234" s="8" t="s">
        <v>199</v>
      </c>
      <c r="BE234" s="4" t="s">
        <v>199</v>
      </c>
      <c r="BF234" s="8" t="s">
        <v>199</v>
      </c>
      <c r="BG234" s="7" t="s">
        <v>199</v>
      </c>
      <c r="BH234" s="7" t="s">
        <v>199</v>
      </c>
      <c r="BI234" s="7"/>
      <c r="BJ234" s="4">
        <v>281</v>
      </c>
      <c r="BK234" s="8">
        <v>4652.27</v>
      </c>
      <c r="BL234" s="2" t="s">
        <v>1640</v>
      </c>
      <c r="BM234" s="7"/>
      <c r="BN234" s="7"/>
      <c r="BO234" s="4"/>
      <c r="BP234" s="8"/>
      <c r="BQ234" s="4"/>
      <c r="BR234" s="8"/>
      <c r="BS234" s="7"/>
      <c r="BT234" s="7"/>
      <c r="BU234" s="2" t="s">
        <v>1633</v>
      </c>
      <c r="BV234" s="2" t="s">
        <v>199</v>
      </c>
      <c r="BW234" s="2" t="s">
        <v>199</v>
      </c>
      <c r="BX234" s="2" t="s">
        <v>208</v>
      </c>
      <c r="BY234" s="2" t="s">
        <v>209</v>
      </c>
      <c r="BZ234" s="2" t="s">
        <v>196</v>
      </c>
      <c r="CA234" s="2" t="s">
        <v>1589</v>
      </c>
      <c r="CB234" s="2" t="s">
        <v>1641</v>
      </c>
      <c r="CC234" s="2" t="s">
        <v>212</v>
      </c>
      <c r="CD234" s="2" t="s">
        <v>199</v>
      </c>
      <c r="CE234" s="4">
        <v>680</v>
      </c>
      <c r="CF234" s="4"/>
      <c r="CG234" s="4"/>
      <c r="CH234" s="4"/>
      <c r="CI234" s="4"/>
      <c r="CJ234" s="4"/>
      <c r="CK234" s="4"/>
      <c r="CL234" s="4">
        <v>1</v>
      </c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>
        <v>303</v>
      </c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>
        <v>836</v>
      </c>
      <c r="EU234" s="4">
        <v>814</v>
      </c>
      <c r="EV234" s="4">
        <v>806</v>
      </c>
      <c r="EW234" s="4">
        <v>800</v>
      </c>
      <c r="EX234" s="4">
        <v>794</v>
      </c>
      <c r="EY234" s="4">
        <v>787</v>
      </c>
      <c r="EZ234" s="4">
        <v>1083</v>
      </c>
      <c r="FA234" s="4">
        <v>1076</v>
      </c>
      <c r="FB234" s="4">
        <v>1069</v>
      </c>
      <c r="FC234" s="4">
        <v>1064</v>
      </c>
      <c r="FD234" s="4">
        <v>1059</v>
      </c>
      <c r="FE234" s="4">
        <v>1054</v>
      </c>
      <c r="FF234" s="4">
        <v>1049</v>
      </c>
      <c r="FG234" s="4">
        <v>1044</v>
      </c>
      <c r="FH234" s="4">
        <v>1039</v>
      </c>
      <c r="FI234" s="4">
        <v>1034</v>
      </c>
      <c r="FJ234" s="4">
        <v>1029</v>
      </c>
      <c r="FK234" s="4">
        <v>1024</v>
      </c>
      <c r="FL234" s="4">
        <v>1020</v>
      </c>
      <c r="FM234" s="4">
        <v>1016</v>
      </c>
      <c r="FN234" s="4">
        <v>1012</v>
      </c>
      <c r="FO234" s="4">
        <v>1008</v>
      </c>
      <c r="FP234" s="4">
        <v>1004</v>
      </c>
      <c r="FQ234" s="4">
        <v>1000</v>
      </c>
      <c r="FR234" s="4">
        <v>996</v>
      </c>
      <c r="FS234" s="4">
        <v>992</v>
      </c>
      <c r="FT234" s="19">
        <v>83.6</v>
      </c>
      <c r="FU234" s="19">
        <v>116.3</v>
      </c>
      <c r="FV234" s="19">
        <v>134.3</v>
      </c>
      <c r="FW234" s="19">
        <v>114.3</v>
      </c>
      <c r="FX234" s="19">
        <v>113.4</v>
      </c>
      <c r="FY234" s="19">
        <v>131.2</v>
      </c>
      <c r="FZ234" s="19">
        <v>180.5</v>
      </c>
      <c r="GA234" s="19">
        <v>179.3</v>
      </c>
      <c r="GB234" s="19">
        <v>213.8</v>
      </c>
      <c r="GC234" s="19">
        <v>212.8</v>
      </c>
      <c r="GD234" s="19">
        <v>211.8</v>
      </c>
      <c r="GE234" s="19">
        <v>210.8</v>
      </c>
      <c r="GF234" s="19">
        <v>209.8</v>
      </c>
      <c r="GG234" s="19">
        <v>208.8</v>
      </c>
      <c r="GH234" s="19">
        <v>207.8</v>
      </c>
      <c r="GI234" s="19">
        <v>258.5</v>
      </c>
      <c r="GJ234" s="19">
        <v>257.3</v>
      </c>
      <c r="GK234" s="19">
        <v>256</v>
      </c>
      <c r="GL234" s="19">
        <v>255</v>
      </c>
      <c r="GM234" s="19">
        <v>254</v>
      </c>
      <c r="GN234" s="19">
        <v>253</v>
      </c>
      <c r="GO234" s="19">
        <v>252</v>
      </c>
      <c r="GP234" s="19">
        <v>251</v>
      </c>
      <c r="GQ234" s="19">
        <v>250</v>
      </c>
      <c r="GR234" s="19">
        <v>249</v>
      </c>
      <c r="GS234" s="19">
        <v>248</v>
      </c>
    </row>
    <row r="235">
      <c r="A235" s="2" t="s">
        <v>1642</v>
      </c>
      <c r="B235" s="2" t="s">
        <v>245</v>
      </c>
      <c r="C235" s="2" t="s">
        <v>1625</v>
      </c>
      <c r="D235" s="2" t="s">
        <v>247</v>
      </c>
      <c r="E235" s="2" t="s">
        <v>248</v>
      </c>
      <c r="F235" s="2" t="s">
        <v>1626</v>
      </c>
      <c r="G235" s="2" t="s">
        <v>1626</v>
      </c>
      <c r="H235" s="2" t="s">
        <v>1626</v>
      </c>
      <c r="I235" s="2" t="s">
        <v>1627</v>
      </c>
      <c r="J235" s="2" t="s">
        <v>223</v>
      </c>
      <c r="K235" s="2" t="s">
        <v>1637</v>
      </c>
      <c r="L235" s="3">
        <v>27.39</v>
      </c>
      <c r="M235" s="3">
        <v>28.76</v>
      </c>
      <c r="N235" s="3">
        <v>62.99</v>
      </c>
      <c r="O235" s="2" t="s">
        <v>196</v>
      </c>
      <c r="P235" s="2" t="s">
        <v>197</v>
      </c>
      <c r="Q235" s="2" t="s">
        <v>198</v>
      </c>
      <c r="R235" s="2" t="s">
        <v>199</v>
      </c>
      <c r="S235" s="2" t="s">
        <v>1638</v>
      </c>
      <c r="T235" s="2" t="s">
        <v>1546</v>
      </c>
      <c r="U235" s="2" t="s">
        <v>254</v>
      </c>
      <c r="V235" s="2" t="s">
        <v>1547</v>
      </c>
      <c r="W235" s="2" t="s">
        <v>203</v>
      </c>
      <c r="X235" s="2" t="s">
        <v>199</v>
      </c>
      <c r="Y235" s="2" t="s">
        <v>1587</v>
      </c>
      <c r="Z235" s="4">
        <v>133</v>
      </c>
      <c r="AA235" s="4">
        <f>=ROUNDDOWN(9.77941176470588,0)</f>
      </c>
      <c r="AB235" s="5">
        <v>13.6</v>
      </c>
      <c r="AC235" s="2" t="s">
        <v>1639</v>
      </c>
      <c r="AD235" s="4">
        <v>23</v>
      </c>
      <c r="AE235" s="4">
        <v>23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199</v>
      </c>
      <c r="AW235" s="8" t="s">
        <v>199</v>
      </c>
      <c r="AX235" s="4" t="s">
        <v>199</v>
      </c>
      <c r="AY235" s="8" t="s">
        <v>199</v>
      </c>
      <c r="AZ235" s="7" t="s">
        <v>199</v>
      </c>
      <c r="BA235" s="7" t="s">
        <v>199</v>
      </c>
      <c r="BB235" s="7"/>
      <c r="BC235" s="4" t="s">
        <v>199</v>
      </c>
      <c r="BD235" s="8" t="s">
        <v>199</v>
      </c>
      <c r="BE235" s="4" t="s">
        <v>199</v>
      </c>
      <c r="BF235" s="8" t="s">
        <v>199</v>
      </c>
      <c r="BG235" s="7" t="s">
        <v>199</v>
      </c>
      <c r="BH235" s="7" t="s">
        <v>199</v>
      </c>
      <c r="BI235" s="7"/>
      <c r="BJ235" s="4">
        <v>144</v>
      </c>
      <c r="BK235" s="8">
        <v>4254.88</v>
      </c>
      <c r="BL235" s="2" t="s">
        <v>1643</v>
      </c>
      <c r="BM235" s="7"/>
      <c r="BN235" s="7"/>
      <c r="BO235" s="4"/>
      <c r="BP235" s="8"/>
      <c r="BQ235" s="4"/>
      <c r="BR235" s="8"/>
      <c r="BS235" s="7"/>
      <c r="BT235" s="7"/>
      <c r="BU235" s="2" t="s">
        <v>1633</v>
      </c>
      <c r="BV235" s="2" t="s">
        <v>199</v>
      </c>
      <c r="BW235" s="2" t="s">
        <v>199</v>
      </c>
      <c r="BX235" s="2" t="s">
        <v>208</v>
      </c>
      <c r="BY235" s="2" t="s">
        <v>209</v>
      </c>
      <c r="BZ235" s="2" t="s">
        <v>196</v>
      </c>
      <c r="CA235" s="2" t="s">
        <v>1589</v>
      </c>
      <c r="CB235" s="2" t="s">
        <v>1644</v>
      </c>
      <c r="CC235" s="2" t="s">
        <v>212</v>
      </c>
      <c r="CD235" s="2" t="s">
        <v>199</v>
      </c>
      <c r="CE235" s="4">
        <v>133</v>
      </c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>
        <v>23</v>
      </c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>
        <v>145</v>
      </c>
      <c r="EU235" s="4">
        <v>125</v>
      </c>
      <c r="EV235" s="4">
        <v>119</v>
      </c>
      <c r="EW235" s="4">
        <v>114</v>
      </c>
      <c r="EX235" s="4">
        <v>112</v>
      </c>
      <c r="EY235" s="4">
        <v>109</v>
      </c>
      <c r="EZ235" s="4">
        <v>129</v>
      </c>
      <c r="FA235" s="4">
        <v>126</v>
      </c>
      <c r="FB235" s="4">
        <v>123</v>
      </c>
      <c r="FC235" s="4">
        <v>121</v>
      </c>
      <c r="FD235" s="4">
        <v>119</v>
      </c>
      <c r="FE235" s="4">
        <v>117</v>
      </c>
      <c r="FF235" s="4">
        <v>115</v>
      </c>
      <c r="FG235" s="4">
        <v>113</v>
      </c>
      <c r="FH235" s="4">
        <v>111</v>
      </c>
      <c r="FI235" s="4">
        <v>109</v>
      </c>
      <c r="FJ235" s="4">
        <v>107</v>
      </c>
      <c r="FK235" s="4">
        <v>105</v>
      </c>
      <c r="FL235" s="4">
        <v>103</v>
      </c>
      <c r="FM235" s="4">
        <v>101</v>
      </c>
      <c r="FN235" s="4">
        <v>99</v>
      </c>
      <c r="FO235" s="4">
        <v>97</v>
      </c>
      <c r="FP235" s="4">
        <v>95</v>
      </c>
      <c r="FQ235" s="4">
        <v>93</v>
      </c>
      <c r="FR235" s="4">
        <v>91</v>
      </c>
      <c r="FS235" s="4">
        <v>89</v>
      </c>
      <c r="FT235" s="19">
        <v>18.1</v>
      </c>
      <c r="FU235" s="19">
        <v>31.3</v>
      </c>
      <c r="FV235" s="19">
        <v>39.7</v>
      </c>
      <c r="FW235" s="19">
        <v>38</v>
      </c>
      <c r="FX235" s="19">
        <v>37.3</v>
      </c>
      <c r="FY235" s="19">
        <v>36.3</v>
      </c>
      <c r="FZ235" s="19">
        <v>64.5</v>
      </c>
      <c r="GA235" s="19">
        <v>63</v>
      </c>
      <c r="GB235" s="19">
        <v>61.5</v>
      </c>
      <c r="GC235" s="19">
        <v>60.5</v>
      </c>
      <c r="GD235" s="19">
        <v>59.5</v>
      </c>
      <c r="GE235" s="19">
        <v>58.5</v>
      </c>
      <c r="GF235" s="19">
        <v>57.5</v>
      </c>
      <c r="GG235" s="19">
        <v>56.5</v>
      </c>
      <c r="GH235" s="19">
        <v>55.5</v>
      </c>
      <c r="GI235" s="19">
        <v>54.5</v>
      </c>
      <c r="GJ235" s="19">
        <v>53.5</v>
      </c>
      <c r="GK235" s="19">
        <v>52.5</v>
      </c>
      <c r="GL235" s="19">
        <v>51.5</v>
      </c>
      <c r="GM235" s="19">
        <v>50.5</v>
      </c>
      <c r="GN235" s="19">
        <v>49.5</v>
      </c>
      <c r="GO235" s="19">
        <v>48.5</v>
      </c>
      <c r="GP235" s="19">
        <v>47.5</v>
      </c>
      <c r="GQ235" s="19">
        <v>46.5</v>
      </c>
      <c r="GR235" s="19">
        <v>45.5</v>
      </c>
      <c r="GS235" s="19">
        <v>29.7</v>
      </c>
    </row>
    <row r="236">
      <c r="A236" s="2" t="s">
        <v>1645</v>
      </c>
      <c r="B236" s="2" t="s">
        <v>245</v>
      </c>
      <c r="C236" s="2" t="s">
        <v>1625</v>
      </c>
      <c r="D236" s="2" t="s">
        <v>247</v>
      </c>
      <c r="E236" s="2" t="s">
        <v>248</v>
      </c>
      <c r="F236" s="2" t="s">
        <v>1626</v>
      </c>
      <c r="G236" s="2" t="s">
        <v>1626</v>
      </c>
      <c r="H236" s="2" t="s">
        <v>1626</v>
      </c>
      <c r="I236" s="2" t="s">
        <v>1627</v>
      </c>
      <c r="J236" s="2" t="s">
        <v>251</v>
      </c>
      <c r="K236" s="2" t="s">
        <v>1637</v>
      </c>
      <c r="L236" s="3">
        <v>27.39</v>
      </c>
      <c r="M236" s="3">
        <v>28.76</v>
      </c>
      <c r="N236" s="3">
        <v>62.99</v>
      </c>
      <c r="O236" s="2" t="s">
        <v>196</v>
      </c>
      <c r="P236" s="2" t="s">
        <v>197</v>
      </c>
      <c r="Q236" s="2" t="s">
        <v>198</v>
      </c>
      <c r="R236" s="2" t="s">
        <v>199</v>
      </c>
      <c r="S236" s="2" t="s">
        <v>1638</v>
      </c>
      <c r="T236" s="2" t="s">
        <v>1546</v>
      </c>
      <c r="U236" s="2" t="s">
        <v>199</v>
      </c>
      <c r="V236" s="2" t="s">
        <v>1547</v>
      </c>
      <c r="W236" s="2" t="s">
        <v>203</v>
      </c>
      <c r="X236" s="2" t="s">
        <v>199</v>
      </c>
      <c r="Y236" s="2" t="s">
        <v>1587</v>
      </c>
      <c r="Z236" s="4">
        <v>217</v>
      </c>
      <c r="AA236" s="4">
        <f>=ROUNDDOWN(24.1111111111111,0)</f>
      </c>
      <c r="AB236" s="5">
        <v>9</v>
      </c>
      <c r="AC236" s="2" t="s">
        <v>199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199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199</v>
      </c>
      <c r="AW236" s="8" t="s">
        <v>199</v>
      </c>
      <c r="AX236" s="4" t="s">
        <v>199</v>
      </c>
      <c r="AY236" s="8" t="s">
        <v>199</v>
      </c>
      <c r="AZ236" s="7" t="s">
        <v>199</v>
      </c>
      <c r="BA236" s="7" t="s">
        <v>199</v>
      </c>
      <c r="BB236" s="7"/>
      <c r="BC236" s="4" t="s">
        <v>199</v>
      </c>
      <c r="BD236" s="8" t="s">
        <v>199</v>
      </c>
      <c r="BE236" s="4" t="s">
        <v>199</v>
      </c>
      <c r="BF236" s="8" t="s">
        <v>199</v>
      </c>
      <c r="BG236" s="7" t="s">
        <v>199</v>
      </c>
      <c r="BH236" s="7" t="s">
        <v>199</v>
      </c>
      <c r="BI236" s="7"/>
      <c r="BJ236" s="4">
        <v>107</v>
      </c>
      <c r="BK236" s="8">
        <v>3079.92</v>
      </c>
      <c r="BL236" s="2" t="s">
        <v>1646</v>
      </c>
      <c r="BM236" s="7"/>
      <c r="BN236" s="7"/>
      <c r="BO236" s="4"/>
      <c r="BP236" s="8"/>
      <c r="BQ236" s="4"/>
      <c r="BR236" s="8"/>
      <c r="BS236" s="7"/>
      <c r="BT236" s="7"/>
      <c r="BU236" s="2" t="s">
        <v>1633</v>
      </c>
      <c r="BV236" s="2" t="s">
        <v>199</v>
      </c>
      <c r="BW236" s="2" t="s">
        <v>199</v>
      </c>
      <c r="BX236" s="2" t="s">
        <v>208</v>
      </c>
      <c r="BY236" s="2" t="s">
        <v>209</v>
      </c>
      <c r="BZ236" s="2" t="s">
        <v>196</v>
      </c>
      <c r="CA236" s="2" t="s">
        <v>1589</v>
      </c>
      <c r="CB236" s="2" t="s">
        <v>1647</v>
      </c>
      <c r="CC236" s="2" t="s">
        <v>212</v>
      </c>
      <c r="CD236" s="2" t="s">
        <v>199</v>
      </c>
      <c r="CE236" s="4">
        <v>217</v>
      </c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>
        <v>220</v>
      </c>
      <c r="EU236" s="4">
        <v>216</v>
      </c>
      <c r="EV236" s="4">
        <v>214</v>
      </c>
      <c r="EW236" s="4">
        <v>212</v>
      </c>
      <c r="EX236" s="4">
        <v>210</v>
      </c>
      <c r="EY236" s="4">
        <v>208</v>
      </c>
      <c r="EZ236" s="4">
        <v>206</v>
      </c>
      <c r="FA236" s="4">
        <v>204</v>
      </c>
      <c r="FB236" s="4">
        <v>202</v>
      </c>
      <c r="FC236" s="4">
        <v>200</v>
      </c>
      <c r="FD236" s="4">
        <v>198</v>
      </c>
      <c r="FE236" s="4">
        <v>196</v>
      </c>
      <c r="FF236" s="4">
        <v>192</v>
      </c>
      <c r="FG236" s="4">
        <v>188</v>
      </c>
      <c r="FH236" s="4">
        <v>184</v>
      </c>
      <c r="FI236" s="4">
        <v>180</v>
      </c>
      <c r="FJ236" s="4">
        <v>176</v>
      </c>
      <c r="FK236" s="4">
        <v>172</v>
      </c>
      <c r="FL236" s="4">
        <v>169</v>
      </c>
      <c r="FM236" s="4">
        <v>166</v>
      </c>
      <c r="FN236" s="4">
        <v>163</v>
      </c>
      <c r="FO236" s="4">
        <v>160</v>
      </c>
      <c r="FP236" s="4">
        <v>157</v>
      </c>
      <c r="FQ236" s="4">
        <v>154</v>
      </c>
      <c r="FR236" s="4">
        <v>151</v>
      </c>
      <c r="FS236" s="4">
        <v>148</v>
      </c>
      <c r="FT236" s="19">
        <v>110</v>
      </c>
      <c r="FU236" s="19">
        <v>108</v>
      </c>
      <c r="FV236" s="19">
        <v>107</v>
      </c>
      <c r="FW236" s="19">
        <v>106</v>
      </c>
      <c r="FX236" s="19">
        <v>105</v>
      </c>
      <c r="FY236" s="19">
        <v>104</v>
      </c>
      <c r="FZ236" s="19">
        <v>103</v>
      </c>
      <c r="GA236" s="19">
        <v>102</v>
      </c>
      <c r="GB236" s="19">
        <v>101</v>
      </c>
      <c r="GC236" s="19">
        <v>66.7</v>
      </c>
      <c r="GD236" s="19">
        <v>49.5</v>
      </c>
      <c r="GE236" s="19">
        <v>49</v>
      </c>
      <c r="GF236" s="19">
        <v>48</v>
      </c>
      <c r="GG236" s="19">
        <v>47</v>
      </c>
      <c r="GH236" s="19">
        <v>46</v>
      </c>
      <c r="GI236" s="19">
        <v>45</v>
      </c>
      <c r="GJ236" s="19">
        <v>58.7</v>
      </c>
      <c r="GK236" s="19">
        <v>57.3</v>
      </c>
      <c r="GL236" s="19">
        <v>56.3</v>
      </c>
      <c r="GM236" s="19">
        <v>55.3</v>
      </c>
      <c r="GN236" s="19">
        <v>54.3</v>
      </c>
      <c r="GO236" s="19">
        <v>53.3</v>
      </c>
      <c r="GP236" s="19">
        <v>52.3</v>
      </c>
      <c r="GQ236" s="19">
        <v>51.3</v>
      </c>
      <c r="GR236" s="19">
        <v>50.3</v>
      </c>
      <c r="GS236" s="19">
        <v>37</v>
      </c>
    </row>
    <row r="237">
      <c r="A237" s="2" t="s">
        <v>1648</v>
      </c>
      <c r="B237" s="2" t="s">
        <v>245</v>
      </c>
      <c r="C237" s="2" t="s">
        <v>1625</v>
      </c>
      <c r="D237" s="2" t="s">
        <v>247</v>
      </c>
      <c r="E237" s="2" t="s">
        <v>248</v>
      </c>
      <c r="F237" s="2" t="s">
        <v>1626</v>
      </c>
      <c r="G237" s="2" t="s">
        <v>1626</v>
      </c>
      <c r="H237" s="2" t="s">
        <v>1626</v>
      </c>
      <c r="I237" s="2" t="s">
        <v>1627</v>
      </c>
      <c r="J237" s="2" t="s">
        <v>214</v>
      </c>
      <c r="K237" s="2" t="s">
        <v>1649</v>
      </c>
      <c r="L237" s="3">
        <v>16.16</v>
      </c>
      <c r="M237" s="3">
        <v>16.97</v>
      </c>
      <c r="N237" s="3">
        <v>34.99</v>
      </c>
      <c r="O237" s="2" t="s">
        <v>196</v>
      </c>
      <c r="P237" s="2" t="s">
        <v>197</v>
      </c>
      <c r="Q237" s="2" t="s">
        <v>198</v>
      </c>
      <c r="R237" s="2" t="s">
        <v>199</v>
      </c>
      <c r="S237" s="2" t="s">
        <v>1650</v>
      </c>
      <c r="T237" s="2" t="s">
        <v>1546</v>
      </c>
      <c r="U237" s="2" t="s">
        <v>637</v>
      </c>
      <c r="V237" s="2" t="s">
        <v>622</v>
      </c>
      <c r="W237" s="2" t="s">
        <v>203</v>
      </c>
      <c r="X237" s="2" t="s">
        <v>623</v>
      </c>
      <c r="Y237" s="2" t="s">
        <v>1651</v>
      </c>
      <c r="Z237" s="4">
        <v>376</v>
      </c>
      <c r="AA237" s="4">
        <f>=ROUNDDOWN(17.0909090909091,0)</f>
      </c>
      <c r="AB237" s="5">
        <v>22</v>
      </c>
      <c r="AC237" s="2" t="s">
        <v>199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199</v>
      </c>
      <c r="AW237" s="8" t="s">
        <v>199</v>
      </c>
      <c r="AX237" s="4" t="s">
        <v>199</v>
      </c>
      <c r="AY237" s="8" t="s">
        <v>199</v>
      </c>
      <c r="AZ237" s="7" t="s">
        <v>199</v>
      </c>
      <c r="BA237" s="7" t="s">
        <v>199</v>
      </c>
      <c r="BB237" s="7"/>
      <c r="BC237" s="4" t="s">
        <v>199</v>
      </c>
      <c r="BD237" s="8" t="s">
        <v>199</v>
      </c>
      <c r="BE237" s="4" t="s">
        <v>199</v>
      </c>
      <c r="BF237" s="8" t="s">
        <v>199</v>
      </c>
      <c r="BG237" s="7" t="s">
        <v>199</v>
      </c>
      <c r="BH237" s="7" t="s">
        <v>199</v>
      </c>
      <c r="BI237" s="7"/>
      <c r="BJ237" s="4">
        <v>169</v>
      </c>
      <c r="BK237" s="8">
        <v>3053.42</v>
      </c>
      <c r="BL237" s="2" t="s">
        <v>1652</v>
      </c>
      <c r="BM237" s="7"/>
      <c r="BN237" s="7"/>
      <c r="BO237" s="4"/>
      <c r="BP237" s="8"/>
      <c r="BQ237" s="4"/>
      <c r="BR237" s="8"/>
      <c r="BS237" s="7"/>
      <c r="BT237" s="7"/>
      <c r="BU237" s="2" t="s">
        <v>1633</v>
      </c>
      <c r="BV237" s="2" t="s">
        <v>199</v>
      </c>
      <c r="BW237" s="2" t="s">
        <v>199</v>
      </c>
      <c r="BX237" s="2" t="s">
        <v>208</v>
      </c>
      <c r="BY237" s="2" t="s">
        <v>209</v>
      </c>
      <c r="BZ237" s="2" t="s">
        <v>196</v>
      </c>
      <c r="CA237" s="2" t="s">
        <v>1653</v>
      </c>
      <c r="CB237" s="2" t="s">
        <v>1654</v>
      </c>
      <c r="CC237" s="2" t="s">
        <v>212</v>
      </c>
      <c r="CD237" s="2" t="s">
        <v>199</v>
      </c>
      <c r="CE237" s="4">
        <v>376</v>
      </c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>
        <v>406</v>
      </c>
      <c r="EU237" s="4">
        <v>394</v>
      </c>
      <c r="EV237" s="4">
        <v>386</v>
      </c>
      <c r="EW237" s="4">
        <v>380</v>
      </c>
      <c r="EX237" s="4">
        <v>374</v>
      </c>
      <c r="EY237" s="4">
        <v>367</v>
      </c>
      <c r="EZ237" s="4">
        <v>360</v>
      </c>
      <c r="FA237" s="4">
        <v>353</v>
      </c>
      <c r="FB237" s="4">
        <v>346</v>
      </c>
      <c r="FC237" s="4">
        <v>341</v>
      </c>
      <c r="FD237" s="4">
        <v>336</v>
      </c>
      <c r="FE237" s="4">
        <v>331</v>
      </c>
      <c r="FF237" s="4">
        <v>326</v>
      </c>
      <c r="FG237" s="4">
        <v>321</v>
      </c>
      <c r="FH237" s="4">
        <v>313</v>
      </c>
      <c r="FI237" s="4">
        <v>303</v>
      </c>
      <c r="FJ237" s="4">
        <v>293</v>
      </c>
      <c r="FK237" s="4">
        <v>283</v>
      </c>
      <c r="FL237" s="4">
        <v>274</v>
      </c>
      <c r="FM237" s="4">
        <v>265</v>
      </c>
      <c r="FN237" s="4">
        <v>256</v>
      </c>
      <c r="FO237" s="4">
        <v>247</v>
      </c>
      <c r="FP237" s="4">
        <v>238</v>
      </c>
      <c r="FQ237" s="4">
        <v>229</v>
      </c>
      <c r="FR237" s="4">
        <v>220</v>
      </c>
      <c r="FS237" s="4">
        <v>211</v>
      </c>
      <c r="FT237" s="19">
        <v>50.8</v>
      </c>
      <c r="FU237" s="19">
        <v>56.3</v>
      </c>
      <c r="FV237" s="19">
        <v>64.3</v>
      </c>
      <c r="FW237" s="19">
        <v>54.3</v>
      </c>
      <c r="FX237" s="19">
        <v>53.4</v>
      </c>
      <c r="FY237" s="19">
        <v>61.2</v>
      </c>
      <c r="FZ237" s="19">
        <v>60</v>
      </c>
      <c r="GA237" s="19">
        <v>58.8</v>
      </c>
      <c r="GB237" s="19">
        <v>69.2</v>
      </c>
      <c r="GC237" s="19">
        <v>68.2</v>
      </c>
      <c r="GD237" s="19">
        <v>56</v>
      </c>
      <c r="GE237" s="19">
        <v>47.3</v>
      </c>
      <c r="GF237" s="19">
        <v>40.8</v>
      </c>
      <c r="GG237" s="19">
        <v>32.1</v>
      </c>
      <c r="GH237" s="19">
        <v>31.3</v>
      </c>
      <c r="GI237" s="19">
        <v>30.3</v>
      </c>
      <c r="GJ237" s="19">
        <v>32.6</v>
      </c>
      <c r="GK237" s="19">
        <v>31.4</v>
      </c>
      <c r="GL237" s="19">
        <v>30.4</v>
      </c>
      <c r="GM237" s="19">
        <v>29.4</v>
      </c>
      <c r="GN237" s="19">
        <v>28.4</v>
      </c>
      <c r="GO237" s="19">
        <v>27.4</v>
      </c>
      <c r="GP237" s="19">
        <v>26.4</v>
      </c>
      <c r="GQ237" s="19">
        <v>25.4</v>
      </c>
      <c r="GR237" s="19">
        <v>24.4</v>
      </c>
      <c r="GS237" s="19">
        <v>21.1</v>
      </c>
    </row>
    <row r="238">
      <c r="A238" s="2" t="s">
        <v>1655</v>
      </c>
      <c r="B238" s="2" t="s">
        <v>245</v>
      </c>
      <c r="C238" s="2" t="s">
        <v>1625</v>
      </c>
      <c r="D238" s="2" t="s">
        <v>247</v>
      </c>
      <c r="E238" s="2" t="s">
        <v>248</v>
      </c>
      <c r="F238" s="2" t="s">
        <v>1626</v>
      </c>
      <c r="G238" s="2" t="s">
        <v>1626</v>
      </c>
      <c r="H238" s="2" t="s">
        <v>1626</v>
      </c>
      <c r="I238" s="2" t="s">
        <v>1627</v>
      </c>
      <c r="J238" s="2" t="s">
        <v>285</v>
      </c>
      <c r="K238" s="2" t="s">
        <v>1649</v>
      </c>
      <c r="L238" s="3">
        <v>19.57</v>
      </c>
      <c r="M238" s="3">
        <v>20.55</v>
      </c>
      <c r="N238" s="3">
        <v>42.99</v>
      </c>
      <c r="O238" s="2" t="s">
        <v>196</v>
      </c>
      <c r="P238" s="2" t="s">
        <v>517</v>
      </c>
      <c r="Q238" s="2" t="s">
        <v>198</v>
      </c>
      <c r="R238" s="2" t="s">
        <v>199</v>
      </c>
      <c r="S238" s="2" t="s">
        <v>1650</v>
      </c>
      <c r="T238" s="2" t="s">
        <v>1546</v>
      </c>
      <c r="U238" s="2" t="s">
        <v>254</v>
      </c>
      <c r="V238" s="2" t="s">
        <v>622</v>
      </c>
      <c r="W238" s="2" t="s">
        <v>203</v>
      </c>
      <c r="X238" s="2" t="s">
        <v>623</v>
      </c>
      <c r="Y238" s="2" t="s">
        <v>1651</v>
      </c>
      <c r="Z238" s="4">
        <v>915</v>
      </c>
      <c r="AA238" s="4">
        <f>=ROUNDDOWN(70.3846153846154,0)</f>
      </c>
      <c r="AB238" s="5">
        <v>13</v>
      </c>
      <c r="AC238" s="2" t="s">
        <v>199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199</v>
      </c>
      <c r="AW238" s="8" t="s">
        <v>199</v>
      </c>
      <c r="AX238" s="4" t="s">
        <v>199</v>
      </c>
      <c r="AY238" s="8" t="s">
        <v>199</v>
      </c>
      <c r="AZ238" s="7" t="s">
        <v>199</v>
      </c>
      <c r="BA238" s="7" t="s">
        <v>199</v>
      </c>
      <c r="BB238" s="7"/>
      <c r="BC238" s="4" t="s">
        <v>199</v>
      </c>
      <c r="BD238" s="8" t="s">
        <v>199</v>
      </c>
      <c r="BE238" s="4" t="s">
        <v>199</v>
      </c>
      <c r="BF238" s="8" t="s">
        <v>199</v>
      </c>
      <c r="BG238" s="7" t="s">
        <v>199</v>
      </c>
      <c r="BH238" s="7" t="s">
        <v>199</v>
      </c>
      <c r="BI238" s="7"/>
      <c r="BJ238" s="4">
        <v>218</v>
      </c>
      <c r="BK238" s="8">
        <v>4619.96</v>
      </c>
      <c r="BL238" s="2" t="s">
        <v>1656</v>
      </c>
      <c r="BM238" s="7"/>
      <c r="BN238" s="7"/>
      <c r="BO238" s="4"/>
      <c r="BP238" s="8"/>
      <c r="BQ238" s="4"/>
      <c r="BR238" s="8"/>
      <c r="BS238" s="7"/>
      <c r="BT238" s="7"/>
      <c r="BU238" s="2" t="s">
        <v>1633</v>
      </c>
      <c r="BV238" s="2" t="s">
        <v>199</v>
      </c>
      <c r="BW238" s="2" t="s">
        <v>199</v>
      </c>
      <c r="BX238" s="2" t="s">
        <v>208</v>
      </c>
      <c r="BY238" s="2" t="s">
        <v>209</v>
      </c>
      <c r="BZ238" s="2" t="s">
        <v>196</v>
      </c>
      <c r="CA238" s="2" t="s">
        <v>1653</v>
      </c>
      <c r="CB238" s="2" t="s">
        <v>1657</v>
      </c>
      <c r="CC238" s="2" t="s">
        <v>212</v>
      </c>
      <c r="CD238" s="2" t="s">
        <v>199</v>
      </c>
      <c r="CE238" s="4">
        <v>915</v>
      </c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>
        <v>919</v>
      </c>
      <c r="EU238" s="4">
        <v>907</v>
      </c>
      <c r="EV238" s="4">
        <v>901</v>
      </c>
      <c r="EW238" s="4">
        <v>897</v>
      </c>
      <c r="EX238" s="4">
        <v>893</v>
      </c>
      <c r="EY238" s="4">
        <v>888</v>
      </c>
      <c r="EZ238" s="4">
        <v>883</v>
      </c>
      <c r="FA238" s="4">
        <v>878</v>
      </c>
      <c r="FB238" s="4">
        <v>873</v>
      </c>
      <c r="FC238" s="4">
        <v>869</v>
      </c>
      <c r="FD238" s="4">
        <v>865</v>
      </c>
      <c r="FE238" s="4">
        <v>861</v>
      </c>
      <c r="FF238" s="4">
        <v>857</v>
      </c>
      <c r="FG238" s="4">
        <v>853</v>
      </c>
      <c r="FH238" s="4">
        <v>849</v>
      </c>
      <c r="FI238" s="4">
        <v>845</v>
      </c>
      <c r="FJ238" s="4">
        <v>841</v>
      </c>
      <c r="FK238" s="4">
        <v>837</v>
      </c>
      <c r="FL238" s="4">
        <v>834</v>
      </c>
      <c r="FM238" s="4">
        <v>831</v>
      </c>
      <c r="FN238" s="4">
        <v>828</v>
      </c>
      <c r="FO238" s="4">
        <v>825</v>
      </c>
      <c r="FP238" s="4">
        <v>822</v>
      </c>
      <c r="FQ238" s="4">
        <v>819</v>
      </c>
      <c r="FR238" s="4">
        <v>816</v>
      </c>
      <c r="FS238" s="4">
        <v>813</v>
      </c>
      <c r="FT238" s="19">
        <v>153.2</v>
      </c>
      <c r="FU238" s="19">
        <v>181.4</v>
      </c>
      <c r="FV238" s="19">
        <v>225.3</v>
      </c>
      <c r="FW238" s="19">
        <v>179.4</v>
      </c>
      <c r="FX238" s="19">
        <v>178.6</v>
      </c>
      <c r="FY238" s="19">
        <v>177.6</v>
      </c>
      <c r="FZ238" s="19">
        <v>220.8</v>
      </c>
      <c r="GA238" s="19">
        <v>219.5</v>
      </c>
      <c r="GB238" s="19">
        <v>218.3</v>
      </c>
      <c r="GC238" s="19">
        <v>217.3</v>
      </c>
      <c r="GD238" s="19">
        <v>216.3</v>
      </c>
      <c r="GE238" s="19">
        <v>215.3</v>
      </c>
      <c r="GF238" s="19">
        <v>214.3</v>
      </c>
      <c r="GG238" s="19">
        <v>213.3</v>
      </c>
      <c r="GH238" s="19">
        <v>212.3</v>
      </c>
      <c r="GI238" s="19">
        <v>211.3</v>
      </c>
      <c r="GJ238" s="19">
        <v>280.3</v>
      </c>
      <c r="GK238" s="19">
        <v>279</v>
      </c>
      <c r="GL238" s="19">
        <v>278</v>
      </c>
      <c r="GM238" s="19">
        <v>277</v>
      </c>
      <c r="GN238" s="19">
        <v>276</v>
      </c>
      <c r="GO238" s="19">
        <v>275</v>
      </c>
      <c r="GP238" s="19">
        <v>274</v>
      </c>
      <c r="GQ238" s="19">
        <v>273</v>
      </c>
      <c r="GR238" s="19">
        <v>272</v>
      </c>
      <c r="GS238" s="19">
        <v>271</v>
      </c>
    </row>
    <row r="239">
      <c r="A239" s="2" t="s">
        <v>1658</v>
      </c>
      <c r="B239" s="2" t="s">
        <v>245</v>
      </c>
      <c r="C239" s="2" t="s">
        <v>1625</v>
      </c>
      <c r="D239" s="2" t="s">
        <v>247</v>
      </c>
      <c r="E239" s="2" t="s">
        <v>248</v>
      </c>
      <c r="F239" s="2" t="s">
        <v>1626</v>
      </c>
      <c r="G239" s="2" t="s">
        <v>1626</v>
      </c>
      <c r="H239" s="2" t="s">
        <v>1626</v>
      </c>
      <c r="I239" s="2" t="s">
        <v>1627</v>
      </c>
      <c r="J239" s="2" t="s">
        <v>219</v>
      </c>
      <c r="K239" s="2" t="s">
        <v>1649</v>
      </c>
      <c r="L239" s="3">
        <v>22.21</v>
      </c>
      <c r="M239" s="3">
        <v>23.32</v>
      </c>
      <c r="N239" s="3">
        <v>47.99</v>
      </c>
      <c r="O239" s="2" t="s">
        <v>196</v>
      </c>
      <c r="P239" s="2" t="s">
        <v>517</v>
      </c>
      <c r="Q239" s="2" t="s">
        <v>198</v>
      </c>
      <c r="R239" s="2" t="s">
        <v>199</v>
      </c>
      <c r="S239" s="2" t="s">
        <v>1650</v>
      </c>
      <c r="T239" s="2" t="s">
        <v>1546</v>
      </c>
      <c r="U239" s="2" t="s">
        <v>254</v>
      </c>
      <c r="V239" s="2" t="s">
        <v>622</v>
      </c>
      <c r="W239" s="2" t="s">
        <v>203</v>
      </c>
      <c r="X239" s="2" t="s">
        <v>623</v>
      </c>
      <c r="Y239" s="2" t="s">
        <v>1651</v>
      </c>
      <c r="Z239" s="4">
        <v>380</v>
      </c>
      <c r="AA239" s="4">
        <f>=ROUNDDOWN(17.2727272727273,0)</f>
      </c>
      <c r="AB239" s="5">
        <v>22</v>
      </c>
      <c r="AC239" s="2" t="s">
        <v>199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199</v>
      </c>
      <c r="AW239" s="8" t="s">
        <v>199</v>
      </c>
      <c r="AX239" s="4" t="s">
        <v>199</v>
      </c>
      <c r="AY239" s="8" t="s">
        <v>199</v>
      </c>
      <c r="AZ239" s="7" t="s">
        <v>199</v>
      </c>
      <c r="BA239" s="7" t="s">
        <v>199</v>
      </c>
      <c r="BB239" s="7"/>
      <c r="BC239" s="4" t="s">
        <v>199</v>
      </c>
      <c r="BD239" s="8" t="s">
        <v>199</v>
      </c>
      <c r="BE239" s="4" t="s">
        <v>199</v>
      </c>
      <c r="BF239" s="8" t="s">
        <v>199</v>
      </c>
      <c r="BG239" s="7" t="s">
        <v>199</v>
      </c>
      <c r="BH239" s="7" t="s">
        <v>199</v>
      </c>
      <c r="BI239" s="7"/>
      <c r="BJ239" s="4">
        <v>664</v>
      </c>
      <c r="BK239" s="8">
        <v>15772.17</v>
      </c>
      <c r="BL239" s="2" t="s">
        <v>1659</v>
      </c>
      <c r="BM239" s="7"/>
      <c r="BN239" s="7"/>
      <c r="BO239" s="4"/>
      <c r="BP239" s="8"/>
      <c r="BQ239" s="4"/>
      <c r="BR239" s="8"/>
      <c r="BS239" s="7"/>
      <c r="BT239" s="7"/>
      <c r="BU239" s="2" t="s">
        <v>1633</v>
      </c>
      <c r="BV239" s="2" t="s">
        <v>199</v>
      </c>
      <c r="BW239" s="2" t="s">
        <v>199</v>
      </c>
      <c r="BX239" s="2" t="s">
        <v>208</v>
      </c>
      <c r="BY239" s="2" t="s">
        <v>209</v>
      </c>
      <c r="BZ239" s="2" t="s">
        <v>196</v>
      </c>
      <c r="CA239" s="2" t="s">
        <v>1653</v>
      </c>
      <c r="CB239" s="2" t="s">
        <v>1660</v>
      </c>
      <c r="CC239" s="2" t="s">
        <v>212</v>
      </c>
      <c r="CD239" s="2" t="s">
        <v>199</v>
      </c>
      <c r="CE239" s="4">
        <v>380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>
        <v>501</v>
      </c>
      <c r="EU239" s="4">
        <v>407</v>
      </c>
      <c r="EV239" s="4">
        <v>400</v>
      </c>
      <c r="EW239" s="4">
        <v>395</v>
      </c>
      <c r="EX239" s="4">
        <v>390</v>
      </c>
      <c r="EY239" s="4">
        <v>384</v>
      </c>
      <c r="EZ239" s="4">
        <v>378</v>
      </c>
      <c r="FA239" s="4">
        <v>372</v>
      </c>
      <c r="FB239" s="4">
        <v>366</v>
      </c>
      <c r="FC239" s="4">
        <v>361</v>
      </c>
      <c r="FD239" s="4">
        <v>356</v>
      </c>
      <c r="FE239" s="4">
        <v>351</v>
      </c>
      <c r="FF239" s="4">
        <v>346</v>
      </c>
      <c r="FG239" s="4">
        <v>341</v>
      </c>
      <c r="FH239" s="4">
        <v>336</v>
      </c>
      <c r="FI239" s="4">
        <v>331</v>
      </c>
      <c r="FJ239" s="4">
        <v>326</v>
      </c>
      <c r="FK239" s="4">
        <v>321</v>
      </c>
      <c r="FL239" s="4">
        <v>317</v>
      </c>
      <c r="FM239" s="4">
        <v>313</v>
      </c>
      <c r="FN239" s="4">
        <v>309</v>
      </c>
      <c r="FO239" s="4">
        <v>305</v>
      </c>
      <c r="FP239" s="4">
        <v>301</v>
      </c>
      <c r="FQ239" s="4">
        <v>297</v>
      </c>
      <c r="FR239" s="4">
        <v>293</v>
      </c>
      <c r="FS239" s="4">
        <v>289</v>
      </c>
      <c r="FT239" s="19">
        <v>17.9</v>
      </c>
      <c r="FU239" s="19">
        <v>67.8</v>
      </c>
      <c r="FV239" s="19">
        <v>66.7</v>
      </c>
      <c r="FW239" s="19">
        <v>65.8</v>
      </c>
      <c r="FX239" s="19">
        <v>65</v>
      </c>
      <c r="FY239" s="19">
        <v>64</v>
      </c>
      <c r="FZ239" s="19">
        <v>63</v>
      </c>
      <c r="GA239" s="19">
        <v>74.4</v>
      </c>
      <c r="GB239" s="19">
        <v>73.2</v>
      </c>
      <c r="GC239" s="19">
        <v>72.2</v>
      </c>
      <c r="GD239" s="19">
        <v>71.2</v>
      </c>
      <c r="GE239" s="19">
        <v>70.2</v>
      </c>
      <c r="GF239" s="19">
        <v>69.2</v>
      </c>
      <c r="GG239" s="19">
        <v>68.2</v>
      </c>
      <c r="GH239" s="19">
        <v>67.2</v>
      </c>
      <c r="GI239" s="19">
        <v>82.8</v>
      </c>
      <c r="GJ239" s="19">
        <v>81.5</v>
      </c>
      <c r="GK239" s="19">
        <v>80.3</v>
      </c>
      <c r="GL239" s="19">
        <v>79.3</v>
      </c>
      <c r="GM239" s="19">
        <v>78.3</v>
      </c>
      <c r="GN239" s="19">
        <v>77.3</v>
      </c>
      <c r="GO239" s="19">
        <v>76.3</v>
      </c>
      <c r="GP239" s="19">
        <v>75.3</v>
      </c>
      <c r="GQ239" s="19">
        <v>74.3</v>
      </c>
      <c r="GR239" s="19">
        <v>73.3</v>
      </c>
      <c r="GS239" s="19">
        <v>72.3</v>
      </c>
    </row>
    <row r="240">
      <c r="A240" s="2" t="s">
        <v>1661</v>
      </c>
      <c r="B240" s="2" t="s">
        <v>245</v>
      </c>
      <c r="C240" s="2" t="s">
        <v>1625</v>
      </c>
      <c r="D240" s="2" t="s">
        <v>247</v>
      </c>
      <c r="E240" s="2" t="s">
        <v>248</v>
      </c>
      <c r="F240" s="2" t="s">
        <v>1626</v>
      </c>
      <c r="G240" s="2" t="s">
        <v>1626</v>
      </c>
      <c r="H240" s="2" t="s">
        <v>1626</v>
      </c>
      <c r="I240" s="2" t="s">
        <v>1627</v>
      </c>
      <c r="J240" s="2" t="s">
        <v>223</v>
      </c>
      <c r="K240" s="2" t="s">
        <v>1649</v>
      </c>
      <c r="L240" s="3">
        <v>27.39</v>
      </c>
      <c r="M240" s="3">
        <v>28.76</v>
      </c>
      <c r="N240" s="3">
        <v>62.99</v>
      </c>
      <c r="O240" s="2" t="s">
        <v>196</v>
      </c>
      <c r="P240" s="2" t="s">
        <v>197</v>
      </c>
      <c r="Q240" s="2" t="s">
        <v>198</v>
      </c>
      <c r="R240" s="2" t="s">
        <v>199</v>
      </c>
      <c r="S240" s="2" t="s">
        <v>1650</v>
      </c>
      <c r="T240" s="2" t="s">
        <v>1546</v>
      </c>
      <c r="U240" s="2" t="s">
        <v>254</v>
      </c>
      <c r="V240" s="2" t="s">
        <v>622</v>
      </c>
      <c r="W240" s="2" t="s">
        <v>203</v>
      </c>
      <c r="X240" s="2" t="s">
        <v>623</v>
      </c>
      <c r="Y240" s="2" t="s">
        <v>1651</v>
      </c>
      <c r="Z240" s="4">
        <v>289</v>
      </c>
      <c r="AA240" s="4">
        <f>=ROUNDDOWN(28.9,0)</f>
      </c>
      <c r="AB240" s="5">
        <v>10</v>
      </c>
      <c r="AC240" s="2" t="s">
        <v>199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199</v>
      </c>
      <c r="AW240" s="8" t="s">
        <v>199</v>
      </c>
      <c r="AX240" s="4" t="s">
        <v>199</v>
      </c>
      <c r="AY240" s="8" t="s">
        <v>199</v>
      </c>
      <c r="AZ240" s="7" t="s">
        <v>199</v>
      </c>
      <c r="BA240" s="7" t="s">
        <v>199</v>
      </c>
      <c r="BB240" s="7"/>
      <c r="BC240" s="4" t="s">
        <v>199</v>
      </c>
      <c r="BD240" s="8" t="s">
        <v>199</v>
      </c>
      <c r="BE240" s="4" t="s">
        <v>199</v>
      </c>
      <c r="BF240" s="8" t="s">
        <v>199</v>
      </c>
      <c r="BG240" s="7" t="s">
        <v>199</v>
      </c>
      <c r="BH240" s="7" t="s">
        <v>199</v>
      </c>
      <c r="BI240" s="7"/>
      <c r="BJ240" s="4">
        <v>164</v>
      </c>
      <c r="BK240" s="8">
        <v>4766.73</v>
      </c>
      <c r="BL240" s="2" t="s">
        <v>1659</v>
      </c>
      <c r="BM240" s="7"/>
      <c r="BN240" s="7"/>
      <c r="BO240" s="4"/>
      <c r="BP240" s="8"/>
      <c r="BQ240" s="4"/>
      <c r="BR240" s="8"/>
      <c r="BS240" s="7"/>
      <c r="BT240" s="7"/>
      <c r="BU240" s="2" t="s">
        <v>1633</v>
      </c>
      <c r="BV240" s="2" t="s">
        <v>199</v>
      </c>
      <c r="BW240" s="2" t="s">
        <v>199</v>
      </c>
      <c r="BX240" s="2" t="s">
        <v>208</v>
      </c>
      <c r="BY240" s="2" t="s">
        <v>209</v>
      </c>
      <c r="BZ240" s="2" t="s">
        <v>196</v>
      </c>
      <c r="CA240" s="2" t="s">
        <v>1653</v>
      </c>
      <c r="CB240" s="2" t="s">
        <v>1662</v>
      </c>
      <c r="CC240" s="2" t="s">
        <v>212</v>
      </c>
      <c r="CD240" s="2" t="s">
        <v>199</v>
      </c>
      <c r="CE240" s="4">
        <v>289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>
        <v>352</v>
      </c>
      <c r="EU240" s="4">
        <v>300</v>
      </c>
      <c r="EV240" s="4">
        <v>297</v>
      </c>
      <c r="EW240" s="4">
        <v>295</v>
      </c>
      <c r="EX240" s="4">
        <v>293</v>
      </c>
      <c r="EY240" s="4">
        <v>290</v>
      </c>
      <c r="EZ240" s="4">
        <v>287</v>
      </c>
      <c r="FA240" s="4">
        <v>284</v>
      </c>
      <c r="FB240" s="4">
        <v>281</v>
      </c>
      <c r="FC240" s="4">
        <v>279</v>
      </c>
      <c r="FD240" s="4">
        <v>277</v>
      </c>
      <c r="FE240" s="4">
        <v>275</v>
      </c>
      <c r="FF240" s="4">
        <v>272</v>
      </c>
      <c r="FG240" s="4">
        <v>268</v>
      </c>
      <c r="FH240" s="4">
        <v>264</v>
      </c>
      <c r="FI240" s="4">
        <v>260</v>
      </c>
      <c r="FJ240" s="4">
        <v>256</v>
      </c>
      <c r="FK240" s="4">
        <v>252</v>
      </c>
      <c r="FL240" s="4">
        <v>248</v>
      </c>
      <c r="FM240" s="4">
        <v>244</v>
      </c>
      <c r="FN240" s="4">
        <v>240</v>
      </c>
      <c r="FO240" s="4">
        <v>236</v>
      </c>
      <c r="FP240" s="4">
        <v>232</v>
      </c>
      <c r="FQ240" s="4">
        <v>228</v>
      </c>
      <c r="FR240" s="4">
        <v>224</v>
      </c>
      <c r="FS240" s="4">
        <v>220</v>
      </c>
      <c r="FT240" s="19">
        <v>23.5</v>
      </c>
      <c r="FU240" s="19">
        <v>150</v>
      </c>
      <c r="FV240" s="19">
        <v>148.5</v>
      </c>
      <c r="FW240" s="19">
        <v>98.3</v>
      </c>
      <c r="FX240" s="19">
        <v>97.7</v>
      </c>
      <c r="FY240" s="19">
        <v>96.7</v>
      </c>
      <c r="FZ240" s="19">
        <v>143.5</v>
      </c>
      <c r="GA240" s="19">
        <v>142</v>
      </c>
      <c r="GB240" s="19">
        <v>140.5</v>
      </c>
      <c r="GC240" s="19">
        <v>93</v>
      </c>
      <c r="GD240" s="19">
        <v>92.3</v>
      </c>
      <c r="GE240" s="19">
        <v>68.8</v>
      </c>
      <c r="GF240" s="19">
        <v>68</v>
      </c>
      <c r="GG240" s="19">
        <v>67</v>
      </c>
      <c r="GH240" s="19">
        <v>66</v>
      </c>
      <c r="GI240" s="19">
        <v>65</v>
      </c>
      <c r="GJ240" s="19">
        <v>64</v>
      </c>
      <c r="GK240" s="19">
        <v>63</v>
      </c>
      <c r="GL240" s="19">
        <v>62</v>
      </c>
      <c r="GM240" s="19">
        <v>61</v>
      </c>
      <c r="GN240" s="19">
        <v>60</v>
      </c>
      <c r="GO240" s="19">
        <v>59</v>
      </c>
      <c r="GP240" s="19">
        <v>58</v>
      </c>
      <c r="GQ240" s="19">
        <v>57</v>
      </c>
      <c r="GR240" s="19">
        <v>56</v>
      </c>
      <c r="GS240" s="19">
        <v>55</v>
      </c>
    </row>
    <row r="241">
      <c r="A241" s="2" t="s">
        <v>1663</v>
      </c>
      <c r="B241" s="2" t="s">
        <v>245</v>
      </c>
      <c r="C241" s="2" t="s">
        <v>1625</v>
      </c>
      <c r="D241" s="2" t="s">
        <v>247</v>
      </c>
      <c r="E241" s="2" t="s">
        <v>248</v>
      </c>
      <c r="F241" s="2" t="s">
        <v>1626</v>
      </c>
      <c r="G241" s="2" t="s">
        <v>1626</v>
      </c>
      <c r="H241" s="2" t="s">
        <v>1626</v>
      </c>
      <c r="I241" s="2" t="s">
        <v>1627</v>
      </c>
      <c r="J241" s="2" t="s">
        <v>194</v>
      </c>
      <c r="K241" s="2" t="s">
        <v>1664</v>
      </c>
      <c r="L241" s="3">
        <v>14.89</v>
      </c>
      <c r="M241" s="3">
        <v>15.63</v>
      </c>
      <c r="N241" s="3">
        <v>31.99</v>
      </c>
      <c r="O241" s="2" t="s">
        <v>196</v>
      </c>
      <c r="P241" s="2" t="s">
        <v>197</v>
      </c>
      <c r="Q241" s="2" t="s">
        <v>198</v>
      </c>
      <c r="R241" s="2" t="s">
        <v>199</v>
      </c>
      <c r="S241" s="2" t="s">
        <v>1665</v>
      </c>
      <c r="T241" s="2" t="s">
        <v>1546</v>
      </c>
      <c r="U241" s="2" t="s">
        <v>637</v>
      </c>
      <c r="V241" s="2" t="s">
        <v>1547</v>
      </c>
      <c r="W241" s="2" t="s">
        <v>203</v>
      </c>
      <c r="X241" s="2" t="s">
        <v>1014</v>
      </c>
      <c r="Y241" s="2" t="s">
        <v>1631</v>
      </c>
      <c r="Z241" s="4"/>
      <c r="AA241" s="4">
        <f>=ROUNDDOWN({0},0)</f>
      </c>
      <c r="AB241" s="5">
        <v>46</v>
      </c>
      <c r="AC241" s="2" t="s">
        <v>1666</v>
      </c>
      <c r="AD241" s="4">
        <v>262</v>
      </c>
      <c r="AE241" s="4">
        <v>362</v>
      </c>
      <c r="AF241" s="6">
        <v>65</v>
      </c>
      <c r="AG241" s="6"/>
      <c r="AH241" s="7">
        <v>0.2258</v>
      </c>
      <c r="AI241" s="4"/>
      <c r="AJ241" s="4">
        <f>=ROUNDDOWN({0},0)</f>
      </c>
      <c r="AK241" s="5"/>
      <c r="AL241" s="2" t="s">
        <v>199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199</v>
      </c>
      <c r="AW241" s="8" t="s">
        <v>199</v>
      </c>
      <c r="AX241" s="4" t="s">
        <v>199</v>
      </c>
      <c r="AY241" s="8" t="s">
        <v>199</v>
      </c>
      <c r="AZ241" s="7" t="s">
        <v>199</v>
      </c>
      <c r="BA241" s="7" t="s">
        <v>199</v>
      </c>
      <c r="BB241" s="7"/>
      <c r="BC241" s="4" t="s">
        <v>199</v>
      </c>
      <c r="BD241" s="8" t="s">
        <v>199</v>
      </c>
      <c r="BE241" s="4" t="s">
        <v>199</v>
      </c>
      <c r="BF241" s="8" t="s">
        <v>199</v>
      </c>
      <c r="BG241" s="7" t="s">
        <v>199</v>
      </c>
      <c r="BH241" s="7" t="s">
        <v>199</v>
      </c>
      <c r="BI241" s="7"/>
      <c r="BJ241" s="4">
        <v>106</v>
      </c>
      <c r="BK241" s="8">
        <v>1674.8</v>
      </c>
      <c r="BL241" s="2" t="s">
        <v>684</v>
      </c>
      <c r="BM241" s="7"/>
      <c r="BN241" s="7"/>
      <c r="BO241" s="4"/>
      <c r="BP241" s="8"/>
      <c r="BQ241" s="4"/>
      <c r="BR241" s="8"/>
      <c r="BS241" s="7"/>
      <c r="BT241" s="7"/>
      <c r="BU241" s="2" t="s">
        <v>1633</v>
      </c>
      <c r="BV241" s="2" t="s">
        <v>199</v>
      </c>
      <c r="BW241" s="2" t="s">
        <v>199</v>
      </c>
      <c r="BX241" s="2" t="s">
        <v>208</v>
      </c>
      <c r="BY241" s="2" t="s">
        <v>209</v>
      </c>
      <c r="BZ241" s="2" t="s">
        <v>196</v>
      </c>
      <c r="CA241" s="2" t="s">
        <v>1667</v>
      </c>
      <c r="CB241" s="2" t="s">
        <v>1662</v>
      </c>
      <c r="CC241" s="2" t="s">
        <v>212</v>
      </c>
      <c r="CD241" s="2" t="s">
        <v>199</v>
      </c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>
        <v>262</v>
      </c>
      <c r="DM241" s="4"/>
      <c r="DN241" s="4">
        <v>100</v>
      </c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>
        <v>262</v>
      </c>
      <c r="EZ241" s="4">
        <v>189</v>
      </c>
      <c r="FA241" s="4">
        <v>163</v>
      </c>
      <c r="FB241" s="4">
        <v>137</v>
      </c>
      <c r="FC241" s="4">
        <v>113</v>
      </c>
      <c r="FD241" s="4">
        <v>89</v>
      </c>
      <c r="FE241" s="4">
        <v>69</v>
      </c>
      <c r="FF241" s="4">
        <v>49</v>
      </c>
      <c r="FG241" s="4">
        <v>29</v>
      </c>
      <c r="FH241" s="4">
        <v>9</v>
      </c>
      <c r="FI241" s="4"/>
      <c r="FJ241" s="4"/>
      <c r="FK241" s="4"/>
      <c r="FL241" s="4"/>
      <c r="FM241" s="4">
        <v>229</v>
      </c>
      <c r="FN241" s="4">
        <v>144</v>
      </c>
      <c r="FO241" s="4">
        <v>126</v>
      </c>
      <c r="FP241" s="4">
        <v>108</v>
      </c>
      <c r="FQ241" s="4">
        <v>180</v>
      </c>
      <c r="FR241" s="4">
        <v>162</v>
      </c>
      <c r="FS241" s="4">
        <v>144</v>
      </c>
      <c r="FT241" s="20">
        <v>0</v>
      </c>
      <c r="FU241" s="20">
        <v>0</v>
      </c>
      <c r="FV241" s="20">
        <v>0</v>
      </c>
      <c r="FW241" s="20">
        <v>0</v>
      </c>
      <c r="FX241" s="20">
        <v>0</v>
      </c>
      <c r="FY241" s="19">
        <v>4.2</v>
      </c>
      <c r="FZ241" s="19">
        <v>7.6</v>
      </c>
      <c r="GA241" s="19">
        <v>6.8</v>
      </c>
      <c r="GB241" s="19">
        <v>6.2</v>
      </c>
      <c r="GC241" s="19">
        <v>5.4</v>
      </c>
      <c r="GD241" s="19">
        <v>4.5</v>
      </c>
      <c r="GE241" s="19">
        <v>4.1</v>
      </c>
      <c r="GF241" s="19">
        <v>3.5</v>
      </c>
      <c r="GG241" s="19">
        <v>2.9</v>
      </c>
      <c r="GH241" s="19">
        <v>1.5</v>
      </c>
      <c r="GI241" s="20">
        <v>0</v>
      </c>
      <c r="GJ241" s="20">
        <v>0</v>
      </c>
      <c r="GK241" s="20">
        <v>0</v>
      </c>
      <c r="GL241" s="20">
        <v>0</v>
      </c>
      <c r="GM241" s="19">
        <v>6.5</v>
      </c>
      <c r="GN241" s="19">
        <v>8</v>
      </c>
      <c r="GO241" s="19">
        <v>7</v>
      </c>
      <c r="GP241" s="19">
        <v>6</v>
      </c>
      <c r="GQ241" s="19">
        <v>10</v>
      </c>
      <c r="GR241" s="19">
        <v>8.5</v>
      </c>
      <c r="GS241" s="19">
        <v>7.2</v>
      </c>
    </row>
    <row r="242">
      <c r="A242" s="2" t="s">
        <v>1668</v>
      </c>
      <c r="B242" s="2" t="s">
        <v>245</v>
      </c>
      <c r="C242" s="2" t="s">
        <v>1625</v>
      </c>
      <c r="D242" s="2" t="s">
        <v>247</v>
      </c>
      <c r="E242" s="2" t="s">
        <v>248</v>
      </c>
      <c r="F242" s="2" t="s">
        <v>1626</v>
      </c>
      <c r="G242" s="2" t="s">
        <v>1626</v>
      </c>
      <c r="H242" s="2" t="s">
        <v>1626</v>
      </c>
      <c r="I242" s="2" t="s">
        <v>1627</v>
      </c>
      <c r="J242" s="2" t="s">
        <v>285</v>
      </c>
      <c r="K242" s="2" t="s">
        <v>1664</v>
      </c>
      <c r="L242" s="3">
        <v>19.57</v>
      </c>
      <c r="M242" s="3">
        <v>20.55</v>
      </c>
      <c r="N242" s="3">
        <v>42.99</v>
      </c>
      <c r="O242" s="2" t="s">
        <v>196</v>
      </c>
      <c r="P242" s="2" t="s">
        <v>197</v>
      </c>
      <c r="Q242" s="2" t="s">
        <v>198</v>
      </c>
      <c r="R242" s="2" t="s">
        <v>199</v>
      </c>
      <c r="S242" s="2" t="s">
        <v>1665</v>
      </c>
      <c r="T242" s="2" t="s">
        <v>1546</v>
      </c>
      <c r="U242" s="2" t="s">
        <v>254</v>
      </c>
      <c r="V242" s="2" t="s">
        <v>1547</v>
      </c>
      <c r="W242" s="2" t="s">
        <v>203</v>
      </c>
      <c r="X242" s="2" t="s">
        <v>1014</v>
      </c>
      <c r="Y242" s="2" t="s">
        <v>1631</v>
      </c>
      <c r="Z242" s="4"/>
      <c r="AA242" s="4">
        <f>=ROUNDDOWN({0},0)</f>
      </c>
      <c r="AB242" s="5">
        <v>49</v>
      </c>
      <c r="AC242" s="2" t="s">
        <v>1666</v>
      </c>
      <c r="AD242" s="4">
        <v>147</v>
      </c>
      <c r="AE242" s="4">
        <v>275</v>
      </c>
      <c r="AF242" s="6">
        <v>65</v>
      </c>
      <c r="AG242" s="6"/>
      <c r="AH242" s="7">
        <v>0.0323</v>
      </c>
      <c r="AI242" s="4"/>
      <c r="AJ242" s="4">
        <f>=ROUNDDOWN({0},0)</f>
      </c>
      <c r="AK242" s="5"/>
      <c r="AL242" s="2" t="s">
        <v>199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199</v>
      </c>
      <c r="AW242" s="8" t="s">
        <v>199</v>
      </c>
      <c r="AX242" s="4" t="s">
        <v>199</v>
      </c>
      <c r="AY242" s="8" t="s">
        <v>199</v>
      </c>
      <c r="AZ242" s="7" t="s">
        <v>199</v>
      </c>
      <c r="BA242" s="7" t="s">
        <v>199</v>
      </c>
      <c r="BB242" s="7"/>
      <c r="BC242" s="4" t="s">
        <v>199</v>
      </c>
      <c r="BD242" s="8" t="s">
        <v>199</v>
      </c>
      <c r="BE242" s="4" t="s">
        <v>199</v>
      </c>
      <c r="BF242" s="8" t="s">
        <v>199</v>
      </c>
      <c r="BG242" s="7" t="s">
        <v>199</v>
      </c>
      <c r="BH242" s="7" t="s">
        <v>199</v>
      </c>
      <c r="BI242" s="7"/>
      <c r="BJ242" s="4">
        <v>2</v>
      </c>
      <c r="BK242" s="8">
        <v>42.14</v>
      </c>
      <c r="BL242" s="2" t="s">
        <v>684</v>
      </c>
      <c r="BM242" s="7"/>
      <c r="BN242" s="7"/>
      <c r="BO242" s="4"/>
      <c r="BP242" s="8"/>
      <c r="BQ242" s="4"/>
      <c r="BR242" s="8"/>
      <c r="BS242" s="7"/>
      <c r="BT242" s="7"/>
      <c r="BU242" s="2" t="s">
        <v>1633</v>
      </c>
      <c r="BV242" s="2" t="s">
        <v>199</v>
      </c>
      <c r="BW242" s="2" t="s">
        <v>199</v>
      </c>
      <c r="BX242" s="2" t="s">
        <v>208</v>
      </c>
      <c r="BY242" s="2" t="s">
        <v>209</v>
      </c>
      <c r="BZ242" s="2" t="s">
        <v>196</v>
      </c>
      <c r="CA242" s="2" t="s">
        <v>627</v>
      </c>
      <c r="CB242" s="2" t="s">
        <v>1669</v>
      </c>
      <c r="CC242" s="2" t="s">
        <v>212</v>
      </c>
      <c r="CD242" s="2" t="s">
        <v>199</v>
      </c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>
        <v>147</v>
      </c>
      <c r="DM242" s="4"/>
      <c r="DN242" s="4">
        <v>128</v>
      </c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>
        <v>147</v>
      </c>
      <c r="EZ242" s="4">
        <v>128</v>
      </c>
      <c r="FA242" s="4">
        <v>97</v>
      </c>
      <c r="FB242" s="4">
        <v>68</v>
      </c>
      <c r="FC242" s="4">
        <v>43</v>
      </c>
      <c r="FD242" s="4">
        <v>18</v>
      </c>
      <c r="FE242" s="4"/>
      <c r="FF242" s="4"/>
      <c r="FG242" s="4"/>
      <c r="FH242" s="4"/>
      <c r="FI242" s="4"/>
      <c r="FJ242" s="4"/>
      <c r="FK242" s="4"/>
      <c r="FL242" s="4"/>
      <c r="FM242" s="4">
        <v>264</v>
      </c>
      <c r="FN242" s="4">
        <v>160</v>
      </c>
      <c r="FO242" s="4">
        <v>140</v>
      </c>
      <c r="FP242" s="4">
        <v>120</v>
      </c>
      <c r="FQ242" s="4">
        <v>192</v>
      </c>
      <c r="FR242" s="4">
        <v>172</v>
      </c>
      <c r="FS242" s="4">
        <v>152</v>
      </c>
      <c r="FT242" s="20">
        <v>0</v>
      </c>
      <c r="FU242" s="20">
        <v>0</v>
      </c>
      <c r="FV242" s="20">
        <v>0</v>
      </c>
      <c r="FW242" s="20">
        <v>0</v>
      </c>
      <c r="FX242" s="20">
        <v>0</v>
      </c>
      <c r="FY242" s="19">
        <v>2.5</v>
      </c>
      <c r="FZ242" s="19">
        <v>4.6</v>
      </c>
      <c r="GA242" s="19">
        <v>4</v>
      </c>
      <c r="GB242" s="19">
        <v>3.4</v>
      </c>
      <c r="GC242" s="19">
        <v>2.7</v>
      </c>
      <c r="GD242" s="19">
        <v>1.5</v>
      </c>
      <c r="GE242" s="20">
        <v>0</v>
      </c>
      <c r="GF242" s="20">
        <v>0</v>
      </c>
      <c r="GG242" s="20">
        <v>0</v>
      </c>
      <c r="GH242" s="20">
        <v>0</v>
      </c>
      <c r="GI242" s="20">
        <v>0</v>
      </c>
      <c r="GJ242" s="20">
        <v>0</v>
      </c>
      <c r="GK242" s="20">
        <v>0</v>
      </c>
      <c r="GL242" s="20">
        <v>0</v>
      </c>
      <c r="GM242" s="19">
        <v>6.4</v>
      </c>
      <c r="GN242" s="19">
        <v>8</v>
      </c>
      <c r="GO242" s="19">
        <v>7</v>
      </c>
      <c r="GP242" s="19">
        <v>6</v>
      </c>
      <c r="GQ242" s="19">
        <v>9.6</v>
      </c>
      <c r="GR242" s="19">
        <v>8.2</v>
      </c>
      <c r="GS242" s="19">
        <v>6.9</v>
      </c>
    </row>
    <row r="243">
      <c r="A243" s="2" t="s">
        <v>1670</v>
      </c>
      <c r="B243" s="2" t="s">
        <v>245</v>
      </c>
      <c r="C243" s="2" t="s">
        <v>1625</v>
      </c>
      <c r="D243" s="2" t="s">
        <v>247</v>
      </c>
      <c r="E243" s="2" t="s">
        <v>248</v>
      </c>
      <c r="F243" s="2" t="s">
        <v>1626</v>
      </c>
      <c r="G243" s="2" t="s">
        <v>1626</v>
      </c>
      <c r="H243" s="2" t="s">
        <v>1626</v>
      </c>
      <c r="I243" s="2" t="s">
        <v>1627</v>
      </c>
      <c r="J243" s="2" t="s">
        <v>219</v>
      </c>
      <c r="K243" s="2" t="s">
        <v>1664</v>
      </c>
      <c r="L243" s="3">
        <v>22.21</v>
      </c>
      <c r="M243" s="3">
        <v>23.32</v>
      </c>
      <c r="N243" s="3">
        <v>47.99</v>
      </c>
      <c r="O243" s="2" t="s">
        <v>196</v>
      </c>
      <c r="P243" s="2" t="s">
        <v>621</v>
      </c>
      <c r="Q243" s="2" t="s">
        <v>198</v>
      </c>
      <c r="R243" s="2" t="s">
        <v>199</v>
      </c>
      <c r="S243" s="2" t="s">
        <v>1665</v>
      </c>
      <c r="T243" s="2" t="s">
        <v>1546</v>
      </c>
      <c r="U243" s="2" t="s">
        <v>254</v>
      </c>
      <c r="V243" s="2" t="s">
        <v>1547</v>
      </c>
      <c r="W243" s="2" t="s">
        <v>203</v>
      </c>
      <c r="X243" s="2" t="s">
        <v>1014</v>
      </c>
      <c r="Y243" s="2" t="s">
        <v>1631</v>
      </c>
      <c r="Z243" s="4"/>
      <c r="AA243" s="4">
        <f>=ROUNDDOWN({0},0)</f>
      </c>
      <c r="AB243" s="5">
        <v>38</v>
      </c>
      <c r="AC243" s="2" t="s">
        <v>1666</v>
      </c>
      <c r="AD243" s="4">
        <v>273</v>
      </c>
      <c r="AE243" s="4">
        <v>273</v>
      </c>
      <c r="AF243" s="6">
        <v>65</v>
      </c>
      <c r="AG243" s="6"/>
      <c r="AH243" s="7">
        <v>0.7742</v>
      </c>
      <c r="AI243" s="4"/>
      <c r="AJ243" s="4">
        <f>=ROUNDDOWN({0},0)</f>
      </c>
      <c r="AK243" s="5"/>
      <c r="AL243" s="2" t="s">
        <v>199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199</v>
      </c>
      <c r="AW243" s="8" t="s">
        <v>199</v>
      </c>
      <c r="AX243" s="4" t="s">
        <v>199</v>
      </c>
      <c r="AY243" s="8" t="s">
        <v>199</v>
      </c>
      <c r="AZ243" s="7" t="s">
        <v>199</v>
      </c>
      <c r="BA243" s="7" t="s">
        <v>199</v>
      </c>
      <c r="BB243" s="7"/>
      <c r="BC243" s="4" t="s">
        <v>199</v>
      </c>
      <c r="BD243" s="8" t="s">
        <v>199</v>
      </c>
      <c r="BE243" s="4" t="s">
        <v>199</v>
      </c>
      <c r="BF243" s="8" t="s">
        <v>199</v>
      </c>
      <c r="BG243" s="7" t="s">
        <v>199</v>
      </c>
      <c r="BH243" s="7" t="s">
        <v>199</v>
      </c>
      <c r="BI243" s="7"/>
      <c r="BJ243" s="4">
        <v>152</v>
      </c>
      <c r="BK243" s="8">
        <v>3602.4</v>
      </c>
      <c r="BL243" s="2" t="s">
        <v>684</v>
      </c>
      <c r="BM243" s="7"/>
      <c r="BN243" s="7"/>
      <c r="BO243" s="4"/>
      <c r="BP243" s="8"/>
      <c r="BQ243" s="4"/>
      <c r="BR243" s="8"/>
      <c r="BS243" s="7"/>
      <c r="BT243" s="7"/>
      <c r="BU243" s="2" t="s">
        <v>1633</v>
      </c>
      <c r="BV243" s="2" t="s">
        <v>199</v>
      </c>
      <c r="BW243" s="2" t="s">
        <v>199</v>
      </c>
      <c r="BX243" s="2" t="s">
        <v>208</v>
      </c>
      <c r="BY243" s="2" t="s">
        <v>209</v>
      </c>
      <c r="BZ243" s="2" t="s">
        <v>196</v>
      </c>
      <c r="CA243" s="2" t="s">
        <v>1634</v>
      </c>
      <c r="CB243" s="2" t="s">
        <v>1671</v>
      </c>
      <c r="CC243" s="2" t="s">
        <v>212</v>
      </c>
      <c r="CD243" s="2" t="s">
        <v>199</v>
      </c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>
        <v>273</v>
      </c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>
        <v>273</v>
      </c>
      <c r="EZ243" s="4">
        <v>192</v>
      </c>
      <c r="FA243" s="4">
        <v>171</v>
      </c>
      <c r="FB243" s="4">
        <v>150</v>
      </c>
      <c r="FC243" s="4">
        <v>131</v>
      </c>
      <c r="FD243" s="4">
        <v>112</v>
      </c>
      <c r="FE243" s="4">
        <v>96</v>
      </c>
      <c r="FF243" s="4">
        <v>80</v>
      </c>
      <c r="FG243" s="4">
        <v>64</v>
      </c>
      <c r="FH243" s="4">
        <v>48</v>
      </c>
      <c r="FI243" s="4">
        <v>32</v>
      </c>
      <c r="FJ243" s="4">
        <v>16</v>
      </c>
      <c r="FK243" s="4"/>
      <c r="FL243" s="4"/>
      <c r="FM243" s="4">
        <v>189</v>
      </c>
      <c r="FN243" s="4">
        <v>150</v>
      </c>
      <c r="FO243" s="4">
        <v>135</v>
      </c>
      <c r="FP243" s="4">
        <v>120</v>
      </c>
      <c r="FQ243" s="4">
        <v>181</v>
      </c>
      <c r="FR243" s="4">
        <v>166</v>
      </c>
      <c r="FS243" s="4">
        <v>151</v>
      </c>
      <c r="FT243" s="20">
        <v>0</v>
      </c>
      <c r="FU243" s="20">
        <v>0</v>
      </c>
      <c r="FV243" s="20">
        <v>0</v>
      </c>
      <c r="FW243" s="20">
        <v>0</v>
      </c>
      <c r="FX243" s="20">
        <v>0</v>
      </c>
      <c r="FY243" s="19">
        <v>7.6</v>
      </c>
      <c r="FZ243" s="19">
        <v>9.6</v>
      </c>
      <c r="GA243" s="19">
        <v>9</v>
      </c>
      <c r="GB243" s="19">
        <v>8.3</v>
      </c>
      <c r="GC243" s="19">
        <v>7.7</v>
      </c>
      <c r="GD243" s="19">
        <v>7</v>
      </c>
      <c r="GE243" s="19">
        <v>6</v>
      </c>
      <c r="GF243" s="19">
        <v>5</v>
      </c>
      <c r="GG243" s="19">
        <v>4</v>
      </c>
      <c r="GH243" s="19">
        <v>3.7</v>
      </c>
      <c r="GI243" s="19">
        <v>3.2</v>
      </c>
      <c r="GJ243" s="19">
        <v>1.1</v>
      </c>
      <c r="GK243" s="20">
        <v>0</v>
      </c>
      <c r="GL243" s="20">
        <v>0</v>
      </c>
      <c r="GM243" s="19">
        <v>9</v>
      </c>
      <c r="GN243" s="19">
        <v>10</v>
      </c>
      <c r="GO243" s="19">
        <v>9</v>
      </c>
      <c r="GP243" s="19">
        <v>8</v>
      </c>
      <c r="GQ243" s="19">
        <v>12.1</v>
      </c>
      <c r="GR243" s="19">
        <v>10.4</v>
      </c>
      <c r="GS243" s="19">
        <v>9.4</v>
      </c>
    </row>
    <row r="244">
      <c r="A244" s="2" t="s">
        <v>1672</v>
      </c>
      <c r="B244" s="2" t="s">
        <v>245</v>
      </c>
      <c r="C244" s="2" t="s">
        <v>1625</v>
      </c>
      <c r="D244" s="2" t="s">
        <v>247</v>
      </c>
      <c r="E244" s="2" t="s">
        <v>248</v>
      </c>
      <c r="F244" s="2" t="s">
        <v>1626</v>
      </c>
      <c r="G244" s="2" t="s">
        <v>1626</v>
      </c>
      <c r="H244" s="2" t="s">
        <v>1626</v>
      </c>
      <c r="I244" s="2" t="s">
        <v>1627</v>
      </c>
      <c r="J244" s="2" t="s">
        <v>214</v>
      </c>
      <c r="K244" s="2" t="s">
        <v>1673</v>
      </c>
      <c r="L244" s="3">
        <v>16.16</v>
      </c>
      <c r="M244" s="3">
        <v>16.97</v>
      </c>
      <c r="N244" s="3">
        <v>34.99</v>
      </c>
      <c r="O244" s="2" t="s">
        <v>196</v>
      </c>
      <c r="P244" s="2" t="s">
        <v>197</v>
      </c>
      <c r="Q244" s="2" t="s">
        <v>198</v>
      </c>
      <c r="R244" s="2" t="s">
        <v>199</v>
      </c>
      <c r="S244" s="2" t="s">
        <v>1674</v>
      </c>
      <c r="T244" s="2" t="s">
        <v>1546</v>
      </c>
      <c r="U244" s="2" t="s">
        <v>199</v>
      </c>
      <c r="V244" s="2" t="s">
        <v>638</v>
      </c>
      <c r="W244" s="2" t="s">
        <v>203</v>
      </c>
      <c r="X244" s="2" t="s">
        <v>199</v>
      </c>
      <c r="Y244" s="2" t="s">
        <v>1596</v>
      </c>
      <c r="Z244" s="4">
        <v>835</v>
      </c>
      <c r="AA244" s="4">
        <f>=ROUNDDOWN(83.5,0)</f>
      </c>
      <c r="AB244" s="5">
        <v>10</v>
      </c>
      <c r="AC244" s="2" t="s">
        <v>199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199</v>
      </c>
      <c r="BD244" s="8" t="s">
        <v>199</v>
      </c>
      <c r="BE244" s="4" t="s">
        <v>199</v>
      </c>
      <c r="BF244" s="8" t="s">
        <v>199</v>
      </c>
      <c r="BG244" s="7" t="s">
        <v>199</v>
      </c>
      <c r="BH244" s="7" t="s">
        <v>199</v>
      </c>
      <c r="BI244" s="7"/>
      <c r="BJ244" s="4">
        <v>128</v>
      </c>
      <c r="BK244" s="8">
        <v>2353.08</v>
      </c>
      <c r="BL244" s="2" t="s">
        <v>1675</v>
      </c>
      <c r="BM244" s="7"/>
      <c r="BN244" s="7"/>
      <c r="BO244" s="4"/>
      <c r="BP244" s="8"/>
      <c r="BQ244" s="4"/>
      <c r="BR244" s="8"/>
      <c r="BS244" s="7"/>
      <c r="BT244" s="7"/>
      <c r="BU244" s="2" t="s">
        <v>1633</v>
      </c>
      <c r="BV244" s="2" t="s">
        <v>199</v>
      </c>
      <c r="BW244" s="2" t="s">
        <v>199</v>
      </c>
      <c r="BX244" s="2" t="s">
        <v>208</v>
      </c>
      <c r="BY244" s="2" t="s">
        <v>209</v>
      </c>
      <c r="BZ244" s="2" t="s">
        <v>196</v>
      </c>
      <c r="CA244" s="2" t="s">
        <v>1589</v>
      </c>
      <c r="CB244" s="2" t="s">
        <v>1676</v>
      </c>
      <c r="CC244" s="2" t="s">
        <v>212</v>
      </c>
      <c r="CD244" s="2" t="s">
        <v>199</v>
      </c>
      <c r="CE244" s="4">
        <v>833</v>
      </c>
      <c r="CF244" s="4"/>
      <c r="CG244" s="4"/>
      <c r="CH244" s="4"/>
      <c r="CI244" s="4"/>
      <c r="CJ244" s="4"/>
      <c r="CK244" s="4"/>
      <c r="CL244" s="4">
        <v>2</v>
      </c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>
        <v>892</v>
      </c>
      <c r="EU244" s="4">
        <v>842</v>
      </c>
      <c r="EV244" s="4">
        <v>839</v>
      </c>
      <c r="EW244" s="4">
        <v>837</v>
      </c>
      <c r="EX244" s="4">
        <v>835</v>
      </c>
      <c r="EY244" s="4">
        <v>832</v>
      </c>
      <c r="EZ244" s="4">
        <v>829</v>
      </c>
      <c r="FA244" s="4">
        <v>826</v>
      </c>
      <c r="FB244" s="4">
        <v>823</v>
      </c>
      <c r="FC244" s="4">
        <v>821</v>
      </c>
      <c r="FD244" s="4">
        <v>819</v>
      </c>
      <c r="FE244" s="4">
        <v>817</v>
      </c>
      <c r="FF244" s="4">
        <v>815</v>
      </c>
      <c r="FG244" s="4">
        <v>813</v>
      </c>
      <c r="FH244" s="4">
        <v>811</v>
      </c>
      <c r="FI244" s="4">
        <v>809</v>
      </c>
      <c r="FJ244" s="4">
        <v>807</v>
      </c>
      <c r="FK244" s="4">
        <v>805</v>
      </c>
      <c r="FL244" s="4">
        <v>803</v>
      </c>
      <c r="FM244" s="4">
        <v>801</v>
      </c>
      <c r="FN244" s="4">
        <v>799</v>
      </c>
      <c r="FO244" s="4">
        <v>797</v>
      </c>
      <c r="FP244" s="4">
        <v>795</v>
      </c>
      <c r="FQ244" s="4">
        <v>793</v>
      </c>
      <c r="FR244" s="4">
        <v>791</v>
      </c>
      <c r="FS244" s="4">
        <v>789</v>
      </c>
      <c r="FT244" s="19">
        <v>63.7</v>
      </c>
      <c r="FU244" s="19">
        <v>421</v>
      </c>
      <c r="FV244" s="19">
        <v>419.5</v>
      </c>
      <c r="FW244" s="19">
        <v>279</v>
      </c>
      <c r="FX244" s="19">
        <v>278.3</v>
      </c>
      <c r="FY244" s="19">
        <v>277.3</v>
      </c>
      <c r="FZ244" s="19">
        <v>414.5</v>
      </c>
      <c r="GA244" s="19">
        <v>413</v>
      </c>
      <c r="GB244" s="19">
        <v>411.5</v>
      </c>
      <c r="GC244" s="19">
        <v>410.5</v>
      </c>
      <c r="GD244" s="19">
        <v>409.5</v>
      </c>
      <c r="GE244" s="19">
        <v>408.5</v>
      </c>
      <c r="GF244" s="19">
        <v>407.5</v>
      </c>
      <c r="GG244" s="19">
        <v>406.5</v>
      </c>
      <c r="GH244" s="19">
        <v>405.5</v>
      </c>
      <c r="GI244" s="19">
        <v>404.5</v>
      </c>
      <c r="GJ244" s="19">
        <v>403.5</v>
      </c>
      <c r="GK244" s="19">
        <v>402.5</v>
      </c>
      <c r="GL244" s="19">
        <v>401.5</v>
      </c>
      <c r="GM244" s="19">
        <v>400.5</v>
      </c>
      <c r="GN244" s="19">
        <v>399.5</v>
      </c>
      <c r="GO244" s="19">
        <v>398.5</v>
      </c>
      <c r="GP244" s="19">
        <v>397.5</v>
      </c>
      <c r="GQ244" s="19">
        <v>396.5</v>
      </c>
      <c r="GR244" s="19">
        <v>395.5</v>
      </c>
      <c r="GS244" s="19">
        <v>394.5</v>
      </c>
    </row>
    <row r="245">
      <c r="A245" s="2" t="s">
        <v>1677</v>
      </c>
      <c r="B245" s="2" t="s">
        <v>245</v>
      </c>
      <c r="C245" s="2" t="s">
        <v>1625</v>
      </c>
      <c r="D245" s="2" t="s">
        <v>247</v>
      </c>
      <c r="E245" s="2" t="s">
        <v>248</v>
      </c>
      <c r="F245" s="2" t="s">
        <v>1626</v>
      </c>
      <c r="G245" s="2" t="s">
        <v>1626</v>
      </c>
      <c r="H245" s="2" t="s">
        <v>1626</v>
      </c>
      <c r="I245" s="2" t="s">
        <v>1627</v>
      </c>
      <c r="J245" s="2" t="s">
        <v>194</v>
      </c>
      <c r="K245" s="2" t="s">
        <v>1678</v>
      </c>
      <c r="L245" s="3">
        <v>14.89</v>
      </c>
      <c r="M245" s="3">
        <v>15.63</v>
      </c>
      <c r="N245" s="3">
        <v>31.99</v>
      </c>
      <c r="O245" s="2" t="s">
        <v>196</v>
      </c>
      <c r="P245" s="2" t="s">
        <v>621</v>
      </c>
      <c r="Q245" s="2" t="s">
        <v>198</v>
      </c>
      <c r="R245" s="2" t="s">
        <v>199</v>
      </c>
      <c r="S245" s="2" t="s">
        <v>1679</v>
      </c>
      <c r="T245" s="2" t="s">
        <v>1546</v>
      </c>
      <c r="U245" s="2" t="s">
        <v>199</v>
      </c>
      <c r="V245" s="2" t="s">
        <v>1547</v>
      </c>
      <c r="W245" s="2" t="s">
        <v>203</v>
      </c>
      <c r="X245" s="2" t="s">
        <v>199</v>
      </c>
      <c r="Y245" s="2" t="s">
        <v>1587</v>
      </c>
      <c r="Z245" s="4">
        <v>30</v>
      </c>
      <c r="AA245" s="4">
        <f>=ROUNDDOWN(1.30434782608696,0)</f>
      </c>
      <c r="AB245" s="5">
        <v>23</v>
      </c>
      <c r="AC245" s="2" t="s">
        <v>199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199</v>
      </c>
      <c r="BD245" s="8" t="s">
        <v>199</v>
      </c>
      <c r="BE245" s="4" t="s">
        <v>199</v>
      </c>
      <c r="BF245" s="8" t="s">
        <v>199</v>
      </c>
      <c r="BG245" s="7" t="s">
        <v>199</v>
      </c>
      <c r="BH245" s="7" t="s">
        <v>199</v>
      </c>
      <c r="BI245" s="7"/>
      <c r="BJ245" s="4">
        <v>262</v>
      </c>
      <c r="BK245" s="8">
        <v>4304.07</v>
      </c>
      <c r="BL245" s="2" t="s">
        <v>1680</v>
      </c>
      <c r="BM245" s="7"/>
      <c r="BN245" s="7"/>
      <c r="BO245" s="4"/>
      <c r="BP245" s="8"/>
      <c r="BQ245" s="4"/>
      <c r="BR245" s="8"/>
      <c r="BS245" s="7"/>
      <c r="BT245" s="7"/>
      <c r="BU245" s="2" t="s">
        <v>1633</v>
      </c>
      <c r="BV245" s="2" t="s">
        <v>199</v>
      </c>
      <c r="BW245" s="2" t="s">
        <v>199</v>
      </c>
      <c r="BX245" s="2" t="s">
        <v>208</v>
      </c>
      <c r="BY245" s="2" t="s">
        <v>209</v>
      </c>
      <c r="BZ245" s="2" t="s">
        <v>196</v>
      </c>
      <c r="CA245" s="2" t="s">
        <v>1589</v>
      </c>
      <c r="CB245" s="2" t="s">
        <v>1608</v>
      </c>
      <c r="CC245" s="2" t="s">
        <v>212</v>
      </c>
      <c r="CD245" s="2" t="s">
        <v>199</v>
      </c>
      <c r="CE245" s="4">
        <v>6</v>
      </c>
      <c r="CF245" s="4"/>
      <c r="CG245" s="4"/>
      <c r="CH245" s="4"/>
      <c r="CI245" s="4"/>
      <c r="CJ245" s="4"/>
      <c r="CK245" s="4"/>
      <c r="CL245" s="4">
        <v>24</v>
      </c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>
        <v>212</v>
      </c>
      <c r="EU245" s="4">
        <v>190</v>
      </c>
      <c r="EV245" s="4">
        <v>179</v>
      </c>
      <c r="EW245" s="4">
        <v>171</v>
      </c>
      <c r="EX245" s="4">
        <v>166</v>
      </c>
      <c r="EY245" s="4">
        <v>160</v>
      </c>
      <c r="EZ245" s="4">
        <v>154</v>
      </c>
      <c r="FA245" s="4">
        <v>148</v>
      </c>
      <c r="FB245" s="4">
        <v>142</v>
      </c>
      <c r="FC245" s="4">
        <v>138</v>
      </c>
      <c r="FD245" s="4">
        <v>134</v>
      </c>
      <c r="FE245" s="4">
        <v>130</v>
      </c>
      <c r="FF245" s="4">
        <v>126</v>
      </c>
      <c r="FG245" s="4">
        <v>122</v>
      </c>
      <c r="FH245" s="4">
        <v>118</v>
      </c>
      <c r="FI245" s="4">
        <v>114</v>
      </c>
      <c r="FJ245" s="4">
        <v>110</v>
      </c>
      <c r="FK245" s="4">
        <v>106</v>
      </c>
      <c r="FL245" s="4">
        <v>103</v>
      </c>
      <c r="FM245" s="4">
        <v>100</v>
      </c>
      <c r="FN245" s="4">
        <v>97</v>
      </c>
      <c r="FO245" s="4">
        <v>94</v>
      </c>
      <c r="FP245" s="4">
        <v>91</v>
      </c>
      <c r="FQ245" s="4">
        <v>88</v>
      </c>
      <c r="FR245" s="4">
        <v>85</v>
      </c>
      <c r="FS245" s="4">
        <v>82</v>
      </c>
      <c r="FT245" s="19">
        <v>17.7</v>
      </c>
      <c r="FU245" s="19">
        <v>23.8</v>
      </c>
      <c r="FV245" s="19">
        <v>29.8</v>
      </c>
      <c r="FW245" s="19">
        <v>28.5</v>
      </c>
      <c r="FX245" s="19">
        <v>27.7</v>
      </c>
      <c r="FY245" s="19">
        <v>26.7</v>
      </c>
      <c r="FZ245" s="19">
        <v>30.8</v>
      </c>
      <c r="GA245" s="19">
        <v>37</v>
      </c>
      <c r="GB245" s="19">
        <v>35.5</v>
      </c>
      <c r="GC245" s="19">
        <v>34.5</v>
      </c>
      <c r="GD245" s="19">
        <v>33.5</v>
      </c>
      <c r="GE245" s="19">
        <v>32.5</v>
      </c>
      <c r="GF245" s="19">
        <v>31.5</v>
      </c>
      <c r="GG245" s="19">
        <v>30.5</v>
      </c>
      <c r="GH245" s="19">
        <v>29.5</v>
      </c>
      <c r="GI245" s="19">
        <v>28.5</v>
      </c>
      <c r="GJ245" s="19">
        <v>36.7</v>
      </c>
      <c r="GK245" s="19">
        <v>35.3</v>
      </c>
      <c r="GL245" s="19">
        <v>34.3</v>
      </c>
      <c r="GM245" s="19">
        <v>33.3</v>
      </c>
      <c r="GN245" s="19">
        <v>32.3</v>
      </c>
      <c r="GO245" s="19">
        <v>31.3</v>
      </c>
      <c r="GP245" s="19">
        <v>30.3</v>
      </c>
      <c r="GQ245" s="19">
        <v>29.3</v>
      </c>
      <c r="GR245" s="19">
        <v>28.3</v>
      </c>
      <c r="GS245" s="19">
        <v>27.3</v>
      </c>
    </row>
    <row r="246">
      <c r="A246" s="2" t="s">
        <v>1681</v>
      </c>
      <c r="B246" s="2" t="s">
        <v>245</v>
      </c>
      <c r="C246" s="2" t="s">
        <v>1625</v>
      </c>
      <c r="D246" s="2" t="s">
        <v>247</v>
      </c>
      <c r="E246" s="2" t="s">
        <v>248</v>
      </c>
      <c r="F246" s="2" t="s">
        <v>1626</v>
      </c>
      <c r="G246" s="2" t="s">
        <v>1626</v>
      </c>
      <c r="H246" s="2" t="s">
        <v>1626</v>
      </c>
      <c r="I246" s="2" t="s">
        <v>1627</v>
      </c>
      <c r="J246" s="2" t="s">
        <v>285</v>
      </c>
      <c r="K246" s="2" t="s">
        <v>1682</v>
      </c>
      <c r="L246" s="3">
        <v>19.57</v>
      </c>
      <c r="M246" s="3">
        <v>20.55</v>
      </c>
      <c r="N246" s="3">
        <v>42.99</v>
      </c>
      <c r="O246" s="2" t="s">
        <v>196</v>
      </c>
      <c r="P246" s="2" t="s">
        <v>517</v>
      </c>
      <c r="Q246" s="2" t="s">
        <v>198</v>
      </c>
      <c r="R246" s="2" t="s">
        <v>199</v>
      </c>
      <c r="S246" s="2" t="s">
        <v>1683</v>
      </c>
      <c r="T246" s="2" t="s">
        <v>1546</v>
      </c>
      <c r="U246" s="2" t="s">
        <v>199</v>
      </c>
      <c r="V246" s="2" t="s">
        <v>202</v>
      </c>
      <c r="W246" s="2" t="s">
        <v>203</v>
      </c>
      <c r="X246" s="2" t="s">
        <v>199</v>
      </c>
      <c r="Y246" s="2" t="s">
        <v>204</v>
      </c>
      <c r="Z246" s="4">
        <v>873</v>
      </c>
      <c r="AA246" s="4">
        <f>=ROUNDDOWN(39.6818181818182,0)</f>
      </c>
      <c r="AB246" s="5">
        <v>22</v>
      </c>
      <c r="AC246" s="2" t="s">
        <v>199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199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199</v>
      </c>
      <c r="BD246" s="8" t="s">
        <v>199</v>
      </c>
      <c r="BE246" s="4" t="s">
        <v>199</v>
      </c>
      <c r="BF246" s="8" t="s">
        <v>199</v>
      </c>
      <c r="BG246" s="7" t="s">
        <v>199</v>
      </c>
      <c r="BH246" s="7" t="s">
        <v>199</v>
      </c>
      <c r="BI246" s="7"/>
      <c r="BJ246" s="4">
        <v>107</v>
      </c>
      <c r="BK246" s="8">
        <v>2333.55</v>
      </c>
      <c r="BL246" s="2" t="s">
        <v>1684</v>
      </c>
      <c r="BM246" s="7"/>
      <c r="BN246" s="7"/>
      <c r="BO246" s="4"/>
      <c r="BP246" s="8"/>
      <c r="BQ246" s="4"/>
      <c r="BR246" s="8"/>
      <c r="BS246" s="7"/>
      <c r="BT246" s="7"/>
      <c r="BU246" s="2" t="s">
        <v>1633</v>
      </c>
      <c r="BV246" s="2" t="s">
        <v>199</v>
      </c>
      <c r="BW246" s="2" t="s">
        <v>199</v>
      </c>
      <c r="BX246" s="2" t="s">
        <v>208</v>
      </c>
      <c r="BY246" s="2" t="s">
        <v>209</v>
      </c>
      <c r="BZ246" s="2" t="s">
        <v>196</v>
      </c>
      <c r="CA246" s="2" t="s">
        <v>1685</v>
      </c>
      <c r="CB246" s="2" t="s">
        <v>624</v>
      </c>
      <c r="CC246" s="2" t="s">
        <v>212</v>
      </c>
      <c r="CD246" s="2" t="s">
        <v>199</v>
      </c>
      <c r="CE246" s="4">
        <v>873</v>
      </c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>
        <v>903</v>
      </c>
      <c r="EU246" s="4">
        <v>876</v>
      </c>
      <c r="EV246" s="4">
        <v>867</v>
      </c>
      <c r="EW246" s="4">
        <v>860</v>
      </c>
      <c r="EX246" s="4">
        <v>853</v>
      </c>
      <c r="EY246" s="4">
        <v>845</v>
      </c>
      <c r="EZ246" s="4">
        <v>837</v>
      </c>
      <c r="FA246" s="4">
        <v>829</v>
      </c>
      <c r="FB246" s="4">
        <v>821</v>
      </c>
      <c r="FC246" s="4">
        <v>815</v>
      </c>
      <c r="FD246" s="4">
        <v>809</v>
      </c>
      <c r="FE246" s="4">
        <v>803</v>
      </c>
      <c r="FF246" s="4">
        <v>797</v>
      </c>
      <c r="FG246" s="4">
        <v>791</v>
      </c>
      <c r="FH246" s="4">
        <v>785</v>
      </c>
      <c r="FI246" s="4">
        <v>779</v>
      </c>
      <c r="FJ246" s="4">
        <v>773</v>
      </c>
      <c r="FK246" s="4">
        <v>767</v>
      </c>
      <c r="FL246" s="4">
        <v>763</v>
      </c>
      <c r="FM246" s="4">
        <v>759</v>
      </c>
      <c r="FN246" s="4">
        <v>755</v>
      </c>
      <c r="FO246" s="4">
        <v>751</v>
      </c>
      <c r="FP246" s="4">
        <v>747</v>
      </c>
      <c r="FQ246" s="4">
        <v>743</v>
      </c>
      <c r="FR246" s="4">
        <v>739</v>
      </c>
      <c r="FS246" s="4">
        <v>735</v>
      </c>
      <c r="FT246" s="19">
        <v>75.3</v>
      </c>
      <c r="FU246" s="19">
        <v>109.5</v>
      </c>
      <c r="FV246" s="19">
        <v>108.4</v>
      </c>
      <c r="FW246" s="19">
        <v>107.5</v>
      </c>
      <c r="FX246" s="19">
        <v>106.6</v>
      </c>
      <c r="FY246" s="19">
        <v>105.6</v>
      </c>
      <c r="FZ246" s="19">
        <v>119.6</v>
      </c>
      <c r="GA246" s="19">
        <v>138.2</v>
      </c>
      <c r="GB246" s="19">
        <v>136.8</v>
      </c>
      <c r="GC246" s="19">
        <v>135.8</v>
      </c>
      <c r="GD246" s="19">
        <v>134.8</v>
      </c>
      <c r="GE246" s="19">
        <v>133.8</v>
      </c>
      <c r="GF246" s="19">
        <v>132.8</v>
      </c>
      <c r="GG246" s="19">
        <v>131.8</v>
      </c>
      <c r="GH246" s="19">
        <v>130.8</v>
      </c>
      <c r="GI246" s="19">
        <v>155.8</v>
      </c>
      <c r="GJ246" s="19">
        <v>193.3</v>
      </c>
      <c r="GK246" s="19">
        <v>191.8</v>
      </c>
      <c r="GL246" s="19">
        <v>190.8</v>
      </c>
      <c r="GM246" s="19">
        <v>189.8</v>
      </c>
      <c r="GN246" s="19">
        <v>188.8</v>
      </c>
      <c r="GO246" s="19">
        <v>187.8</v>
      </c>
      <c r="GP246" s="19">
        <v>186.8</v>
      </c>
      <c r="GQ246" s="19">
        <v>185.8</v>
      </c>
      <c r="GR246" s="19">
        <v>184.8</v>
      </c>
      <c r="GS246" s="19">
        <v>183.8</v>
      </c>
    </row>
    <row r="247">
      <c r="A247" s="2" t="s">
        <v>1686</v>
      </c>
      <c r="B247" s="2" t="s">
        <v>245</v>
      </c>
      <c r="C247" s="2" t="s">
        <v>1625</v>
      </c>
      <c r="D247" s="2" t="s">
        <v>247</v>
      </c>
      <c r="E247" s="2" t="s">
        <v>248</v>
      </c>
      <c r="F247" s="2" t="s">
        <v>1626</v>
      </c>
      <c r="G247" s="2" t="s">
        <v>1626</v>
      </c>
      <c r="H247" s="2" t="s">
        <v>1626</v>
      </c>
      <c r="I247" s="2" t="s">
        <v>1627</v>
      </c>
      <c r="J247" s="2" t="s">
        <v>285</v>
      </c>
      <c r="K247" s="2" t="s">
        <v>1687</v>
      </c>
      <c r="L247" s="3">
        <v>19.57</v>
      </c>
      <c r="M247" s="3">
        <v>20.55</v>
      </c>
      <c r="N247" s="3">
        <v>42.99</v>
      </c>
      <c r="O247" s="2" t="s">
        <v>196</v>
      </c>
      <c r="P247" s="2" t="s">
        <v>197</v>
      </c>
      <c r="Q247" s="2" t="s">
        <v>198</v>
      </c>
      <c r="R247" s="2" t="s">
        <v>199</v>
      </c>
      <c r="S247" s="2" t="s">
        <v>1688</v>
      </c>
      <c r="T247" s="2" t="s">
        <v>1546</v>
      </c>
      <c r="U247" s="2" t="s">
        <v>254</v>
      </c>
      <c r="V247" s="2" t="s">
        <v>1547</v>
      </c>
      <c r="W247" s="2" t="s">
        <v>1014</v>
      </c>
      <c r="X247" s="2" t="s">
        <v>203</v>
      </c>
      <c r="Y247" s="2" t="s">
        <v>1689</v>
      </c>
      <c r="Z247" s="4">
        <v>150</v>
      </c>
      <c r="AA247" s="4">
        <f>=ROUNDDOWN(15,0)</f>
      </c>
      <c r="AB247" s="5">
        <v>10</v>
      </c>
      <c r="AC247" s="2" t="s">
        <v>199</v>
      </c>
      <c r="AD247" s="4"/>
      <c r="AE247" s="4"/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199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199</v>
      </c>
      <c r="AW247" s="8" t="s">
        <v>199</v>
      </c>
      <c r="AX247" s="4" t="s">
        <v>199</v>
      </c>
      <c r="AY247" s="8" t="s">
        <v>199</v>
      </c>
      <c r="AZ247" s="7" t="s">
        <v>199</v>
      </c>
      <c r="BA247" s="7" t="s">
        <v>199</v>
      </c>
      <c r="BB247" s="7"/>
      <c r="BC247" s="4" t="s">
        <v>199</v>
      </c>
      <c r="BD247" s="8" t="s">
        <v>199</v>
      </c>
      <c r="BE247" s="4" t="s">
        <v>199</v>
      </c>
      <c r="BF247" s="8" t="s">
        <v>199</v>
      </c>
      <c r="BG247" s="7" t="s">
        <v>199</v>
      </c>
      <c r="BH247" s="7" t="s">
        <v>199</v>
      </c>
      <c r="BI247" s="7"/>
      <c r="BJ247" s="4">
        <v>165</v>
      </c>
      <c r="BK247" s="8">
        <v>3780.16</v>
      </c>
      <c r="BL247" s="2" t="s">
        <v>1690</v>
      </c>
      <c r="BM247" s="7"/>
      <c r="BN247" s="7"/>
      <c r="BO247" s="4"/>
      <c r="BP247" s="8"/>
      <c r="BQ247" s="4"/>
      <c r="BR247" s="8"/>
      <c r="BS247" s="7"/>
      <c r="BT247" s="7"/>
      <c r="BU247" s="2" t="s">
        <v>1633</v>
      </c>
      <c r="BV247" s="2" t="s">
        <v>199</v>
      </c>
      <c r="BW247" s="2" t="s">
        <v>199</v>
      </c>
      <c r="BX247" s="2" t="s">
        <v>208</v>
      </c>
      <c r="BY247" s="2" t="s">
        <v>209</v>
      </c>
      <c r="BZ247" s="2" t="s">
        <v>196</v>
      </c>
      <c r="CA247" s="2" t="s">
        <v>901</v>
      </c>
      <c r="CB247" s="2" t="s">
        <v>1691</v>
      </c>
      <c r="CC247" s="2" t="s">
        <v>212</v>
      </c>
      <c r="CD247" s="2" t="s">
        <v>199</v>
      </c>
      <c r="CE247" s="4">
        <v>150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>
        <v>156</v>
      </c>
      <c r="EU247" s="4">
        <v>148</v>
      </c>
      <c r="EV247" s="4">
        <v>143</v>
      </c>
      <c r="EW247" s="4">
        <v>139</v>
      </c>
      <c r="EX247" s="4">
        <v>135</v>
      </c>
      <c r="EY247" s="4">
        <v>131</v>
      </c>
      <c r="EZ247" s="4">
        <v>127</v>
      </c>
      <c r="FA247" s="4">
        <v>123</v>
      </c>
      <c r="FB247" s="4">
        <v>119</v>
      </c>
      <c r="FC247" s="4">
        <v>116</v>
      </c>
      <c r="FD247" s="4">
        <v>113</v>
      </c>
      <c r="FE247" s="4">
        <v>110</v>
      </c>
      <c r="FF247" s="4">
        <v>107</v>
      </c>
      <c r="FG247" s="4">
        <v>104</v>
      </c>
      <c r="FH247" s="4">
        <v>101</v>
      </c>
      <c r="FI247" s="4">
        <v>98</v>
      </c>
      <c r="FJ247" s="4">
        <v>95</v>
      </c>
      <c r="FK247" s="4">
        <v>92</v>
      </c>
      <c r="FL247" s="4">
        <v>90</v>
      </c>
      <c r="FM247" s="4">
        <v>86</v>
      </c>
      <c r="FN247" s="4">
        <v>82</v>
      </c>
      <c r="FO247" s="4">
        <v>78</v>
      </c>
      <c r="FP247" s="4">
        <v>74</v>
      </c>
      <c r="FQ247" s="4">
        <v>70</v>
      </c>
      <c r="FR247" s="4">
        <v>66</v>
      </c>
      <c r="FS247" s="4">
        <v>62</v>
      </c>
      <c r="FT247" s="19">
        <v>31.2</v>
      </c>
      <c r="FU247" s="19">
        <v>37</v>
      </c>
      <c r="FV247" s="19">
        <v>35.8</v>
      </c>
      <c r="FW247" s="19">
        <v>34.8</v>
      </c>
      <c r="FX247" s="19">
        <v>33.8</v>
      </c>
      <c r="FY247" s="19">
        <v>32.8</v>
      </c>
      <c r="FZ247" s="19">
        <v>31.8</v>
      </c>
      <c r="GA247" s="19">
        <v>41</v>
      </c>
      <c r="GB247" s="19">
        <v>39.7</v>
      </c>
      <c r="GC247" s="19">
        <v>38.7</v>
      </c>
      <c r="GD247" s="19">
        <v>37.7</v>
      </c>
      <c r="GE247" s="19">
        <v>36.7</v>
      </c>
      <c r="GF247" s="19">
        <v>35.7</v>
      </c>
      <c r="GG247" s="19">
        <v>34.7</v>
      </c>
      <c r="GH247" s="19">
        <v>33.7</v>
      </c>
      <c r="GI247" s="19">
        <v>32.7</v>
      </c>
      <c r="GJ247" s="19">
        <v>31.7</v>
      </c>
      <c r="GK247" s="19">
        <v>23</v>
      </c>
      <c r="GL247" s="19">
        <v>22.5</v>
      </c>
      <c r="GM247" s="19">
        <v>21.5</v>
      </c>
      <c r="GN247" s="19">
        <v>20.5</v>
      </c>
      <c r="GO247" s="19">
        <v>19.5</v>
      </c>
      <c r="GP247" s="19">
        <v>18.5</v>
      </c>
      <c r="GQ247" s="19">
        <v>17.5</v>
      </c>
      <c r="GR247" s="19">
        <v>16.5</v>
      </c>
      <c r="GS247" s="19">
        <v>15.5</v>
      </c>
    </row>
    <row r="248">
      <c r="A248" s="2" t="s">
        <v>1692</v>
      </c>
      <c r="B248" s="2" t="s">
        <v>245</v>
      </c>
      <c r="C248" s="2" t="s">
        <v>1625</v>
      </c>
      <c r="D248" s="2" t="s">
        <v>247</v>
      </c>
      <c r="E248" s="2" t="s">
        <v>248</v>
      </c>
      <c r="F248" s="2" t="s">
        <v>1626</v>
      </c>
      <c r="G248" s="2" t="s">
        <v>1626</v>
      </c>
      <c r="H248" s="2" t="s">
        <v>1626</v>
      </c>
      <c r="I248" s="2" t="s">
        <v>1627</v>
      </c>
      <c r="J248" s="2" t="s">
        <v>251</v>
      </c>
      <c r="K248" s="2" t="s">
        <v>1687</v>
      </c>
      <c r="L248" s="3">
        <v>27.39</v>
      </c>
      <c r="M248" s="3">
        <v>28.76</v>
      </c>
      <c r="N248" s="3">
        <v>62.99</v>
      </c>
      <c r="O248" s="2" t="s">
        <v>196</v>
      </c>
      <c r="P248" s="2" t="s">
        <v>197</v>
      </c>
      <c r="Q248" s="2" t="s">
        <v>198</v>
      </c>
      <c r="R248" s="2" t="s">
        <v>199</v>
      </c>
      <c r="S248" s="2" t="s">
        <v>1688</v>
      </c>
      <c r="T248" s="2" t="s">
        <v>1546</v>
      </c>
      <c r="U248" s="2" t="s">
        <v>254</v>
      </c>
      <c r="V248" s="2" t="s">
        <v>1547</v>
      </c>
      <c r="W248" s="2" t="s">
        <v>1014</v>
      </c>
      <c r="X248" s="2" t="s">
        <v>203</v>
      </c>
      <c r="Y248" s="2" t="s">
        <v>1689</v>
      </c>
      <c r="Z248" s="4">
        <v>187</v>
      </c>
      <c r="AA248" s="4">
        <f>=ROUNDDOWN(46.75,0)</f>
      </c>
      <c r="AB248" s="5">
        <v>4</v>
      </c>
      <c r="AC248" s="2" t="s">
        <v>199</v>
      </c>
      <c r="AD248" s="4"/>
      <c r="AE248" s="4"/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199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199</v>
      </c>
      <c r="AW248" s="8" t="s">
        <v>199</v>
      </c>
      <c r="AX248" s="4" t="s">
        <v>199</v>
      </c>
      <c r="AY248" s="8" t="s">
        <v>199</v>
      </c>
      <c r="AZ248" s="7" t="s">
        <v>199</v>
      </c>
      <c r="BA248" s="7" t="s">
        <v>199</v>
      </c>
      <c r="BB248" s="7"/>
      <c r="BC248" s="4" t="s">
        <v>199</v>
      </c>
      <c r="BD248" s="8" t="s">
        <v>199</v>
      </c>
      <c r="BE248" s="4" t="s">
        <v>199</v>
      </c>
      <c r="BF248" s="8" t="s">
        <v>199</v>
      </c>
      <c r="BG248" s="7" t="s">
        <v>199</v>
      </c>
      <c r="BH248" s="7" t="s">
        <v>199</v>
      </c>
      <c r="BI248" s="7"/>
      <c r="BJ248" s="4">
        <v>42</v>
      </c>
      <c r="BK248" s="8">
        <v>1331.01</v>
      </c>
      <c r="BL248" s="2" t="s">
        <v>1693</v>
      </c>
      <c r="BM248" s="7"/>
      <c r="BN248" s="7"/>
      <c r="BO248" s="4"/>
      <c r="BP248" s="8"/>
      <c r="BQ248" s="4"/>
      <c r="BR248" s="8"/>
      <c r="BS248" s="7"/>
      <c r="BT248" s="7"/>
      <c r="BU248" s="2" t="s">
        <v>1633</v>
      </c>
      <c r="BV248" s="2" t="s">
        <v>199</v>
      </c>
      <c r="BW248" s="2" t="s">
        <v>199</v>
      </c>
      <c r="BX248" s="2" t="s">
        <v>208</v>
      </c>
      <c r="BY248" s="2" t="s">
        <v>209</v>
      </c>
      <c r="BZ248" s="2" t="s">
        <v>196</v>
      </c>
      <c r="CA248" s="2" t="s">
        <v>901</v>
      </c>
      <c r="CB248" s="2" t="s">
        <v>199</v>
      </c>
      <c r="CC248" s="2" t="s">
        <v>212</v>
      </c>
      <c r="CD248" s="2" t="s">
        <v>199</v>
      </c>
      <c r="CE248" s="4">
        <v>187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>
        <v>193</v>
      </c>
      <c r="EU248" s="4">
        <v>191</v>
      </c>
      <c r="EV248" s="4">
        <v>189</v>
      </c>
      <c r="EW248" s="4">
        <v>188</v>
      </c>
      <c r="EX248" s="4">
        <v>187</v>
      </c>
      <c r="EY248" s="4">
        <v>186</v>
      </c>
      <c r="EZ248" s="4">
        <v>185</v>
      </c>
      <c r="FA248" s="4">
        <v>184</v>
      </c>
      <c r="FB248" s="4">
        <v>183</v>
      </c>
      <c r="FC248" s="4">
        <v>182</v>
      </c>
      <c r="FD248" s="4">
        <v>181</v>
      </c>
      <c r="FE248" s="4">
        <v>180</v>
      </c>
      <c r="FF248" s="4">
        <v>179</v>
      </c>
      <c r="FG248" s="4">
        <v>178</v>
      </c>
      <c r="FH248" s="4">
        <v>177</v>
      </c>
      <c r="FI248" s="4">
        <v>176</v>
      </c>
      <c r="FJ248" s="4">
        <v>175</v>
      </c>
      <c r="FK248" s="4">
        <v>174</v>
      </c>
      <c r="FL248" s="4">
        <v>173</v>
      </c>
      <c r="FM248" s="4">
        <v>171</v>
      </c>
      <c r="FN248" s="4">
        <v>169</v>
      </c>
      <c r="FO248" s="4">
        <v>167</v>
      </c>
      <c r="FP248" s="4">
        <v>165</v>
      </c>
      <c r="FQ248" s="4">
        <v>163</v>
      </c>
      <c r="FR248" s="4">
        <v>161</v>
      </c>
      <c r="FS248" s="4">
        <v>159</v>
      </c>
      <c r="FT248" s="19">
        <v>96.5</v>
      </c>
      <c r="FU248" s="19">
        <v>191</v>
      </c>
      <c r="FV248" s="19">
        <v>189</v>
      </c>
      <c r="FW248" s="19">
        <v>188</v>
      </c>
      <c r="FX248" s="19">
        <v>187</v>
      </c>
      <c r="FY248" s="19">
        <v>186</v>
      </c>
      <c r="FZ248" s="19">
        <v>185</v>
      </c>
      <c r="GA248" s="19">
        <v>184</v>
      </c>
      <c r="GB248" s="19">
        <v>183</v>
      </c>
      <c r="GC248" s="19">
        <v>182</v>
      </c>
      <c r="GD248" s="19">
        <v>181</v>
      </c>
      <c r="GE248" s="19">
        <v>180</v>
      </c>
      <c r="GF248" s="19">
        <v>179</v>
      </c>
      <c r="GG248" s="19">
        <v>178</v>
      </c>
      <c r="GH248" s="19">
        <v>177</v>
      </c>
      <c r="GI248" s="19">
        <v>176</v>
      </c>
      <c r="GJ248" s="19">
        <v>87.5</v>
      </c>
      <c r="GK248" s="19">
        <v>87</v>
      </c>
      <c r="GL248" s="19">
        <v>86.5</v>
      </c>
      <c r="GM248" s="19">
        <v>85.5</v>
      </c>
      <c r="GN248" s="19">
        <v>84.5</v>
      </c>
      <c r="GO248" s="19">
        <v>83.5</v>
      </c>
      <c r="GP248" s="19">
        <v>82.5</v>
      </c>
      <c r="GQ248" s="19">
        <v>81.5</v>
      </c>
      <c r="GR248" s="19">
        <v>80.5</v>
      </c>
      <c r="GS248" s="19">
        <v>79.5</v>
      </c>
    </row>
    <row r="249">
      <c r="A249" s="2" t="s">
        <v>1694</v>
      </c>
      <c r="B249" s="2" t="s">
        <v>245</v>
      </c>
      <c r="C249" s="2" t="s">
        <v>1625</v>
      </c>
      <c r="D249" s="2" t="s">
        <v>247</v>
      </c>
      <c r="E249" s="2" t="s">
        <v>248</v>
      </c>
      <c r="F249" s="2" t="s">
        <v>1626</v>
      </c>
      <c r="G249" s="2" t="s">
        <v>1626</v>
      </c>
      <c r="H249" s="2" t="s">
        <v>1626</v>
      </c>
      <c r="I249" s="2" t="s">
        <v>1627</v>
      </c>
      <c r="J249" s="2" t="s">
        <v>194</v>
      </c>
      <c r="K249" s="2" t="s">
        <v>1695</v>
      </c>
      <c r="L249" s="3">
        <v>14.89</v>
      </c>
      <c r="M249" s="3">
        <v>15.63</v>
      </c>
      <c r="N249" s="3">
        <v>31.99</v>
      </c>
      <c r="O249" s="2" t="s">
        <v>196</v>
      </c>
      <c r="P249" s="2" t="s">
        <v>197</v>
      </c>
      <c r="Q249" s="2" t="s">
        <v>198</v>
      </c>
      <c r="R249" s="2" t="s">
        <v>199</v>
      </c>
      <c r="S249" s="2" t="s">
        <v>1696</v>
      </c>
      <c r="T249" s="2" t="s">
        <v>1546</v>
      </c>
      <c r="U249" s="2" t="s">
        <v>637</v>
      </c>
      <c r="V249" s="2" t="s">
        <v>1547</v>
      </c>
      <c r="W249" s="2" t="s">
        <v>1014</v>
      </c>
      <c r="X249" s="2" t="s">
        <v>203</v>
      </c>
      <c r="Y249" s="2" t="s">
        <v>1697</v>
      </c>
      <c r="Z249" s="4">
        <v>169</v>
      </c>
      <c r="AA249" s="4">
        <f>=ROUNDDOWN(10.5625,0)</f>
      </c>
      <c r="AB249" s="5">
        <v>16</v>
      </c>
      <c r="AC249" s="2" t="s">
        <v>1639</v>
      </c>
      <c r="AD249" s="4">
        <v>55</v>
      </c>
      <c r="AE249" s="4">
        <v>55</v>
      </c>
      <c r="AF249" s="6">
        <v>74</v>
      </c>
      <c r="AG249" s="6"/>
      <c r="AH249" s="7">
        <v>1</v>
      </c>
      <c r="AI249" s="4"/>
      <c r="AJ249" s="4">
        <f>=ROUNDDOWN({0},0)</f>
      </c>
      <c r="AK249" s="5"/>
      <c r="AL249" s="2" t="s">
        <v>199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199</v>
      </c>
      <c r="AW249" s="8" t="s">
        <v>199</v>
      </c>
      <c r="AX249" s="4" t="s">
        <v>199</v>
      </c>
      <c r="AY249" s="8" t="s">
        <v>199</v>
      </c>
      <c r="AZ249" s="7" t="s">
        <v>199</v>
      </c>
      <c r="BA249" s="7" t="s">
        <v>199</v>
      </c>
      <c r="BB249" s="7"/>
      <c r="BC249" s="4" t="s">
        <v>199</v>
      </c>
      <c r="BD249" s="8" t="s">
        <v>199</v>
      </c>
      <c r="BE249" s="4" t="s">
        <v>199</v>
      </c>
      <c r="BF249" s="8" t="s">
        <v>199</v>
      </c>
      <c r="BG249" s="7" t="s">
        <v>199</v>
      </c>
      <c r="BH249" s="7" t="s">
        <v>199</v>
      </c>
      <c r="BI249" s="7"/>
      <c r="BJ249" s="4">
        <v>147</v>
      </c>
      <c r="BK249" s="8">
        <v>2539.25</v>
      </c>
      <c r="BL249" s="2" t="s">
        <v>1698</v>
      </c>
      <c r="BM249" s="7"/>
      <c r="BN249" s="7"/>
      <c r="BO249" s="4"/>
      <c r="BP249" s="8"/>
      <c r="BQ249" s="4"/>
      <c r="BR249" s="8"/>
      <c r="BS249" s="7"/>
      <c r="BT249" s="7"/>
      <c r="BU249" s="2" t="s">
        <v>1633</v>
      </c>
      <c r="BV249" s="2" t="s">
        <v>199</v>
      </c>
      <c r="BW249" s="2" t="s">
        <v>199</v>
      </c>
      <c r="BX249" s="2" t="s">
        <v>208</v>
      </c>
      <c r="BY249" s="2" t="s">
        <v>209</v>
      </c>
      <c r="BZ249" s="2" t="s">
        <v>196</v>
      </c>
      <c r="CA249" s="2" t="s">
        <v>901</v>
      </c>
      <c r="CB249" s="2" t="s">
        <v>199</v>
      </c>
      <c r="CC249" s="2" t="s">
        <v>212</v>
      </c>
      <c r="CD249" s="2" t="s">
        <v>199</v>
      </c>
      <c r="CE249" s="4">
        <v>169</v>
      </c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>
        <v>55</v>
      </c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>
        <v>173</v>
      </c>
      <c r="EU249" s="4">
        <v>166</v>
      </c>
      <c r="EV249" s="4">
        <v>161</v>
      </c>
      <c r="EW249" s="4">
        <v>157</v>
      </c>
      <c r="EX249" s="4">
        <v>153</v>
      </c>
      <c r="EY249" s="4">
        <v>149</v>
      </c>
      <c r="EZ249" s="4">
        <v>200</v>
      </c>
      <c r="FA249" s="4">
        <v>196</v>
      </c>
      <c r="FB249" s="4">
        <v>192</v>
      </c>
      <c r="FC249" s="4">
        <v>189</v>
      </c>
      <c r="FD249" s="4">
        <v>186</v>
      </c>
      <c r="FE249" s="4">
        <v>183</v>
      </c>
      <c r="FF249" s="4">
        <v>180</v>
      </c>
      <c r="FG249" s="4">
        <v>177</v>
      </c>
      <c r="FH249" s="4">
        <v>174</v>
      </c>
      <c r="FI249" s="4">
        <v>171</v>
      </c>
      <c r="FJ249" s="4">
        <v>168</v>
      </c>
      <c r="FK249" s="4">
        <v>165</v>
      </c>
      <c r="FL249" s="4">
        <v>163</v>
      </c>
      <c r="FM249" s="4">
        <v>161</v>
      </c>
      <c r="FN249" s="4">
        <v>159</v>
      </c>
      <c r="FO249" s="4">
        <v>157</v>
      </c>
      <c r="FP249" s="4">
        <v>155</v>
      </c>
      <c r="FQ249" s="4">
        <v>153</v>
      </c>
      <c r="FR249" s="4">
        <v>151</v>
      </c>
      <c r="FS249" s="4">
        <v>149</v>
      </c>
      <c r="FT249" s="19">
        <v>34.6</v>
      </c>
      <c r="FU249" s="19">
        <v>41.5</v>
      </c>
      <c r="FV249" s="19">
        <v>40.3</v>
      </c>
      <c r="FW249" s="19">
        <v>39.3</v>
      </c>
      <c r="FX249" s="19">
        <v>38.3</v>
      </c>
      <c r="FY249" s="19">
        <v>37.3</v>
      </c>
      <c r="FZ249" s="19">
        <v>50</v>
      </c>
      <c r="GA249" s="19">
        <v>65.3</v>
      </c>
      <c r="GB249" s="19">
        <v>64</v>
      </c>
      <c r="GC249" s="19">
        <v>63</v>
      </c>
      <c r="GD249" s="19">
        <v>62</v>
      </c>
      <c r="GE249" s="19">
        <v>61</v>
      </c>
      <c r="GF249" s="19">
        <v>60</v>
      </c>
      <c r="GG249" s="19">
        <v>59</v>
      </c>
      <c r="GH249" s="19">
        <v>58</v>
      </c>
      <c r="GI249" s="19">
        <v>85.5</v>
      </c>
      <c r="GJ249" s="19">
        <v>84</v>
      </c>
      <c r="GK249" s="19">
        <v>82.5</v>
      </c>
      <c r="GL249" s="19">
        <v>81.5</v>
      </c>
      <c r="GM249" s="19">
        <v>80.5</v>
      </c>
      <c r="GN249" s="19">
        <v>79.5</v>
      </c>
      <c r="GO249" s="19">
        <v>78.5</v>
      </c>
      <c r="GP249" s="19">
        <v>77.5</v>
      </c>
      <c r="GQ249" s="19">
        <v>76.5</v>
      </c>
      <c r="GR249" s="19">
        <v>75.5</v>
      </c>
      <c r="GS249" s="19">
        <v>74.5</v>
      </c>
    </row>
    <row r="250">
      <c r="A250" s="2" t="s">
        <v>1699</v>
      </c>
      <c r="B250" s="2" t="s">
        <v>245</v>
      </c>
      <c r="C250" s="2" t="s">
        <v>1625</v>
      </c>
      <c r="D250" s="2" t="s">
        <v>247</v>
      </c>
      <c r="E250" s="2" t="s">
        <v>248</v>
      </c>
      <c r="F250" s="2" t="s">
        <v>1626</v>
      </c>
      <c r="G250" s="2" t="s">
        <v>1626</v>
      </c>
      <c r="H250" s="2" t="s">
        <v>1626</v>
      </c>
      <c r="I250" s="2" t="s">
        <v>1627</v>
      </c>
      <c r="J250" s="2" t="s">
        <v>214</v>
      </c>
      <c r="K250" s="2" t="s">
        <v>1695</v>
      </c>
      <c r="L250" s="3">
        <v>16.16</v>
      </c>
      <c r="M250" s="3">
        <v>16.97</v>
      </c>
      <c r="N250" s="3">
        <v>34.99</v>
      </c>
      <c r="O250" s="2" t="s">
        <v>196</v>
      </c>
      <c r="P250" s="2" t="s">
        <v>197</v>
      </c>
      <c r="Q250" s="2" t="s">
        <v>198</v>
      </c>
      <c r="R250" s="2" t="s">
        <v>199</v>
      </c>
      <c r="S250" s="2" t="s">
        <v>1696</v>
      </c>
      <c r="T250" s="2" t="s">
        <v>1546</v>
      </c>
      <c r="U250" s="2" t="s">
        <v>637</v>
      </c>
      <c r="V250" s="2" t="s">
        <v>1547</v>
      </c>
      <c r="W250" s="2" t="s">
        <v>1014</v>
      </c>
      <c r="X250" s="2" t="s">
        <v>203</v>
      </c>
      <c r="Y250" s="2" t="s">
        <v>1697</v>
      </c>
      <c r="Z250" s="4"/>
      <c r="AA250" s="4">
        <f>=ROUNDDOWN({0},0)</f>
      </c>
      <c r="AB250" s="5">
        <v>31</v>
      </c>
      <c r="AC250" s="2" t="s">
        <v>1666</v>
      </c>
      <c r="AD250" s="4">
        <v>262</v>
      </c>
      <c r="AE250" s="4">
        <v>262</v>
      </c>
      <c r="AF250" s="6">
        <v>74</v>
      </c>
      <c r="AG250" s="6"/>
      <c r="AH250" s="7">
        <v>0</v>
      </c>
      <c r="AI250" s="4"/>
      <c r="AJ250" s="4">
        <f>=ROUNDDOWN({0},0)</f>
      </c>
      <c r="AK250" s="5"/>
      <c r="AL250" s="2" t="s">
        <v>199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199</v>
      </c>
      <c r="AW250" s="8" t="s">
        <v>199</v>
      </c>
      <c r="AX250" s="4" t="s">
        <v>199</v>
      </c>
      <c r="AY250" s="8" t="s">
        <v>199</v>
      </c>
      <c r="AZ250" s="7" t="s">
        <v>199</v>
      </c>
      <c r="BA250" s="7" t="s">
        <v>199</v>
      </c>
      <c r="BB250" s="7"/>
      <c r="BC250" s="4" t="s">
        <v>199</v>
      </c>
      <c r="BD250" s="8" t="s">
        <v>199</v>
      </c>
      <c r="BE250" s="4" t="s">
        <v>199</v>
      </c>
      <c r="BF250" s="8" t="s">
        <v>199</v>
      </c>
      <c r="BG250" s="7" t="s">
        <v>199</v>
      </c>
      <c r="BH250" s="7" t="s">
        <v>199</v>
      </c>
      <c r="BI250" s="7"/>
      <c r="BJ250" s="4"/>
      <c r="BK250" s="8"/>
      <c r="BL250" s="2" t="s">
        <v>1700</v>
      </c>
      <c r="BM250" s="7"/>
      <c r="BN250" s="7"/>
      <c r="BO250" s="4"/>
      <c r="BP250" s="8"/>
      <c r="BQ250" s="4"/>
      <c r="BR250" s="8"/>
      <c r="BS250" s="7"/>
      <c r="BT250" s="7"/>
      <c r="BU250" s="2" t="s">
        <v>1633</v>
      </c>
      <c r="BV250" s="2" t="s">
        <v>199</v>
      </c>
      <c r="BW250" s="2" t="s">
        <v>199</v>
      </c>
      <c r="BX250" s="2" t="s">
        <v>208</v>
      </c>
      <c r="BY250" s="2" t="s">
        <v>209</v>
      </c>
      <c r="BZ250" s="2" t="s">
        <v>196</v>
      </c>
      <c r="CA250" s="2" t="s">
        <v>901</v>
      </c>
      <c r="CB250" s="2" t="s">
        <v>199</v>
      </c>
      <c r="CC250" s="2" t="s">
        <v>212</v>
      </c>
      <c r="CD250" s="2" t="s">
        <v>199</v>
      </c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>
        <v>262</v>
      </c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>
        <v>262</v>
      </c>
      <c r="EZ250" s="4">
        <v>139</v>
      </c>
      <c r="FA250" s="4">
        <v>122</v>
      </c>
      <c r="FB250" s="4">
        <v>105</v>
      </c>
      <c r="FC250" s="4">
        <v>89</v>
      </c>
      <c r="FD250" s="4">
        <v>73</v>
      </c>
      <c r="FE250" s="4">
        <v>60</v>
      </c>
      <c r="FF250" s="4">
        <v>47</v>
      </c>
      <c r="FG250" s="4">
        <v>34</v>
      </c>
      <c r="FH250" s="4">
        <v>21</v>
      </c>
      <c r="FI250" s="4">
        <v>8</v>
      </c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20">
        <v>0</v>
      </c>
      <c r="FU250" s="20">
        <v>0</v>
      </c>
      <c r="FV250" s="20">
        <v>0</v>
      </c>
      <c r="FW250" s="20">
        <v>0</v>
      </c>
      <c r="FX250" s="20">
        <v>0</v>
      </c>
      <c r="FY250" s="19">
        <v>6.1</v>
      </c>
      <c r="FZ250" s="19">
        <v>8.7</v>
      </c>
      <c r="GA250" s="19">
        <v>7.6</v>
      </c>
      <c r="GB250" s="19">
        <v>7.5</v>
      </c>
      <c r="GC250" s="19">
        <v>6.4</v>
      </c>
      <c r="GD250" s="19">
        <v>5.6</v>
      </c>
      <c r="GE250" s="19">
        <v>4.6</v>
      </c>
      <c r="GF250" s="19">
        <v>3.9</v>
      </c>
      <c r="GG250" s="19">
        <v>3.8</v>
      </c>
      <c r="GH250" s="19">
        <v>3.5</v>
      </c>
      <c r="GI250" s="19">
        <v>2</v>
      </c>
      <c r="GJ250" s="20">
        <v>0</v>
      </c>
      <c r="GK250" s="20">
        <v>0</v>
      </c>
      <c r="GL250" s="20">
        <v>0</v>
      </c>
      <c r="GM250" s="20">
        <v>0</v>
      </c>
      <c r="GN250" s="20">
        <v>0</v>
      </c>
      <c r="GO250" s="20">
        <v>0</v>
      </c>
      <c r="GP250" s="20">
        <v>0</v>
      </c>
      <c r="GQ250" s="20">
        <v>0</v>
      </c>
      <c r="GR250" s="20">
        <v>0</v>
      </c>
      <c r="GS250" s="20">
        <v>0</v>
      </c>
    </row>
    <row r="251">
      <c r="A251" s="2" t="s">
        <v>1701</v>
      </c>
      <c r="B251" s="2" t="s">
        <v>245</v>
      </c>
      <c r="C251" s="2" t="s">
        <v>1625</v>
      </c>
      <c r="D251" s="2" t="s">
        <v>247</v>
      </c>
      <c r="E251" s="2" t="s">
        <v>248</v>
      </c>
      <c r="F251" s="2" t="s">
        <v>1626</v>
      </c>
      <c r="G251" s="2" t="s">
        <v>1626</v>
      </c>
      <c r="H251" s="2" t="s">
        <v>1626</v>
      </c>
      <c r="I251" s="2" t="s">
        <v>1627</v>
      </c>
      <c r="J251" s="2" t="s">
        <v>285</v>
      </c>
      <c r="K251" s="2" t="s">
        <v>1695</v>
      </c>
      <c r="L251" s="3">
        <v>19.57</v>
      </c>
      <c r="M251" s="3">
        <v>20.55</v>
      </c>
      <c r="N251" s="3">
        <v>42.99</v>
      </c>
      <c r="O251" s="2" t="s">
        <v>196</v>
      </c>
      <c r="P251" s="2" t="s">
        <v>197</v>
      </c>
      <c r="Q251" s="2" t="s">
        <v>198</v>
      </c>
      <c r="R251" s="2" t="s">
        <v>199</v>
      </c>
      <c r="S251" s="2" t="s">
        <v>1696</v>
      </c>
      <c r="T251" s="2" t="s">
        <v>1546</v>
      </c>
      <c r="U251" s="2" t="s">
        <v>254</v>
      </c>
      <c r="V251" s="2" t="s">
        <v>1547</v>
      </c>
      <c r="W251" s="2" t="s">
        <v>1014</v>
      </c>
      <c r="X251" s="2" t="s">
        <v>203</v>
      </c>
      <c r="Y251" s="2" t="s">
        <v>1697</v>
      </c>
      <c r="Z251" s="4"/>
      <c r="AA251" s="4">
        <f>=ROUNDDOWN({0},0)</f>
      </c>
      <c r="AB251" s="5">
        <v>18</v>
      </c>
      <c r="AC251" s="2" t="s">
        <v>1666</v>
      </c>
      <c r="AD251" s="4">
        <v>305</v>
      </c>
      <c r="AE251" s="4">
        <v>415</v>
      </c>
      <c r="AF251" s="6">
        <v>74</v>
      </c>
      <c r="AG251" s="6"/>
      <c r="AH251" s="7">
        <v>0.3226</v>
      </c>
      <c r="AI251" s="4"/>
      <c r="AJ251" s="4">
        <f>=ROUNDDOWN({0},0)</f>
      </c>
      <c r="AK251" s="5"/>
      <c r="AL251" s="2" t="s">
        <v>199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199</v>
      </c>
      <c r="AW251" s="8" t="s">
        <v>199</v>
      </c>
      <c r="AX251" s="4" t="s">
        <v>199</v>
      </c>
      <c r="AY251" s="8" t="s">
        <v>199</v>
      </c>
      <c r="AZ251" s="7" t="s">
        <v>199</v>
      </c>
      <c r="BA251" s="7" t="s">
        <v>199</v>
      </c>
      <c r="BB251" s="7"/>
      <c r="BC251" s="4" t="s">
        <v>199</v>
      </c>
      <c r="BD251" s="8" t="s">
        <v>199</v>
      </c>
      <c r="BE251" s="4" t="s">
        <v>199</v>
      </c>
      <c r="BF251" s="8" t="s">
        <v>199</v>
      </c>
      <c r="BG251" s="7" t="s">
        <v>199</v>
      </c>
      <c r="BH251" s="7" t="s">
        <v>199</v>
      </c>
      <c r="BI251" s="7"/>
      <c r="BJ251" s="4">
        <v>245</v>
      </c>
      <c r="BK251" s="8">
        <v>5521.7</v>
      </c>
      <c r="BL251" s="2" t="s">
        <v>1693</v>
      </c>
      <c r="BM251" s="7"/>
      <c r="BN251" s="7"/>
      <c r="BO251" s="4"/>
      <c r="BP251" s="8"/>
      <c r="BQ251" s="4"/>
      <c r="BR251" s="8"/>
      <c r="BS251" s="7"/>
      <c r="BT251" s="7"/>
      <c r="BU251" s="2" t="s">
        <v>1633</v>
      </c>
      <c r="BV251" s="2" t="s">
        <v>199</v>
      </c>
      <c r="BW251" s="2" t="s">
        <v>199</v>
      </c>
      <c r="BX251" s="2" t="s">
        <v>208</v>
      </c>
      <c r="BY251" s="2" t="s">
        <v>209</v>
      </c>
      <c r="BZ251" s="2" t="s">
        <v>196</v>
      </c>
      <c r="CA251" s="2" t="s">
        <v>901</v>
      </c>
      <c r="CB251" s="2" t="s">
        <v>1702</v>
      </c>
      <c r="CC251" s="2" t="s">
        <v>212</v>
      </c>
      <c r="CD251" s="2" t="s">
        <v>199</v>
      </c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>
        <v>305</v>
      </c>
      <c r="DM251" s="4"/>
      <c r="DN251" s="4"/>
      <c r="DO251" s="4">
        <v>110</v>
      </c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>
        <v>305</v>
      </c>
      <c r="EZ251" s="4">
        <v>370</v>
      </c>
      <c r="FA251" s="4">
        <v>359</v>
      </c>
      <c r="FB251" s="4">
        <v>348</v>
      </c>
      <c r="FC251" s="4">
        <v>339</v>
      </c>
      <c r="FD251" s="4">
        <v>330</v>
      </c>
      <c r="FE251" s="4">
        <v>322</v>
      </c>
      <c r="FF251" s="4">
        <v>314</v>
      </c>
      <c r="FG251" s="4">
        <v>306</v>
      </c>
      <c r="FH251" s="4">
        <v>298</v>
      </c>
      <c r="FI251" s="4">
        <v>290</v>
      </c>
      <c r="FJ251" s="4">
        <v>282</v>
      </c>
      <c r="FK251" s="4">
        <v>274</v>
      </c>
      <c r="FL251" s="4">
        <v>267</v>
      </c>
      <c r="FM251" s="4">
        <v>260</v>
      </c>
      <c r="FN251" s="4">
        <v>253</v>
      </c>
      <c r="FO251" s="4">
        <v>246</v>
      </c>
      <c r="FP251" s="4">
        <v>239</v>
      </c>
      <c r="FQ251" s="4">
        <v>232</v>
      </c>
      <c r="FR251" s="4">
        <v>225</v>
      </c>
      <c r="FS251" s="4">
        <v>218</v>
      </c>
      <c r="FT251" s="20">
        <v>0</v>
      </c>
      <c r="FU251" s="20">
        <v>0</v>
      </c>
      <c r="FV251" s="20">
        <v>0</v>
      </c>
      <c r="FW251" s="20">
        <v>0</v>
      </c>
      <c r="FX251" s="20">
        <v>0</v>
      </c>
      <c r="FY251" s="19">
        <v>16.1</v>
      </c>
      <c r="FZ251" s="19">
        <v>37</v>
      </c>
      <c r="GA251" s="19">
        <v>39.9</v>
      </c>
      <c r="GB251" s="19">
        <v>43.5</v>
      </c>
      <c r="GC251" s="19">
        <v>42.4</v>
      </c>
      <c r="GD251" s="19">
        <v>41.3</v>
      </c>
      <c r="GE251" s="19">
        <v>40.3</v>
      </c>
      <c r="GF251" s="19">
        <v>39.3</v>
      </c>
      <c r="GG251" s="19">
        <v>38.3</v>
      </c>
      <c r="GH251" s="19">
        <v>37.3</v>
      </c>
      <c r="GI251" s="19">
        <v>36.3</v>
      </c>
      <c r="GJ251" s="19">
        <v>40.3</v>
      </c>
      <c r="GK251" s="19">
        <v>39.1</v>
      </c>
      <c r="GL251" s="19">
        <v>38.1</v>
      </c>
      <c r="GM251" s="19">
        <v>37.1</v>
      </c>
      <c r="GN251" s="19">
        <v>36.1</v>
      </c>
      <c r="GO251" s="19">
        <v>35.1</v>
      </c>
      <c r="GP251" s="19">
        <v>34.1</v>
      </c>
      <c r="GQ251" s="19">
        <v>33.1</v>
      </c>
      <c r="GR251" s="19">
        <v>32.1</v>
      </c>
      <c r="GS251" s="19">
        <v>27.3</v>
      </c>
    </row>
    <row r="252">
      <c r="A252" s="2" t="s">
        <v>1703</v>
      </c>
      <c r="B252" s="2" t="s">
        <v>245</v>
      </c>
      <c r="C252" s="2" t="s">
        <v>1625</v>
      </c>
      <c r="D252" s="2" t="s">
        <v>247</v>
      </c>
      <c r="E252" s="2" t="s">
        <v>248</v>
      </c>
      <c r="F252" s="2" t="s">
        <v>1626</v>
      </c>
      <c r="G252" s="2" t="s">
        <v>1626</v>
      </c>
      <c r="H252" s="2" t="s">
        <v>1626</v>
      </c>
      <c r="I252" s="2" t="s">
        <v>1627</v>
      </c>
      <c r="J252" s="2" t="s">
        <v>219</v>
      </c>
      <c r="K252" s="2" t="s">
        <v>1695</v>
      </c>
      <c r="L252" s="3">
        <v>22.21</v>
      </c>
      <c r="M252" s="3">
        <v>23.32</v>
      </c>
      <c r="N252" s="3">
        <v>47.99</v>
      </c>
      <c r="O252" s="2" t="s">
        <v>196</v>
      </c>
      <c r="P252" s="2" t="s">
        <v>621</v>
      </c>
      <c r="Q252" s="2" t="s">
        <v>198</v>
      </c>
      <c r="R252" s="2" t="s">
        <v>199</v>
      </c>
      <c r="S252" s="2" t="s">
        <v>1696</v>
      </c>
      <c r="T252" s="2" t="s">
        <v>1546</v>
      </c>
      <c r="U252" s="2" t="s">
        <v>254</v>
      </c>
      <c r="V252" s="2" t="s">
        <v>1547</v>
      </c>
      <c r="W252" s="2" t="s">
        <v>1014</v>
      </c>
      <c r="X252" s="2" t="s">
        <v>203</v>
      </c>
      <c r="Y252" s="2" t="s">
        <v>1704</v>
      </c>
      <c r="Z252" s="4"/>
      <c r="AA252" s="4">
        <f>=ROUNDDOWN({0},0)</f>
      </c>
      <c r="AB252" s="5">
        <v>72</v>
      </c>
      <c r="AC252" s="2" t="s">
        <v>1666</v>
      </c>
      <c r="AD252" s="4">
        <v>396</v>
      </c>
      <c r="AE252" s="4">
        <v>824</v>
      </c>
      <c r="AF252" s="6">
        <v>74</v>
      </c>
      <c r="AG252" s="6"/>
      <c r="AH252" s="7">
        <v>0</v>
      </c>
      <c r="AI252" s="4"/>
      <c r="AJ252" s="4">
        <f>=ROUNDDOWN({0},0)</f>
      </c>
      <c r="AK252" s="5"/>
      <c r="AL252" s="2" t="s">
        <v>199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199</v>
      </c>
      <c r="AW252" s="8" t="s">
        <v>199</v>
      </c>
      <c r="AX252" s="4" t="s">
        <v>199</v>
      </c>
      <c r="AY252" s="8" t="s">
        <v>199</v>
      </c>
      <c r="AZ252" s="7" t="s">
        <v>199</v>
      </c>
      <c r="BA252" s="7" t="s">
        <v>199</v>
      </c>
      <c r="BB252" s="7"/>
      <c r="BC252" s="4" t="s">
        <v>199</v>
      </c>
      <c r="BD252" s="8" t="s">
        <v>199</v>
      </c>
      <c r="BE252" s="4" t="s">
        <v>199</v>
      </c>
      <c r="BF252" s="8" t="s">
        <v>199</v>
      </c>
      <c r="BG252" s="7" t="s">
        <v>199</v>
      </c>
      <c r="BH252" s="7" t="s">
        <v>199</v>
      </c>
      <c r="BI252" s="7"/>
      <c r="BJ252" s="4"/>
      <c r="BK252" s="8"/>
      <c r="BL252" s="2" t="s">
        <v>1705</v>
      </c>
      <c r="BM252" s="7"/>
      <c r="BN252" s="7"/>
      <c r="BO252" s="4"/>
      <c r="BP252" s="8"/>
      <c r="BQ252" s="4"/>
      <c r="BR252" s="8"/>
      <c r="BS252" s="7"/>
      <c r="BT252" s="7"/>
      <c r="BU252" s="2" t="s">
        <v>1633</v>
      </c>
      <c r="BV252" s="2" t="s">
        <v>199</v>
      </c>
      <c r="BW252" s="2" t="s">
        <v>199</v>
      </c>
      <c r="BX252" s="2" t="s">
        <v>208</v>
      </c>
      <c r="BY252" s="2" t="s">
        <v>209</v>
      </c>
      <c r="BZ252" s="2" t="s">
        <v>196</v>
      </c>
      <c r="CA252" s="2" t="s">
        <v>901</v>
      </c>
      <c r="CB252" s="2" t="s">
        <v>1706</v>
      </c>
      <c r="CC252" s="2" t="s">
        <v>212</v>
      </c>
      <c r="CD252" s="2" t="s">
        <v>199</v>
      </c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>
        <v>396</v>
      </c>
      <c r="DM252" s="4"/>
      <c r="DN252" s="4"/>
      <c r="DO252" s="4">
        <v>428</v>
      </c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>
        <v>396</v>
      </c>
      <c r="EZ252" s="4">
        <v>579</v>
      </c>
      <c r="FA252" s="4">
        <v>539</v>
      </c>
      <c r="FB252" s="4">
        <v>499</v>
      </c>
      <c r="FC252" s="4">
        <v>463</v>
      </c>
      <c r="FD252" s="4">
        <v>427</v>
      </c>
      <c r="FE252" s="4">
        <v>396</v>
      </c>
      <c r="FF252" s="4">
        <v>365</v>
      </c>
      <c r="FG252" s="4">
        <v>334</v>
      </c>
      <c r="FH252" s="4">
        <v>303</v>
      </c>
      <c r="FI252" s="4">
        <v>272</v>
      </c>
      <c r="FJ252" s="4">
        <v>241</v>
      </c>
      <c r="FK252" s="4">
        <v>210</v>
      </c>
      <c r="FL252" s="4">
        <v>181</v>
      </c>
      <c r="FM252" s="4">
        <v>152</v>
      </c>
      <c r="FN252" s="4">
        <v>123</v>
      </c>
      <c r="FO252" s="4">
        <v>94</v>
      </c>
      <c r="FP252" s="4">
        <v>65</v>
      </c>
      <c r="FQ252" s="4">
        <v>36</v>
      </c>
      <c r="FR252" s="4">
        <v>7</v>
      </c>
      <c r="FS252" s="4"/>
      <c r="FT252" s="20">
        <v>0</v>
      </c>
      <c r="FU252" s="20">
        <v>0</v>
      </c>
      <c r="FV252" s="20">
        <v>0</v>
      </c>
      <c r="FW252" s="20">
        <v>0</v>
      </c>
      <c r="FX252" s="20">
        <v>0</v>
      </c>
      <c r="FY252" s="19">
        <v>4.4</v>
      </c>
      <c r="FZ252" s="19">
        <v>15.2</v>
      </c>
      <c r="GA252" s="19">
        <v>15</v>
      </c>
      <c r="GB252" s="19">
        <v>14.7</v>
      </c>
      <c r="GC252" s="19">
        <v>14.5</v>
      </c>
      <c r="GD252" s="19">
        <v>13.8</v>
      </c>
      <c r="GE252" s="19">
        <v>12.8</v>
      </c>
      <c r="GF252" s="19">
        <v>11.8</v>
      </c>
      <c r="GG252" s="19">
        <v>10.8</v>
      </c>
      <c r="GH252" s="19">
        <v>10.1</v>
      </c>
      <c r="GI252" s="19">
        <v>9.1</v>
      </c>
      <c r="GJ252" s="19">
        <v>8</v>
      </c>
      <c r="GK252" s="19">
        <v>7.2</v>
      </c>
      <c r="GL252" s="19">
        <v>6.2</v>
      </c>
      <c r="GM252" s="19">
        <v>5.2</v>
      </c>
      <c r="GN252" s="19">
        <v>4.2</v>
      </c>
      <c r="GO252" s="19">
        <v>3.9</v>
      </c>
      <c r="GP252" s="19">
        <v>3.4</v>
      </c>
      <c r="GQ252" s="19">
        <v>2.6</v>
      </c>
      <c r="GR252" s="19">
        <v>0.8</v>
      </c>
      <c r="GS252" s="20">
        <v>0</v>
      </c>
    </row>
    <row r="253">
      <c r="A253" s="2" t="s">
        <v>1707</v>
      </c>
      <c r="B253" s="2" t="s">
        <v>245</v>
      </c>
      <c r="C253" s="2" t="s">
        <v>1625</v>
      </c>
      <c r="D253" s="2" t="s">
        <v>247</v>
      </c>
      <c r="E253" s="2" t="s">
        <v>248</v>
      </c>
      <c r="F253" s="2" t="s">
        <v>1626</v>
      </c>
      <c r="G253" s="2" t="s">
        <v>1626</v>
      </c>
      <c r="H253" s="2" t="s">
        <v>1626</v>
      </c>
      <c r="I253" s="2" t="s">
        <v>1627</v>
      </c>
      <c r="J253" s="2" t="s">
        <v>223</v>
      </c>
      <c r="K253" s="2" t="s">
        <v>1695</v>
      </c>
      <c r="L253" s="3">
        <v>27.39</v>
      </c>
      <c r="M253" s="3">
        <v>28.76</v>
      </c>
      <c r="N253" s="3">
        <v>62.99</v>
      </c>
      <c r="O253" s="2" t="s">
        <v>196</v>
      </c>
      <c r="P253" s="2" t="s">
        <v>197</v>
      </c>
      <c r="Q253" s="2" t="s">
        <v>198</v>
      </c>
      <c r="R253" s="2" t="s">
        <v>199</v>
      </c>
      <c r="S253" s="2" t="s">
        <v>1696</v>
      </c>
      <c r="T253" s="2" t="s">
        <v>1546</v>
      </c>
      <c r="U253" s="2" t="s">
        <v>254</v>
      </c>
      <c r="V253" s="2" t="s">
        <v>1547</v>
      </c>
      <c r="W253" s="2" t="s">
        <v>1014</v>
      </c>
      <c r="X253" s="2" t="s">
        <v>203</v>
      </c>
      <c r="Y253" s="2" t="s">
        <v>1697</v>
      </c>
      <c r="Z253" s="4"/>
      <c r="AA253" s="4">
        <f>=ROUNDDOWN({0},0)</f>
      </c>
      <c r="AB253" s="5">
        <v>20</v>
      </c>
      <c r="AC253" s="2" t="s">
        <v>1666</v>
      </c>
      <c r="AD253" s="4">
        <v>63</v>
      </c>
      <c r="AE253" s="4">
        <v>214</v>
      </c>
      <c r="AF253" s="6">
        <v>74</v>
      </c>
      <c r="AG253" s="6"/>
      <c r="AH253" s="7">
        <v>0.0323</v>
      </c>
      <c r="AI253" s="4"/>
      <c r="AJ253" s="4">
        <f>=ROUNDDOWN({0},0)</f>
      </c>
      <c r="AK253" s="5"/>
      <c r="AL253" s="2" t="s">
        <v>199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199</v>
      </c>
      <c r="AW253" s="8" t="s">
        <v>199</v>
      </c>
      <c r="AX253" s="4" t="s">
        <v>199</v>
      </c>
      <c r="AY253" s="8" t="s">
        <v>199</v>
      </c>
      <c r="AZ253" s="7" t="s">
        <v>199</v>
      </c>
      <c r="BA253" s="7" t="s">
        <v>199</v>
      </c>
      <c r="BB253" s="7"/>
      <c r="BC253" s="4" t="s">
        <v>199</v>
      </c>
      <c r="BD253" s="8" t="s">
        <v>199</v>
      </c>
      <c r="BE253" s="4" t="s">
        <v>199</v>
      </c>
      <c r="BF253" s="8" t="s">
        <v>199</v>
      </c>
      <c r="BG253" s="7" t="s">
        <v>199</v>
      </c>
      <c r="BH253" s="7" t="s">
        <v>199</v>
      </c>
      <c r="BI253" s="7"/>
      <c r="BJ253" s="4">
        <v>64</v>
      </c>
      <c r="BK253" s="8">
        <v>2146.43</v>
      </c>
      <c r="BL253" s="2" t="s">
        <v>1708</v>
      </c>
      <c r="BM253" s="7"/>
      <c r="BN253" s="7"/>
      <c r="BO253" s="4"/>
      <c r="BP253" s="8"/>
      <c r="BQ253" s="4"/>
      <c r="BR253" s="8"/>
      <c r="BS253" s="7"/>
      <c r="BT253" s="7"/>
      <c r="BU253" s="2" t="s">
        <v>1633</v>
      </c>
      <c r="BV253" s="2" t="s">
        <v>199</v>
      </c>
      <c r="BW253" s="2" t="s">
        <v>199</v>
      </c>
      <c r="BX253" s="2" t="s">
        <v>208</v>
      </c>
      <c r="BY253" s="2" t="s">
        <v>209</v>
      </c>
      <c r="BZ253" s="2" t="s">
        <v>196</v>
      </c>
      <c r="CA253" s="2" t="s">
        <v>901</v>
      </c>
      <c r="CB253" s="2" t="s">
        <v>381</v>
      </c>
      <c r="CC253" s="2" t="s">
        <v>212</v>
      </c>
      <c r="CD253" s="2" t="s">
        <v>199</v>
      </c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>
        <v>63</v>
      </c>
      <c r="DM253" s="4"/>
      <c r="DN253" s="4">
        <v>151</v>
      </c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>
        <v>63</v>
      </c>
      <c r="EZ253" s="4">
        <v>176</v>
      </c>
      <c r="FA253" s="4">
        <v>162</v>
      </c>
      <c r="FB253" s="4">
        <v>148</v>
      </c>
      <c r="FC253" s="4">
        <v>137</v>
      </c>
      <c r="FD253" s="4">
        <v>126</v>
      </c>
      <c r="FE253" s="4">
        <v>116</v>
      </c>
      <c r="FF253" s="4">
        <v>106</v>
      </c>
      <c r="FG253" s="4">
        <v>96</v>
      </c>
      <c r="FH253" s="4">
        <v>86</v>
      </c>
      <c r="FI253" s="4">
        <v>76</v>
      </c>
      <c r="FJ253" s="4">
        <v>66</v>
      </c>
      <c r="FK253" s="4">
        <v>56</v>
      </c>
      <c r="FL253" s="4">
        <v>48</v>
      </c>
      <c r="FM253" s="4">
        <v>40</v>
      </c>
      <c r="FN253" s="4">
        <v>32</v>
      </c>
      <c r="FO253" s="4">
        <v>24</v>
      </c>
      <c r="FP253" s="4">
        <v>16</v>
      </c>
      <c r="FQ253" s="4">
        <v>8</v>
      </c>
      <c r="FR253" s="4"/>
      <c r="FS253" s="4"/>
      <c r="FT253" s="20">
        <v>0</v>
      </c>
      <c r="FU253" s="20">
        <v>0</v>
      </c>
      <c r="FV253" s="20">
        <v>0</v>
      </c>
      <c r="FW253" s="20">
        <v>0</v>
      </c>
      <c r="FX253" s="20">
        <v>0</v>
      </c>
      <c r="FY253" s="19">
        <v>3.3</v>
      </c>
      <c r="FZ253" s="19">
        <v>14.7</v>
      </c>
      <c r="GA253" s="19">
        <v>13.5</v>
      </c>
      <c r="GB253" s="19">
        <v>14.8</v>
      </c>
      <c r="GC253" s="19">
        <v>13.7</v>
      </c>
      <c r="GD253" s="19">
        <v>12.6</v>
      </c>
      <c r="GE253" s="19">
        <v>11.6</v>
      </c>
      <c r="GF253" s="19">
        <v>10.6</v>
      </c>
      <c r="GG253" s="19">
        <v>9.6</v>
      </c>
      <c r="GH253" s="19">
        <v>8.6</v>
      </c>
      <c r="GI253" s="19">
        <v>8.4</v>
      </c>
      <c r="GJ253" s="19">
        <v>8.3</v>
      </c>
      <c r="GK253" s="19">
        <v>7</v>
      </c>
      <c r="GL253" s="19">
        <v>6</v>
      </c>
      <c r="GM253" s="19">
        <v>5</v>
      </c>
      <c r="GN253" s="19">
        <v>4</v>
      </c>
      <c r="GO253" s="19">
        <v>3</v>
      </c>
      <c r="GP253" s="19">
        <v>2.3</v>
      </c>
      <c r="GQ253" s="19">
        <v>1.3</v>
      </c>
      <c r="GR253" s="20">
        <v>0</v>
      </c>
      <c r="GS253" s="20">
        <v>0</v>
      </c>
    </row>
    <row r="254">
      <c r="A254" s="2" t="s">
        <v>1709</v>
      </c>
      <c r="B254" s="2" t="s">
        <v>245</v>
      </c>
      <c r="C254" s="2" t="s">
        <v>1625</v>
      </c>
      <c r="D254" s="2" t="s">
        <v>247</v>
      </c>
      <c r="E254" s="2" t="s">
        <v>248</v>
      </c>
      <c r="F254" s="2" t="s">
        <v>1626</v>
      </c>
      <c r="G254" s="2" t="s">
        <v>1626</v>
      </c>
      <c r="H254" s="2" t="s">
        <v>1626</v>
      </c>
      <c r="I254" s="2" t="s">
        <v>1627</v>
      </c>
      <c r="J254" s="2" t="s">
        <v>251</v>
      </c>
      <c r="K254" s="2" t="s">
        <v>1695</v>
      </c>
      <c r="L254" s="3">
        <v>27.39</v>
      </c>
      <c r="M254" s="3">
        <v>28.76</v>
      </c>
      <c r="N254" s="3">
        <v>62.99</v>
      </c>
      <c r="O254" s="2" t="s">
        <v>196</v>
      </c>
      <c r="P254" s="2" t="s">
        <v>197</v>
      </c>
      <c r="Q254" s="2" t="s">
        <v>198</v>
      </c>
      <c r="R254" s="2" t="s">
        <v>199</v>
      </c>
      <c r="S254" s="2" t="s">
        <v>1696</v>
      </c>
      <c r="T254" s="2" t="s">
        <v>1546</v>
      </c>
      <c r="U254" s="2" t="s">
        <v>254</v>
      </c>
      <c r="V254" s="2" t="s">
        <v>1547</v>
      </c>
      <c r="W254" s="2" t="s">
        <v>1014</v>
      </c>
      <c r="X254" s="2" t="s">
        <v>203</v>
      </c>
      <c r="Y254" s="2" t="s">
        <v>1697</v>
      </c>
      <c r="Z254" s="4">
        <v>3</v>
      </c>
      <c r="AA254" s="4">
        <f>=ROUNDDOWN(0.333333333333333,0)</f>
      </c>
      <c r="AB254" s="5">
        <v>9</v>
      </c>
      <c r="AC254" s="2" t="s">
        <v>1639</v>
      </c>
      <c r="AD254" s="4">
        <v>81</v>
      </c>
      <c r="AE254" s="4">
        <v>81</v>
      </c>
      <c r="AF254" s="6">
        <v>74</v>
      </c>
      <c r="AG254" s="6"/>
      <c r="AH254" s="7">
        <v>0.9355</v>
      </c>
      <c r="AI254" s="4"/>
      <c r="AJ254" s="4">
        <f>=ROUNDDOWN({0},0)</f>
      </c>
      <c r="AK254" s="5"/>
      <c r="AL254" s="2" t="s">
        <v>199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199</v>
      </c>
      <c r="AW254" s="8" t="s">
        <v>199</v>
      </c>
      <c r="AX254" s="4" t="s">
        <v>199</v>
      </c>
      <c r="AY254" s="8" t="s">
        <v>199</v>
      </c>
      <c r="AZ254" s="7" t="s">
        <v>199</v>
      </c>
      <c r="BA254" s="7" t="s">
        <v>199</v>
      </c>
      <c r="BB254" s="7"/>
      <c r="BC254" s="4" t="s">
        <v>199</v>
      </c>
      <c r="BD254" s="8" t="s">
        <v>199</v>
      </c>
      <c r="BE254" s="4" t="s">
        <v>199</v>
      </c>
      <c r="BF254" s="8" t="s">
        <v>199</v>
      </c>
      <c r="BG254" s="7" t="s">
        <v>199</v>
      </c>
      <c r="BH254" s="7" t="s">
        <v>199</v>
      </c>
      <c r="BI254" s="7"/>
      <c r="BJ254" s="4">
        <v>92</v>
      </c>
      <c r="BK254" s="8">
        <v>2895.31</v>
      </c>
      <c r="BL254" s="2" t="s">
        <v>1693</v>
      </c>
      <c r="BM254" s="7"/>
      <c r="BN254" s="7"/>
      <c r="BO254" s="4"/>
      <c r="BP254" s="8"/>
      <c r="BQ254" s="4"/>
      <c r="BR254" s="8"/>
      <c r="BS254" s="7"/>
      <c r="BT254" s="7"/>
      <c r="BU254" s="2" t="s">
        <v>1633</v>
      </c>
      <c r="BV254" s="2" t="s">
        <v>199</v>
      </c>
      <c r="BW254" s="2" t="s">
        <v>199</v>
      </c>
      <c r="BX254" s="2" t="s">
        <v>208</v>
      </c>
      <c r="BY254" s="2" t="s">
        <v>209</v>
      </c>
      <c r="BZ254" s="2" t="s">
        <v>196</v>
      </c>
      <c r="CA254" s="2" t="s">
        <v>901</v>
      </c>
      <c r="CB254" s="2" t="s">
        <v>1710</v>
      </c>
      <c r="CC254" s="2" t="s">
        <v>212</v>
      </c>
      <c r="CD254" s="2" t="s">
        <v>199</v>
      </c>
      <c r="CE254" s="4">
        <v>3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>
        <v>81</v>
      </c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>
        <v>10</v>
      </c>
      <c r="EU254" s="4"/>
      <c r="EV254" s="4"/>
      <c r="EW254" s="4"/>
      <c r="EX254" s="4"/>
      <c r="EY254" s="4"/>
      <c r="EZ254" s="4">
        <v>81</v>
      </c>
      <c r="FA254" s="4">
        <v>77</v>
      </c>
      <c r="FB254" s="4">
        <v>73</v>
      </c>
      <c r="FC254" s="4">
        <v>70</v>
      </c>
      <c r="FD254" s="4">
        <v>67</v>
      </c>
      <c r="FE254" s="4">
        <v>64</v>
      </c>
      <c r="FF254" s="4">
        <v>61</v>
      </c>
      <c r="FG254" s="4">
        <v>58</v>
      </c>
      <c r="FH254" s="4">
        <v>55</v>
      </c>
      <c r="FI254" s="4">
        <v>52</v>
      </c>
      <c r="FJ254" s="4">
        <v>48</v>
      </c>
      <c r="FK254" s="4">
        <v>44</v>
      </c>
      <c r="FL254" s="4">
        <v>41</v>
      </c>
      <c r="FM254" s="4">
        <v>38</v>
      </c>
      <c r="FN254" s="4">
        <v>35</v>
      </c>
      <c r="FO254" s="4">
        <v>32</v>
      </c>
      <c r="FP254" s="4">
        <v>29</v>
      </c>
      <c r="FQ254" s="4">
        <v>26</v>
      </c>
      <c r="FR254" s="4">
        <v>23</v>
      </c>
      <c r="FS254" s="4">
        <v>20</v>
      </c>
      <c r="FT254" s="19">
        <v>1.7</v>
      </c>
      <c r="FU254" s="20">
        <v>0</v>
      </c>
      <c r="FV254" s="20">
        <v>0</v>
      </c>
      <c r="FW254" s="20">
        <v>0</v>
      </c>
      <c r="FX254" s="20">
        <v>0</v>
      </c>
      <c r="FY254" s="20">
        <v>0</v>
      </c>
      <c r="FZ254" s="9"/>
      <c r="GA254" s="19">
        <v>25.7</v>
      </c>
      <c r="GB254" s="19">
        <v>24.3</v>
      </c>
      <c r="GC254" s="19">
        <v>23.3</v>
      </c>
      <c r="GD254" s="19">
        <v>22.3</v>
      </c>
      <c r="GE254" s="19">
        <v>21.3</v>
      </c>
      <c r="GF254" s="19">
        <v>20.3</v>
      </c>
      <c r="GG254" s="19">
        <v>14.5</v>
      </c>
      <c r="GH254" s="19">
        <v>13.8</v>
      </c>
      <c r="GI254" s="19">
        <v>13</v>
      </c>
      <c r="GJ254" s="19">
        <v>16</v>
      </c>
      <c r="GK254" s="19">
        <v>14.7</v>
      </c>
      <c r="GL254" s="19">
        <v>13.7</v>
      </c>
      <c r="GM254" s="19">
        <v>12.7</v>
      </c>
      <c r="GN254" s="19">
        <v>11.7</v>
      </c>
      <c r="GO254" s="19">
        <v>10.7</v>
      </c>
      <c r="GP254" s="19">
        <v>9.7</v>
      </c>
      <c r="GQ254" s="19">
        <v>8.7</v>
      </c>
      <c r="GR254" s="19">
        <v>7.7</v>
      </c>
      <c r="GS254" s="19">
        <v>5</v>
      </c>
    </row>
    <row r="255">
      <c r="A255" s="2" t="s">
        <v>1711</v>
      </c>
      <c r="B255" s="2" t="s">
        <v>245</v>
      </c>
      <c r="C255" s="2" t="s">
        <v>1625</v>
      </c>
      <c r="D255" s="2" t="s">
        <v>247</v>
      </c>
      <c r="E255" s="2" t="s">
        <v>248</v>
      </c>
      <c r="F255" s="2" t="s">
        <v>1626</v>
      </c>
      <c r="G255" s="2" t="s">
        <v>1626</v>
      </c>
      <c r="H255" s="2" t="s">
        <v>1626</v>
      </c>
      <c r="I255" s="2" t="s">
        <v>1627</v>
      </c>
      <c r="J255" s="2" t="s">
        <v>194</v>
      </c>
      <c r="K255" s="2" t="s">
        <v>1712</v>
      </c>
      <c r="L255" s="3">
        <v>14.89</v>
      </c>
      <c r="M255" s="3">
        <v>15.63</v>
      </c>
      <c r="N255" s="3">
        <v>31.99</v>
      </c>
      <c r="O255" s="2" t="s">
        <v>196</v>
      </c>
      <c r="P255" s="2" t="s">
        <v>197</v>
      </c>
      <c r="Q255" s="2" t="s">
        <v>198</v>
      </c>
      <c r="R255" s="2" t="s">
        <v>199</v>
      </c>
      <c r="S255" s="2" t="s">
        <v>1713</v>
      </c>
      <c r="T255" s="2" t="s">
        <v>1546</v>
      </c>
      <c r="U255" s="2" t="s">
        <v>637</v>
      </c>
      <c r="V255" s="2" t="s">
        <v>1547</v>
      </c>
      <c r="W255" s="2" t="s">
        <v>203</v>
      </c>
      <c r="X255" s="2" t="s">
        <v>1014</v>
      </c>
      <c r="Y255" s="2" t="s">
        <v>1631</v>
      </c>
      <c r="Z255" s="4"/>
      <c r="AA255" s="4">
        <f>=ROUNDDOWN({0},0)</f>
      </c>
      <c r="AB255" s="5">
        <v>37</v>
      </c>
      <c r="AC255" s="2" t="s">
        <v>199</v>
      </c>
      <c r="AD255" s="4"/>
      <c r="AE255" s="4"/>
      <c r="AF255" s="6">
        <v>65</v>
      </c>
      <c r="AG255" s="6"/>
      <c r="AH255" s="7">
        <v>0.9677</v>
      </c>
      <c r="AI255" s="4"/>
      <c r="AJ255" s="4">
        <f>=ROUNDDOWN({0},0)</f>
      </c>
      <c r="AK255" s="5"/>
      <c r="AL255" s="2" t="s">
        <v>199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199</v>
      </c>
      <c r="AW255" s="8" t="s">
        <v>199</v>
      </c>
      <c r="AX255" s="4" t="s">
        <v>199</v>
      </c>
      <c r="AY255" s="8" t="s">
        <v>199</v>
      </c>
      <c r="AZ255" s="7" t="s">
        <v>199</v>
      </c>
      <c r="BA255" s="7" t="s">
        <v>199</v>
      </c>
      <c r="BB255" s="7"/>
      <c r="BC255" s="4" t="s">
        <v>199</v>
      </c>
      <c r="BD255" s="8" t="s">
        <v>199</v>
      </c>
      <c r="BE255" s="4" t="s">
        <v>199</v>
      </c>
      <c r="BF255" s="8" t="s">
        <v>199</v>
      </c>
      <c r="BG255" s="7" t="s">
        <v>199</v>
      </c>
      <c r="BH255" s="7" t="s">
        <v>199</v>
      </c>
      <c r="BI255" s="7"/>
      <c r="BJ255" s="4">
        <v>338</v>
      </c>
      <c r="BK255" s="8">
        <v>5672.82</v>
      </c>
      <c r="BL255" s="2" t="s">
        <v>1714</v>
      </c>
      <c r="BM255" s="7"/>
      <c r="BN255" s="7"/>
      <c r="BO255" s="4"/>
      <c r="BP255" s="8"/>
      <c r="BQ255" s="4"/>
      <c r="BR255" s="8"/>
      <c r="BS255" s="7"/>
      <c r="BT255" s="7"/>
      <c r="BU255" s="2" t="s">
        <v>1633</v>
      </c>
      <c r="BV255" s="2" t="s">
        <v>199</v>
      </c>
      <c r="BW255" s="2" t="s">
        <v>199</v>
      </c>
      <c r="BX255" s="2" t="s">
        <v>208</v>
      </c>
      <c r="BY255" s="2" t="s">
        <v>209</v>
      </c>
      <c r="BZ255" s="2" t="s">
        <v>196</v>
      </c>
      <c r="CA255" s="2" t="s">
        <v>1715</v>
      </c>
      <c r="CB255" s="2" t="s">
        <v>1716</v>
      </c>
      <c r="CC255" s="2" t="s">
        <v>212</v>
      </c>
      <c r="CD255" s="2" t="s">
        <v>199</v>
      </c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>
        <v>55</v>
      </c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>
        <v>384</v>
      </c>
      <c r="FN255" s="4">
        <v>306</v>
      </c>
      <c r="FO255" s="4">
        <v>291</v>
      </c>
      <c r="FP255" s="4">
        <v>276</v>
      </c>
      <c r="FQ255" s="4">
        <v>261</v>
      </c>
      <c r="FR255" s="4">
        <v>246</v>
      </c>
      <c r="FS255" s="4">
        <v>231</v>
      </c>
      <c r="FT255" s="19">
        <v>2.6</v>
      </c>
      <c r="FU255" s="20">
        <v>0</v>
      </c>
      <c r="FV255" s="20">
        <v>0</v>
      </c>
      <c r="FW255" s="20">
        <v>0</v>
      </c>
      <c r="FX255" s="20">
        <v>0</v>
      </c>
      <c r="FY255" s="20">
        <v>0</v>
      </c>
      <c r="FZ255" s="20">
        <v>0</v>
      </c>
      <c r="GA255" s="20">
        <v>0</v>
      </c>
      <c r="GB255" s="20">
        <v>0</v>
      </c>
      <c r="GC255" s="20">
        <v>0</v>
      </c>
      <c r="GD255" s="20">
        <v>0</v>
      </c>
      <c r="GE255" s="20">
        <v>0</v>
      </c>
      <c r="GF255" s="20">
        <v>0</v>
      </c>
      <c r="GG255" s="20">
        <v>0</v>
      </c>
      <c r="GH255" s="20">
        <v>0</v>
      </c>
      <c r="GI255" s="20">
        <v>0</v>
      </c>
      <c r="GJ255" s="20">
        <v>0</v>
      </c>
      <c r="GK255" s="20">
        <v>0</v>
      </c>
      <c r="GL255" s="20">
        <v>0</v>
      </c>
      <c r="GM255" s="19">
        <v>12.4</v>
      </c>
      <c r="GN255" s="19">
        <v>20.4</v>
      </c>
      <c r="GO255" s="19">
        <v>19.4</v>
      </c>
      <c r="GP255" s="19">
        <v>18.4</v>
      </c>
      <c r="GQ255" s="19">
        <v>17.4</v>
      </c>
      <c r="GR255" s="19">
        <v>15.4</v>
      </c>
      <c r="GS255" s="19">
        <v>14.4</v>
      </c>
    </row>
    <row r="256">
      <c r="A256" s="2" t="s">
        <v>1717</v>
      </c>
      <c r="B256" s="2" t="s">
        <v>245</v>
      </c>
      <c r="C256" s="2" t="s">
        <v>1625</v>
      </c>
      <c r="D256" s="2" t="s">
        <v>247</v>
      </c>
      <c r="E256" s="2" t="s">
        <v>248</v>
      </c>
      <c r="F256" s="2" t="s">
        <v>1626</v>
      </c>
      <c r="G256" s="2" t="s">
        <v>1626</v>
      </c>
      <c r="H256" s="2" t="s">
        <v>1626</v>
      </c>
      <c r="I256" s="2" t="s">
        <v>1627</v>
      </c>
      <c r="J256" s="2" t="s">
        <v>285</v>
      </c>
      <c r="K256" s="2" t="s">
        <v>1712</v>
      </c>
      <c r="L256" s="3">
        <v>19.57</v>
      </c>
      <c r="M256" s="3">
        <v>20.55</v>
      </c>
      <c r="N256" s="3">
        <v>42.99</v>
      </c>
      <c r="O256" s="2" t="s">
        <v>196</v>
      </c>
      <c r="P256" s="2" t="s">
        <v>517</v>
      </c>
      <c r="Q256" s="2" t="s">
        <v>198</v>
      </c>
      <c r="R256" s="2" t="s">
        <v>199</v>
      </c>
      <c r="S256" s="2" t="s">
        <v>1713</v>
      </c>
      <c r="T256" s="2" t="s">
        <v>1546</v>
      </c>
      <c r="U256" s="2" t="s">
        <v>254</v>
      </c>
      <c r="V256" s="2" t="s">
        <v>1547</v>
      </c>
      <c r="W256" s="2" t="s">
        <v>203</v>
      </c>
      <c r="X256" s="2" t="s">
        <v>1014</v>
      </c>
      <c r="Y256" s="2" t="s">
        <v>1631</v>
      </c>
      <c r="Z256" s="4">
        <v>335</v>
      </c>
      <c r="AA256" s="4">
        <f>=ROUNDDOWN(12.8846153846154,0)</f>
      </c>
      <c r="AB256" s="5">
        <v>26</v>
      </c>
      <c r="AC256" s="2" t="s">
        <v>199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199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199</v>
      </c>
      <c r="AW256" s="8" t="s">
        <v>199</v>
      </c>
      <c r="AX256" s="4" t="s">
        <v>199</v>
      </c>
      <c r="AY256" s="8" t="s">
        <v>199</v>
      </c>
      <c r="AZ256" s="7" t="s">
        <v>199</v>
      </c>
      <c r="BA256" s="7" t="s">
        <v>199</v>
      </c>
      <c r="BB256" s="7"/>
      <c r="BC256" s="4" t="s">
        <v>199</v>
      </c>
      <c r="BD256" s="8" t="s">
        <v>199</v>
      </c>
      <c r="BE256" s="4" t="s">
        <v>199</v>
      </c>
      <c r="BF256" s="8" t="s">
        <v>199</v>
      </c>
      <c r="BG256" s="7" t="s">
        <v>199</v>
      </c>
      <c r="BH256" s="7" t="s">
        <v>199</v>
      </c>
      <c r="BI256" s="7"/>
      <c r="BJ256" s="4">
        <v>426</v>
      </c>
      <c r="BK256" s="8">
        <v>9086.8</v>
      </c>
      <c r="BL256" s="2" t="s">
        <v>1718</v>
      </c>
      <c r="BM256" s="7"/>
      <c r="BN256" s="7"/>
      <c r="BO256" s="4"/>
      <c r="BP256" s="8"/>
      <c r="BQ256" s="4"/>
      <c r="BR256" s="8"/>
      <c r="BS256" s="7"/>
      <c r="BT256" s="7"/>
      <c r="BU256" s="2" t="s">
        <v>1633</v>
      </c>
      <c r="BV256" s="2" t="s">
        <v>199</v>
      </c>
      <c r="BW256" s="2" t="s">
        <v>199</v>
      </c>
      <c r="BX256" s="2" t="s">
        <v>208</v>
      </c>
      <c r="BY256" s="2" t="s">
        <v>209</v>
      </c>
      <c r="BZ256" s="2" t="s">
        <v>196</v>
      </c>
      <c r="CA256" s="2" t="s">
        <v>1634</v>
      </c>
      <c r="CB256" s="2" t="s">
        <v>1719</v>
      </c>
      <c r="CC256" s="2" t="s">
        <v>212</v>
      </c>
      <c r="CD256" s="2" t="s">
        <v>199</v>
      </c>
      <c r="CE256" s="4">
        <v>113</v>
      </c>
      <c r="CF256" s="4">
        <v>222</v>
      </c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>
        <v>373</v>
      </c>
      <c r="EU256" s="4">
        <v>357</v>
      </c>
      <c r="EV256" s="4">
        <v>348</v>
      </c>
      <c r="EW256" s="4">
        <v>341</v>
      </c>
      <c r="EX256" s="4">
        <v>334</v>
      </c>
      <c r="EY256" s="4">
        <v>326</v>
      </c>
      <c r="EZ256" s="4">
        <v>318</v>
      </c>
      <c r="FA256" s="4">
        <v>310</v>
      </c>
      <c r="FB256" s="4">
        <v>302</v>
      </c>
      <c r="FC256" s="4">
        <v>296</v>
      </c>
      <c r="FD256" s="4">
        <v>290</v>
      </c>
      <c r="FE256" s="4">
        <v>284</v>
      </c>
      <c r="FF256" s="4">
        <v>278</v>
      </c>
      <c r="FG256" s="4">
        <v>272</v>
      </c>
      <c r="FH256" s="4">
        <v>266</v>
      </c>
      <c r="FI256" s="4">
        <v>260</v>
      </c>
      <c r="FJ256" s="4">
        <v>254</v>
      </c>
      <c r="FK256" s="4">
        <v>247</v>
      </c>
      <c r="FL256" s="4">
        <v>237</v>
      </c>
      <c r="FM256" s="4">
        <v>232</v>
      </c>
      <c r="FN256" s="4">
        <v>222</v>
      </c>
      <c r="FO256" s="4">
        <v>212</v>
      </c>
      <c r="FP256" s="4">
        <v>202</v>
      </c>
      <c r="FQ256" s="4">
        <v>192</v>
      </c>
      <c r="FR256" s="4">
        <v>182</v>
      </c>
      <c r="FS256" s="4">
        <v>172</v>
      </c>
      <c r="FT256" s="19">
        <v>37.3</v>
      </c>
      <c r="FU256" s="19">
        <v>44.6</v>
      </c>
      <c r="FV256" s="19">
        <v>43.5</v>
      </c>
      <c r="FW256" s="19">
        <v>42.6</v>
      </c>
      <c r="FX256" s="19">
        <v>41.8</v>
      </c>
      <c r="FY256" s="19">
        <v>40.8</v>
      </c>
      <c r="FZ256" s="19">
        <v>45.4</v>
      </c>
      <c r="GA256" s="19">
        <v>51.7</v>
      </c>
      <c r="GB256" s="19">
        <v>50.3</v>
      </c>
      <c r="GC256" s="19">
        <v>49.3</v>
      </c>
      <c r="GD256" s="19">
        <v>48.3</v>
      </c>
      <c r="GE256" s="19">
        <v>47.3</v>
      </c>
      <c r="GF256" s="19">
        <v>46.3</v>
      </c>
      <c r="GG256" s="19">
        <v>45.3</v>
      </c>
      <c r="GH256" s="19">
        <v>38</v>
      </c>
      <c r="GI256" s="19">
        <v>32.5</v>
      </c>
      <c r="GJ256" s="19">
        <v>28.2</v>
      </c>
      <c r="GK256" s="19">
        <v>24.7</v>
      </c>
      <c r="GL256" s="19">
        <v>23.7</v>
      </c>
      <c r="GM256" s="19">
        <v>23.2</v>
      </c>
      <c r="GN256" s="19">
        <v>22.2</v>
      </c>
      <c r="GO256" s="19">
        <v>21.2</v>
      </c>
      <c r="GP256" s="19">
        <v>20.2</v>
      </c>
      <c r="GQ256" s="19">
        <v>19.2</v>
      </c>
      <c r="GR256" s="19">
        <v>18.2</v>
      </c>
      <c r="GS256" s="19">
        <v>15.6</v>
      </c>
    </row>
    <row r="257">
      <c r="A257" s="2" t="s">
        <v>1720</v>
      </c>
      <c r="B257" s="2" t="s">
        <v>245</v>
      </c>
      <c r="C257" s="2" t="s">
        <v>1625</v>
      </c>
      <c r="D257" s="2" t="s">
        <v>247</v>
      </c>
      <c r="E257" s="2" t="s">
        <v>248</v>
      </c>
      <c r="F257" s="2" t="s">
        <v>1626</v>
      </c>
      <c r="G257" s="2" t="s">
        <v>1626</v>
      </c>
      <c r="H257" s="2" t="s">
        <v>1626</v>
      </c>
      <c r="I257" s="2" t="s">
        <v>1627</v>
      </c>
      <c r="J257" s="2" t="s">
        <v>219</v>
      </c>
      <c r="K257" s="2" t="s">
        <v>1712</v>
      </c>
      <c r="L257" s="3">
        <v>22.21</v>
      </c>
      <c r="M257" s="3">
        <v>23.32</v>
      </c>
      <c r="N257" s="3">
        <v>47.99</v>
      </c>
      <c r="O257" s="2" t="s">
        <v>196</v>
      </c>
      <c r="P257" s="2" t="s">
        <v>517</v>
      </c>
      <c r="Q257" s="2" t="s">
        <v>198</v>
      </c>
      <c r="R257" s="2" t="s">
        <v>199</v>
      </c>
      <c r="S257" s="2" t="s">
        <v>1713</v>
      </c>
      <c r="T257" s="2" t="s">
        <v>1546</v>
      </c>
      <c r="U257" s="2" t="s">
        <v>254</v>
      </c>
      <c r="V257" s="2" t="s">
        <v>1547</v>
      </c>
      <c r="W257" s="2" t="s">
        <v>203</v>
      </c>
      <c r="X257" s="2" t="s">
        <v>1014</v>
      </c>
      <c r="Y257" s="2" t="s">
        <v>1631</v>
      </c>
      <c r="Z257" s="4">
        <v>1</v>
      </c>
      <c r="AA257" s="4">
        <f>=ROUNDDOWN(0.0256410256410256,0)</f>
      </c>
      <c r="AB257" s="5">
        <v>39</v>
      </c>
      <c r="AC257" s="2" t="s">
        <v>199</v>
      </c>
      <c r="AD257" s="4"/>
      <c r="AE257" s="4"/>
      <c r="AF257" s="6">
        <v>65</v>
      </c>
      <c r="AG257" s="6"/>
      <c r="AH257" s="7">
        <v>0.4839</v>
      </c>
      <c r="AI257" s="4"/>
      <c r="AJ257" s="4">
        <f>=ROUNDDOWN({0},0)</f>
      </c>
      <c r="AK257" s="5"/>
      <c r="AL257" s="2" t="s">
        <v>199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199</v>
      </c>
      <c r="AW257" s="8" t="s">
        <v>199</v>
      </c>
      <c r="AX257" s="4" t="s">
        <v>199</v>
      </c>
      <c r="AY257" s="8" t="s">
        <v>199</v>
      </c>
      <c r="AZ257" s="7" t="s">
        <v>199</v>
      </c>
      <c r="BA257" s="7" t="s">
        <v>199</v>
      </c>
      <c r="BB257" s="7"/>
      <c r="BC257" s="4" t="s">
        <v>199</v>
      </c>
      <c r="BD257" s="8" t="s">
        <v>199</v>
      </c>
      <c r="BE257" s="4" t="s">
        <v>199</v>
      </c>
      <c r="BF257" s="8" t="s">
        <v>199</v>
      </c>
      <c r="BG257" s="7" t="s">
        <v>199</v>
      </c>
      <c r="BH257" s="7" t="s">
        <v>199</v>
      </c>
      <c r="BI257" s="7"/>
      <c r="BJ257" s="4">
        <v>432</v>
      </c>
      <c r="BK257" s="8">
        <v>10675.97</v>
      </c>
      <c r="BL257" s="2" t="s">
        <v>1328</v>
      </c>
      <c r="BM257" s="7"/>
      <c r="BN257" s="7"/>
      <c r="BO257" s="4"/>
      <c r="BP257" s="8"/>
      <c r="BQ257" s="4"/>
      <c r="BR257" s="8"/>
      <c r="BS257" s="7"/>
      <c r="BT257" s="7"/>
      <c r="BU257" s="2" t="s">
        <v>1633</v>
      </c>
      <c r="BV257" s="2" t="s">
        <v>199</v>
      </c>
      <c r="BW257" s="2" t="s">
        <v>199</v>
      </c>
      <c r="BX257" s="2" t="s">
        <v>208</v>
      </c>
      <c r="BY257" s="2" t="s">
        <v>209</v>
      </c>
      <c r="BZ257" s="2" t="s">
        <v>196</v>
      </c>
      <c r="CA257" s="2" t="s">
        <v>1667</v>
      </c>
      <c r="CB257" s="2" t="s">
        <v>1721</v>
      </c>
      <c r="CC257" s="2" t="s">
        <v>212</v>
      </c>
      <c r="CD257" s="2" t="s">
        <v>199</v>
      </c>
      <c r="CE257" s="4"/>
      <c r="CF257" s="4">
        <v>1</v>
      </c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>
        <v>138</v>
      </c>
      <c r="EU257" s="4">
        <v>121</v>
      </c>
      <c r="EV257" s="4">
        <v>109</v>
      </c>
      <c r="EW257" s="4">
        <v>100</v>
      </c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>
        <v>380</v>
      </c>
      <c r="FN257" s="4">
        <v>374</v>
      </c>
      <c r="FO257" s="4">
        <v>363</v>
      </c>
      <c r="FP257" s="4">
        <v>347</v>
      </c>
      <c r="FQ257" s="4">
        <v>331</v>
      </c>
      <c r="FR257" s="4">
        <v>315</v>
      </c>
      <c r="FS257" s="4">
        <v>299</v>
      </c>
      <c r="FT257" s="19">
        <v>4.1</v>
      </c>
      <c r="FU257" s="19">
        <v>3.7</v>
      </c>
      <c r="FV257" s="19">
        <v>3.3</v>
      </c>
      <c r="FW257" s="19">
        <v>3</v>
      </c>
      <c r="FX257" s="20">
        <v>0</v>
      </c>
      <c r="FY257" s="20">
        <v>0</v>
      </c>
      <c r="FZ257" s="20">
        <v>0</v>
      </c>
      <c r="GA257" s="20">
        <v>0</v>
      </c>
      <c r="GB257" s="20">
        <v>0</v>
      </c>
      <c r="GC257" s="20">
        <v>0</v>
      </c>
      <c r="GD257" s="20">
        <v>0</v>
      </c>
      <c r="GE257" s="20">
        <v>0</v>
      </c>
      <c r="GF257" s="20">
        <v>0</v>
      </c>
      <c r="GG257" s="20">
        <v>0</v>
      </c>
      <c r="GH257" s="20">
        <v>0</v>
      </c>
      <c r="GI257" s="20">
        <v>0</v>
      </c>
      <c r="GJ257" s="20">
        <v>0</v>
      </c>
      <c r="GK257" s="20">
        <v>0</v>
      </c>
      <c r="GL257" s="20">
        <v>0</v>
      </c>
      <c r="GM257" s="19">
        <v>31.7</v>
      </c>
      <c r="GN257" s="19">
        <v>24.9</v>
      </c>
      <c r="GO257" s="19">
        <v>22.7</v>
      </c>
      <c r="GP257" s="19">
        <v>21.7</v>
      </c>
      <c r="GQ257" s="19">
        <v>20.7</v>
      </c>
      <c r="GR257" s="19">
        <v>19.7</v>
      </c>
      <c r="GS257" s="19">
        <v>17.6</v>
      </c>
    </row>
    <row r="258">
      <c r="A258" s="2" t="s">
        <v>1722</v>
      </c>
      <c r="B258" s="2" t="s">
        <v>245</v>
      </c>
      <c r="C258" s="2" t="s">
        <v>1625</v>
      </c>
      <c r="D258" s="2" t="s">
        <v>247</v>
      </c>
      <c r="E258" s="2" t="s">
        <v>248</v>
      </c>
      <c r="F258" s="2" t="s">
        <v>1626</v>
      </c>
      <c r="G258" s="2" t="s">
        <v>1626</v>
      </c>
      <c r="H258" s="2" t="s">
        <v>1626</v>
      </c>
      <c r="I258" s="2" t="s">
        <v>1627</v>
      </c>
      <c r="J258" s="2" t="s">
        <v>223</v>
      </c>
      <c r="K258" s="2" t="s">
        <v>1723</v>
      </c>
      <c r="L258" s="3">
        <v>27.39</v>
      </c>
      <c r="M258" s="3">
        <v>28.76</v>
      </c>
      <c r="N258" s="3">
        <v>62.99</v>
      </c>
      <c r="O258" s="2" t="s">
        <v>196</v>
      </c>
      <c r="P258" s="2" t="s">
        <v>197</v>
      </c>
      <c r="Q258" s="2" t="s">
        <v>198</v>
      </c>
      <c r="R258" s="2" t="s">
        <v>199</v>
      </c>
      <c r="S258" s="2" t="s">
        <v>1724</v>
      </c>
      <c r="T258" s="2" t="s">
        <v>1546</v>
      </c>
      <c r="U258" s="2" t="s">
        <v>254</v>
      </c>
      <c r="V258" s="2" t="s">
        <v>1630</v>
      </c>
      <c r="W258" s="2" t="s">
        <v>203</v>
      </c>
      <c r="X258" s="2" t="s">
        <v>1014</v>
      </c>
      <c r="Y258" s="2" t="s">
        <v>1631</v>
      </c>
      <c r="Z258" s="4">
        <v>875</v>
      </c>
      <c r="AA258" s="4">
        <f>=ROUNDDOWN(48.6111111111111,0)</f>
      </c>
      <c r="AB258" s="5">
        <v>18</v>
      </c>
      <c r="AC258" s="2" t="s">
        <v>199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199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199</v>
      </c>
      <c r="BD258" s="8" t="s">
        <v>199</v>
      </c>
      <c r="BE258" s="4" t="s">
        <v>199</v>
      </c>
      <c r="BF258" s="8" t="s">
        <v>199</v>
      </c>
      <c r="BG258" s="7" t="s">
        <v>199</v>
      </c>
      <c r="BH258" s="7" t="s">
        <v>199</v>
      </c>
      <c r="BI258" s="7"/>
      <c r="BJ258" s="4">
        <v>166</v>
      </c>
      <c r="BK258" s="8">
        <v>4913.43</v>
      </c>
      <c r="BL258" s="2" t="s">
        <v>1474</v>
      </c>
      <c r="BM258" s="7"/>
      <c r="BN258" s="7"/>
      <c r="BO258" s="4"/>
      <c r="BP258" s="8"/>
      <c r="BQ258" s="4"/>
      <c r="BR258" s="8"/>
      <c r="BS258" s="7"/>
      <c r="BT258" s="7"/>
      <c r="BU258" s="2" t="s">
        <v>1633</v>
      </c>
      <c r="BV258" s="2" t="s">
        <v>199</v>
      </c>
      <c r="BW258" s="2" t="s">
        <v>199</v>
      </c>
      <c r="BX258" s="2" t="s">
        <v>208</v>
      </c>
      <c r="BY258" s="2" t="s">
        <v>209</v>
      </c>
      <c r="BZ258" s="2" t="s">
        <v>196</v>
      </c>
      <c r="CA258" s="2" t="s">
        <v>627</v>
      </c>
      <c r="CB258" s="2" t="s">
        <v>1725</v>
      </c>
      <c r="CC258" s="2" t="s">
        <v>212</v>
      </c>
      <c r="CD258" s="2" t="s">
        <v>199</v>
      </c>
      <c r="CE258" s="4">
        <v>659</v>
      </c>
      <c r="CF258" s="4">
        <v>215</v>
      </c>
      <c r="CG258" s="4"/>
      <c r="CH258" s="4"/>
      <c r="CI258" s="4"/>
      <c r="CJ258" s="4"/>
      <c r="CK258" s="4"/>
      <c r="CL258" s="4">
        <v>1</v>
      </c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>
        <v>891</v>
      </c>
      <c r="EU258" s="4">
        <v>869</v>
      </c>
      <c r="EV258" s="4">
        <v>863</v>
      </c>
      <c r="EW258" s="4">
        <v>859</v>
      </c>
      <c r="EX258" s="4">
        <v>854</v>
      </c>
      <c r="EY258" s="4">
        <v>848</v>
      </c>
      <c r="EZ258" s="4">
        <v>842</v>
      </c>
      <c r="FA258" s="4">
        <v>836</v>
      </c>
      <c r="FB258" s="4">
        <v>830</v>
      </c>
      <c r="FC258" s="4">
        <v>826</v>
      </c>
      <c r="FD258" s="4">
        <v>822</v>
      </c>
      <c r="FE258" s="4">
        <v>815</v>
      </c>
      <c r="FF258" s="4">
        <v>807</v>
      </c>
      <c r="FG258" s="4">
        <v>799</v>
      </c>
      <c r="FH258" s="4">
        <v>791</v>
      </c>
      <c r="FI258" s="4">
        <v>783</v>
      </c>
      <c r="FJ258" s="4">
        <v>775</v>
      </c>
      <c r="FK258" s="4">
        <v>767</v>
      </c>
      <c r="FL258" s="4">
        <v>760</v>
      </c>
      <c r="FM258" s="4">
        <v>753</v>
      </c>
      <c r="FN258" s="4">
        <v>746</v>
      </c>
      <c r="FO258" s="4">
        <v>739</v>
      </c>
      <c r="FP258" s="4">
        <v>732</v>
      </c>
      <c r="FQ258" s="4">
        <v>725</v>
      </c>
      <c r="FR258" s="4">
        <v>718</v>
      </c>
      <c r="FS258" s="4">
        <v>711</v>
      </c>
      <c r="FT258" s="19">
        <v>99</v>
      </c>
      <c r="FU258" s="19">
        <v>173.8</v>
      </c>
      <c r="FV258" s="19">
        <v>172.6</v>
      </c>
      <c r="FW258" s="19">
        <v>143.2</v>
      </c>
      <c r="FX258" s="19">
        <v>142.3</v>
      </c>
      <c r="FY258" s="19">
        <v>141.3</v>
      </c>
      <c r="FZ258" s="19">
        <v>168.4</v>
      </c>
      <c r="GA258" s="19">
        <v>167.2</v>
      </c>
      <c r="GB258" s="19">
        <v>138.3</v>
      </c>
      <c r="GC258" s="19">
        <v>118</v>
      </c>
      <c r="GD258" s="19">
        <v>102.8</v>
      </c>
      <c r="GE258" s="19">
        <v>101.9</v>
      </c>
      <c r="GF258" s="19">
        <v>100.9</v>
      </c>
      <c r="GG258" s="19">
        <v>99.9</v>
      </c>
      <c r="GH258" s="19">
        <v>98.9</v>
      </c>
      <c r="GI258" s="19">
        <v>97.9</v>
      </c>
      <c r="GJ258" s="19">
        <v>110.7</v>
      </c>
      <c r="GK258" s="19">
        <v>109.6</v>
      </c>
      <c r="GL258" s="19">
        <v>108.6</v>
      </c>
      <c r="GM258" s="19">
        <v>107.6</v>
      </c>
      <c r="GN258" s="19">
        <v>106.6</v>
      </c>
      <c r="GO258" s="19">
        <v>105.6</v>
      </c>
      <c r="GP258" s="19">
        <v>104.6</v>
      </c>
      <c r="GQ258" s="19">
        <v>103.6</v>
      </c>
      <c r="GR258" s="19">
        <v>102.6</v>
      </c>
      <c r="GS258" s="19">
        <v>88.9</v>
      </c>
    </row>
    <row r="259">
      <c r="A259" s="2" t="s">
        <v>1726</v>
      </c>
      <c r="B259" s="2" t="s">
        <v>245</v>
      </c>
      <c r="C259" s="2" t="s">
        <v>1625</v>
      </c>
      <c r="D259" s="2" t="s">
        <v>247</v>
      </c>
      <c r="E259" s="2" t="s">
        <v>248</v>
      </c>
      <c r="F259" s="2" t="s">
        <v>1626</v>
      </c>
      <c r="G259" s="2" t="s">
        <v>1626</v>
      </c>
      <c r="H259" s="2" t="s">
        <v>1626</v>
      </c>
      <c r="I259" s="2" t="s">
        <v>1627</v>
      </c>
      <c r="J259" s="2" t="s">
        <v>194</v>
      </c>
      <c r="K259" s="2" t="s">
        <v>1727</v>
      </c>
      <c r="L259" s="3">
        <v>14.89</v>
      </c>
      <c r="M259" s="3">
        <v>15.63</v>
      </c>
      <c r="N259" s="3">
        <v>31.99</v>
      </c>
      <c r="O259" s="2" t="s">
        <v>196</v>
      </c>
      <c r="P259" s="2" t="s">
        <v>197</v>
      </c>
      <c r="Q259" s="2" t="s">
        <v>198</v>
      </c>
      <c r="R259" s="2" t="s">
        <v>199</v>
      </c>
      <c r="S259" s="2" t="s">
        <v>1728</v>
      </c>
      <c r="T259" s="2" t="s">
        <v>1546</v>
      </c>
      <c r="U259" s="2" t="s">
        <v>199</v>
      </c>
      <c r="V259" s="2" t="s">
        <v>638</v>
      </c>
      <c r="W259" s="2" t="s">
        <v>203</v>
      </c>
      <c r="X259" s="2" t="s">
        <v>199</v>
      </c>
      <c r="Y259" s="2" t="s">
        <v>1596</v>
      </c>
      <c r="Z259" s="4">
        <v>925</v>
      </c>
      <c r="AA259" s="4">
        <f>=ROUNDDOWN(18.8775510204082,0)</f>
      </c>
      <c r="AB259" s="5">
        <v>49</v>
      </c>
      <c r="AC259" s="2" t="s">
        <v>199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199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199</v>
      </c>
      <c r="AW259" s="8" t="s">
        <v>199</v>
      </c>
      <c r="AX259" s="4" t="s">
        <v>199</v>
      </c>
      <c r="AY259" s="8" t="s">
        <v>199</v>
      </c>
      <c r="AZ259" s="7" t="s">
        <v>199</v>
      </c>
      <c r="BA259" s="7" t="s">
        <v>199</v>
      </c>
      <c r="BB259" s="7"/>
      <c r="BC259" s="4" t="s">
        <v>199</v>
      </c>
      <c r="BD259" s="8" t="s">
        <v>199</v>
      </c>
      <c r="BE259" s="4" t="s">
        <v>199</v>
      </c>
      <c r="BF259" s="8" t="s">
        <v>199</v>
      </c>
      <c r="BG259" s="7" t="s">
        <v>199</v>
      </c>
      <c r="BH259" s="7" t="s">
        <v>199</v>
      </c>
      <c r="BI259" s="7"/>
      <c r="BJ259" s="4">
        <v>53</v>
      </c>
      <c r="BK259" s="8">
        <v>876.51</v>
      </c>
      <c r="BL259" s="2" t="s">
        <v>1729</v>
      </c>
      <c r="BM259" s="7"/>
      <c r="BN259" s="7"/>
      <c r="BO259" s="4"/>
      <c r="BP259" s="8"/>
      <c r="BQ259" s="4"/>
      <c r="BR259" s="8"/>
      <c r="BS259" s="7"/>
      <c r="BT259" s="7"/>
      <c r="BU259" s="2" t="s">
        <v>1633</v>
      </c>
      <c r="BV259" s="2" t="s">
        <v>199</v>
      </c>
      <c r="BW259" s="2" t="s">
        <v>199</v>
      </c>
      <c r="BX259" s="2" t="s">
        <v>208</v>
      </c>
      <c r="BY259" s="2" t="s">
        <v>209</v>
      </c>
      <c r="BZ259" s="2" t="s">
        <v>196</v>
      </c>
      <c r="CA259" s="2" t="s">
        <v>1589</v>
      </c>
      <c r="CB259" s="2" t="s">
        <v>1616</v>
      </c>
      <c r="CC259" s="2" t="s">
        <v>212</v>
      </c>
      <c r="CD259" s="2" t="s">
        <v>199</v>
      </c>
      <c r="CE259" s="4">
        <v>925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>
        <v>939</v>
      </c>
      <c r="EU259" s="4">
        <v>904</v>
      </c>
      <c r="EV259" s="4">
        <v>889</v>
      </c>
      <c r="EW259" s="4">
        <v>878</v>
      </c>
      <c r="EX259" s="4">
        <v>867</v>
      </c>
      <c r="EY259" s="4">
        <v>854</v>
      </c>
      <c r="EZ259" s="4">
        <v>841</v>
      </c>
      <c r="FA259" s="4">
        <v>828</v>
      </c>
      <c r="FB259" s="4">
        <v>815</v>
      </c>
      <c r="FC259" s="4">
        <v>805</v>
      </c>
      <c r="FD259" s="4">
        <v>795</v>
      </c>
      <c r="FE259" s="4">
        <v>785</v>
      </c>
      <c r="FF259" s="4">
        <v>775</v>
      </c>
      <c r="FG259" s="4">
        <v>765</v>
      </c>
      <c r="FH259" s="4">
        <v>755</v>
      </c>
      <c r="FI259" s="4">
        <v>745</v>
      </c>
      <c r="FJ259" s="4">
        <v>735</v>
      </c>
      <c r="FK259" s="4">
        <v>725</v>
      </c>
      <c r="FL259" s="4">
        <v>717</v>
      </c>
      <c r="FM259" s="4">
        <v>709</v>
      </c>
      <c r="FN259" s="4">
        <v>701</v>
      </c>
      <c r="FO259" s="4">
        <v>693</v>
      </c>
      <c r="FP259" s="4">
        <v>685</v>
      </c>
      <c r="FQ259" s="4">
        <v>677</v>
      </c>
      <c r="FR259" s="4">
        <v>659</v>
      </c>
      <c r="FS259" s="4">
        <v>639</v>
      </c>
      <c r="FT259" s="19">
        <v>52.2</v>
      </c>
      <c r="FU259" s="19">
        <v>75.3</v>
      </c>
      <c r="FV259" s="19">
        <v>74.1</v>
      </c>
      <c r="FW259" s="19">
        <v>73.2</v>
      </c>
      <c r="FX259" s="19">
        <v>66.7</v>
      </c>
      <c r="FY259" s="19">
        <v>71.2</v>
      </c>
      <c r="FZ259" s="19">
        <v>70.1</v>
      </c>
      <c r="GA259" s="19">
        <v>75.3</v>
      </c>
      <c r="GB259" s="19">
        <v>81.5</v>
      </c>
      <c r="GC259" s="19">
        <v>80.5</v>
      </c>
      <c r="GD259" s="19">
        <v>79.5</v>
      </c>
      <c r="GE259" s="19">
        <v>78.5</v>
      </c>
      <c r="GF259" s="19">
        <v>77.5</v>
      </c>
      <c r="GG259" s="19">
        <v>76.5</v>
      </c>
      <c r="GH259" s="19">
        <v>75.5</v>
      </c>
      <c r="GI259" s="19">
        <v>82.8</v>
      </c>
      <c r="GJ259" s="19">
        <v>91.9</v>
      </c>
      <c r="GK259" s="19">
        <v>90.6</v>
      </c>
      <c r="GL259" s="19">
        <v>89.6</v>
      </c>
      <c r="GM259" s="19">
        <v>88.6</v>
      </c>
      <c r="GN259" s="19">
        <v>70.1</v>
      </c>
      <c r="GO259" s="19">
        <v>49.5</v>
      </c>
      <c r="GP259" s="19">
        <v>42.8</v>
      </c>
      <c r="GQ259" s="19">
        <v>33.9</v>
      </c>
      <c r="GR259" s="19">
        <v>31.4</v>
      </c>
      <c r="GS259" s="19">
        <v>29</v>
      </c>
    </row>
    <row r="260">
      <c r="A260" s="2" t="s">
        <v>1730</v>
      </c>
      <c r="B260" s="2" t="s">
        <v>245</v>
      </c>
      <c r="C260" s="2" t="s">
        <v>1625</v>
      </c>
      <c r="D260" s="2" t="s">
        <v>247</v>
      </c>
      <c r="E260" s="2" t="s">
        <v>248</v>
      </c>
      <c r="F260" s="2" t="s">
        <v>1626</v>
      </c>
      <c r="G260" s="2" t="s">
        <v>1626</v>
      </c>
      <c r="H260" s="2" t="s">
        <v>1626</v>
      </c>
      <c r="I260" s="2" t="s">
        <v>1627</v>
      </c>
      <c r="J260" s="2" t="s">
        <v>285</v>
      </c>
      <c r="K260" s="2" t="s">
        <v>1727</v>
      </c>
      <c r="L260" s="3">
        <v>19.57</v>
      </c>
      <c r="M260" s="3">
        <v>20.55</v>
      </c>
      <c r="N260" s="3">
        <v>42.99</v>
      </c>
      <c r="O260" s="2" t="s">
        <v>196</v>
      </c>
      <c r="P260" s="2" t="s">
        <v>197</v>
      </c>
      <c r="Q260" s="2" t="s">
        <v>198</v>
      </c>
      <c r="R260" s="2" t="s">
        <v>199</v>
      </c>
      <c r="S260" s="2" t="s">
        <v>1728</v>
      </c>
      <c r="T260" s="2" t="s">
        <v>1546</v>
      </c>
      <c r="U260" s="2" t="s">
        <v>199</v>
      </c>
      <c r="V260" s="2" t="s">
        <v>638</v>
      </c>
      <c r="W260" s="2" t="s">
        <v>203</v>
      </c>
      <c r="X260" s="2" t="s">
        <v>199</v>
      </c>
      <c r="Y260" s="2" t="s">
        <v>1596</v>
      </c>
      <c r="Z260" s="4">
        <v>680</v>
      </c>
      <c r="AA260" s="4">
        <f>=ROUNDDOWN(68,0)</f>
      </c>
      <c r="AB260" s="5">
        <v>10</v>
      </c>
      <c r="AC260" s="2" t="s">
        <v>199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199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199</v>
      </c>
      <c r="AW260" s="8" t="s">
        <v>199</v>
      </c>
      <c r="AX260" s="4" t="s">
        <v>199</v>
      </c>
      <c r="AY260" s="8" t="s">
        <v>199</v>
      </c>
      <c r="AZ260" s="7" t="s">
        <v>199</v>
      </c>
      <c r="BA260" s="7" t="s">
        <v>199</v>
      </c>
      <c r="BB260" s="7"/>
      <c r="BC260" s="4" t="s">
        <v>199</v>
      </c>
      <c r="BD260" s="8" t="s">
        <v>199</v>
      </c>
      <c r="BE260" s="4" t="s">
        <v>199</v>
      </c>
      <c r="BF260" s="8" t="s">
        <v>199</v>
      </c>
      <c r="BG260" s="7" t="s">
        <v>199</v>
      </c>
      <c r="BH260" s="7" t="s">
        <v>199</v>
      </c>
      <c r="BI260" s="7"/>
      <c r="BJ260" s="4">
        <v>69</v>
      </c>
      <c r="BK260" s="8">
        <v>1517.13</v>
      </c>
      <c r="BL260" s="2" t="s">
        <v>1731</v>
      </c>
      <c r="BM260" s="7"/>
      <c r="BN260" s="7"/>
      <c r="BO260" s="4"/>
      <c r="BP260" s="8"/>
      <c r="BQ260" s="4"/>
      <c r="BR260" s="8"/>
      <c r="BS260" s="7"/>
      <c r="BT260" s="7"/>
      <c r="BU260" s="2" t="s">
        <v>1633</v>
      </c>
      <c r="BV260" s="2" t="s">
        <v>199</v>
      </c>
      <c r="BW260" s="2" t="s">
        <v>199</v>
      </c>
      <c r="BX260" s="2" t="s">
        <v>208</v>
      </c>
      <c r="BY260" s="2" t="s">
        <v>209</v>
      </c>
      <c r="BZ260" s="2" t="s">
        <v>196</v>
      </c>
      <c r="CA260" s="2" t="s">
        <v>1589</v>
      </c>
      <c r="CB260" s="2" t="s">
        <v>1616</v>
      </c>
      <c r="CC260" s="2" t="s">
        <v>212</v>
      </c>
      <c r="CD260" s="2" t="s">
        <v>199</v>
      </c>
      <c r="CE260" s="4">
        <v>680</v>
      </c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>
        <v>707</v>
      </c>
      <c r="EU260" s="4">
        <v>678</v>
      </c>
      <c r="EV260" s="4">
        <v>674</v>
      </c>
      <c r="EW260" s="4">
        <v>671</v>
      </c>
      <c r="EX260" s="4">
        <v>668</v>
      </c>
      <c r="EY260" s="4">
        <v>664</v>
      </c>
      <c r="EZ260" s="4">
        <v>660</v>
      </c>
      <c r="FA260" s="4">
        <v>656</v>
      </c>
      <c r="FB260" s="4">
        <v>652</v>
      </c>
      <c r="FC260" s="4">
        <v>649</v>
      </c>
      <c r="FD260" s="4">
        <v>646</v>
      </c>
      <c r="FE260" s="4">
        <v>643</v>
      </c>
      <c r="FF260" s="4">
        <v>640</v>
      </c>
      <c r="FG260" s="4">
        <v>636</v>
      </c>
      <c r="FH260" s="4">
        <v>631</v>
      </c>
      <c r="FI260" s="4">
        <v>626</v>
      </c>
      <c r="FJ260" s="4">
        <v>621</v>
      </c>
      <c r="FK260" s="4">
        <v>616</v>
      </c>
      <c r="FL260" s="4">
        <v>612</v>
      </c>
      <c r="FM260" s="4">
        <v>608</v>
      </c>
      <c r="FN260" s="4">
        <v>604</v>
      </c>
      <c r="FO260" s="4">
        <v>600</v>
      </c>
      <c r="FP260" s="4">
        <v>596</v>
      </c>
      <c r="FQ260" s="4">
        <v>592</v>
      </c>
      <c r="FR260" s="4">
        <v>588</v>
      </c>
      <c r="FS260" s="4">
        <v>584</v>
      </c>
      <c r="FT260" s="19">
        <v>70.7</v>
      </c>
      <c r="FU260" s="19">
        <v>169.5</v>
      </c>
      <c r="FV260" s="19">
        <v>168.5</v>
      </c>
      <c r="FW260" s="19">
        <v>167.8</v>
      </c>
      <c r="FX260" s="19">
        <v>167</v>
      </c>
      <c r="FY260" s="19">
        <v>166</v>
      </c>
      <c r="FZ260" s="19">
        <v>165</v>
      </c>
      <c r="GA260" s="19">
        <v>218.7</v>
      </c>
      <c r="GB260" s="19">
        <v>217.3</v>
      </c>
      <c r="GC260" s="19">
        <v>216.3</v>
      </c>
      <c r="GD260" s="19">
        <v>161.5</v>
      </c>
      <c r="GE260" s="19">
        <v>160.8</v>
      </c>
      <c r="GF260" s="19">
        <v>128</v>
      </c>
      <c r="GG260" s="19">
        <v>127.2</v>
      </c>
      <c r="GH260" s="19">
        <v>126.2</v>
      </c>
      <c r="GI260" s="19">
        <v>156.5</v>
      </c>
      <c r="GJ260" s="19">
        <v>155.3</v>
      </c>
      <c r="GK260" s="19">
        <v>154</v>
      </c>
      <c r="GL260" s="19">
        <v>153</v>
      </c>
      <c r="GM260" s="19">
        <v>152</v>
      </c>
      <c r="GN260" s="19">
        <v>151</v>
      </c>
      <c r="GO260" s="19">
        <v>150</v>
      </c>
      <c r="GP260" s="19">
        <v>149</v>
      </c>
      <c r="GQ260" s="19">
        <v>148</v>
      </c>
      <c r="GR260" s="19">
        <v>147</v>
      </c>
      <c r="GS260" s="19">
        <v>146</v>
      </c>
    </row>
    <row r="261">
      <c r="A261" s="2" t="s">
        <v>1732</v>
      </c>
      <c r="B261" s="2" t="s">
        <v>245</v>
      </c>
      <c r="C261" s="2" t="s">
        <v>1625</v>
      </c>
      <c r="D261" s="2" t="s">
        <v>247</v>
      </c>
      <c r="E261" s="2" t="s">
        <v>248</v>
      </c>
      <c r="F261" s="2" t="s">
        <v>1626</v>
      </c>
      <c r="G261" s="2" t="s">
        <v>1626</v>
      </c>
      <c r="H261" s="2" t="s">
        <v>1626</v>
      </c>
      <c r="I261" s="2" t="s">
        <v>1627</v>
      </c>
      <c r="J261" s="2" t="s">
        <v>251</v>
      </c>
      <c r="K261" s="2" t="s">
        <v>1727</v>
      </c>
      <c r="L261" s="3">
        <v>27.39</v>
      </c>
      <c r="M261" s="3">
        <v>28.76</v>
      </c>
      <c r="N261" s="3">
        <v>62.99</v>
      </c>
      <c r="O261" s="2" t="s">
        <v>196</v>
      </c>
      <c r="P261" s="2" t="s">
        <v>197</v>
      </c>
      <c r="Q261" s="2" t="s">
        <v>198</v>
      </c>
      <c r="R261" s="2" t="s">
        <v>199</v>
      </c>
      <c r="S261" s="2" t="s">
        <v>1728</v>
      </c>
      <c r="T261" s="2" t="s">
        <v>1546</v>
      </c>
      <c r="U261" s="2" t="s">
        <v>199</v>
      </c>
      <c r="V261" s="2" t="s">
        <v>638</v>
      </c>
      <c r="W261" s="2" t="s">
        <v>203</v>
      </c>
      <c r="X261" s="2" t="s">
        <v>199</v>
      </c>
      <c r="Y261" s="2" t="s">
        <v>1596</v>
      </c>
      <c r="Z261" s="4">
        <v>330</v>
      </c>
      <c r="AA261" s="4">
        <f>=ROUNDDOWN(82.5,0)</f>
      </c>
      <c r="AB261" s="5">
        <v>4</v>
      </c>
      <c r="AC261" s="2" t="s">
        <v>199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199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199</v>
      </c>
      <c r="AW261" s="8" t="s">
        <v>199</v>
      </c>
      <c r="AX261" s="4" t="s">
        <v>199</v>
      </c>
      <c r="AY261" s="8" t="s">
        <v>199</v>
      </c>
      <c r="AZ261" s="7" t="s">
        <v>199</v>
      </c>
      <c r="BA261" s="7" t="s">
        <v>199</v>
      </c>
      <c r="BB261" s="7"/>
      <c r="BC261" s="4" t="s">
        <v>199</v>
      </c>
      <c r="BD261" s="8" t="s">
        <v>199</v>
      </c>
      <c r="BE261" s="4" t="s">
        <v>199</v>
      </c>
      <c r="BF261" s="8" t="s">
        <v>199</v>
      </c>
      <c r="BG261" s="7" t="s">
        <v>199</v>
      </c>
      <c r="BH261" s="7" t="s">
        <v>199</v>
      </c>
      <c r="BI261" s="7"/>
      <c r="BJ261" s="4">
        <v>62</v>
      </c>
      <c r="BK261" s="8">
        <v>1823.7</v>
      </c>
      <c r="BL261" s="2" t="s">
        <v>1675</v>
      </c>
      <c r="BM261" s="7"/>
      <c r="BN261" s="7"/>
      <c r="BO261" s="4"/>
      <c r="BP261" s="8"/>
      <c r="BQ261" s="4"/>
      <c r="BR261" s="8"/>
      <c r="BS261" s="7"/>
      <c r="BT261" s="7"/>
      <c r="BU261" s="2" t="s">
        <v>1633</v>
      </c>
      <c r="BV261" s="2" t="s">
        <v>199</v>
      </c>
      <c r="BW261" s="2" t="s">
        <v>199</v>
      </c>
      <c r="BX261" s="2" t="s">
        <v>208</v>
      </c>
      <c r="BY261" s="2" t="s">
        <v>209</v>
      </c>
      <c r="BZ261" s="2" t="s">
        <v>196</v>
      </c>
      <c r="CA261" s="2" t="s">
        <v>1589</v>
      </c>
      <c r="CB261" s="2" t="s">
        <v>1616</v>
      </c>
      <c r="CC261" s="2" t="s">
        <v>212</v>
      </c>
      <c r="CD261" s="2" t="s">
        <v>199</v>
      </c>
      <c r="CE261" s="4">
        <v>330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>
        <v>335</v>
      </c>
      <c r="EU261" s="4">
        <v>328</v>
      </c>
      <c r="EV261" s="4">
        <v>326</v>
      </c>
      <c r="EW261" s="4">
        <v>324</v>
      </c>
      <c r="EX261" s="4">
        <v>322</v>
      </c>
      <c r="EY261" s="4">
        <v>320</v>
      </c>
      <c r="EZ261" s="4">
        <v>318</v>
      </c>
      <c r="FA261" s="4">
        <v>316</v>
      </c>
      <c r="FB261" s="4">
        <v>314</v>
      </c>
      <c r="FC261" s="4">
        <v>312</v>
      </c>
      <c r="FD261" s="4">
        <v>310</v>
      </c>
      <c r="FE261" s="4">
        <v>308</v>
      </c>
      <c r="FF261" s="4">
        <v>306</v>
      </c>
      <c r="FG261" s="4">
        <v>304</v>
      </c>
      <c r="FH261" s="4">
        <v>302</v>
      </c>
      <c r="FI261" s="4">
        <v>300</v>
      </c>
      <c r="FJ261" s="4">
        <v>298</v>
      </c>
      <c r="FK261" s="4">
        <v>296</v>
      </c>
      <c r="FL261" s="4">
        <v>295</v>
      </c>
      <c r="FM261" s="4">
        <v>294</v>
      </c>
      <c r="FN261" s="4">
        <v>293</v>
      </c>
      <c r="FO261" s="4">
        <v>292</v>
      </c>
      <c r="FP261" s="4">
        <v>291</v>
      </c>
      <c r="FQ261" s="4">
        <v>290</v>
      </c>
      <c r="FR261" s="4">
        <v>289</v>
      </c>
      <c r="FS261" s="4">
        <v>288</v>
      </c>
      <c r="FT261" s="19">
        <v>111.7</v>
      </c>
      <c r="FU261" s="19">
        <v>164</v>
      </c>
      <c r="FV261" s="19">
        <v>163</v>
      </c>
      <c r="FW261" s="19">
        <v>162</v>
      </c>
      <c r="FX261" s="19">
        <v>161</v>
      </c>
      <c r="FY261" s="19">
        <v>160</v>
      </c>
      <c r="FZ261" s="19">
        <v>159</v>
      </c>
      <c r="GA261" s="19">
        <v>158</v>
      </c>
      <c r="GB261" s="19">
        <v>157</v>
      </c>
      <c r="GC261" s="19">
        <v>156</v>
      </c>
      <c r="GD261" s="19">
        <v>155</v>
      </c>
      <c r="GE261" s="19">
        <v>154</v>
      </c>
      <c r="GF261" s="19">
        <v>153</v>
      </c>
      <c r="GG261" s="19">
        <v>152</v>
      </c>
      <c r="GH261" s="19">
        <v>151</v>
      </c>
      <c r="GI261" s="19">
        <v>150</v>
      </c>
      <c r="GJ261" s="19">
        <v>298</v>
      </c>
      <c r="GK261" s="19">
        <v>296</v>
      </c>
      <c r="GL261" s="19">
        <v>295</v>
      </c>
      <c r="GM261" s="19">
        <v>294</v>
      </c>
      <c r="GN261" s="19">
        <v>293</v>
      </c>
      <c r="GO261" s="19">
        <v>292</v>
      </c>
      <c r="GP261" s="19">
        <v>291</v>
      </c>
      <c r="GQ261" s="19">
        <v>290</v>
      </c>
      <c r="GR261" s="19">
        <v>289</v>
      </c>
      <c r="GS261" s="19">
        <v>288</v>
      </c>
    </row>
    <row r="262">
      <c r="A262" s="2" t="s">
        <v>1733</v>
      </c>
      <c r="B262" s="2" t="s">
        <v>245</v>
      </c>
      <c r="C262" s="2" t="s">
        <v>1625</v>
      </c>
      <c r="D262" s="2" t="s">
        <v>247</v>
      </c>
      <c r="E262" s="2" t="s">
        <v>248</v>
      </c>
      <c r="F262" s="2" t="s">
        <v>1626</v>
      </c>
      <c r="G262" s="2" t="s">
        <v>1626</v>
      </c>
      <c r="H262" s="2" t="s">
        <v>1626</v>
      </c>
      <c r="I262" s="2" t="s">
        <v>1627</v>
      </c>
      <c r="J262" s="2" t="s">
        <v>285</v>
      </c>
      <c r="K262" s="2" t="s">
        <v>1734</v>
      </c>
      <c r="L262" s="3">
        <v>19.57</v>
      </c>
      <c r="M262" s="3">
        <v>20.55</v>
      </c>
      <c r="N262" s="3">
        <v>42.99</v>
      </c>
      <c r="O262" s="2" t="s">
        <v>196</v>
      </c>
      <c r="P262" s="2" t="s">
        <v>724</v>
      </c>
      <c r="Q262" s="2" t="s">
        <v>198</v>
      </c>
      <c r="R262" s="2" t="s">
        <v>199</v>
      </c>
      <c r="S262" s="2" t="s">
        <v>1735</v>
      </c>
      <c r="T262" s="2" t="s">
        <v>1546</v>
      </c>
      <c r="U262" s="2" t="s">
        <v>254</v>
      </c>
      <c r="V262" s="2" t="s">
        <v>1547</v>
      </c>
      <c r="W262" s="2" t="s">
        <v>203</v>
      </c>
      <c r="X262" s="2" t="s">
        <v>1014</v>
      </c>
      <c r="Y262" s="2" t="s">
        <v>1631</v>
      </c>
      <c r="Z262" s="4">
        <v>1330</v>
      </c>
      <c r="AA262" s="4">
        <f>=ROUNDDOWN(36.9444444444444,0)</f>
      </c>
      <c r="AB262" s="5">
        <v>36</v>
      </c>
      <c r="AC262" s="2" t="s">
        <v>199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199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199</v>
      </c>
      <c r="AW262" s="8" t="s">
        <v>199</v>
      </c>
      <c r="AX262" s="4" t="s">
        <v>199</v>
      </c>
      <c r="AY262" s="8" t="s">
        <v>199</v>
      </c>
      <c r="AZ262" s="7" t="s">
        <v>199</v>
      </c>
      <c r="BA262" s="7" t="s">
        <v>199</v>
      </c>
      <c r="BB262" s="7"/>
      <c r="BC262" s="4" t="s">
        <v>199</v>
      </c>
      <c r="BD262" s="8" t="s">
        <v>199</v>
      </c>
      <c r="BE262" s="4" t="s">
        <v>199</v>
      </c>
      <c r="BF262" s="8" t="s">
        <v>199</v>
      </c>
      <c r="BG262" s="7" t="s">
        <v>199</v>
      </c>
      <c r="BH262" s="7" t="s">
        <v>199</v>
      </c>
      <c r="BI262" s="7"/>
      <c r="BJ262" s="4">
        <v>182</v>
      </c>
      <c r="BK262" s="8">
        <v>4082.81</v>
      </c>
      <c r="BL262" s="2" t="s">
        <v>1736</v>
      </c>
      <c r="BM262" s="7"/>
      <c r="BN262" s="7"/>
      <c r="BO262" s="4"/>
      <c r="BP262" s="8"/>
      <c r="BQ262" s="4"/>
      <c r="BR262" s="8"/>
      <c r="BS262" s="7"/>
      <c r="BT262" s="7"/>
      <c r="BU262" s="2" t="s">
        <v>1633</v>
      </c>
      <c r="BV262" s="2" t="s">
        <v>199</v>
      </c>
      <c r="BW262" s="2" t="s">
        <v>199</v>
      </c>
      <c r="BX262" s="2" t="s">
        <v>208</v>
      </c>
      <c r="BY262" s="2" t="s">
        <v>209</v>
      </c>
      <c r="BZ262" s="2" t="s">
        <v>196</v>
      </c>
      <c r="CA262" s="2" t="s">
        <v>1634</v>
      </c>
      <c r="CB262" s="2" t="s">
        <v>1737</v>
      </c>
      <c r="CC262" s="2" t="s">
        <v>212</v>
      </c>
      <c r="CD262" s="2" t="s">
        <v>199</v>
      </c>
      <c r="CE262" s="4">
        <v>1330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>
        <v>1338</v>
      </c>
      <c r="EU262" s="4">
        <v>1312</v>
      </c>
      <c r="EV262" s="4">
        <v>1299</v>
      </c>
      <c r="EW262" s="4">
        <v>1289</v>
      </c>
      <c r="EX262" s="4">
        <v>1279</v>
      </c>
      <c r="EY262" s="4">
        <v>1268</v>
      </c>
      <c r="EZ262" s="4">
        <v>1257</v>
      </c>
      <c r="FA262" s="4">
        <v>1246</v>
      </c>
      <c r="FB262" s="4">
        <v>1235</v>
      </c>
      <c r="FC262" s="4">
        <v>1227</v>
      </c>
      <c r="FD262" s="4">
        <v>1219</v>
      </c>
      <c r="FE262" s="4">
        <v>1211</v>
      </c>
      <c r="FF262" s="4">
        <v>1203</v>
      </c>
      <c r="FG262" s="4">
        <v>1195</v>
      </c>
      <c r="FH262" s="4">
        <v>1187</v>
      </c>
      <c r="FI262" s="4">
        <v>1179</v>
      </c>
      <c r="FJ262" s="4">
        <v>1171</v>
      </c>
      <c r="FK262" s="4">
        <v>1163</v>
      </c>
      <c r="FL262" s="4">
        <v>1157</v>
      </c>
      <c r="FM262" s="4">
        <v>1151</v>
      </c>
      <c r="FN262" s="4">
        <v>1145</v>
      </c>
      <c r="FO262" s="4">
        <v>1139</v>
      </c>
      <c r="FP262" s="4">
        <v>1133</v>
      </c>
      <c r="FQ262" s="4">
        <v>1127</v>
      </c>
      <c r="FR262" s="4">
        <v>1121</v>
      </c>
      <c r="FS262" s="4">
        <v>1115</v>
      </c>
      <c r="FT262" s="19">
        <v>89.2</v>
      </c>
      <c r="FU262" s="19">
        <v>119.3</v>
      </c>
      <c r="FV262" s="19">
        <v>129.9</v>
      </c>
      <c r="FW262" s="19">
        <v>117.2</v>
      </c>
      <c r="FX262" s="19">
        <v>116.3</v>
      </c>
      <c r="FY262" s="19">
        <v>126.8</v>
      </c>
      <c r="FZ262" s="19">
        <v>125.7</v>
      </c>
      <c r="GA262" s="19">
        <v>138.4</v>
      </c>
      <c r="GB262" s="19">
        <v>154.4</v>
      </c>
      <c r="GC262" s="19">
        <v>153.4</v>
      </c>
      <c r="GD262" s="19">
        <v>152.4</v>
      </c>
      <c r="GE262" s="19">
        <v>151.4</v>
      </c>
      <c r="GF262" s="19">
        <v>150.4</v>
      </c>
      <c r="GG262" s="19">
        <v>149.4</v>
      </c>
      <c r="GH262" s="19">
        <v>148.4</v>
      </c>
      <c r="GI262" s="19">
        <v>168.4</v>
      </c>
      <c r="GJ262" s="19">
        <v>195.2</v>
      </c>
      <c r="GK262" s="19">
        <v>193.8</v>
      </c>
      <c r="GL262" s="19">
        <v>192.8</v>
      </c>
      <c r="GM262" s="19">
        <v>191.8</v>
      </c>
      <c r="GN262" s="19">
        <v>190.8</v>
      </c>
      <c r="GO262" s="19">
        <v>189.8</v>
      </c>
      <c r="GP262" s="19">
        <v>188.8</v>
      </c>
      <c r="GQ262" s="19">
        <v>187.8</v>
      </c>
      <c r="GR262" s="19">
        <v>186.8</v>
      </c>
      <c r="GS262" s="19">
        <v>185.8</v>
      </c>
    </row>
    <row r="263">
      <c r="A263" s="2" t="s">
        <v>1738</v>
      </c>
      <c r="B263" s="2" t="s">
        <v>245</v>
      </c>
      <c r="C263" s="2" t="s">
        <v>1625</v>
      </c>
      <c r="D263" s="2" t="s">
        <v>247</v>
      </c>
      <c r="E263" s="2" t="s">
        <v>248</v>
      </c>
      <c r="F263" s="2" t="s">
        <v>1626</v>
      </c>
      <c r="G263" s="2" t="s">
        <v>1626</v>
      </c>
      <c r="H263" s="2" t="s">
        <v>1626</v>
      </c>
      <c r="I263" s="2" t="s">
        <v>1627</v>
      </c>
      <c r="J263" s="2" t="s">
        <v>219</v>
      </c>
      <c r="K263" s="2" t="s">
        <v>1734</v>
      </c>
      <c r="L263" s="3">
        <v>22.21</v>
      </c>
      <c r="M263" s="3">
        <v>23.32</v>
      </c>
      <c r="N263" s="3">
        <v>47.99</v>
      </c>
      <c r="O263" s="2" t="s">
        <v>196</v>
      </c>
      <c r="P263" s="2" t="s">
        <v>724</v>
      </c>
      <c r="Q263" s="2" t="s">
        <v>198</v>
      </c>
      <c r="R263" s="2" t="s">
        <v>199</v>
      </c>
      <c r="S263" s="2" t="s">
        <v>1735</v>
      </c>
      <c r="T263" s="2" t="s">
        <v>1546</v>
      </c>
      <c r="U263" s="2" t="s">
        <v>254</v>
      </c>
      <c r="V263" s="2" t="s">
        <v>1547</v>
      </c>
      <c r="W263" s="2" t="s">
        <v>203</v>
      </c>
      <c r="X263" s="2" t="s">
        <v>1014</v>
      </c>
      <c r="Y263" s="2" t="s">
        <v>1631</v>
      </c>
      <c r="Z263" s="4"/>
      <c r="AA263" s="4">
        <f>=ROUNDDOWN({0},0)</f>
      </c>
      <c r="AB263" s="5">
        <v>50</v>
      </c>
      <c r="AC263" s="2" t="s">
        <v>1666</v>
      </c>
      <c r="AD263" s="4">
        <v>375</v>
      </c>
      <c r="AE263" s="4">
        <v>535</v>
      </c>
      <c r="AF263" s="6">
        <v>65</v>
      </c>
      <c r="AG263" s="6"/>
      <c r="AH263" s="7">
        <v>0.2258</v>
      </c>
      <c r="AI263" s="4"/>
      <c r="AJ263" s="4">
        <f>=ROUNDDOWN({0},0)</f>
      </c>
      <c r="AK263" s="5"/>
      <c r="AL263" s="2" t="s">
        <v>199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199</v>
      </c>
      <c r="AW263" s="8" t="s">
        <v>199</v>
      </c>
      <c r="AX263" s="4" t="s">
        <v>199</v>
      </c>
      <c r="AY263" s="8" t="s">
        <v>199</v>
      </c>
      <c r="AZ263" s="7" t="s">
        <v>199</v>
      </c>
      <c r="BA263" s="7" t="s">
        <v>199</v>
      </c>
      <c r="BB263" s="7"/>
      <c r="BC263" s="4" t="s">
        <v>199</v>
      </c>
      <c r="BD263" s="8" t="s">
        <v>199</v>
      </c>
      <c r="BE263" s="4" t="s">
        <v>199</v>
      </c>
      <c r="BF263" s="8" t="s">
        <v>199</v>
      </c>
      <c r="BG263" s="7" t="s">
        <v>199</v>
      </c>
      <c r="BH263" s="7" t="s">
        <v>199</v>
      </c>
      <c r="BI263" s="7"/>
      <c r="BJ263" s="4">
        <v>134</v>
      </c>
      <c r="BK263" s="8">
        <v>3190.49</v>
      </c>
      <c r="BL263" s="2" t="s">
        <v>1739</v>
      </c>
      <c r="BM263" s="7"/>
      <c r="BN263" s="7"/>
      <c r="BO263" s="4"/>
      <c r="BP263" s="8"/>
      <c r="BQ263" s="4"/>
      <c r="BR263" s="8"/>
      <c r="BS263" s="7"/>
      <c r="BT263" s="7"/>
      <c r="BU263" s="2" t="s">
        <v>1633</v>
      </c>
      <c r="BV263" s="2" t="s">
        <v>199</v>
      </c>
      <c r="BW263" s="2" t="s">
        <v>199</v>
      </c>
      <c r="BX263" s="2" t="s">
        <v>208</v>
      </c>
      <c r="BY263" s="2" t="s">
        <v>209</v>
      </c>
      <c r="BZ263" s="2" t="s">
        <v>196</v>
      </c>
      <c r="CA263" s="2" t="s">
        <v>1667</v>
      </c>
      <c r="CB263" s="2" t="s">
        <v>1740</v>
      </c>
      <c r="CC263" s="2" t="s">
        <v>212</v>
      </c>
      <c r="CD263" s="2" t="s">
        <v>199</v>
      </c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>
        <v>375</v>
      </c>
      <c r="DM263" s="4"/>
      <c r="DN263" s="4">
        <v>160</v>
      </c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>
        <v>375</v>
      </c>
      <c r="EZ263" s="4">
        <v>398</v>
      </c>
      <c r="FA263" s="4">
        <v>367</v>
      </c>
      <c r="FB263" s="4">
        <v>336</v>
      </c>
      <c r="FC263" s="4">
        <v>310</v>
      </c>
      <c r="FD263" s="4">
        <v>284</v>
      </c>
      <c r="FE263" s="4">
        <v>261</v>
      </c>
      <c r="FF263" s="4">
        <v>238</v>
      </c>
      <c r="FG263" s="4">
        <v>215</v>
      </c>
      <c r="FH263" s="4">
        <v>192</v>
      </c>
      <c r="FI263" s="4">
        <v>169</v>
      </c>
      <c r="FJ263" s="4">
        <v>146</v>
      </c>
      <c r="FK263" s="4">
        <v>123</v>
      </c>
      <c r="FL263" s="4">
        <v>103</v>
      </c>
      <c r="FM263" s="4">
        <v>300</v>
      </c>
      <c r="FN263" s="4">
        <v>280</v>
      </c>
      <c r="FO263" s="4">
        <v>260</v>
      </c>
      <c r="FP263" s="4">
        <v>240</v>
      </c>
      <c r="FQ263" s="4">
        <v>220</v>
      </c>
      <c r="FR263" s="4">
        <v>200</v>
      </c>
      <c r="FS263" s="4">
        <v>476</v>
      </c>
      <c r="FT263" s="20">
        <v>0</v>
      </c>
      <c r="FU263" s="20">
        <v>0</v>
      </c>
      <c r="FV263" s="20">
        <v>0</v>
      </c>
      <c r="FW263" s="20">
        <v>0</v>
      </c>
      <c r="FX263" s="20">
        <v>0</v>
      </c>
      <c r="FY263" s="19">
        <v>6.7</v>
      </c>
      <c r="FZ263" s="19">
        <v>14.2</v>
      </c>
      <c r="GA263" s="19">
        <v>14.1</v>
      </c>
      <c r="GB263" s="19">
        <v>14</v>
      </c>
      <c r="GC263" s="19">
        <v>12.9</v>
      </c>
      <c r="GD263" s="19">
        <v>12.3</v>
      </c>
      <c r="GE263" s="19">
        <v>11.3</v>
      </c>
      <c r="GF263" s="19">
        <v>10.3</v>
      </c>
      <c r="GG263" s="19">
        <v>9.3</v>
      </c>
      <c r="GH263" s="19">
        <v>8.7</v>
      </c>
      <c r="GI263" s="19">
        <v>7.7</v>
      </c>
      <c r="GJ263" s="19">
        <v>7</v>
      </c>
      <c r="GK263" s="19">
        <v>6.2</v>
      </c>
      <c r="GL263" s="19">
        <v>5.2</v>
      </c>
      <c r="GM263" s="19">
        <v>15</v>
      </c>
      <c r="GN263" s="19">
        <v>14</v>
      </c>
      <c r="GO263" s="19">
        <v>13</v>
      </c>
      <c r="GP263" s="19">
        <v>12</v>
      </c>
      <c r="GQ263" s="19">
        <v>11</v>
      </c>
      <c r="GR263" s="19">
        <v>9.5</v>
      </c>
      <c r="GS263" s="19">
        <v>21.6</v>
      </c>
    </row>
    <row r="264">
      <c r="A264" s="2" t="s">
        <v>1741</v>
      </c>
      <c r="B264" s="2" t="s">
        <v>245</v>
      </c>
      <c r="C264" s="2" t="s">
        <v>1625</v>
      </c>
      <c r="D264" s="2" t="s">
        <v>247</v>
      </c>
      <c r="E264" s="2" t="s">
        <v>248</v>
      </c>
      <c r="F264" s="2" t="s">
        <v>1626</v>
      </c>
      <c r="G264" s="2" t="s">
        <v>1626</v>
      </c>
      <c r="H264" s="2" t="s">
        <v>1626</v>
      </c>
      <c r="I264" s="2" t="s">
        <v>1627</v>
      </c>
      <c r="J264" s="2" t="s">
        <v>223</v>
      </c>
      <c r="K264" s="2" t="s">
        <v>1734</v>
      </c>
      <c r="L264" s="3">
        <v>27.39</v>
      </c>
      <c r="M264" s="3">
        <v>28.76</v>
      </c>
      <c r="N264" s="3">
        <v>62.99</v>
      </c>
      <c r="O264" s="2" t="s">
        <v>196</v>
      </c>
      <c r="P264" s="2" t="s">
        <v>197</v>
      </c>
      <c r="Q264" s="2" t="s">
        <v>198</v>
      </c>
      <c r="R264" s="2" t="s">
        <v>199</v>
      </c>
      <c r="S264" s="2" t="s">
        <v>1735</v>
      </c>
      <c r="T264" s="2" t="s">
        <v>1546</v>
      </c>
      <c r="U264" s="2" t="s">
        <v>254</v>
      </c>
      <c r="V264" s="2" t="s">
        <v>1547</v>
      </c>
      <c r="W264" s="2" t="s">
        <v>203</v>
      </c>
      <c r="X264" s="2" t="s">
        <v>1014</v>
      </c>
      <c r="Y264" s="2" t="s">
        <v>1631</v>
      </c>
      <c r="Z264" s="4">
        <v>254</v>
      </c>
      <c r="AA264" s="4">
        <f>=ROUNDDOWN(16.9333333333333,0)</f>
      </c>
      <c r="AB264" s="5">
        <v>15</v>
      </c>
      <c r="AC264" s="2" t="s">
        <v>199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199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199</v>
      </c>
      <c r="AW264" s="8" t="s">
        <v>199</v>
      </c>
      <c r="AX264" s="4" t="s">
        <v>199</v>
      </c>
      <c r="AY264" s="8" t="s">
        <v>199</v>
      </c>
      <c r="AZ264" s="7" t="s">
        <v>199</v>
      </c>
      <c r="BA264" s="7" t="s">
        <v>199</v>
      </c>
      <c r="BB264" s="7"/>
      <c r="BC264" s="4" t="s">
        <v>199</v>
      </c>
      <c r="BD264" s="8" t="s">
        <v>199</v>
      </c>
      <c r="BE264" s="4" t="s">
        <v>199</v>
      </c>
      <c r="BF264" s="8" t="s">
        <v>199</v>
      </c>
      <c r="BG264" s="7" t="s">
        <v>199</v>
      </c>
      <c r="BH264" s="7" t="s">
        <v>199</v>
      </c>
      <c r="BI264" s="7"/>
      <c r="BJ264" s="4">
        <v>339</v>
      </c>
      <c r="BK264" s="8">
        <v>10090.82</v>
      </c>
      <c r="BL264" s="2" t="s">
        <v>1742</v>
      </c>
      <c r="BM264" s="7"/>
      <c r="BN264" s="7"/>
      <c r="BO264" s="4"/>
      <c r="BP264" s="8"/>
      <c r="BQ264" s="4"/>
      <c r="BR264" s="8"/>
      <c r="BS264" s="7"/>
      <c r="BT264" s="7"/>
      <c r="BU264" s="2" t="s">
        <v>1633</v>
      </c>
      <c r="BV264" s="2" t="s">
        <v>199</v>
      </c>
      <c r="BW264" s="2" t="s">
        <v>199</v>
      </c>
      <c r="BX264" s="2" t="s">
        <v>208</v>
      </c>
      <c r="BY264" s="2" t="s">
        <v>209</v>
      </c>
      <c r="BZ264" s="2" t="s">
        <v>196</v>
      </c>
      <c r="CA264" s="2" t="s">
        <v>1634</v>
      </c>
      <c r="CB264" s="2" t="s">
        <v>1743</v>
      </c>
      <c r="CC264" s="2" t="s">
        <v>212</v>
      </c>
      <c r="CD264" s="2" t="s">
        <v>199</v>
      </c>
      <c r="CE264" s="4"/>
      <c r="CF264" s="4">
        <v>254</v>
      </c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>
        <v>280</v>
      </c>
      <c r="EU264" s="4">
        <v>258</v>
      </c>
      <c r="EV264" s="4">
        <v>251</v>
      </c>
      <c r="EW264" s="4">
        <v>246</v>
      </c>
      <c r="EX264" s="4">
        <v>243</v>
      </c>
      <c r="EY264" s="4">
        <v>239</v>
      </c>
      <c r="EZ264" s="4">
        <v>235</v>
      </c>
      <c r="FA264" s="4">
        <v>231</v>
      </c>
      <c r="FB264" s="4">
        <v>227</v>
      </c>
      <c r="FC264" s="4">
        <v>224</v>
      </c>
      <c r="FD264" s="4">
        <v>221</v>
      </c>
      <c r="FE264" s="4">
        <v>218</v>
      </c>
      <c r="FF264" s="4">
        <v>215</v>
      </c>
      <c r="FG264" s="4">
        <v>209</v>
      </c>
      <c r="FH264" s="4">
        <v>202</v>
      </c>
      <c r="FI264" s="4">
        <v>195</v>
      </c>
      <c r="FJ264" s="4">
        <v>188</v>
      </c>
      <c r="FK264" s="4">
        <v>181</v>
      </c>
      <c r="FL264" s="4">
        <v>175</v>
      </c>
      <c r="FM264" s="4">
        <v>169</v>
      </c>
      <c r="FN264" s="4">
        <v>163</v>
      </c>
      <c r="FO264" s="4">
        <v>157</v>
      </c>
      <c r="FP264" s="4">
        <v>151</v>
      </c>
      <c r="FQ264" s="4">
        <v>145</v>
      </c>
      <c r="FR264" s="4">
        <v>139</v>
      </c>
      <c r="FS264" s="4">
        <v>133</v>
      </c>
      <c r="FT264" s="19">
        <v>31.1</v>
      </c>
      <c r="FU264" s="19">
        <v>51.6</v>
      </c>
      <c r="FV264" s="19">
        <v>62.8</v>
      </c>
      <c r="FW264" s="19">
        <v>61.5</v>
      </c>
      <c r="FX264" s="19">
        <v>60.8</v>
      </c>
      <c r="FY264" s="19">
        <v>59.8</v>
      </c>
      <c r="FZ264" s="19">
        <v>58.8</v>
      </c>
      <c r="GA264" s="19">
        <v>77</v>
      </c>
      <c r="GB264" s="19">
        <v>75.7</v>
      </c>
      <c r="GC264" s="19">
        <v>56</v>
      </c>
      <c r="GD264" s="19">
        <v>44.2</v>
      </c>
      <c r="GE264" s="19">
        <v>36.3</v>
      </c>
      <c r="GF264" s="19">
        <v>30.7</v>
      </c>
      <c r="GG264" s="19">
        <v>29.9</v>
      </c>
      <c r="GH264" s="19">
        <v>28.9</v>
      </c>
      <c r="GI264" s="19">
        <v>32.5</v>
      </c>
      <c r="GJ264" s="19">
        <v>31.3</v>
      </c>
      <c r="GK264" s="19">
        <v>30.2</v>
      </c>
      <c r="GL264" s="19">
        <v>29.2</v>
      </c>
      <c r="GM264" s="19">
        <v>28.2</v>
      </c>
      <c r="GN264" s="19">
        <v>27.2</v>
      </c>
      <c r="GO264" s="19">
        <v>26.2</v>
      </c>
      <c r="GP264" s="19">
        <v>25.2</v>
      </c>
      <c r="GQ264" s="19">
        <v>24.2</v>
      </c>
      <c r="GR264" s="19">
        <v>23.2</v>
      </c>
      <c r="GS264" s="19">
        <v>22.2</v>
      </c>
    </row>
    <row r="265">
      <c r="A265" s="2" t="s">
        <v>1744</v>
      </c>
      <c r="B265" s="2" t="s">
        <v>245</v>
      </c>
      <c r="C265" s="2" t="s">
        <v>1625</v>
      </c>
      <c r="D265" s="2" t="s">
        <v>247</v>
      </c>
      <c r="E265" s="2" t="s">
        <v>248</v>
      </c>
      <c r="F265" s="2" t="s">
        <v>1626</v>
      </c>
      <c r="G265" s="2" t="s">
        <v>1626</v>
      </c>
      <c r="H265" s="2" t="s">
        <v>1626</v>
      </c>
      <c r="I265" s="2" t="s">
        <v>1627</v>
      </c>
      <c r="J265" s="2" t="s">
        <v>194</v>
      </c>
      <c r="K265" s="2" t="s">
        <v>1745</v>
      </c>
      <c r="L265" s="3">
        <v>14.89</v>
      </c>
      <c r="M265" s="3">
        <v>15.63</v>
      </c>
      <c r="N265" s="3">
        <v>31.99</v>
      </c>
      <c r="O265" s="2" t="s">
        <v>196</v>
      </c>
      <c r="P265" s="2" t="s">
        <v>197</v>
      </c>
      <c r="Q265" s="2" t="s">
        <v>198</v>
      </c>
      <c r="R265" s="2" t="s">
        <v>199</v>
      </c>
      <c r="S265" s="2" t="s">
        <v>1746</v>
      </c>
      <c r="T265" s="2" t="s">
        <v>1546</v>
      </c>
      <c r="U265" s="2" t="s">
        <v>199</v>
      </c>
      <c r="V265" s="2" t="s">
        <v>202</v>
      </c>
      <c r="W265" s="2" t="s">
        <v>203</v>
      </c>
      <c r="X265" s="2" t="s">
        <v>199</v>
      </c>
      <c r="Y265" s="2" t="s">
        <v>204</v>
      </c>
      <c r="Z265" s="4">
        <v>1027</v>
      </c>
      <c r="AA265" s="4">
        <f>=ROUNDDOWN(26.3333333333333,0)</f>
      </c>
      <c r="AB265" s="5">
        <v>39</v>
      </c>
      <c r="AC265" s="2" t="s">
        <v>199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199</v>
      </c>
      <c r="AW265" s="8" t="s">
        <v>199</v>
      </c>
      <c r="AX265" s="4" t="s">
        <v>199</v>
      </c>
      <c r="AY265" s="8" t="s">
        <v>199</v>
      </c>
      <c r="AZ265" s="7" t="s">
        <v>199</v>
      </c>
      <c r="BA265" s="7" t="s">
        <v>199</v>
      </c>
      <c r="BB265" s="7"/>
      <c r="BC265" s="4" t="s">
        <v>199</v>
      </c>
      <c r="BD265" s="8" t="s">
        <v>199</v>
      </c>
      <c r="BE265" s="4" t="s">
        <v>199</v>
      </c>
      <c r="BF265" s="8" t="s">
        <v>199</v>
      </c>
      <c r="BG265" s="7" t="s">
        <v>199</v>
      </c>
      <c r="BH265" s="7" t="s">
        <v>199</v>
      </c>
      <c r="BI265" s="7"/>
      <c r="BJ265" s="4">
        <v>309</v>
      </c>
      <c r="BK265" s="8">
        <v>4932.99</v>
      </c>
      <c r="BL265" s="2" t="s">
        <v>1747</v>
      </c>
      <c r="BM265" s="7"/>
      <c r="BN265" s="7"/>
      <c r="BO265" s="4"/>
      <c r="BP265" s="8"/>
      <c r="BQ265" s="4"/>
      <c r="BR265" s="8"/>
      <c r="BS265" s="7"/>
      <c r="BT265" s="7"/>
      <c r="BU265" s="2" t="s">
        <v>1633</v>
      </c>
      <c r="BV265" s="2" t="s">
        <v>199</v>
      </c>
      <c r="BW265" s="2" t="s">
        <v>199</v>
      </c>
      <c r="BX265" s="2" t="s">
        <v>208</v>
      </c>
      <c r="BY265" s="2" t="s">
        <v>209</v>
      </c>
      <c r="BZ265" s="2" t="s">
        <v>196</v>
      </c>
      <c r="CA265" s="2" t="s">
        <v>1685</v>
      </c>
      <c r="CB265" s="2" t="s">
        <v>1748</v>
      </c>
      <c r="CC265" s="2" t="s">
        <v>212</v>
      </c>
      <c r="CD265" s="2" t="s">
        <v>199</v>
      </c>
      <c r="CE265" s="4">
        <v>339</v>
      </c>
      <c r="CF265" s="4">
        <v>688</v>
      </c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>
        <v>1034</v>
      </c>
      <c r="EU265" s="4">
        <v>1016</v>
      </c>
      <c r="EV265" s="4">
        <v>1005</v>
      </c>
      <c r="EW265" s="4">
        <v>997</v>
      </c>
      <c r="EX265" s="4">
        <v>989</v>
      </c>
      <c r="EY265" s="4">
        <v>979</v>
      </c>
      <c r="EZ265" s="4">
        <v>969</v>
      </c>
      <c r="FA265" s="4">
        <v>959</v>
      </c>
      <c r="FB265" s="4">
        <v>949</v>
      </c>
      <c r="FC265" s="4">
        <v>942</v>
      </c>
      <c r="FD265" s="4">
        <v>935</v>
      </c>
      <c r="FE265" s="4">
        <v>928</v>
      </c>
      <c r="FF265" s="4">
        <v>921</v>
      </c>
      <c r="FG265" s="4">
        <v>914</v>
      </c>
      <c r="FH265" s="4">
        <v>907</v>
      </c>
      <c r="FI265" s="4">
        <v>900</v>
      </c>
      <c r="FJ265" s="4">
        <v>893</v>
      </c>
      <c r="FK265" s="4">
        <v>886</v>
      </c>
      <c r="FL265" s="4">
        <v>870</v>
      </c>
      <c r="FM265" s="4">
        <v>854</v>
      </c>
      <c r="FN265" s="4">
        <v>838</v>
      </c>
      <c r="FO265" s="4">
        <v>822</v>
      </c>
      <c r="FP265" s="4">
        <v>806</v>
      </c>
      <c r="FQ265" s="4">
        <v>790</v>
      </c>
      <c r="FR265" s="4">
        <v>774</v>
      </c>
      <c r="FS265" s="4">
        <v>758</v>
      </c>
      <c r="FT265" s="19">
        <v>94</v>
      </c>
      <c r="FU265" s="19">
        <v>112.9</v>
      </c>
      <c r="FV265" s="19">
        <v>111.7</v>
      </c>
      <c r="FW265" s="19">
        <v>99.7</v>
      </c>
      <c r="FX265" s="19">
        <v>98.9</v>
      </c>
      <c r="FY265" s="19">
        <v>108.8</v>
      </c>
      <c r="FZ265" s="19">
        <v>121.1</v>
      </c>
      <c r="GA265" s="19">
        <v>119.9</v>
      </c>
      <c r="GB265" s="19">
        <v>135.6</v>
      </c>
      <c r="GC265" s="19">
        <v>134.6</v>
      </c>
      <c r="GD265" s="19">
        <v>133.6</v>
      </c>
      <c r="GE265" s="19">
        <v>132.6</v>
      </c>
      <c r="GF265" s="19">
        <v>131.6</v>
      </c>
      <c r="GG265" s="19">
        <v>130.6</v>
      </c>
      <c r="GH265" s="19">
        <v>100.8</v>
      </c>
      <c r="GI265" s="19">
        <v>75</v>
      </c>
      <c r="GJ265" s="19">
        <v>63.8</v>
      </c>
      <c r="GK265" s="19">
        <v>55.4</v>
      </c>
      <c r="GL265" s="19">
        <v>54.4</v>
      </c>
      <c r="GM265" s="19">
        <v>53.4</v>
      </c>
      <c r="GN265" s="19">
        <v>52.4</v>
      </c>
      <c r="GO265" s="19">
        <v>51.4</v>
      </c>
      <c r="GP265" s="19">
        <v>50.4</v>
      </c>
      <c r="GQ265" s="19">
        <v>49.4</v>
      </c>
      <c r="GR265" s="19">
        <v>45.5</v>
      </c>
      <c r="GS265" s="19">
        <v>42.1</v>
      </c>
    </row>
    <row r="266">
      <c r="A266" s="2" t="s">
        <v>1749</v>
      </c>
      <c r="B266" s="2" t="s">
        <v>245</v>
      </c>
      <c r="C266" s="2" t="s">
        <v>1625</v>
      </c>
      <c r="D266" s="2" t="s">
        <v>247</v>
      </c>
      <c r="E266" s="2" t="s">
        <v>248</v>
      </c>
      <c r="F266" s="2" t="s">
        <v>1626</v>
      </c>
      <c r="G266" s="2" t="s">
        <v>1626</v>
      </c>
      <c r="H266" s="2" t="s">
        <v>1626</v>
      </c>
      <c r="I266" s="2" t="s">
        <v>1627</v>
      </c>
      <c r="J266" s="2" t="s">
        <v>285</v>
      </c>
      <c r="K266" s="2" t="s">
        <v>1745</v>
      </c>
      <c r="L266" s="3">
        <v>19.57</v>
      </c>
      <c r="M266" s="3">
        <v>20.55</v>
      </c>
      <c r="N266" s="3">
        <v>42.99</v>
      </c>
      <c r="O266" s="2" t="s">
        <v>196</v>
      </c>
      <c r="P266" s="2" t="s">
        <v>517</v>
      </c>
      <c r="Q266" s="2" t="s">
        <v>198</v>
      </c>
      <c r="R266" s="2" t="s">
        <v>199</v>
      </c>
      <c r="S266" s="2" t="s">
        <v>1746</v>
      </c>
      <c r="T266" s="2" t="s">
        <v>1546</v>
      </c>
      <c r="U266" s="2" t="s">
        <v>199</v>
      </c>
      <c r="V266" s="2" t="s">
        <v>202</v>
      </c>
      <c r="W266" s="2" t="s">
        <v>203</v>
      </c>
      <c r="X266" s="2" t="s">
        <v>199</v>
      </c>
      <c r="Y266" s="2" t="s">
        <v>204</v>
      </c>
      <c r="Z266" s="4">
        <v>1015</v>
      </c>
      <c r="AA266" s="4">
        <f>=ROUNDDOWN(32.741935483871,0)</f>
      </c>
      <c r="AB266" s="5">
        <v>31</v>
      </c>
      <c r="AC266" s="2" t="s">
        <v>199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199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199</v>
      </c>
      <c r="AW266" s="8" t="s">
        <v>199</v>
      </c>
      <c r="AX266" s="4" t="s">
        <v>199</v>
      </c>
      <c r="AY266" s="8" t="s">
        <v>199</v>
      </c>
      <c r="AZ266" s="7" t="s">
        <v>199</v>
      </c>
      <c r="BA266" s="7" t="s">
        <v>199</v>
      </c>
      <c r="BB266" s="7"/>
      <c r="BC266" s="4" t="s">
        <v>199</v>
      </c>
      <c r="BD266" s="8" t="s">
        <v>199</v>
      </c>
      <c r="BE266" s="4" t="s">
        <v>199</v>
      </c>
      <c r="BF266" s="8" t="s">
        <v>199</v>
      </c>
      <c r="BG266" s="7" t="s">
        <v>199</v>
      </c>
      <c r="BH266" s="7" t="s">
        <v>199</v>
      </c>
      <c r="BI266" s="7"/>
      <c r="BJ266" s="4">
        <v>283</v>
      </c>
      <c r="BK266" s="8">
        <v>6109.85</v>
      </c>
      <c r="BL266" s="2" t="s">
        <v>1750</v>
      </c>
      <c r="BM266" s="7"/>
      <c r="BN266" s="7"/>
      <c r="BO266" s="4"/>
      <c r="BP266" s="8"/>
      <c r="BQ266" s="4"/>
      <c r="BR266" s="8"/>
      <c r="BS266" s="7"/>
      <c r="BT266" s="7"/>
      <c r="BU266" s="2" t="s">
        <v>1633</v>
      </c>
      <c r="BV266" s="2" t="s">
        <v>199</v>
      </c>
      <c r="BW266" s="2" t="s">
        <v>199</v>
      </c>
      <c r="BX266" s="2" t="s">
        <v>208</v>
      </c>
      <c r="BY266" s="2" t="s">
        <v>209</v>
      </c>
      <c r="BZ266" s="2" t="s">
        <v>196</v>
      </c>
      <c r="CA266" s="2" t="s">
        <v>1685</v>
      </c>
      <c r="CB266" s="2" t="s">
        <v>1751</v>
      </c>
      <c r="CC266" s="2" t="s">
        <v>212</v>
      </c>
      <c r="CD266" s="2" t="s">
        <v>199</v>
      </c>
      <c r="CE266" s="4">
        <v>322</v>
      </c>
      <c r="CF266" s="4">
        <v>693</v>
      </c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>
        <v>1020</v>
      </c>
      <c r="EU266" s="4">
        <v>1006</v>
      </c>
      <c r="EV266" s="4">
        <v>998</v>
      </c>
      <c r="EW266" s="4">
        <v>992</v>
      </c>
      <c r="EX266" s="4">
        <v>986</v>
      </c>
      <c r="EY266" s="4">
        <v>979</v>
      </c>
      <c r="EZ266" s="4">
        <v>972</v>
      </c>
      <c r="FA266" s="4">
        <v>965</v>
      </c>
      <c r="FB266" s="4">
        <v>958</v>
      </c>
      <c r="FC266" s="4">
        <v>953</v>
      </c>
      <c r="FD266" s="4">
        <v>948</v>
      </c>
      <c r="FE266" s="4">
        <v>943</v>
      </c>
      <c r="FF266" s="4">
        <v>938</v>
      </c>
      <c r="FG266" s="4">
        <v>933</v>
      </c>
      <c r="FH266" s="4">
        <v>928</v>
      </c>
      <c r="FI266" s="4">
        <v>923</v>
      </c>
      <c r="FJ266" s="4">
        <v>915</v>
      </c>
      <c r="FK266" s="4">
        <v>902</v>
      </c>
      <c r="FL266" s="4">
        <v>890</v>
      </c>
      <c r="FM266" s="4">
        <v>878</v>
      </c>
      <c r="FN266" s="4">
        <v>866</v>
      </c>
      <c r="FO266" s="4">
        <v>854</v>
      </c>
      <c r="FP266" s="4">
        <v>842</v>
      </c>
      <c r="FQ266" s="4">
        <v>830</v>
      </c>
      <c r="FR266" s="4">
        <v>818</v>
      </c>
      <c r="FS266" s="4">
        <v>806</v>
      </c>
      <c r="FT266" s="19">
        <v>127.5</v>
      </c>
      <c r="FU266" s="19">
        <v>143.7</v>
      </c>
      <c r="FV266" s="19">
        <v>166.3</v>
      </c>
      <c r="FW266" s="19">
        <v>141.7</v>
      </c>
      <c r="FX266" s="19">
        <v>140.9</v>
      </c>
      <c r="FY266" s="19">
        <v>163.2</v>
      </c>
      <c r="FZ266" s="19">
        <v>162</v>
      </c>
      <c r="GA266" s="19">
        <v>160.8</v>
      </c>
      <c r="GB266" s="19">
        <v>191.6</v>
      </c>
      <c r="GC266" s="19">
        <v>190.6</v>
      </c>
      <c r="GD266" s="19">
        <v>189.6</v>
      </c>
      <c r="GE266" s="19">
        <v>188.6</v>
      </c>
      <c r="GF266" s="19">
        <v>156.3</v>
      </c>
      <c r="GG266" s="19">
        <v>116.6</v>
      </c>
      <c r="GH266" s="19">
        <v>92.8</v>
      </c>
      <c r="GI266" s="19">
        <v>83.9</v>
      </c>
      <c r="GJ266" s="19">
        <v>76.3</v>
      </c>
      <c r="GK266" s="19">
        <v>75.2</v>
      </c>
      <c r="GL266" s="19">
        <v>74.2</v>
      </c>
      <c r="GM266" s="19">
        <v>73.2</v>
      </c>
      <c r="GN266" s="19">
        <v>72.2</v>
      </c>
      <c r="GO266" s="19">
        <v>71.2</v>
      </c>
      <c r="GP266" s="19">
        <v>70.2</v>
      </c>
      <c r="GQ266" s="19">
        <v>69.2</v>
      </c>
      <c r="GR266" s="19">
        <v>62.9</v>
      </c>
      <c r="GS266" s="19">
        <v>57.6</v>
      </c>
    </row>
    <row r="267">
      <c r="A267" s="2" t="s">
        <v>1752</v>
      </c>
      <c r="B267" s="2" t="s">
        <v>245</v>
      </c>
      <c r="C267" s="2" t="s">
        <v>1625</v>
      </c>
      <c r="D267" s="2" t="s">
        <v>247</v>
      </c>
      <c r="E267" s="2" t="s">
        <v>248</v>
      </c>
      <c r="F267" s="2" t="s">
        <v>1626</v>
      </c>
      <c r="G267" s="2" t="s">
        <v>1626</v>
      </c>
      <c r="H267" s="2" t="s">
        <v>1626</v>
      </c>
      <c r="I267" s="2" t="s">
        <v>1627</v>
      </c>
      <c r="J267" s="2" t="s">
        <v>251</v>
      </c>
      <c r="K267" s="2" t="s">
        <v>1745</v>
      </c>
      <c r="L267" s="3">
        <v>27.39</v>
      </c>
      <c r="M267" s="3">
        <v>28.76</v>
      </c>
      <c r="N267" s="3">
        <v>62.99</v>
      </c>
      <c r="O267" s="2" t="s">
        <v>196</v>
      </c>
      <c r="P267" s="2" t="s">
        <v>197</v>
      </c>
      <c r="Q267" s="2" t="s">
        <v>198</v>
      </c>
      <c r="R267" s="2" t="s">
        <v>199</v>
      </c>
      <c r="S267" s="2" t="s">
        <v>1746</v>
      </c>
      <c r="T267" s="2" t="s">
        <v>1546</v>
      </c>
      <c r="U267" s="2" t="s">
        <v>199</v>
      </c>
      <c r="V267" s="2" t="s">
        <v>202</v>
      </c>
      <c r="W267" s="2" t="s">
        <v>203</v>
      </c>
      <c r="X267" s="2" t="s">
        <v>199</v>
      </c>
      <c r="Y267" s="2" t="s">
        <v>204</v>
      </c>
      <c r="Z267" s="4">
        <v>365</v>
      </c>
      <c r="AA267" s="4">
        <f>=ROUNDDOWN(52.1428571428571,0)</f>
      </c>
      <c r="AB267" s="5">
        <v>7</v>
      </c>
      <c r="AC267" s="2" t="s">
        <v>199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199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199</v>
      </c>
      <c r="AW267" s="8" t="s">
        <v>199</v>
      </c>
      <c r="AX267" s="4" t="s">
        <v>199</v>
      </c>
      <c r="AY267" s="8" t="s">
        <v>199</v>
      </c>
      <c r="AZ267" s="7" t="s">
        <v>199</v>
      </c>
      <c r="BA267" s="7" t="s">
        <v>199</v>
      </c>
      <c r="BB267" s="7"/>
      <c r="BC267" s="4" t="s">
        <v>199</v>
      </c>
      <c r="BD267" s="8" t="s">
        <v>199</v>
      </c>
      <c r="BE267" s="4" t="s">
        <v>199</v>
      </c>
      <c r="BF267" s="8" t="s">
        <v>199</v>
      </c>
      <c r="BG267" s="7" t="s">
        <v>199</v>
      </c>
      <c r="BH267" s="7" t="s">
        <v>199</v>
      </c>
      <c r="BI267" s="7"/>
      <c r="BJ267" s="4">
        <v>80</v>
      </c>
      <c r="BK267" s="8">
        <v>2349.08</v>
      </c>
      <c r="BL267" s="2" t="s">
        <v>1643</v>
      </c>
      <c r="BM267" s="7"/>
      <c r="BN267" s="7"/>
      <c r="BO267" s="4"/>
      <c r="BP267" s="8"/>
      <c r="BQ267" s="4"/>
      <c r="BR267" s="8"/>
      <c r="BS267" s="7"/>
      <c r="BT267" s="7"/>
      <c r="BU267" s="2" t="s">
        <v>1633</v>
      </c>
      <c r="BV267" s="2" t="s">
        <v>199</v>
      </c>
      <c r="BW267" s="2" t="s">
        <v>199</v>
      </c>
      <c r="BX267" s="2" t="s">
        <v>208</v>
      </c>
      <c r="BY267" s="2" t="s">
        <v>209</v>
      </c>
      <c r="BZ267" s="2" t="s">
        <v>196</v>
      </c>
      <c r="CA267" s="2" t="s">
        <v>1685</v>
      </c>
      <c r="CB267" s="2" t="s">
        <v>646</v>
      </c>
      <c r="CC267" s="2" t="s">
        <v>212</v>
      </c>
      <c r="CD267" s="2" t="s">
        <v>199</v>
      </c>
      <c r="CE267" s="4">
        <v>268</v>
      </c>
      <c r="CF267" s="4">
        <v>97</v>
      </c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>
        <v>387</v>
      </c>
      <c r="EU267" s="4">
        <v>373</v>
      </c>
      <c r="EV267" s="4">
        <v>370</v>
      </c>
      <c r="EW267" s="4">
        <v>368</v>
      </c>
      <c r="EX267" s="4">
        <v>366</v>
      </c>
      <c r="EY267" s="4">
        <v>363</v>
      </c>
      <c r="EZ267" s="4">
        <v>360</v>
      </c>
      <c r="FA267" s="4">
        <v>357</v>
      </c>
      <c r="FB267" s="4">
        <v>354</v>
      </c>
      <c r="FC267" s="4">
        <v>352</v>
      </c>
      <c r="FD267" s="4">
        <v>350</v>
      </c>
      <c r="FE267" s="4">
        <v>348</v>
      </c>
      <c r="FF267" s="4">
        <v>346</v>
      </c>
      <c r="FG267" s="4">
        <v>344</v>
      </c>
      <c r="FH267" s="4">
        <v>342</v>
      </c>
      <c r="FI267" s="4">
        <v>340</v>
      </c>
      <c r="FJ267" s="4">
        <v>338</v>
      </c>
      <c r="FK267" s="4">
        <v>336</v>
      </c>
      <c r="FL267" s="4">
        <v>334</v>
      </c>
      <c r="FM267" s="4">
        <v>332</v>
      </c>
      <c r="FN267" s="4">
        <v>330</v>
      </c>
      <c r="FO267" s="4">
        <v>328</v>
      </c>
      <c r="FP267" s="4">
        <v>326</v>
      </c>
      <c r="FQ267" s="4">
        <v>324</v>
      </c>
      <c r="FR267" s="4">
        <v>322</v>
      </c>
      <c r="FS267" s="4">
        <v>320</v>
      </c>
      <c r="FT267" s="19">
        <v>77.4</v>
      </c>
      <c r="FU267" s="19">
        <v>186.5</v>
      </c>
      <c r="FV267" s="19">
        <v>185</v>
      </c>
      <c r="FW267" s="19">
        <v>122.7</v>
      </c>
      <c r="FX267" s="19">
        <v>122</v>
      </c>
      <c r="FY267" s="19">
        <v>121</v>
      </c>
      <c r="FZ267" s="19">
        <v>180</v>
      </c>
      <c r="GA267" s="19">
        <v>178.5</v>
      </c>
      <c r="GB267" s="19">
        <v>177</v>
      </c>
      <c r="GC267" s="19">
        <v>176</v>
      </c>
      <c r="GD267" s="19">
        <v>175</v>
      </c>
      <c r="GE267" s="19">
        <v>174</v>
      </c>
      <c r="GF267" s="19">
        <v>173</v>
      </c>
      <c r="GG267" s="19">
        <v>172</v>
      </c>
      <c r="GH267" s="19">
        <v>171</v>
      </c>
      <c r="GI267" s="19">
        <v>170</v>
      </c>
      <c r="GJ267" s="19">
        <v>169</v>
      </c>
      <c r="GK267" s="19">
        <v>168</v>
      </c>
      <c r="GL267" s="19">
        <v>167</v>
      </c>
      <c r="GM267" s="19">
        <v>166</v>
      </c>
      <c r="GN267" s="19">
        <v>165</v>
      </c>
      <c r="GO267" s="19">
        <v>164</v>
      </c>
      <c r="GP267" s="19">
        <v>163</v>
      </c>
      <c r="GQ267" s="19">
        <v>162</v>
      </c>
      <c r="GR267" s="19">
        <v>161</v>
      </c>
      <c r="GS267" s="19">
        <v>160</v>
      </c>
    </row>
    <row r="268">
      <c r="A268" s="2" t="s">
        <v>1753</v>
      </c>
      <c r="B268" s="2" t="s">
        <v>245</v>
      </c>
      <c r="C268" s="2" t="s">
        <v>1625</v>
      </c>
      <c r="D268" s="2" t="s">
        <v>247</v>
      </c>
      <c r="E268" s="2" t="s">
        <v>248</v>
      </c>
      <c r="F268" s="2" t="s">
        <v>1626</v>
      </c>
      <c r="G268" s="2" t="s">
        <v>1626</v>
      </c>
      <c r="H268" s="2" t="s">
        <v>1626</v>
      </c>
      <c r="I268" s="2" t="s">
        <v>1627</v>
      </c>
      <c r="J268" s="2" t="s">
        <v>194</v>
      </c>
      <c r="K268" s="2" t="s">
        <v>1754</v>
      </c>
      <c r="L268" s="3">
        <v>14.89</v>
      </c>
      <c r="M268" s="3">
        <v>15.63</v>
      </c>
      <c r="N268" s="3">
        <v>31.99</v>
      </c>
      <c r="O268" s="2" t="s">
        <v>196</v>
      </c>
      <c r="P268" s="2" t="s">
        <v>197</v>
      </c>
      <c r="Q268" s="2" t="s">
        <v>198</v>
      </c>
      <c r="R268" s="2" t="s">
        <v>199</v>
      </c>
      <c r="S268" s="2" t="s">
        <v>1755</v>
      </c>
      <c r="T268" s="2" t="s">
        <v>1546</v>
      </c>
      <c r="U268" s="2" t="s">
        <v>199</v>
      </c>
      <c r="V268" s="2" t="s">
        <v>202</v>
      </c>
      <c r="W268" s="2" t="s">
        <v>203</v>
      </c>
      <c r="X268" s="2" t="s">
        <v>199</v>
      </c>
      <c r="Y268" s="2" t="s">
        <v>1756</v>
      </c>
      <c r="Z268" s="4">
        <v>1150</v>
      </c>
      <c r="AA268" s="4">
        <f>=ROUNDDOWN(38.3333333333333,0)</f>
      </c>
      <c r="AB268" s="5">
        <v>30</v>
      </c>
      <c r="AC268" s="2" t="s">
        <v>199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199</v>
      </c>
      <c r="AW268" s="8" t="s">
        <v>199</v>
      </c>
      <c r="AX268" s="4" t="s">
        <v>199</v>
      </c>
      <c r="AY268" s="8" t="s">
        <v>199</v>
      </c>
      <c r="AZ268" s="7" t="s">
        <v>199</v>
      </c>
      <c r="BA268" s="7" t="s">
        <v>199</v>
      </c>
      <c r="BB268" s="7"/>
      <c r="BC268" s="4" t="s">
        <v>199</v>
      </c>
      <c r="BD268" s="8" t="s">
        <v>199</v>
      </c>
      <c r="BE268" s="4" t="s">
        <v>199</v>
      </c>
      <c r="BF268" s="8" t="s">
        <v>199</v>
      </c>
      <c r="BG268" s="7" t="s">
        <v>199</v>
      </c>
      <c r="BH268" s="7" t="s">
        <v>199</v>
      </c>
      <c r="BI268" s="7"/>
      <c r="BJ268" s="4">
        <v>175</v>
      </c>
      <c r="BK268" s="8">
        <v>2813.23</v>
      </c>
      <c r="BL268" s="2" t="s">
        <v>1757</v>
      </c>
      <c r="BM268" s="7"/>
      <c r="BN268" s="7"/>
      <c r="BO268" s="4"/>
      <c r="BP268" s="8"/>
      <c r="BQ268" s="4"/>
      <c r="BR268" s="8"/>
      <c r="BS268" s="7"/>
      <c r="BT268" s="7"/>
      <c r="BU268" s="2" t="s">
        <v>1633</v>
      </c>
      <c r="BV268" s="2" t="s">
        <v>199</v>
      </c>
      <c r="BW268" s="2" t="s">
        <v>199</v>
      </c>
      <c r="BX268" s="2" t="s">
        <v>208</v>
      </c>
      <c r="BY268" s="2" t="s">
        <v>209</v>
      </c>
      <c r="BZ268" s="2" t="s">
        <v>196</v>
      </c>
      <c r="CA268" s="2" t="s">
        <v>1685</v>
      </c>
      <c r="CB268" s="2" t="s">
        <v>1758</v>
      </c>
      <c r="CC268" s="2" t="s">
        <v>212</v>
      </c>
      <c r="CD268" s="2" t="s">
        <v>199</v>
      </c>
      <c r="CE268" s="4">
        <v>1150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>
        <v>1188</v>
      </c>
      <c r="EU268" s="4">
        <v>1154</v>
      </c>
      <c r="EV268" s="4">
        <v>1145</v>
      </c>
      <c r="EW268" s="4">
        <v>1138</v>
      </c>
      <c r="EX268" s="4">
        <v>1131</v>
      </c>
      <c r="EY268" s="4">
        <v>1123</v>
      </c>
      <c r="EZ268" s="4">
        <v>1115</v>
      </c>
      <c r="FA268" s="4">
        <v>1107</v>
      </c>
      <c r="FB268" s="4">
        <v>1099</v>
      </c>
      <c r="FC268" s="4">
        <v>1093</v>
      </c>
      <c r="FD268" s="4">
        <v>1087</v>
      </c>
      <c r="FE268" s="4">
        <v>1081</v>
      </c>
      <c r="FF268" s="4">
        <v>1075</v>
      </c>
      <c r="FG268" s="4">
        <v>1069</v>
      </c>
      <c r="FH268" s="4">
        <v>1063</v>
      </c>
      <c r="FI268" s="4">
        <v>1057</v>
      </c>
      <c r="FJ268" s="4">
        <v>1051</v>
      </c>
      <c r="FK268" s="4">
        <v>1045</v>
      </c>
      <c r="FL268" s="4">
        <v>1041</v>
      </c>
      <c r="FM268" s="4">
        <v>1037</v>
      </c>
      <c r="FN268" s="4">
        <v>1033</v>
      </c>
      <c r="FO268" s="4">
        <v>1029</v>
      </c>
      <c r="FP268" s="4">
        <v>1025</v>
      </c>
      <c r="FQ268" s="4">
        <v>1021</v>
      </c>
      <c r="FR268" s="4">
        <v>1017</v>
      </c>
      <c r="FS268" s="4">
        <v>1005</v>
      </c>
      <c r="FT268" s="19">
        <v>84.9</v>
      </c>
      <c r="FU268" s="19">
        <v>144.3</v>
      </c>
      <c r="FV268" s="19">
        <v>143.1</v>
      </c>
      <c r="FW268" s="19">
        <v>142.3</v>
      </c>
      <c r="FX268" s="19">
        <v>141.4</v>
      </c>
      <c r="FY268" s="19">
        <v>140.4</v>
      </c>
      <c r="FZ268" s="19">
        <v>159.3</v>
      </c>
      <c r="GA268" s="19">
        <v>184.5</v>
      </c>
      <c r="GB268" s="19">
        <v>183.2</v>
      </c>
      <c r="GC268" s="19">
        <v>182.2</v>
      </c>
      <c r="GD268" s="19">
        <v>181.2</v>
      </c>
      <c r="GE268" s="19">
        <v>180.2</v>
      </c>
      <c r="GF268" s="19">
        <v>179.2</v>
      </c>
      <c r="GG268" s="19">
        <v>178.2</v>
      </c>
      <c r="GH268" s="19">
        <v>177.2</v>
      </c>
      <c r="GI268" s="19">
        <v>211.4</v>
      </c>
      <c r="GJ268" s="19">
        <v>262.8</v>
      </c>
      <c r="GK268" s="19">
        <v>261.3</v>
      </c>
      <c r="GL268" s="19">
        <v>260.3</v>
      </c>
      <c r="GM268" s="19">
        <v>259.3</v>
      </c>
      <c r="GN268" s="19">
        <v>258.3</v>
      </c>
      <c r="GO268" s="19">
        <v>171.5</v>
      </c>
      <c r="GP268" s="19">
        <v>128.1</v>
      </c>
      <c r="GQ268" s="19">
        <v>102.1</v>
      </c>
      <c r="GR268" s="19">
        <v>84.8</v>
      </c>
      <c r="GS268" s="19">
        <v>77.3</v>
      </c>
    </row>
    <row r="269">
      <c r="A269" s="2" t="s">
        <v>1759</v>
      </c>
      <c r="B269" s="2" t="s">
        <v>245</v>
      </c>
      <c r="C269" s="2" t="s">
        <v>1625</v>
      </c>
      <c r="D269" s="2" t="s">
        <v>247</v>
      </c>
      <c r="E269" s="2" t="s">
        <v>248</v>
      </c>
      <c r="F269" s="2" t="s">
        <v>1626</v>
      </c>
      <c r="G269" s="2" t="s">
        <v>1626</v>
      </c>
      <c r="H269" s="2" t="s">
        <v>1626</v>
      </c>
      <c r="I269" s="2" t="s">
        <v>1627</v>
      </c>
      <c r="J269" s="2" t="s">
        <v>223</v>
      </c>
      <c r="K269" s="2" t="s">
        <v>1754</v>
      </c>
      <c r="L269" s="3">
        <v>27.39</v>
      </c>
      <c r="M269" s="3">
        <v>28.76</v>
      </c>
      <c r="N269" s="3">
        <v>62.99</v>
      </c>
      <c r="O269" s="2" t="s">
        <v>196</v>
      </c>
      <c r="P269" s="2" t="s">
        <v>197</v>
      </c>
      <c r="Q269" s="2" t="s">
        <v>198</v>
      </c>
      <c r="R269" s="2" t="s">
        <v>199</v>
      </c>
      <c r="S269" s="2" t="s">
        <v>1755</v>
      </c>
      <c r="T269" s="2" t="s">
        <v>1546</v>
      </c>
      <c r="U269" s="2" t="s">
        <v>199</v>
      </c>
      <c r="V269" s="2" t="s">
        <v>202</v>
      </c>
      <c r="W269" s="2" t="s">
        <v>203</v>
      </c>
      <c r="X269" s="2" t="s">
        <v>199</v>
      </c>
      <c r="Y269" s="2" t="s">
        <v>204</v>
      </c>
      <c r="Z269" s="4">
        <v>477</v>
      </c>
      <c r="AA269" s="4">
        <f>=ROUNDDOWN(17.6666666666667,0)</f>
      </c>
      <c r="AB269" s="5">
        <v>27</v>
      </c>
      <c r="AC269" s="2" t="s">
        <v>199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199</v>
      </c>
      <c r="AW269" s="8" t="s">
        <v>199</v>
      </c>
      <c r="AX269" s="4" t="s">
        <v>199</v>
      </c>
      <c r="AY269" s="8" t="s">
        <v>199</v>
      </c>
      <c r="AZ269" s="7" t="s">
        <v>199</v>
      </c>
      <c r="BA269" s="7" t="s">
        <v>199</v>
      </c>
      <c r="BB269" s="7"/>
      <c r="BC269" s="4" t="s">
        <v>199</v>
      </c>
      <c r="BD269" s="8" t="s">
        <v>199</v>
      </c>
      <c r="BE269" s="4" t="s">
        <v>199</v>
      </c>
      <c r="BF269" s="8" t="s">
        <v>199</v>
      </c>
      <c r="BG269" s="7" t="s">
        <v>199</v>
      </c>
      <c r="BH269" s="7" t="s">
        <v>199</v>
      </c>
      <c r="BI269" s="7"/>
      <c r="BJ269" s="4">
        <v>223</v>
      </c>
      <c r="BK269" s="8">
        <v>6578.86</v>
      </c>
      <c r="BL269" s="2" t="s">
        <v>1632</v>
      </c>
      <c r="BM269" s="7"/>
      <c r="BN269" s="7"/>
      <c r="BO269" s="4"/>
      <c r="BP269" s="8"/>
      <c r="BQ269" s="4"/>
      <c r="BR269" s="8"/>
      <c r="BS269" s="7"/>
      <c r="BT269" s="7"/>
      <c r="BU269" s="2" t="s">
        <v>1633</v>
      </c>
      <c r="BV269" s="2" t="s">
        <v>199</v>
      </c>
      <c r="BW269" s="2" t="s">
        <v>199</v>
      </c>
      <c r="BX269" s="2" t="s">
        <v>208</v>
      </c>
      <c r="BY269" s="2" t="s">
        <v>209</v>
      </c>
      <c r="BZ269" s="2" t="s">
        <v>196</v>
      </c>
      <c r="CA269" s="2" t="s">
        <v>1685</v>
      </c>
      <c r="CB269" s="2" t="s">
        <v>1760</v>
      </c>
      <c r="CC269" s="2" t="s">
        <v>212</v>
      </c>
      <c r="CD269" s="2" t="s">
        <v>199</v>
      </c>
      <c r="CE269" s="4">
        <v>477</v>
      </c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>
        <v>482</v>
      </c>
      <c r="EU269" s="4">
        <v>460</v>
      </c>
      <c r="EV269" s="4">
        <v>448</v>
      </c>
      <c r="EW269" s="4">
        <v>439</v>
      </c>
      <c r="EX269" s="4">
        <v>430</v>
      </c>
      <c r="EY269" s="4">
        <v>419</v>
      </c>
      <c r="EZ269" s="4">
        <v>408</v>
      </c>
      <c r="FA269" s="4">
        <v>397</v>
      </c>
      <c r="FB269" s="4">
        <v>386</v>
      </c>
      <c r="FC269" s="4">
        <v>378</v>
      </c>
      <c r="FD269" s="4">
        <v>370</v>
      </c>
      <c r="FE269" s="4">
        <v>362</v>
      </c>
      <c r="FF269" s="4">
        <v>354</v>
      </c>
      <c r="FG269" s="4">
        <v>346</v>
      </c>
      <c r="FH269" s="4">
        <v>338</v>
      </c>
      <c r="FI269" s="4">
        <v>326</v>
      </c>
      <c r="FJ269" s="4">
        <v>313</v>
      </c>
      <c r="FK269" s="4">
        <v>300</v>
      </c>
      <c r="FL269" s="4">
        <v>289</v>
      </c>
      <c r="FM269" s="4">
        <v>278</v>
      </c>
      <c r="FN269" s="4">
        <v>267</v>
      </c>
      <c r="FO269" s="4">
        <v>256</v>
      </c>
      <c r="FP269" s="4">
        <v>245</v>
      </c>
      <c r="FQ269" s="4">
        <v>234</v>
      </c>
      <c r="FR269" s="4">
        <v>223</v>
      </c>
      <c r="FS269" s="4">
        <v>212</v>
      </c>
      <c r="FT269" s="19">
        <v>37.1</v>
      </c>
      <c r="FU269" s="19">
        <v>46</v>
      </c>
      <c r="FV269" s="19">
        <v>44.8</v>
      </c>
      <c r="FW269" s="19">
        <v>43.9</v>
      </c>
      <c r="FX269" s="19">
        <v>39.1</v>
      </c>
      <c r="FY269" s="19">
        <v>41.9</v>
      </c>
      <c r="FZ269" s="19">
        <v>40.8</v>
      </c>
      <c r="GA269" s="19">
        <v>44.1</v>
      </c>
      <c r="GB269" s="19">
        <v>48.3</v>
      </c>
      <c r="GC269" s="19">
        <v>47.3</v>
      </c>
      <c r="GD269" s="19">
        <v>46.3</v>
      </c>
      <c r="GE269" s="19">
        <v>40.2</v>
      </c>
      <c r="GF269" s="19">
        <v>35.4</v>
      </c>
      <c r="GG269" s="19">
        <v>28.8</v>
      </c>
      <c r="GH269" s="19">
        <v>28.2</v>
      </c>
      <c r="GI269" s="19">
        <v>27.2</v>
      </c>
      <c r="GJ269" s="19">
        <v>26.1</v>
      </c>
      <c r="GK269" s="19">
        <v>27.3</v>
      </c>
      <c r="GL269" s="19">
        <v>26.3</v>
      </c>
      <c r="GM269" s="19">
        <v>25.3</v>
      </c>
      <c r="GN269" s="19">
        <v>24.3</v>
      </c>
      <c r="GO269" s="19">
        <v>23.3</v>
      </c>
      <c r="GP269" s="19">
        <v>22.3</v>
      </c>
      <c r="GQ269" s="19">
        <v>21.3</v>
      </c>
      <c r="GR269" s="19">
        <v>20.3</v>
      </c>
      <c r="GS269" s="19">
        <v>17.7</v>
      </c>
    </row>
    <row r="270">
      <c r="A270" s="2" t="s">
        <v>1761</v>
      </c>
      <c r="B270" s="2" t="s">
        <v>245</v>
      </c>
      <c r="C270" s="2" t="s">
        <v>1625</v>
      </c>
      <c r="D270" s="2" t="s">
        <v>247</v>
      </c>
      <c r="E270" s="2" t="s">
        <v>248</v>
      </c>
      <c r="F270" s="2" t="s">
        <v>1626</v>
      </c>
      <c r="G270" s="2" t="s">
        <v>1626</v>
      </c>
      <c r="H270" s="2" t="s">
        <v>1626</v>
      </c>
      <c r="I270" s="2" t="s">
        <v>1627</v>
      </c>
      <c r="J270" s="2" t="s">
        <v>251</v>
      </c>
      <c r="K270" s="2" t="s">
        <v>1754</v>
      </c>
      <c r="L270" s="3">
        <v>27.39</v>
      </c>
      <c r="M270" s="3">
        <v>28.76</v>
      </c>
      <c r="N270" s="3">
        <v>62.99</v>
      </c>
      <c r="O270" s="2" t="s">
        <v>196</v>
      </c>
      <c r="P270" s="2" t="s">
        <v>197</v>
      </c>
      <c r="Q270" s="2" t="s">
        <v>198</v>
      </c>
      <c r="R270" s="2" t="s">
        <v>199</v>
      </c>
      <c r="S270" s="2" t="s">
        <v>1755</v>
      </c>
      <c r="T270" s="2" t="s">
        <v>1546</v>
      </c>
      <c r="U270" s="2" t="s">
        <v>199</v>
      </c>
      <c r="V270" s="2" t="s">
        <v>202</v>
      </c>
      <c r="W270" s="2" t="s">
        <v>203</v>
      </c>
      <c r="X270" s="2" t="s">
        <v>199</v>
      </c>
      <c r="Y270" s="2" t="s">
        <v>204</v>
      </c>
      <c r="Z270" s="4">
        <v>641</v>
      </c>
      <c r="AA270" s="4">
        <f>=ROUNDDOWN(213.666666666667,0)</f>
      </c>
      <c r="AB270" s="5">
        <v>3</v>
      </c>
      <c r="AC270" s="2" t="s">
        <v>199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199</v>
      </c>
      <c r="AW270" s="8" t="s">
        <v>199</v>
      </c>
      <c r="AX270" s="4" t="s">
        <v>199</v>
      </c>
      <c r="AY270" s="8" t="s">
        <v>199</v>
      </c>
      <c r="AZ270" s="7" t="s">
        <v>199</v>
      </c>
      <c r="BA270" s="7" t="s">
        <v>199</v>
      </c>
      <c r="BB270" s="7"/>
      <c r="BC270" s="4" t="s">
        <v>199</v>
      </c>
      <c r="BD270" s="8" t="s">
        <v>199</v>
      </c>
      <c r="BE270" s="4" t="s">
        <v>199</v>
      </c>
      <c r="BF270" s="8" t="s">
        <v>199</v>
      </c>
      <c r="BG270" s="7" t="s">
        <v>199</v>
      </c>
      <c r="BH270" s="7" t="s">
        <v>199</v>
      </c>
      <c r="BI270" s="7"/>
      <c r="BJ270" s="4">
        <v>46</v>
      </c>
      <c r="BK270" s="8">
        <v>1358.93</v>
      </c>
      <c r="BL270" s="2" t="s">
        <v>779</v>
      </c>
      <c r="BM270" s="7"/>
      <c r="BN270" s="7"/>
      <c r="BO270" s="4"/>
      <c r="BP270" s="8"/>
      <c r="BQ270" s="4"/>
      <c r="BR270" s="8"/>
      <c r="BS270" s="7"/>
      <c r="BT270" s="7"/>
      <c r="BU270" s="2" t="s">
        <v>1633</v>
      </c>
      <c r="BV270" s="2" t="s">
        <v>199</v>
      </c>
      <c r="BW270" s="2" t="s">
        <v>199</v>
      </c>
      <c r="BX270" s="2" t="s">
        <v>208</v>
      </c>
      <c r="BY270" s="2" t="s">
        <v>209</v>
      </c>
      <c r="BZ270" s="2" t="s">
        <v>196</v>
      </c>
      <c r="CA270" s="2" t="s">
        <v>1685</v>
      </c>
      <c r="CB270" s="2" t="s">
        <v>1560</v>
      </c>
      <c r="CC270" s="2" t="s">
        <v>212</v>
      </c>
      <c r="CD270" s="2" t="s">
        <v>199</v>
      </c>
      <c r="CE270" s="4">
        <v>641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>
        <v>652</v>
      </c>
      <c r="EU270" s="4">
        <v>645</v>
      </c>
      <c r="EV270" s="4">
        <v>643</v>
      </c>
      <c r="EW270" s="4">
        <v>642</v>
      </c>
      <c r="EX270" s="4">
        <v>641</v>
      </c>
      <c r="EY270" s="4">
        <v>640</v>
      </c>
      <c r="EZ270" s="4">
        <v>639</v>
      </c>
      <c r="FA270" s="4">
        <v>638</v>
      </c>
      <c r="FB270" s="4">
        <v>637</v>
      </c>
      <c r="FC270" s="4">
        <v>636</v>
      </c>
      <c r="FD270" s="4">
        <v>635</v>
      </c>
      <c r="FE270" s="4">
        <v>634</v>
      </c>
      <c r="FF270" s="4">
        <v>633</v>
      </c>
      <c r="FG270" s="4">
        <v>632</v>
      </c>
      <c r="FH270" s="4">
        <v>631</v>
      </c>
      <c r="FI270" s="4">
        <v>630</v>
      </c>
      <c r="FJ270" s="4">
        <v>629</v>
      </c>
      <c r="FK270" s="4">
        <v>628</v>
      </c>
      <c r="FL270" s="4">
        <v>627</v>
      </c>
      <c r="FM270" s="4">
        <v>626</v>
      </c>
      <c r="FN270" s="4">
        <v>625</v>
      </c>
      <c r="FO270" s="4">
        <v>624</v>
      </c>
      <c r="FP270" s="4">
        <v>623</v>
      </c>
      <c r="FQ270" s="4">
        <v>622</v>
      </c>
      <c r="FR270" s="4">
        <v>621</v>
      </c>
      <c r="FS270" s="4">
        <v>620</v>
      </c>
      <c r="FT270" s="19">
        <v>217.3</v>
      </c>
      <c r="FU270" s="19">
        <v>645</v>
      </c>
      <c r="FV270" s="19">
        <v>643</v>
      </c>
      <c r="FW270" s="19">
        <v>642</v>
      </c>
      <c r="FX270" s="19">
        <v>641</v>
      </c>
      <c r="FY270" s="19">
        <v>640</v>
      </c>
      <c r="FZ270" s="19">
        <v>639</v>
      </c>
      <c r="GA270" s="19">
        <v>638</v>
      </c>
      <c r="GB270" s="19">
        <v>637</v>
      </c>
      <c r="GC270" s="19">
        <v>636</v>
      </c>
      <c r="GD270" s="19">
        <v>635</v>
      </c>
      <c r="GE270" s="19">
        <v>634</v>
      </c>
      <c r="GF270" s="19">
        <v>633</v>
      </c>
      <c r="GG270" s="19">
        <v>632</v>
      </c>
      <c r="GH270" s="19">
        <v>631</v>
      </c>
      <c r="GI270" s="19">
        <v>630</v>
      </c>
      <c r="GJ270" s="19">
        <v>629</v>
      </c>
      <c r="GK270" s="19">
        <v>628</v>
      </c>
      <c r="GL270" s="19">
        <v>627</v>
      </c>
      <c r="GM270" s="19">
        <v>626</v>
      </c>
      <c r="GN270" s="19">
        <v>625</v>
      </c>
      <c r="GO270" s="19">
        <v>624</v>
      </c>
      <c r="GP270" s="19">
        <v>623</v>
      </c>
      <c r="GQ270" s="19">
        <v>622</v>
      </c>
      <c r="GR270" s="19">
        <v>621</v>
      </c>
      <c r="GS270" s="19">
        <v>620</v>
      </c>
    </row>
    <row r="271">
      <c r="A271" s="2" t="s">
        <v>1762</v>
      </c>
      <c r="B271" s="2" t="s">
        <v>245</v>
      </c>
      <c r="C271" s="2" t="s">
        <v>1625</v>
      </c>
      <c r="D271" s="2" t="s">
        <v>247</v>
      </c>
      <c r="E271" s="2" t="s">
        <v>248</v>
      </c>
      <c r="F271" s="2" t="s">
        <v>1626</v>
      </c>
      <c r="G271" s="2" t="s">
        <v>1626</v>
      </c>
      <c r="H271" s="2" t="s">
        <v>1626</v>
      </c>
      <c r="I271" s="2" t="s">
        <v>1627</v>
      </c>
      <c r="J271" s="2" t="s">
        <v>194</v>
      </c>
      <c r="K271" s="2" t="s">
        <v>1763</v>
      </c>
      <c r="L271" s="3">
        <v>14.89</v>
      </c>
      <c r="M271" s="3">
        <v>15.63</v>
      </c>
      <c r="N271" s="3">
        <v>31.99</v>
      </c>
      <c r="O271" s="2" t="s">
        <v>196</v>
      </c>
      <c r="P271" s="2" t="s">
        <v>197</v>
      </c>
      <c r="Q271" s="2" t="s">
        <v>198</v>
      </c>
      <c r="R271" s="2" t="s">
        <v>199</v>
      </c>
      <c r="S271" s="2" t="s">
        <v>1764</v>
      </c>
      <c r="T271" s="2" t="s">
        <v>1546</v>
      </c>
      <c r="U271" s="2" t="s">
        <v>199</v>
      </c>
      <c r="V271" s="2" t="s">
        <v>1547</v>
      </c>
      <c r="W271" s="2" t="s">
        <v>203</v>
      </c>
      <c r="X271" s="2" t="s">
        <v>199</v>
      </c>
      <c r="Y271" s="2" t="s">
        <v>1587</v>
      </c>
      <c r="Z271" s="4"/>
      <c r="AA271" s="4">
        <f>=ROUNDDOWN({0},0)</f>
      </c>
      <c r="AB271" s="5">
        <v>37</v>
      </c>
      <c r="AC271" s="2" t="s">
        <v>1666</v>
      </c>
      <c r="AD271" s="4">
        <v>157</v>
      </c>
      <c r="AE271" s="4">
        <v>157</v>
      </c>
      <c r="AF271" s="6">
        <v>65</v>
      </c>
      <c r="AG271" s="6"/>
      <c r="AH271" s="7">
        <v>0.7742</v>
      </c>
      <c r="AI271" s="4"/>
      <c r="AJ271" s="4">
        <f>=ROUNDDOWN({0},0)</f>
      </c>
      <c r="AK271" s="5"/>
      <c r="AL271" s="2" t="s">
        <v>199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199</v>
      </c>
      <c r="AW271" s="8" t="s">
        <v>199</v>
      </c>
      <c r="AX271" s="4" t="s">
        <v>199</v>
      </c>
      <c r="AY271" s="8" t="s">
        <v>199</v>
      </c>
      <c r="AZ271" s="7" t="s">
        <v>199</v>
      </c>
      <c r="BA271" s="7" t="s">
        <v>199</v>
      </c>
      <c r="BB271" s="7"/>
      <c r="BC271" s="4" t="s">
        <v>199</v>
      </c>
      <c r="BD271" s="8" t="s">
        <v>199</v>
      </c>
      <c r="BE271" s="4" t="s">
        <v>199</v>
      </c>
      <c r="BF271" s="8" t="s">
        <v>199</v>
      </c>
      <c r="BG271" s="7" t="s">
        <v>199</v>
      </c>
      <c r="BH271" s="7" t="s">
        <v>199</v>
      </c>
      <c r="BI271" s="7"/>
      <c r="BJ271" s="4">
        <v>444</v>
      </c>
      <c r="BK271" s="8">
        <v>7358.45</v>
      </c>
      <c r="BL271" s="2" t="s">
        <v>1765</v>
      </c>
      <c r="BM271" s="7"/>
      <c r="BN271" s="7"/>
      <c r="BO271" s="4"/>
      <c r="BP271" s="8"/>
      <c r="BQ271" s="4"/>
      <c r="BR271" s="8"/>
      <c r="BS271" s="7"/>
      <c r="BT271" s="7"/>
      <c r="BU271" s="2" t="s">
        <v>1633</v>
      </c>
      <c r="BV271" s="2" t="s">
        <v>199</v>
      </c>
      <c r="BW271" s="2" t="s">
        <v>199</v>
      </c>
      <c r="BX271" s="2" t="s">
        <v>208</v>
      </c>
      <c r="BY271" s="2" t="s">
        <v>209</v>
      </c>
      <c r="BZ271" s="2" t="s">
        <v>196</v>
      </c>
      <c r="CA271" s="2" t="s">
        <v>1589</v>
      </c>
      <c r="CB271" s="2" t="s">
        <v>624</v>
      </c>
      <c r="CC271" s="2" t="s">
        <v>212</v>
      </c>
      <c r="CD271" s="2" t="s">
        <v>199</v>
      </c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>
        <v>157</v>
      </c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>
        <v>157</v>
      </c>
      <c r="EZ271" s="4">
        <v>53</v>
      </c>
      <c r="FA271" s="4">
        <v>31</v>
      </c>
      <c r="FB271" s="4">
        <v>9</v>
      </c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>
        <v>257</v>
      </c>
      <c r="FN271" s="4">
        <v>186</v>
      </c>
      <c r="FO271" s="4">
        <v>171</v>
      </c>
      <c r="FP271" s="4">
        <v>156</v>
      </c>
      <c r="FQ271" s="4">
        <v>141</v>
      </c>
      <c r="FR271" s="4">
        <v>126</v>
      </c>
      <c r="FS271" s="4">
        <v>111</v>
      </c>
      <c r="FT271" s="20">
        <v>0</v>
      </c>
      <c r="FU271" s="20">
        <v>0</v>
      </c>
      <c r="FV271" s="20">
        <v>0</v>
      </c>
      <c r="FW271" s="20">
        <v>0</v>
      </c>
      <c r="FX271" s="20">
        <v>0</v>
      </c>
      <c r="FY271" s="19">
        <v>4</v>
      </c>
      <c r="FZ271" s="19">
        <v>3.3</v>
      </c>
      <c r="GA271" s="19">
        <v>2.6</v>
      </c>
      <c r="GB271" s="19">
        <v>1</v>
      </c>
      <c r="GC271" s="20">
        <v>0</v>
      </c>
      <c r="GD271" s="20">
        <v>0</v>
      </c>
      <c r="GE271" s="20">
        <v>0</v>
      </c>
      <c r="GF271" s="20">
        <v>0</v>
      </c>
      <c r="GG271" s="20">
        <v>0</v>
      </c>
      <c r="GH271" s="20">
        <v>0</v>
      </c>
      <c r="GI271" s="20">
        <v>0</v>
      </c>
      <c r="GJ271" s="20">
        <v>0</v>
      </c>
      <c r="GK271" s="20">
        <v>0</v>
      </c>
      <c r="GL271" s="20">
        <v>0</v>
      </c>
      <c r="GM271" s="19">
        <v>8.9</v>
      </c>
      <c r="GN271" s="19">
        <v>12.4</v>
      </c>
      <c r="GO271" s="19">
        <v>11.4</v>
      </c>
      <c r="GP271" s="19">
        <v>10.4</v>
      </c>
      <c r="GQ271" s="19">
        <v>9.4</v>
      </c>
      <c r="GR271" s="19">
        <v>7.9</v>
      </c>
      <c r="GS271" s="19">
        <v>6.9</v>
      </c>
    </row>
    <row r="272">
      <c r="A272" s="2" t="s">
        <v>1766</v>
      </c>
      <c r="B272" s="2" t="s">
        <v>245</v>
      </c>
      <c r="C272" s="2" t="s">
        <v>1625</v>
      </c>
      <c r="D272" s="2" t="s">
        <v>247</v>
      </c>
      <c r="E272" s="2" t="s">
        <v>248</v>
      </c>
      <c r="F272" s="2" t="s">
        <v>1626</v>
      </c>
      <c r="G272" s="2" t="s">
        <v>1626</v>
      </c>
      <c r="H272" s="2" t="s">
        <v>1626</v>
      </c>
      <c r="I272" s="2" t="s">
        <v>1627</v>
      </c>
      <c r="J272" s="2" t="s">
        <v>214</v>
      </c>
      <c r="K272" s="2" t="s">
        <v>1763</v>
      </c>
      <c r="L272" s="3">
        <v>16.16</v>
      </c>
      <c r="M272" s="3">
        <v>16.97</v>
      </c>
      <c r="N272" s="3">
        <v>34.99</v>
      </c>
      <c r="O272" s="2" t="s">
        <v>196</v>
      </c>
      <c r="P272" s="2" t="s">
        <v>197</v>
      </c>
      <c r="Q272" s="2" t="s">
        <v>198</v>
      </c>
      <c r="R272" s="2" t="s">
        <v>199</v>
      </c>
      <c r="S272" s="2" t="s">
        <v>1764</v>
      </c>
      <c r="T272" s="2" t="s">
        <v>1546</v>
      </c>
      <c r="U272" s="2" t="s">
        <v>199</v>
      </c>
      <c r="V272" s="2" t="s">
        <v>1547</v>
      </c>
      <c r="W272" s="2" t="s">
        <v>203</v>
      </c>
      <c r="X272" s="2" t="s">
        <v>199</v>
      </c>
      <c r="Y272" s="2" t="s">
        <v>1587</v>
      </c>
      <c r="Z272" s="4">
        <v>452</v>
      </c>
      <c r="AA272" s="4">
        <f>=ROUNDDOWN(28.25,0)</f>
      </c>
      <c r="AB272" s="5">
        <v>16</v>
      </c>
      <c r="AC272" s="2" t="s">
        <v>199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199</v>
      </c>
      <c r="AW272" s="8" t="s">
        <v>199</v>
      </c>
      <c r="AX272" s="4" t="s">
        <v>199</v>
      </c>
      <c r="AY272" s="8" t="s">
        <v>199</v>
      </c>
      <c r="AZ272" s="7" t="s">
        <v>199</v>
      </c>
      <c r="BA272" s="7" t="s">
        <v>199</v>
      </c>
      <c r="BB272" s="7"/>
      <c r="BC272" s="4" t="s">
        <v>199</v>
      </c>
      <c r="BD272" s="8" t="s">
        <v>199</v>
      </c>
      <c r="BE272" s="4" t="s">
        <v>199</v>
      </c>
      <c r="BF272" s="8" t="s">
        <v>199</v>
      </c>
      <c r="BG272" s="7" t="s">
        <v>199</v>
      </c>
      <c r="BH272" s="7" t="s">
        <v>199</v>
      </c>
      <c r="BI272" s="7"/>
      <c r="BJ272" s="4">
        <v>168</v>
      </c>
      <c r="BK272" s="8">
        <v>3045.87</v>
      </c>
      <c r="BL272" s="2" t="s">
        <v>1767</v>
      </c>
      <c r="BM272" s="7"/>
      <c r="BN272" s="7"/>
      <c r="BO272" s="4"/>
      <c r="BP272" s="8"/>
      <c r="BQ272" s="4"/>
      <c r="BR272" s="8"/>
      <c r="BS272" s="7"/>
      <c r="BT272" s="7"/>
      <c r="BU272" s="2" t="s">
        <v>1633</v>
      </c>
      <c r="BV272" s="2" t="s">
        <v>199</v>
      </c>
      <c r="BW272" s="2" t="s">
        <v>199</v>
      </c>
      <c r="BX272" s="2" t="s">
        <v>208</v>
      </c>
      <c r="BY272" s="2" t="s">
        <v>209</v>
      </c>
      <c r="BZ272" s="2" t="s">
        <v>196</v>
      </c>
      <c r="CA272" s="2" t="s">
        <v>1589</v>
      </c>
      <c r="CB272" s="2" t="s">
        <v>1768</v>
      </c>
      <c r="CC272" s="2" t="s">
        <v>212</v>
      </c>
      <c r="CD272" s="2" t="s">
        <v>199</v>
      </c>
      <c r="CE272" s="4">
        <v>198</v>
      </c>
      <c r="CF272" s="4">
        <v>254</v>
      </c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>
        <v>580</v>
      </c>
      <c r="EU272" s="4">
        <v>515</v>
      </c>
      <c r="EV272" s="4">
        <v>508</v>
      </c>
      <c r="EW272" s="4">
        <v>503</v>
      </c>
      <c r="EX272" s="4">
        <v>498</v>
      </c>
      <c r="EY272" s="4">
        <v>492</v>
      </c>
      <c r="EZ272" s="4">
        <v>486</v>
      </c>
      <c r="FA272" s="4">
        <v>480</v>
      </c>
      <c r="FB272" s="4">
        <v>474</v>
      </c>
      <c r="FC272" s="4">
        <v>469</v>
      </c>
      <c r="FD272" s="4">
        <v>464</v>
      </c>
      <c r="FE272" s="4">
        <v>459</v>
      </c>
      <c r="FF272" s="4">
        <v>454</v>
      </c>
      <c r="FG272" s="4">
        <v>449</v>
      </c>
      <c r="FH272" s="4">
        <v>444</v>
      </c>
      <c r="FI272" s="4">
        <v>439</v>
      </c>
      <c r="FJ272" s="4">
        <v>434</v>
      </c>
      <c r="FK272" s="4">
        <v>429</v>
      </c>
      <c r="FL272" s="4">
        <v>425</v>
      </c>
      <c r="FM272" s="4">
        <v>421</v>
      </c>
      <c r="FN272" s="4">
        <v>417</v>
      </c>
      <c r="FO272" s="4">
        <v>413</v>
      </c>
      <c r="FP272" s="4">
        <v>409</v>
      </c>
      <c r="FQ272" s="4">
        <v>405</v>
      </c>
      <c r="FR272" s="4">
        <v>401</v>
      </c>
      <c r="FS272" s="4">
        <v>397</v>
      </c>
      <c r="FT272" s="19">
        <v>29</v>
      </c>
      <c r="FU272" s="19">
        <v>85.8</v>
      </c>
      <c r="FV272" s="19">
        <v>84.7</v>
      </c>
      <c r="FW272" s="19">
        <v>83.8</v>
      </c>
      <c r="FX272" s="19">
        <v>83</v>
      </c>
      <c r="FY272" s="19">
        <v>82</v>
      </c>
      <c r="FZ272" s="19">
        <v>81</v>
      </c>
      <c r="GA272" s="19">
        <v>96</v>
      </c>
      <c r="GB272" s="19">
        <v>94.8</v>
      </c>
      <c r="GC272" s="19">
        <v>93.8</v>
      </c>
      <c r="GD272" s="19">
        <v>92.8</v>
      </c>
      <c r="GE272" s="19">
        <v>91.8</v>
      </c>
      <c r="GF272" s="19">
        <v>90.8</v>
      </c>
      <c r="GG272" s="19">
        <v>89.8</v>
      </c>
      <c r="GH272" s="19">
        <v>88.8</v>
      </c>
      <c r="GI272" s="19">
        <v>109.8</v>
      </c>
      <c r="GJ272" s="19">
        <v>108.5</v>
      </c>
      <c r="GK272" s="19">
        <v>107.3</v>
      </c>
      <c r="GL272" s="19">
        <v>106.3</v>
      </c>
      <c r="GM272" s="19">
        <v>105.3</v>
      </c>
      <c r="GN272" s="19">
        <v>104.3</v>
      </c>
      <c r="GO272" s="19">
        <v>103.3</v>
      </c>
      <c r="GP272" s="19">
        <v>102.3</v>
      </c>
      <c r="GQ272" s="19">
        <v>101.3</v>
      </c>
      <c r="GR272" s="19">
        <v>100.3</v>
      </c>
      <c r="GS272" s="19">
        <v>99.3</v>
      </c>
    </row>
    <row r="273">
      <c r="A273" s="2" t="s">
        <v>1769</v>
      </c>
      <c r="B273" s="2" t="s">
        <v>245</v>
      </c>
      <c r="C273" s="2" t="s">
        <v>1625</v>
      </c>
      <c r="D273" s="2" t="s">
        <v>247</v>
      </c>
      <c r="E273" s="2" t="s">
        <v>248</v>
      </c>
      <c r="F273" s="2" t="s">
        <v>1626</v>
      </c>
      <c r="G273" s="2" t="s">
        <v>1626</v>
      </c>
      <c r="H273" s="2" t="s">
        <v>1626</v>
      </c>
      <c r="I273" s="2" t="s">
        <v>1627</v>
      </c>
      <c r="J273" s="2" t="s">
        <v>285</v>
      </c>
      <c r="K273" s="2" t="s">
        <v>1763</v>
      </c>
      <c r="L273" s="3">
        <v>19.57</v>
      </c>
      <c r="M273" s="3">
        <v>20.55</v>
      </c>
      <c r="N273" s="3">
        <v>42.99</v>
      </c>
      <c r="O273" s="2" t="s">
        <v>196</v>
      </c>
      <c r="P273" s="2" t="s">
        <v>197</v>
      </c>
      <c r="Q273" s="2" t="s">
        <v>198</v>
      </c>
      <c r="R273" s="2" t="s">
        <v>199</v>
      </c>
      <c r="S273" s="2" t="s">
        <v>1764</v>
      </c>
      <c r="T273" s="2" t="s">
        <v>1546</v>
      </c>
      <c r="U273" s="2" t="s">
        <v>199</v>
      </c>
      <c r="V273" s="2" t="s">
        <v>1547</v>
      </c>
      <c r="W273" s="2" t="s">
        <v>203</v>
      </c>
      <c r="X273" s="2" t="s">
        <v>199</v>
      </c>
      <c r="Y273" s="2" t="s">
        <v>1587</v>
      </c>
      <c r="Z273" s="4"/>
      <c r="AA273" s="4">
        <f>=ROUNDDOWN({0},0)</f>
      </c>
      <c r="AB273" s="5">
        <v>31</v>
      </c>
      <c r="AC273" s="2" t="s">
        <v>1666</v>
      </c>
      <c r="AD273" s="4">
        <v>136</v>
      </c>
      <c r="AE273" s="4">
        <v>191</v>
      </c>
      <c r="AF273" s="6">
        <v>65</v>
      </c>
      <c r="AG273" s="6"/>
      <c r="AH273" s="7">
        <v>0.7742</v>
      </c>
      <c r="AI273" s="4"/>
      <c r="AJ273" s="4">
        <f>=ROUNDDOWN({0},0)</f>
      </c>
      <c r="AK273" s="5"/>
      <c r="AL273" s="2" t="s">
        <v>199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199</v>
      </c>
      <c r="AW273" s="8" t="s">
        <v>199</v>
      </c>
      <c r="AX273" s="4" t="s">
        <v>199</v>
      </c>
      <c r="AY273" s="8" t="s">
        <v>199</v>
      </c>
      <c r="AZ273" s="7" t="s">
        <v>199</v>
      </c>
      <c r="BA273" s="7" t="s">
        <v>199</v>
      </c>
      <c r="BB273" s="7"/>
      <c r="BC273" s="4" t="s">
        <v>199</v>
      </c>
      <c r="BD273" s="8" t="s">
        <v>199</v>
      </c>
      <c r="BE273" s="4" t="s">
        <v>199</v>
      </c>
      <c r="BF273" s="8" t="s">
        <v>199</v>
      </c>
      <c r="BG273" s="7" t="s">
        <v>199</v>
      </c>
      <c r="BH273" s="7" t="s">
        <v>199</v>
      </c>
      <c r="BI273" s="7"/>
      <c r="BJ273" s="4">
        <v>220</v>
      </c>
      <c r="BK273" s="8">
        <v>4899.69</v>
      </c>
      <c r="BL273" s="2" t="s">
        <v>1770</v>
      </c>
      <c r="BM273" s="7"/>
      <c r="BN273" s="7"/>
      <c r="BO273" s="4"/>
      <c r="BP273" s="8"/>
      <c r="BQ273" s="4"/>
      <c r="BR273" s="8"/>
      <c r="BS273" s="7"/>
      <c r="BT273" s="7"/>
      <c r="BU273" s="2" t="s">
        <v>1633</v>
      </c>
      <c r="BV273" s="2" t="s">
        <v>199</v>
      </c>
      <c r="BW273" s="2" t="s">
        <v>199</v>
      </c>
      <c r="BX273" s="2" t="s">
        <v>208</v>
      </c>
      <c r="BY273" s="2" t="s">
        <v>209</v>
      </c>
      <c r="BZ273" s="2" t="s">
        <v>196</v>
      </c>
      <c r="CA273" s="2" t="s">
        <v>1589</v>
      </c>
      <c r="CB273" s="2" t="s">
        <v>1601</v>
      </c>
      <c r="CC273" s="2" t="s">
        <v>212</v>
      </c>
      <c r="CD273" s="2" t="s">
        <v>199</v>
      </c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>
        <v>136</v>
      </c>
      <c r="DM273" s="4"/>
      <c r="DN273" s="4"/>
      <c r="DO273" s="4">
        <v>55</v>
      </c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>
        <v>136</v>
      </c>
      <c r="EZ273" s="4">
        <v>68</v>
      </c>
      <c r="FA273" s="4">
        <v>51</v>
      </c>
      <c r="FB273" s="4">
        <v>34</v>
      </c>
      <c r="FC273" s="4">
        <v>18</v>
      </c>
      <c r="FD273" s="4">
        <v>2</v>
      </c>
      <c r="FE273" s="4"/>
      <c r="FF273" s="4"/>
      <c r="FG273" s="4"/>
      <c r="FH273" s="4"/>
      <c r="FI273" s="4"/>
      <c r="FJ273" s="4"/>
      <c r="FK273" s="4"/>
      <c r="FL273" s="4"/>
      <c r="FM273" s="4">
        <v>239</v>
      </c>
      <c r="FN273" s="4">
        <v>157</v>
      </c>
      <c r="FO273" s="4">
        <v>145</v>
      </c>
      <c r="FP273" s="4">
        <v>133</v>
      </c>
      <c r="FQ273" s="4">
        <v>121</v>
      </c>
      <c r="FR273" s="4">
        <v>109</v>
      </c>
      <c r="FS273" s="4">
        <v>97</v>
      </c>
      <c r="FT273" s="20">
        <v>0</v>
      </c>
      <c r="FU273" s="20">
        <v>0</v>
      </c>
      <c r="FV273" s="20">
        <v>0</v>
      </c>
      <c r="FW273" s="20">
        <v>0</v>
      </c>
      <c r="FX273" s="20">
        <v>0</v>
      </c>
      <c r="FY273" s="19">
        <v>3.2</v>
      </c>
      <c r="FZ273" s="19">
        <v>4.3</v>
      </c>
      <c r="GA273" s="19">
        <v>3.9</v>
      </c>
      <c r="GB273" s="19">
        <v>3.4</v>
      </c>
      <c r="GC273" s="19">
        <v>3</v>
      </c>
      <c r="GD273" s="19">
        <v>0.7</v>
      </c>
      <c r="GE273" s="20">
        <v>0</v>
      </c>
      <c r="GF273" s="20">
        <v>0</v>
      </c>
      <c r="GG273" s="20">
        <v>0</v>
      </c>
      <c r="GH273" s="20">
        <v>0</v>
      </c>
      <c r="GI273" s="20">
        <v>0</v>
      </c>
      <c r="GJ273" s="20">
        <v>0</v>
      </c>
      <c r="GK273" s="20">
        <v>0</v>
      </c>
      <c r="GL273" s="20">
        <v>0</v>
      </c>
      <c r="GM273" s="19">
        <v>8</v>
      </c>
      <c r="GN273" s="19">
        <v>13.1</v>
      </c>
      <c r="GO273" s="19">
        <v>12.1</v>
      </c>
      <c r="GP273" s="19">
        <v>11.1</v>
      </c>
      <c r="GQ273" s="19">
        <v>10.1</v>
      </c>
      <c r="GR273" s="19">
        <v>8.4</v>
      </c>
      <c r="GS273" s="19">
        <v>6.9</v>
      </c>
    </row>
    <row r="274">
      <c r="A274" s="2" t="s">
        <v>1771</v>
      </c>
      <c r="B274" s="2" t="s">
        <v>245</v>
      </c>
      <c r="C274" s="2" t="s">
        <v>1625</v>
      </c>
      <c r="D274" s="2" t="s">
        <v>247</v>
      </c>
      <c r="E274" s="2" t="s">
        <v>248</v>
      </c>
      <c r="F274" s="2" t="s">
        <v>1626</v>
      </c>
      <c r="G274" s="2" t="s">
        <v>1626</v>
      </c>
      <c r="H274" s="2" t="s">
        <v>1626</v>
      </c>
      <c r="I274" s="2" t="s">
        <v>1627</v>
      </c>
      <c r="J274" s="2" t="s">
        <v>223</v>
      </c>
      <c r="K274" s="2" t="s">
        <v>1763</v>
      </c>
      <c r="L274" s="3">
        <v>27.39</v>
      </c>
      <c r="M274" s="3">
        <v>28.76</v>
      </c>
      <c r="N274" s="3">
        <v>62.99</v>
      </c>
      <c r="O274" s="2" t="s">
        <v>196</v>
      </c>
      <c r="P274" s="2" t="s">
        <v>197</v>
      </c>
      <c r="Q274" s="2" t="s">
        <v>198</v>
      </c>
      <c r="R274" s="2" t="s">
        <v>199</v>
      </c>
      <c r="S274" s="2" t="s">
        <v>1764</v>
      </c>
      <c r="T274" s="2" t="s">
        <v>1546</v>
      </c>
      <c r="U274" s="2" t="s">
        <v>199</v>
      </c>
      <c r="V274" s="2" t="s">
        <v>1547</v>
      </c>
      <c r="W274" s="2" t="s">
        <v>203</v>
      </c>
      <c r="X274" s="2" t="s">
        <v>199</v>
      </c>
      <c r="Y274" s="2" t="s">
        <v>1587</v>
      </c>
      <c r="Z274" s="4">
        <v>363</v>
      </c>
      <c r="AA274" s="4">
        <f>=ROUNDDOWN(25.9285714285714,0)</f>
      </c>
      <c r="AB274" s="5">
        <v>14</v>
      </c>
      <c r="AC274" s="2" t="s">
        <v>1666</v>
      </c>
      <c r="AD274" s="4">
        <v>95</v>
      </c>
      <c r="AE274" s="4">
        <v>95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199</v>
      </c>
      <c r="AW274" s="8" t="s">
        <v>199</v>
      </c>
      <c r="AX274" s="4" t="s">
        <v>199</v>
      </c>
      <c r="AY274" s="8" t="s">
        <v>199</v>
      </c>
      <c r="AZ274" s="7" t="s">
        <v>199</v>
      </c>
      <c r="BA274" s="7" t="s">
        <v>199</v>
      </c>
      <c r="BB274" s="7"/>
      <c r="BC274" s="4" t="s">
        <v>199</v>
      </c>
      <c r="BD274" s="8" t="s">
        <v>199</v>
      </c>
      <c r="BE274" s="4" t="s">
        <v>199</v>
      </c>
      <c r="BF274" s="8" t="s">
        <v>199</v>
      </c>
      <c r="BG274" s="7" t="s">
        <v>199</v>
      </c>
      <c r="BH274" s="7" t="s">
        <v>199</v>
      </c>
      <c r="BI274" s="7"/>
      <c r="BJ274" s="4">
        <v>59</v>
      </c>
      <c r="BK274" s="8">
        <v>1751.95</v>
      </c>
      <c r="BL274" s="2" t="s">
        <v>1718</v>
      </c>
      <c r="BM274" s="7"/>
      <c r="BN274" s="7"/>
      <c r="BO274" s="4"/>
      <c r="BP274" s="8"/>
      <c r="BQ274" s="4"/>
      <c r="BR274" s="8"/>
      <c r="BS274" s="7"/>
      <c r="BT274" s="7"/>
      <c r="BU274" s="2" t="s">
        <v>1633</v>
      </c>
      <c r="BV274" s="2" t="s">
        <v>199</v>
      </c>
      <c r="BW274" s="2" t="s">
        <v>199</v>
      </c>
      <c r="BX274" s="2" t="s">
        <v>208</v>
      </c>
      <c r="BY274" s="2" t="s">
        <v>209</v>
      </c>
      <c r="BZ274" s="2" t="s">
        <v>196</v>
      </c>
      <c r="CA274" s="2" t="s">
        <v>1589</v>
      </c>
      <c r="CB274" s="2" t="s">
        <v>1616</v>
      </c>
      <c r="CC274" s="2" t="s">
        <v>212</v>
      </c>
      <c r="CD274" s="2" t="s">
        <v>199</v>
      </c>
      <c r="CE274" s="4">
        <v>343</v>
      </c>
      <c r="CF274" s="4"/>
      <c r="CG274" s="4"/>
      <c r="CH274" s="4"/>
      <c r="CI274" s="4"/>
      <c r="CJ274" s="4"/>
      <c r="CK274" s="4"/>
      <c r="CL274" s="4">
        <v>20</v>
      </c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>
        <v>95</v>
      </c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>
        <v>399</v>
      </c>
      <c r="EU274" s="4">
        <v>360</v>
      </c>
      <c r="EV274" s="4">
        <v>354</v>
      </c>
      <c r="EW274" s="4">
        <v>349</v>
      </c>
      <c r="EX274" s="4">
        <v>344</v>
      </c>
      <c r="EY274" s="4">
        <v>433</v>
      </c>
      <c r="EZ274" s="4">
        <v>427</v>
      </c>
      <c r="FA274" s="4">
        <v>421</v>
      </c>
      <c r="FB274" s="4">
        <v>415</v>
      </c>
      <c r="FC274" s="4">
        <v>411</v>
      </c>
      <c r="FD274" s="4">
        <v>407</v>
      </c>
      <c r="FE274" s="4">
        <v>403</v>
      </c>
      <c r="FF274" s="4">
        <v>399</v>
      </c>
      <c r="FG274" s="4">
        <v>395</v>
      </c>
      <c r="FH274" s="4">
        <v>391</v>
      </c>
      <c r="FI274" s="4">
        <v>387</v>
      </c>
      <c r="FJ274" s="4">
        <v>383</v>
      </c>
      <c r="FK274" s="4">
        <v>379</v>
      </c>
      <c r="FL274" s="4">
        <v>376</v>
      </c>
      <c r="FM274" s="4">
        <v>373</v>
      </c>
      <c r="FN274" s="4">
        <v>370</v>
      </c>
      <c r="FO274" s="4">
        <v>367</v>
      </c>
      <c r="FP274" s="4">
        <v>363</v>
      </c>
      <c r="FQ274" s="4">
        <v>358</v>
      </c>
      <c r="FR274" s="4">
        <v>353</v>
      </c>
      <c r="FS274" s="4">
        <v>348</v>
      </c>
      <c r="FT274" s="19">
        <v>28.5</v>
      </c>
      <c r="FU274" s="19">
        <v>60</v>
      </c>
      <c r="FV274" s="19">
        <v>59</v>
      </c>
      <c r="FW274" s="19">
        <v>58.2</v>
      </c>
      <c r="FX274" s="19">
        <v>57.3</v>
      </c>
      <c r="FY274" s="19">
        <v>72.2</v>
      </c>
      <c r="FZ274" s="19">
        <v>85.4</v>
      </c>
      <c r="GA274" s="19">
        <v>105.3</v>
      </c>
      <c r="GB274" s="19">
        <v>103.8</v>
      </c>
      <c r="GC274" s="19">
        <v>102.8</v>
      </c>
      <c r="GD274" s="19">
        <v>101.8</v>
      </c>
      <c r="GE274" s="19">
        <v>100.8</v>
      </c>
      <c r="GF274" s="19">
        <v>99.8</v>
      </c>
      <c r="GG274" s="19">
        <v>98.8</v>
      </c>
      <c r="GH274" s="19">
        <v>97.8</v>
      </c>
      <c r="GI274" s="19">
        <v>96.8</v>
      </c>
      <c r="GJ274" s="19">
        <v>127.7</v>
      </c>
      <c r="GK274" s="19">
        <v>126.3</v>
      </c>
      <c r="GL274" s="19">
        <v>125.3</v>
      </c>
      <c r="GM274" s="19">
        <v>93.3</v>
      </c>
      <c r="GN274" s="19">
        <v>92.5</v>
      </c>
      <c r="GO274" s="19">
        <v>73.4</v>
      </c>
      <c r="GP274" s="19">
        <v>72.6</v>
      </c>
      <c r="GQ274" s="19">
        <v>71.6</v>
      </c>
      <c r="GR274" s="19">
        <v>70.6</v>
      </c>
      <c r="GS274" s="19">
        <v>58</v>
      </c>
    </row>
    <row r="275">
      <c r="A275" s="2" t="s">
        <v>1772</v>
      </c>
      <c r="B275" s="2" t="s">
        <v>245</v>
      </c>
      <c r="C275" s="2" t="s">
        <v>1625</v>
      </c>
      <c r="D275" s="2" t="s">
        <v>247</v>
      </c>
      <c r="E275" s="2" t="s">
        <v>248</v>
      </c>
      <c r="F275" s="2" t="s">
        <v>1626</v>
      </c>
      <c r="G275" s="2" t="s">
        <v>1626</v>
      </c>
      <c r="H275" s="2" t="s">
        <v>1626</v>
      </c>
      <c r="I275" s="2" t="s">
        <v>1627</v>
      </c>
      <c r="J275" s="2" t="s">
        <v>194</v>
      </c>
      <c r="K275" s="2" t="s">
        <v>1773</v>
      </c>
      <c r="L275" s="3">
        <v>14.89</v>
      </c>
      <c r="M275" s="3">
        <v>15.63</v>
      </c>
      <c r="N275" s="3">
        <v>31.99</v>
      </c>
      <c r="O275" s="2" t="s">
        <v>196</v>
      </c>
      <c r="P275" s="2" t="s">
        <v>197</v>
      </c>
      <c r="Q275" s="2" t="s">
        <v>198</v>
      </c>
      <c r="R275" s="2" t="s">
        <v>199</v>
      </c>
      <c r="S275" s="2" t="s">
        <v>1774</v>
      </c>
      <c r="T275" s="2" t="s">
        <v>1546</v>
      </c>
      <c r="U275" s="2" t="s">
        <v>199</v>
      </c>
      <c r="V275" s="2" t="s">
        <v>1547</v>
      </c>
      <c r="W275" s="2" t="s">
        <v>203</v>
      </c>
      <c r="X275" s="2" t="s">
        <v>199</v>
      </c>
      <c r="Y275" s="2" t="s">
        <v>1587</v>
      </c>
      <c r="Z275" s="4">
        <v>576</v>
      </c>
      <c r="AA275" s="4">
        <f>=ROUNDDOWN(15.1578947368421,0)</f>
      </c>
      <c r="AB275" s="5">
        <v>38</v>
      </c>
      <c r="AC275" s="2" t="s">
        <v>1666</v>
      </c>
      <c r="AD275" s="4">
        <v>200</v>
      </c>
      <c r="AE275" s="4">
        <v>200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199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199</v>
      </c>
      <c r="AW275" s="8" t="s">
        <v>199</v>
      </c>
      <c r="AX275" s="4" t="s">
        <v>199</v>
      </c>
      <c r="AY275" s="8" t="s">
        <v>199</v>
      </c>
      <c r="AZ275" s="7" t="s">
        <v>199</v>
      </c>
      <c r="BA275" s="7" t="s">
        <v>199</v>
      </c>
      <c r="BB275" s="7"/>
      <c r="BC275" s="4" t="s">
        <v>199</v>
      </c>
      <c r="BD275" s="8" t="s">
        <v>199</v>
      </c>
      <c r="BE275" s="4" t="s">
        <v>199</v>
      </c>
      <c r="BF275" s="8" t="s">
        <v>199</v>
      </c>
      <c r="BG275" s="7" t="s">
        <v>199</v>
      </c>
      <c r="BH275" s="7" t="s">
        <v>199</v>
      </c>
      <c r="BI275" s="7"/>
      <c r="BJ275" s="4">
        <v>250</v>
      </c>
      <c r="BK275" s="8">
        <v>4136.26</v>
      </c>
      <c r="BL275" s="2" t="s">
        <v>1775</v>
      </c>
      <c r="BM275" s="7"/>
      <c r="BN275" s="7"/>
      <c r="BO275" s="4"/>
      <c r="BP275" s="8"/>
      <c r="BQ275" s="4"/>
      <c r="BR275" s="8"/>
      <c r="BS275" s="7"/>
      <c r="BT275" s="7"/>
      <c r="BU275" s="2" t="s">
        <v>1633</v>
      </c>
      <c r="BV275" s="2" t="s">
        <v>199</v>
      </c>
      <c r="BW275" s="2" t="s">
        <v>199</v>
      </c>
      <c r="BX275" s="2" t="s">
        <v>208</v>
      </c>
      <c r="BY275" s="2" t="s">
        <v>209</v>
      </c>
      <c r="BZ275" s="2" t="s">
        <v>196</v>
      </c>
      <c r="CA275" s="2" t="s">
        <v>1589</v>
      </c>
      <c r="CB275" s="2" t="s">
        <v>1598</v>
      </c>
      <c r="CC275" s="2" t="s">
        <v>212</v>
      </c>
      <c r="CD275" s="2" t="s">
        <v>199</v>
      </c>
      <c r="CE275" s="4">
        <v>576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>
        <v>200</v>
      </c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>
        <v>809</v>
      </c>
      <c r="EU275" s="4">
        <v>644</v>
      </c>
      <c r="EV275" s="4">
        <v>634</v>
      </c>
      <c r="EW275" s="4">
        <v>627</v>
      </c>
      <c r="EX275" s="4">
        <v>620</v>
      </c>
      <c r="EY275" s="4">
        <v>812</v>
      </c>
      <c r="EZ275" s="4">
        <v>804</v>
      </c>
      <c r="FA275" s="4">
        <v>796</v>
      </c>
      <c r="FB275" s="4">
        <v>788</v>
      </c>
      <c r="FC275" s="4">
        <v>782</v>
      </c>
      <c r="FD275" s="4">
        <v>776</v>
      </c>
      <c r="FE275" s="4">
        <v>770</v>
      </c>
      <c r="FF275" s="4">
        <v>764</v>
      </c>
      <c r="FG275" s="4">
        <v>758</v>
      </c>
      <c r="FH275" s="4">
        <v>752</v>
      </c>
      <c r="FI275" s="4">
        <v>746</v>
      </c>
      <c r="FJ275" s="4">
        <v>740</v>
      </c>
      <c r="FK275" s="4">
        <v>734</v>
      </c>
      <c r="FL275" s="4">
        <v>729</v>
      </c>
      <c r="FM275" s="4">
        <v>724</v>
      </c>
      <c r="FN275" s="4">
        <v>719</v>
      </c>
      <c r="FO275" s="4">
        <v>714</v>
      </c>
      <c r="FP275" s="4">
        <v>709</v>
      </c>
      <c r="FQ275" s="4">
        <v>704</v>
      </c>
      <c r="FR275" s="4">
        <v>699</v>
      </c>
      <c r="FS275" s="4">
        <v>690</v>
      </c>
      <c r="FT275" s="19">
        <v>17.2</v>
      </c>
      <c r="FU275" s="19">
        <v>80.5</v>
      </c>
      <c r="FV275" s="19">
        <v>79.3</v>
      </c>
      <c r="FW275" s="19">
        <v>78.4</v>
      </c>
      <c r="FX275" s="19">
        <v>77.5</v>
      </c>
      <c r="FY275" s="19">
        <v>101.5</v>
      </c>
      <c r="FZ275" s="19">
        <v>114.9</v>
      </c>
      <c r="GA275" s="19">
        <v>132.7</v>
      </c>
      <c r="GB275" s="19">
        <v>131.3</v>
      </c>
      <c r="GC275" s="19">
        <v>130.3</v>
      </c>
      <c r="GD275" s="19">
        <v>129.3</v>
      </c>
      <c r="GE275" s="19">
        <v>128.3</v>
      </c>
      <c r="GF275" s="19">
        <v>127.3</v>
      </c>
      <c r="GG275" s="19">
        <v>126.3</v>
      </c>
      <c r="GH275" s="19">
        <v>125.3</v>
      </c>
      <c r="GI275" s="19">
        <v>124.3</v>
      </c>
      <c r="GJ275" s="19">
        <v>148</v>
      </c>
      <c r="GK275" s="19">
        <v>146.8</v>
      </c>
      <c r="GL275" s="19">
        <v>145.8</v>
      </c>
      <c r="GM275" s="19">
        <v>144.8</v>
      </c>
      <c r="GN275" s="19">
        <v>143.8</v>
      </c>
      <c r="GO275" s="19">
        <v>119</v>
      </c>
      <c r="GP275" s="19">
        <v>88.6</v>
      </c>
      <c r="GQ275" s="19">
        <v>64</v>
      </c>
      <c r="GR275" s="19">
        <v>49.9</v>
      </c>
      <c r="GS275" s="19">
        <v>43.1</v>
      </c>
    </row>
    <row r="276">
      <c r="A276" s="2" t="s">
        <v>1776</v>
      </c>
      <c r="B276" s="2" t="s">
        <v>245</v>
      </c>
      <c r="C276" s="2" t="s">
        <v>1625</v>
      </c>
      <c r="D276" s="2" t="s">
        <v>247</v>
      </c>
      <c r="E276" s="2" t="s">
        <v>248</v>
      </c>
      <c r="F276" s="2" t="s">
        <v>1626</v>
      </c>
      <c r="G276" s="2" t="s">
        <v>1626</v>
      </c>
      <c r="H276" s="2" t="s">
        <v>1626</v>
      </c>
      <c r="I276" s="2" t="s">
        <v>1627</v>
      </c>
      <c r="J276" s="2" t="s">
        <v>223</v>
      </c>
      <c r="K276" s="2" t="s">
        <v>1773</v>
      </c>
      <c r="L276" s="3">
        <v>27.39</v>
      </c>
      <c r="M276" s="3">
        <v>28.76</v>
      </c>
      <c r="N276" s="3">
        <v>62.99</v>
      </c>
      <c r="O276" s="2" t="s">
        <v>196</v>
      </c>
      <c r="P276" s="2" t="s">
        <v>197</v>
      </c>
      <c r="Q276" s="2" t="s">
        <v>198</v>
      </c>
      <c r="R276" s="2" t="s">
        <v>199</v>
      </c>
      <c r="S276" s="2" t="s">
        <v>1774</v>
      </c>
      <c r="T276" s="2" t="s">
        <v>1546</v>
      </c>
      <c r="U276" s="2" t="s">
        <v>199</v>
      </c>
      <c r="V276" s="2" t="s">
        <v>1547</v>
      </c>
      <c r="W276" s="2" t="s">
        <v>203</v>
      </c>
      <c r="X276" s="2" t="s">
        <v>199</v>
      </c>
      <c r="Y276" s="2" t="s">
        <v>1587</v>
      </c>
      <c r="Z276" s="4">
        <v>601</v>
      </c>
      <c r="AA276" s="4">
        <f>=ROUNDDOWN(19.3870967741935,0)</f>
      </c>
      <c r="AB276" s="5">
        <v>31</v>
      </c>
      <c r="AC276" s="2" t="s">
        <v>1639</v>
      </c>
      <c r="AD276" s="4">
        <v>82</v>
      </c>
      <c r="AE276" s="4">
        <v>82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199</v>
      </c>
      <c r="AW276" s="8" t="s">
        <v>199</v>
      </c>
      <c r="AX276" s="4" t="s">
        <v>199</v>
      </c>
      <c r="AY276" s="8" t="s">
        <v>199</v>
      </c>
      <c r="AZ276" s="7" t="s">
        <v>199</v>
      </c>
      <c r="BA276" s="7" t="s">
        <v>199</v>
      </c>
      <c r="BB276" s="7"/>
      <c r="BC276" s="4" t="s">
        <v>199</v>
      </c>
      <c r="BD276" s="8" t="s">
        <v>199</v>
      </c>
      <c r="BE276" s="4" t="s">
        <v>199</v>
      </c>
      <c r="BF276" s="8" t="s">
        <v>199</v>
      </c>
      <c r="BG276" s="7" t="s">
        <v>199</v>
      </c>
      <c r="BH276" s="7" t="s">
        <v>199</v>
      </c>
      <c r="BI276" s="7"/>
      <c r="BJ276" s="4">
        <v>274</v>
      </c>
      <c r="BK276" s="8">
        <v>8079.51</v>
      </c>
      <c r="BL276" s="2" t="s">
        <v>1777</v>
      </c>
      <c r="BM276" s="7"/>
      <c r="BN276" s="7"/>
      <c r="BO276" s="4"/>
      <c r="BP276" s="8"/>
      <c r="BQ276" s="4"/>
      <c r="BR276" s="8"/>
      <c r="BS276" s="7"/>
      <c r="BT276" s="7"/>
      <c r="BU276" s="2" t="s">
        <v>1633</v>
      </c>
      <c r="BV276" s="2" t="s">
        <v>199</v>
      </c>
      <c r="BW276" s="2" t="s">
        <v>199</v>
      </c>
      <c r="BX276" s="2" t="s">
        <v>208</v>
      </c>
      <c r="BY276" s="2" t="s">
        <v>209</v>
      </c>
      <c r="BZ276" s="2" t="s">
        <v>196</v>
      </c>
      <c r="CA276" s="2" t="s">
        <v>1589</v>
      </c>
      <c r="CB276" s="2" t="s">
        <v>1778</v>
      </c>
      <c r="CC276" s="2" t="s">
        <v>212</v>
      </c>
      <c r="CD276" s="2" t="s">
        <v>199</v>
      </c>
      <c r="CE276" s="4">
        <v>601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>
        <v>82</v>
      </c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>
        <v>661</v>
      </c>
      <c r="EU276" s="4">
        <v>609</v>
      </c>
      <c r="EV276" s="4">
        <v>599</v>
      </c>
      <c r="EW276" s="4">
        <v>592</v>
      </c>
      <c r="EX276" s="4">
        <v>577</v>
      </c>
      <c r="EY276" s="4">
        <v>558</v>
      </c>
      <c r="EZ276" s="4">
        <v>621</v>
      </c>
      <c r="FA276" s="4">
        <v>602</v>
      </c>
      <c r="FB276" s="4">
        <v>583</v>
      </c>
      <c r="FC276" s="4">
        <v>567</v>
      </c>
      <c r="FD276" s="4">
        <v>551</v>
      </c>
      <c r="FE276" s="4">
        <v>536</v>
      </c>
      <c r="FF276" s="4">
        <v>521</v>
      </c>
      <c r="FG276" s="4">
        <v>506</v>
      </c>
      <c r="FH276" s="4">
        <v>491</v>
      </c>
      <c r="FI276" s="4">
        <v>476</v>
      </c>
      <c r="FJ276" s="4">
        <v>461</v>
      </c>
      <c r="FK276" s="4">
        <v>446</v>
      </c>
      <c r="FL276" s="4">
        <v>433</v>
      </c>
      <c r="FM276" s="4">
        <v>420</v>
      </c>
      <c r="FN276" s="4">
        <v>407</v>
      </c>
      <c r="FO276" s="4">
        <v>394</v>
      </c>
      <c r="FP276" s="4">
        <v>381</v>
      </c>
      <c r="FQ276" s="4">
        <v>368</v>
      </c>
      <c r="FR276" s="4">
        <v>355</v>
      </c>
      <c r="FS276" s="4">
        <v>342</v>
      </c>
      <c r="FT276" s="19">
        <v>31.5</v>
      </c>
      <c r="FU276" s="19">
        <v>46.8</v>
      </c>
      <c r="FV276" s="19">
        <v>39.9</v>
      </c>
      <c r="FW276" s="19">
        <v>32.9</v>
      </c>
      <c r="FX276" s="19">
        <v>30.4</v>
      </c>
      <c r="FY276" s="19">
        <v>31</v>
      </c>
      <c r="FZ276" s="19">
        <v>34.5</v>
      </c>
      <c r="GA276" s="19">
        <v>37.6</v>
      </c>
      <c r="GB276" s="19">
        <v>36.4</v>
      </c>
      <c r="GC276" s="19">
        <v>37.8</v>
      </c>
      <c r="GD276" s="19">
        <v>36.7</v>
      </c>
      <c r="GE276" s="19">
        <v>35.7</v>
      </c>
      <c r="GF276" s="19">
        <v>34.7</v>
      </c>
      <c r="GG276" s="19">
        <v>33.7</v>
      </c>
      <c r="GH276" s="19">
        <v>35.1</v>
      </c>
      <c r="GI276" s="19">
        <v>34</v>
      </c>
      <c r="GJ276" s="19">
        <v>32.9</v>
      </c>
      <c r="GK276" s="19">
        <v>34.3</v>
      </c>
      <c r="GL276" s="19">
        <v>33.3</v>
      </c>
      <c r="GM276" s="19">
        <v>32.3</v>
      </c>
      <c r="GN276" s="19">
        <v>31.3</v>
      </c>
      <c r="GO276" s="19">
        <v>30.3</v>
      </c>
      <c r="GP276" s="19">
        <v>29.3</v>
      </c>
      <c r="GQ276" s="19">
        <v>28.3</v>
      </c>
      <c r="GR276" s="19">
        <v>27.3</v>
      </c>
      <c r="GS276" s="19">
        <v>24.4</v>
      </c>
    </row>
    <row r="277">
      <c r="A277" s="2" t="s">
        <v>1779</v>
      </c>
      <c r="B277" s="2" t="s">
        <v>245</v>
      </c>
      <c r="C277" s="2" t="s">
        <v>1625</v>
      </c>
      <c r="D277" s="2" t="s">
        <v>247</v>
      </c>
      <c r="E277" s="2" t="s">
        <v>248</v>
      </c>
      <c r="F277" s="2" t="s">
        <v>1626</v>
      </c>
      <c r="G277" s="2" t="s">
        <v>1626</v>
      </c>
      <c r="H277" s="2" t="s">
        <v>1626</v>
      </c>
      <c r="I277" s="2" t="s">
        <v>1627</v>
      </c>
      <c r="J277" s="2" t="s">
        <v>285</v>
      </c>
      <c r="K277" s="2" t="s">
        <v>1780</v>
      </c>
      <c r="L277" s="3">
        <v>19.57</v>
      </c>
      <c r="M277" s="3">
        <v>20.55</v>
      </c>
      <c r="N277" s="3">
        <v>42.99</v>
      </c>
      <c r="O277" s="2" t="s">
        <v>196</v>
      </c>
      <c r="P277" s="2" t="s">
        <v>724</v>
      </c>
      <c r="Q277" s="2" t="s">
        <v>198</v>
      </c>
      <c r="R277" s="2" t="s">
        <v>199</v>
      </c>
      <c r="S277" s="2" t="s">
        <v>1781</v>
      </c>
      <c r="T277" s="2" t="s">
        <v>1546</v>
      </c>
      <c r="U277" s="2" t="s">
        <v>254</v>
      </c>
      <c r="V277" s="2" t="s">
        <v>1547</v>
      </c>
      <c r="W277" s="2" t="s">
        <v>203</v>
      </c>
      <c r="X277" s="2" t="s">
        <v>1014</v>
      </c>
      <c r="Y277" s="2" t="s">
        <v>1557</v>
      </c>
      <c r="Z277" s="4">
        <v>604</v>
      </c>
      <c r="AA277" s="4">
        <f>=ROUNDDOWN(37.75,0)</f>
      </c>
      <c r="AB277" s="5">
        <v>16</v>
      </c>
      <c r="AC277" s="2" t="s">
        <v>199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199</v>
      </c>
      <c r="AW277" s="8" t="s">
        <v>199</v>
      </c>
      <c r="AX277" s="4" t="s">
        <v>199</v>
      </c>
      <c r="AY277" s="8" t="s">
        <v>199</v>
      </c>
      <c r="AZ277" s="7" t="s">
        <v>199</v>
      </c>
      <c r="BA277" s="7" t="s">
        <v>199</v>
      </c>
      <c r="BB277" s="7"/>
      <c r="BC277" s="4" t="s">
        <v>199</v>
      </c>
      <c r="BD277" s="8" t="s">
        <v>199</v>
      </c>
      <c r="BE277" s="4" t="s">
        <v>199</v>
      </c>
      <c r="BF277" s="8" t="s">
        <v>199</v>
      </c>
      <c r="BG277" s="7" t="s">
        <v>199</v>
      </c>
      <c r="BH277" s="7" t="s">
        <v>199</v>
      </c>
      <c r="BI277" s="7"/>
      <c r="BJ277" s="4">
        <v>95</v>
      </c>
      <c r="BK277" s="8">
        <v>2085.11</v>
      </c>
      <c r="BL277" s="2" t="s">
        <v>1782</v>
      </c>
      <c r="BM277" s="7"/>
      <c r="BN277" s="7"/>
      <c r="BO277" s="4"/>
      <c r="BP277" s="8"/>
      <c r="BQ277" s="4"/>
      <c r="BR277" s="8"/>
      <c r="BS277" s="7"/>
      <c r="BT277" s="7"/>
      <c r="BU277" s="2" t="s">
        <v>1633</v>
      </c>
      <c r="BV277" s="2" t="s">
        <v>199</v>
      </c>
      <c r="BW277" s="2" t="s">
        <v>199</v>
      </c>
      <c r="BX277" s="2" t="s">
        <v>208</v>
      </c>
      <c r="BY277" s="2" t="s">
        <v>209</v>
      </c>
      <c r="BZ277" s="2" t="s">
        <v>196</v>
      </c>
      <c r="CA277" s="2" t="s">
        <v>1667</v>
      </c>
      <c r="CB277" s="2" t="s">
        <v>1783</v>
      </c>
      <c r="CC277" s="2" t="s">
        <v>212</v>
      </c>
      <c r="CD277" s="2" t="s">
        <v>199</v>
      </c>
      <c r="CE277" s="4">
        <v>604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>
        <v>607</v>
      </c>
      <c r="EU277" s="4">
        <v>594</v>
      </c>
      <c r="EV277" s="4">
        <v>586</v>
      </c>
      <c r="EW277" s="4">
        <v>580</v>
      </c>
      <c r="EX277" s="4">
        <v>574</v>
      </c>
      <c r="EY277" s="4">
        <v>567</v>
      </c>
      <c r="EZ277" s="4">
        <v>560</v>
      </c>
      <c r="FA277" s="4">
        <v>553</v>
      </c>
      <c r="FB277" s="4">
        <v>546</v>
      </c>
      <c r="FC277" s="4">
        <v>541</v>
      </c>
      <c r="FD277" s="4">
        <v>536</v>
      </c>
      <c r="FE277" s="4">
        <v>531</v>
      </c>
      <c r="FF277" s="4">
        <v>526</v>
      </c>
      <c r="FG277" s="4">
        <v>521</v>
      </c>
      <c r="FH277" s="4">
        <v>516</v>
      </c>
      <c r="FI277" s="4">
        <v>511</v>
      </c>
      <c r="FJ277" s="4">
        <v>506</v>
      </c>
      <c r="FK277" s="4">
        <v>501</v>
      </c>
      <c r="FL277" s="4">
        <v>497</v>
      </c>
      <c r="FM277" s="4">
        <v>493</v>
      </c>
      <c r="FN277" s="4">
        <v>489</v>
      </c>
      <c r="FO277" s="4">
        <v>485</v>
      </c>
      <c r="FP277" s="4">
        <v>481</v>
      </c>
      <c r="FQ277" s="4">
        <v>477</v>
      </c>
      <c r="FR277" s="4">
        <v>473</v>
      </c>
      <c r="FS277" s="4">
        <v>469</v>
      </c>
      <c r="FT277" s="19">
        <v>75.9</v>
      </c>
      <c r="FU277" s="19">
        <v>84.9</v>
      </c>
      <c r="FV277" s="19">
        <v>97.7</v>
      </c>
      <c r="FW277" s="19">
        <v>82.9</v>
      </c>
      <c r="FX277" s="19">
        <v>82</v>
      </c>
      <c r="FY277" s="19">
        <v>94.5</v>
      </c>
      <c r="FZ277" s="19">
        <v>93.3</v>
      </c>
      <c r="GA277" s="19">
        <v>92.2</v>
      </c>
      <c r="GB277" s="19">
        <v>109.2</v>
      </c>
      <c r="GC277" s="19">
        <v>108.2</v>
      </c>
      <c r="GD277" s="19">
        <v>107.2</v>
      </c>
      <c r="GE277" s="19">
        <v>106.2</v>
      </c>
      <c r="GF277" s="19">
        <v>105.2</v>
      </c>
      <c r="GG277" s="19">
        <v>104.2</v>
      </c>
      <c r="GH277" s="19">
        <v>103.2</v>
      </c>
      <c r="GI277" s="19">
        <v>127.8</v>
      </c>
      <c r="GJ277" s="19">
        <v>126.5</v>
      </c>
      <c r="GK277" s="19">
        <v>125.3</v>
      </c>
      <c r="GL277" s="19">
        <v>124.3</v>
      </c>
      <c r="GM277" s="19">
        <v>123.3</v>
      </c>
      <c r="GN277" s="19">
        <v>122.3</v>
      </c>
      <c r="GO277" s="19">
        <v>121.3</v>
      </c>
      <c r="GP277" s="19">
        <v>120.3</v>
      </c>
      <c r="GQ277" s="19">
        <v>119.3</v>
      </c>
      <c r="GR277" s="19">
        <v>118.3</v>
      </c>
      <c r="GS277" s="19">
        <v>117.3</v>
      </c>
    </row>
    <row r="278">
      <c r="A278" s="2" t="s">
        <v>1784</v>
      </c>
      <c r="B278" s="2" t="s">
        <v>245</v>
      </c>
      <c r="C278" s="2" t="s">
        <v>1625</v>
      </c>
      <c r="D278" s="2" t="s">
        <v>247</v>
      </c>
      <c r="E278" s="2" t="s">
        <v>248</v>
      </c>
      <c r="F278" s="2" t="s">
        <v>1626</v>
      </c>
      <c r="G278" s="2" t="s">
        <v>1626</v>
      </c>
      <c r="H278" s="2" t="s">
        <v>1626</v>
      </c>
      <c r="I278" s="2" t="s">
        <v>1627</v>
      </c>
      <c r="J278" s="2" t="s">
        <v>219</v>
      </c>
      <c r="K278" s="2" t="s">
        <v>1780</v>
      </c>
      <c r="L278" s="3">
        <v>22.21</v>
      </c>
      <c r="M278" s="3">
        <v>23.32</v>
      </c>
      <c r="N278" s="3">
        <v>47.99</v>
      </c>
      <c r="O278" s="2" t="s">
        <v>196</v>
      </c>
      <c r="P278" s="2" t="s">
        <v>517</v>
      </c>
      <c r="Q278" s="2" t="s">
        <v>198</v>
      </c>
      <c r="R278" s="2" t="s">
        <v>199</v>
      </c>
      <c r="S278" s="2" t="s">
        <v>1781</v>
      </c>
      <c r="T278" s="2" t="s">
        <v>1546</v>
      </c>
      <c r="U278" s="2" t="s">
        <v>254</v>
      </c>
      <c r="V278" s="2" t="s">
        <v>1547</v>
      </c>
      <c r="W278" s="2" t="s">
        <v>203</v>
      </c>
      <c r="X278" s="2" t="s">
        <v>1014</v>
      </c>
      <c r="Y278" s="2" t="s">
        <v>1557</v>
      </c>
      <c r="Z278" s="4">
        <v>292</v>
      </c>
      <c r="AA278" s="4">
        <f>=ROUNDDOWN(10.0689655172414,0)</f>
      </c>
      <c r="AB278" s="5">
        <v>29</v>
      </c>
      <c r="AC278" s="2" t="s">
        <v>199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199</v>
      </c>
      <c r="AW278" s="8" t="s">
        <v>199</v>
      </c>
      <c r="AX278" s="4" t="s">
        <v>199</v>
      </c>
      <c r="AY278" s="8" t="s">
        <v>199</v>
      </c>
      <c r="AZ278" s="7" t="s">
        <v>199</v>
      </c>
      <c r="BA278" s="7" t="s">
        <v>199</v>
      </c>
      <c r="BB278" s="7"/>
      <c r="BC278" s="4" t="s">
        <v>199</v>
      </c>
      <c r="BD278" s="8" t="s">
        <v>199</v>
      </c>
      <c r="BE278" s="4" t="s">
        <v>199</v>
      </c>
      <c r="BF278" s="8" t="s">
        <v>199</v>
      </c>
      <c r="BG278" s="7" t="s">
        <v>199</v>
      </c>
      <c r="BH278" s="7" t="s">
        <v>199</v>
      </c>
      <c r="BI278" s="7"/>
      <c r="BJ278" s="4">
        <v>514</v>
      </c>
      <c r="BK278" s="8">
        <v>12798.17</v>
      </c>
      <c r="BL278" s="2" t="s">
        <v>1785</v>
      </c>
      <c r="BM278" s="7"/>
      <c r="BN278" s="7"/>
      <c r="BO278" s="4"/>
      <c r="BP278" s="8"/>
      <c r="BQ278" s="4"/>
      <c r="BR278" s="8"/>
      <c r="BS278" s="7"/>
      <c r="BT278" s="7"/>
      <c r="BU278" s="2" t="s">
        <v>1633</v>
      </c>
      <c r="BV278" s="2" t="s">
        <v>199</v>
      </c>
      <c r="BW278" s="2" t="s">
        <v>199</v>
      </c>
      <c r="BX278" s="2" t="s">
        <v>208</v>
      </c>
      <c r="BY278" s="2" t="s">
        <v>209</v>
      </c>
      <c r="BZ278" s="2" t="s">
        <v>196</v>
      </c>
      <c r="CA278" s="2" t="s">
        <v>1667</v>
      </c>
      <c r="CB278" s="2" t="s">
        <v>1786</v>
      </c>
      <c r="CC278" s="2" t="s">
        <v>212</v>
      </c>
      <c r="CD278" s="2" t="s">
        <v>199</v>
      </c>
      <c r="CE278" s="4">
        <v>292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>
        <v>328</v>
      </c>
      <c r="EU278" s="4">
        <v>183</v>
      </c>
      <c r="EV278" s="4">
        <v>163</v>
      </c>
      <c r="EW278" s="4">
        <v>146</v>
      </c>
      <c r="EX278" s="4">
        <v>129</v>
      </c>
      <c r="EY278" s="4">
        <v>110</v>
      </c>
      <c r="EZ278" s="4">
        <v>91</v>
      </c>
      <c r="FA278" s="4">
        <v>72</v>
      </c>
      <c r="FB278" s="4">
        <v>53</v>
      </c>
      <c r="FC278" s="4">
        <v>38</v>
      </c>
      <c r="FD278" s="4">
        <v>23</v>
      </c>
      <c r="FE278" s="4">
        <v>10</v>
      </c>
      <c r="FF278" s="4"/>
      <c r="FG278" s="4"/>
      <c r="FH278" s="4"/>
      <c r="FI278" s="4"/>
      <c r="FJ278" s="4"/>
      <c r="FK278" s="4"/>
      <c r="FL278" s="4"/>
      <c r="FM278" s="4">
        <v>197</v>
      </c>
      <c r="FN278" s="4">
        <v>158</v>
      </c>
      <c r="FO278" s="4">
        <v>147</v>
      </c>
      <c r="FP278" s="4">
        <v>136</v>
      </c>
      <c r="FQ278" s="4">
        <v>125</v>
      </c>
      <c r="FR278" s="4">
        <v>114</v>
      </c>
      <c r="FS278" s="4">
        <v>103</v>
      </c>
      <c r="FT278" s="19">
        <v>6.6</v>
      </c>
      <c r="FU278" s="19">
        <v>10.2</v>
      </c>
      <c r="FV278" s="19">
        <v>9.1</v>
      </c>
      <c r="FW278" s="19">
        <v>8.1</v>
      </c>
      <c r="FX278" s="19">
        <v>6.8</v>
      </c>
      <c r="FY278" s="19">
        <v>6.1</v>
      </c>
      <c r="FZ278" s="19">
        <v>5.4</v>
      </c>
      <c r="GA278" s="19">
        <v>4.5</v>
      </c>
      <c r="GB278" s="19">
        <v>4.1</v>
      </c>
      <c r="GC278" s="19">
        <v>3.2</v>
      </c>
      <c r="GD278" s="19">
        <v>2.3</v>
      </c>
      <c r="GE278" s="19">
        <v>1.1</v>
      </c>
      <c r="GF278" s="20">
        <v>0</v>
      </c>
      <c r="GG278" s="20">
        <v>0</v>
      </c>
      <c r="GH278" s="20">
        <v>0</v>
      </c>
      <c r="GI278" s="20">
        <v>0</v>
      </c>
      <c r="GJ278" s="20">
        <v>0</v>
      </c>
      <c r="GK278" s="20">
        <v>0</v>
      </c>
      <c r="GL278" s="20">
        <v>0</v>
      </c>
      <c r="GM278" s="19">
        <v>10.9</v>
      </c>
      <c r="GN278" s="19">
        <v>14.4</v>
      </c>
      <c r="GO278" s="19">
        <v>13.4</v>
      </c>
      <c r="GP278" s="19">
        <v>12.4</v>
      </c>
      <c r="GQ278" s="19">
        <v>11.4</v>
      </c>
      <c r="GR278" s="19">
        <v>9.5</v>
      </c>
      <c r="GS278" s="19">
        <v>8.6</v>
      </c>
    </row>
    <row r="279">
      <c r="A279" s="2" t="s">
        <v>1787</v>
      </c>
      <c r="B279" s="2" t="s">
        <v>245</v>
      </c>
      <c r="C279" s="2" t="s">
        <v>1625</v>
      </c>
      <c r="D279" s="2" t="s">
        <v>247</v>
      </c>
      <c r="E279" s="2" t="s">
        <v>248</v>
      </c>
      <c r="F279" s="2" t="s">
        <v>1626</v>
      </c>
      <c r="G279" s="2" t="s">
        <v>1626</v>
      </c>
      <c r="H279" s="2" t="s">
        <v>1626</v>
      </c>
      <c r="I279" s="2" t="s">
        <v>1627</v>
      </c>
      <c r="J279" s="2" t="s">
        <v>223</v>
      </c>
      <c r="K279" s="2" t="s">
        <v>1780</v>
      </c>
      <c r="L279" s="3">
        <v>27.39</v>
      </c>
      <c r="M279" s="3">
        <v>28.76</v>
      </c>
      <c r="N279" s="3">
        <v>62.99</v>
      </c>
      <c r="O279" s="2" t="s">
        <v>196</v>
      </c>
      <c r="P279" s="2" t="s">
        <v>197</v>
      </c>
      <c r="Q279" s="2" t="s">
        <v>198</v>
      </c>
      <c r="R279" s="2" t="s">
        <v>199</v>
      </c>
      <c r="S279" s="2" t="s">
        <v>1781</v>
      </c>
      <c r="T279" s="2" t="s">
        <v>1546</v>
      </c>
      <c r="U279" s="2" t="s">
        <v>254</v>
      </c>
      <c r="V279" s="2" t="s">
        <v>1547</v>
      </c>
      <c r="W279" s="2" t="s">
        <v>203</v>
      </c>
      <c r="X279" s="2" t="s">
        <v>1014</v>
      </c>
      <c r="Y279" s="2" t="s">
        <v>1557</v>
      </c>
      <c r="Z279" s="4">
        <v>69</v>
      </c>
      <c r="AA279" s="4">
        <f>=ROUNDDOWN(6.27272727272727,0)</f>
      </c>
      <c r="AB279" s="5">
        <v>11</v>
      </c>
      <c r="AC279" s="2" t="s">
        <v>199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199</v>
      </c>
      <c r="AW279" s="8" t="s">
        <v>199</v>
      </c>
      <c r="AX279" s="4" t="s">
        <v>199</v>
      </c>
      <c r="AY279" s="8" t="s">
        <v>199</v>
      </c>
      <c r="AZ279" s="7" t="s">
        <v>199</v>
      </c>
      <c r="BA279" s="7" t="s">
        <v>199</v>
      </c>
      <c r="BB279" s="7"/>
      <c r="BC279" s="4" t="s">
        <v>199</v>
      </c>
      <c r="BD279" s="8" t="s">
        <v>199</v>
      </c>
      <c r="BE279" s="4" t="s">
        <v>199</v>
      </c>
      <c r="BF279" s="8" t="s">
        <v>199</v>
      </c>
      <c r="BG279" s="7" t="s">
        <v>199</v>
      </c>
      <c r="BH279" s="7" t="s">
        <v>199</v>
      </c>
      <c r="BI279" s="7"/>
      <c r="BJ279" s="4">
        <v>246</v>
      </c>
      <c r="BK279" s="8">
        <v>7482.95</v>
      </c>
      <c r="BL279" s="2" t="s">
        <v>1788</v>
      </c>
      <c r="BM279" s="7"/>
      <c r="BN279" s="7"/>
      <c r="BO279" s="4"/>
      <c r="BP279" s="8"/>
      <c r="BQ279" s="4"/>
      <c r="BR279" s="8"/>
      <c r="BS279" s="7"/>
      <c r="BT279" s="7"/>
      <c r="BU279" s="2" t="s">
        <v>1633</v>
      </c>
      <c r="BV279" s="2" t="s">
        <v>199</v>
      </c>
      <c r="BW279" s="2" t="s">
        <v>199</v>
      </c>
      <c r="BX279" s="2" t="s">
        <v>208</v>
      </c>
      <c r="BY279" s="2" t="s">
        <v>209</v>
      </c>
      <c r="BZ279" s="2" t="s">
        <v>196</v>
      </c>
      <c r="CA279" s="2" t="s">
        <v>1758</v>
      </c>
      <c r="CB279" s="2" t="s">
        <v>1477</v>
      </c>
      <c r="CC279" s="2" t="s">
        <v>212</v>
      </c>
      <c r="CD279" s="2" t="s">
        <v>199</v>
      </c>
      <c r="CE279" s="4">
        <v>69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>
        <v>109</v>
      </c>
      <c r="EU279" s="4">
        <v>68</v>
      </c>
      <c r="EV279" s="4">
        <v>60</v>
      </c>
      <c r="EW279" s="4">
        <v>53</v>
      </c>
      <c r="EX279" s="4">
        <v>46</v>
      </c>
      <c r="EY279" s="4">
        <v>39</v>
      </c>
      <c r="EZ279" s="4">
        <v>32</v>
      </c>
      <c r="FA279" s="4">
        <v>25</v>
      </c>
      <c r="FB279" s="4">
        <v>18</v>
      </c>
      <c r="FC279" s="4">
        <v>12</v>
      </c>
      <c r="FD279" s="4">
        <v>6</v>
      </c>
      <c r="FE279" s="4">
        <v>1</v>
      </c>
      <c r="FF279" s="4"/>
      <c r="FG279" s="4"/>
      <c r="FH279" s="4"/>
      <c r="FI279" s="4"/>
      <c r="FJ279" s="4"/>
      <c r="FK279" s="4"/>
      <c r="FL279" s="4"/>
      <c r="FM279" s="4">
        <v>64</v>
      </c>
      <c r="FN279" s="4">
        <v>46</v>
      </c>
      <c r="FO279" s="4">
        <v>42</v>
      </c>
      <c r="FP279" s="4">
        <v>38</v>
      </c>
      <c r="FQ279" s="4">
        <v>34</v>
      </c>
      <c r="FR279" s="4">
        <v>30</v>
      </c>
      <c r="FS279" s="4">
        <v>26</v>
      </c>
      <c r="FT279" s="19">
        <v>6.8</v>
      </c>
      <c r="FU279" s="19">
        <v>9.7</v>
      </c>
      <c r="FV279" s="19">
        <v>8.6</v>
      </c>
      <c r="FW279" s="19">
        <v>7.6</v>
      </c>
      <c r="FX279" s="19">
        <v>6.6</v>
      </c>
      <c r="FY279" s="19">
        <v>5.6</v>
      </c>
      <c r="FZ279" s="19">
        <v>5.3</v>
      </c>
      <c r="GA279" s="19">
        <v>4.2</v>
      </c>
      <c r="GB279" s="19">
        <v>3.6</v>
      </c>
      <c r="GC279" s="19">
        <v>3</v>
      </c>
      <c r="GD279" s="19">
        <v>1.5</v>
      </c>
      <c r="GE279" s="19">
        <v>0.3</v>
      </c>
      <c r="GF279" s="20">
        <v>0</v>
      </c>
      <c r="GG279" s="20">
        <v>0</v>
      </c>
      <c r="GH279" s="20">
        <v>0</v>
      </c>
      <c r="GI279" s="20">
        <v>0</v>
      </c>
      <c r="GJ279" s="20">
        <v>0</v>
      </c>
      <c r="GK279" s="20">
        <v>0</v>
      </c>
      <c r="GL279" s="20">
        <v>0</v>
      </c>
      <c r="GM279" s="19">
        <v>8</v>
      </c>
      <c r="GN279" s="19">
        <v>11.5</v>
      </c>
      <c r="GO279" s="19">
        <v>10.5</v>
      </c>
      <c r="GP279" s="19">
        <v>9.5</v>
      </c>
      <c r="GQ279" s="19">
        <v>8.5</v>
      </c>
      <c r="GR279" s="19">
        <v>7.5</v>
      </c>
      <c r="GS279" s="19">
        <v>6.5</v>
      </c>
    </row>
    <row r="280">
      <c r="A280" s="2" t="s">
        <v>1789</v>
      </c>
      <c r="B280" s="2" t="s">
        <v>245</v>
      </c>
      <c r="C280" s="2" t="s">
        <v>1625</v>
      </c>
      <c r="D280" s="2" t="s">
        <v>247</v>
      </c>
      <c r="E280" s="2" t="s">
        <v>248</v>
      </c>
      <c r="F280" s="2" t="s">
        <v>1626</v>
      </c>
      <c r="G280" s="2" t="s">
        <v>1626</v>
      </c>
      <c r="H280" s="2" t="s">
        <v>1626</v>
      </c>
      <c r="I280" s="2" t="s">
        <v>1627</v>
      </c>
      <c r="J280" s="2" t="s">
        <v>194</v>
      </c>
      <c r="K280" s="2" t="s">
        <v>1790</v>
      </c>
      <c r="L280" s="3">
        <v>14.89</v>
      </c>
      <c r="M280" s="3">
        <v>15.63</v>
      </c>
      <c r="N280" s="3">
        <v>31.99</v>
      </c>
      <c r="O280" s="2" t="s">
        <v>196</v>
      </c>
      <c r="P280" s="2" t="s">
        <v>517</v>
      </c>
      <c r="Q280" s="2" t="s">
        <v>198</v>
      </c>
      <c r="R280" s="2" t="s">
        <v>199</v>
      </c>
      <c r="S280" s="2" t="s">
        <v>1791</v>
      </c>
      <c r="T280" s="2" t="s">
        <v>1546</v>
      </c>
      <c r="U280" s="2" t="s">
        <v>199</v>
      </c>
      <c r="V280" s="2" t="s">
        <v>1547</v>
      </c>
      <c r="W280" s="2" t="s">
        <v>203</v>
      </c>
      <c r="X280" s="2" t="s">
        <v>199</v>
      </c>
      <c r="Y280" s="2" t="s">
        <v>1587</v>
      </c>
      <c r="Z280" s="4">
        <v>707</v>
      </c>
      <c r="AA280" s="4">
        <f>=ROUNDDOWN(28.28,0)</f>
      </c>
      <c r="AB280" s="5">
        <v>25</v>
      </c>
      <c r="AC280" s="2" t="s">
        <v>199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199</v>
      </c>
      <c r="AW280" s="8" t="s">
        <v>199</v>
      </c>
      <c r="AX280" s="4" t="s">
        <v>199</v>
      </c>
      <c r="AY280" s="8" t="s">
        <v>199</v>
      </c>
      <c r="AZ280" s="7" t="s">
        <v>199</v>
      </c>
      <c r="BA280" s="7" t="s">
        <v>199</v>
      </c>
      <c r="BB280" s="7"/>
      <c r="BC280" s="4" t="s">
        <v>199</v>
      </c>
      <c r="BD280" s="8" t="s">
        <v>199</v>
      </c>
      <c r="BE280" s="4" t="s">
        <v>199</v>
      </c>
      <c r="BF280" s="8" t="s">
        <v>199</v>
      </c>
      <c r="BG280" s="7" t="s">
        <v>199</v>
      </c>
      <c r="BH280" s="7" t="s">
        <v>199</v>
      </c>
      <c r="BI280" s="7"/>
      <c r="BJ280" s="4">
        <v>187</v>
      </c>
      <c r="BK280" s="8">
        <v>3097.28</v>
      </c>
      <c r="BL280" s="2" t="s">
        <v>1792</v>
      </c>
      <c r="BM280" s="7"/>
      <c r="BN280" s="7"/>
      <c r="BO280" s="4"/>
      <c r="BP280" s="8"/>
      <c r="BQ280" s="4"/>
      <c r="BR280" s="8"/>
      <c r="BS280" s="7"/>
      <c r="BT280" s="7"/>
      <c r="BU280" s="2" t="s">
        <v>1633</v>
      </c>
      <c r="BV280" s="2" t="s">
        <v>199</v>
      </c>
      <c r="BW280" s="2" t="s">
        <v>199</v>
      </c>
      <c r="BX280" s="2" t="s">
        <v>208</v>
      </c>
      <c r="BY280" s="2" t="s">
        <v>209</v>
      </c>
      <c r="BZ280" s="2" t="s">
        <v>196</v>
      </c>
      <c r="CA280" s="2" t="s">
        <v>1589</v>
      </c>
      <c r="CB280" s="2" t="s">
        <v>1793</v>
      </c>
      <c r="CC280" s="2" t="s">
        <v>212</v>
      </c>
      <c r="CD280" s="2" t="s">
        <v>199</v>
      </c>
      <c r="CE280" s="4">
        <v>707</v>
      </c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>
        <v>765</v>
      </c>
      <c r="EU280" s="4">
        <v>748</v>
      </c>
      <c r="EV280" s="4">
        <v>739</v>
      </c>
      <c r="EW280" s="4">
        <v>732</v>
      </c>
      <c r="EX280" s="4">
        <v>729</v>
      </c>
      <c r="EY280" s="4">
        <v>725</v>
      </c>
      <c r="EZ280" s="4">
        <v>721</v>
      </c>
      <c r="FA280" s="4">
        <v>717</v>
      </c>
      <c r="FB280" s="4">
        <v>713</v>
      </c>
      <c r="FC280" s="4">
        <v>706</v>
      </c>
      <c r="FD280" s="4">
        <v>693</v>
      </c>
      <c r="FE280" s="4">
        <v>682</v>
      </c>
      <c r="FF280" s="4">
        <v>671</v>
      </c>
      <c r="FG280" s="4">
        <v>660</v>
      </c>
      <c r="FH280" s="4">
        <v>649</v>
      </c>
      <c r="FI280" s="4">
        <v>638</v>
      </c>
      <c r="FJ280" s="4">
        <v>627</v>
      </c>
      <c r="FK280" s="4">
        <v>616</v>
      </c>
      <c r="FL280" s="4">
        <v>606</v>
      </c>
      <c r="FM280" s="4">
        <v>596</v>
      </c>
      <c r="FN280" s="4">
        <v>586</v>
      </c>
      <c r="FO280" s="4">
        <v>576</v>
      </c>
      <c r="FP280" s="4">
        <v>566</v>
      </c>
      <c r="FQ280" s="4">
        <v>556</v>
      </c>
      <c r="FR280" s="4">
        <v>546</v>
      </c>
      <c r="FS280" s="4">
        <v>536</v>
      </c>
      <c r="FT280" s="19">
        <v>85</v>
      </c>
      <c r="FU280" s="19">
        <v>124.7</v>
      </c>
      <c r="FV280" s="19">
        <v>184.8</v>
      </c>
      <c r="FW280" s="19">
        <v>183</v>
      </c>
      <c r="FX280" s="19">
        <v>182.3</v>
      </c>
      <c r="FY280" s="19">
        <v>145</v>
      </c>
      <c r="FZ280" s="19">
        <v>103</v>
      </c>
      <c r="GA280" s="19">
        <v>79.7</v>
      </c>
      <c r="GB280" s="19">
        <v>71.3</v>
      </c>
      <c r="GC280" s="19">
        <v>58.8</v>
      </c>
      <c r="GD280" s="19">
        <v>63</v>
      </c>
      <c r="GE280" s="19">
        <v>62</v>
      </c>
      <c r="GF280" s="19">
        <v>61</v>
      </c>
      <c r="GG280" s="19">
        <v>60</v>
      </c>
      <c r="GH280" s="19">
        <v>59</v>
      </c>
      <c r="GI280" s="19">
        <v>63.8</v>
      </c>
      <c r="GJ280" s="19">
        <v>62.7</v>
      </c>
      <c r="GK280" s="19">
        <v>61.6</v>
      </c>
      <c r="GL280" s="19">
        <v>60.6</v>
      </c>
      <c r="GM280" s="19">
        <v>59.6</v>
      </c>
      <c r="GN280" s="19">
        <v>58.6</v>
      </c>
      <c r="GO280" s="19">
        <v>57.6</v>
      </c>
      <c r="GP280" s="19">
        <v>56.6</v>
      </c>
      <c r="GQ280" s="19">
        <v>55.6</v>
      </c>
      <c r="GR280" s="19">
        <v>54.6</v>
      </c>
      <c r="GS280" s="19">
        <v>48.7</v>
      </c>
    </row>
    <row r="281">
      <c r="A281" s="2" t="s">
        <v>1794</v>
      </c>
      <c r="B281" s="2" t="s">
        <v>245</v>
      </c>
      <c r="C281" s="2" t="s">
        <v>1625</v>
      </c>
      <c r="D281" s="2" t="s">
        <v>247</v>
      </c>
      <c r="E281" s="2" t="s">
        <v>248</v>
      </c>
      <c r="F281" s="2" t="s">
        <v>1626</v>
      </c>
      <c r="G281" s="2" t="s">
        <v>1626</v>
      </c>
      <c r="H281" s="2" t="s">
        <v>1626</v>
      </c>
      <c r="I281" s="2" t="s">
        <v>1627</v>
      </c>
      <c r="J281" s="2" t="s">
        <v>214</v>
      </c>
      <c r="K281" s="2" t="s">
        <v>1790</v>
      </c>
      <c r="L281" s="3">
        <v>16.16</v>
      </c>
      <c r="M281" s="3">
        <v>16.97</v>
      </c>
      <c r="N281" s="3">
        <v>34.99</v>
      </c>
      <c r="O281" s="2" t="s">
        <v>196</v>
      </c>
      <c r="P281" s="2" t="s">
        <v>197</v>
      </c>
      <c r="Q281" s="2" t="s">
        <v>198</v>
      </c>
      <c r="R281" s="2" t="s">
        <v>199</v>
      </c>
      <c r="S281" s="2" t="s">
        <v>1791</v>
      </c>
      <c r="T281" s="2" t="s">
        <v>1546</v>
      </c>
      <c r="U281" s="2" t="s">
        <v>199</v>
      </c>
      <c r="V281" s="2" t="s">
        <v>1547</v>
      </c>
      <c r="W281" s="2" t="s">
        <v>203</v>
      </c>
      <c r="X281" s="2" t="s">
        <v>199</v>
      </c>
      <c r="Y281" s="2" t="s">
        <v>1587</v>
      </c>
      <c r="Z281" s="4">
        <v>271</v>
      </c>
      <c r="AA281" s="4">
        <f>=ROUNDDOWN(27.1,0)</f>
      </c>
      <c r="AB281" s="5">
        <v>10</v>
      </c>
      <c r="AC281" s="2" t="s">
        <v>199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199</v>
      </c>
      <c r="AW281" s="8" t="s">
        <v>199</v>
      </c>
      <c r="AX281" s="4" t="s">
        <v>199</v>
      </c>
      <c r="AY281" s="8" t="s">
        <v>199</v>
      </c>
      <c r="AZ281" s="7" t="s">
        <v>199</v>
      </c>
      <c r="BA281" s="7" t="s">
        <v>199</v>
      </c>
      <c r="BB281" s="7"/>
      <c r="BC281" s="4" t="s">
        <v>199</v>
      </c>
      <c r="BD281" s="8" t="s">
        <v>199</v>
      </c>
      <c r="BE281" s="4" t="s">
        <v>199</v>
      </c>
      <c r="BF281" s="8" t="s">
        <v>199</v>
      </c>
      <c r="BG281" s="7" t="s">
        <v>199</v>
      </c>
      <c r="BH281" s="7" t="s">
        <v>199</v>
      </c>
      <c r="BI281" s="7"/>
      <c r="BJ281" s="4">
        <v>77</v>
      </c>
      <c r="BK281" s="8">
        <v>1409.16</v>
      </c>
      <c r="BL281" s="2" t="s">
        <v>1795</v>
      </c>
      <c r="BM281" s="7"/>
      <c r="BN281" s="7"/>
      <c r="BO281" s="4"/>
      <c r="BP281" s="8"/>
      <c r="BQ281" s="4"/>
      <c r="BR281" s="8"/>
      <c r="BS281" s="7"/>
      <c r="BT281" s="7"/>
      <c r="BU281" s="2" t="s">
        <v>1633</v>
      </c>
      <c r="BV281" s="2" t="s">
        <v>199</v>
      </c>
      <c r="BW281" s="2" t="s">
        <v>199</v>
      </c>
      <c r="BX281" s="2" t="s">
        <v>208</v>
      </c>
      <c r="BY281" s="2" t="s">
        <v>209</v>
      </c>
      <c r="BZ281" s="2" t="s">
        <v>196</v>
      </c>
      <c r="CA281" s="2" t="s">
        <v>1589</v>
      </c>
      <c r="CB281" s="2" t="s">
        <v>1796</v>
      </c>
      <c r="CC281" s="2" t="s">
        <v>212</v>
      </c>
      <c r="CD281" s="2" t="s">
        <v>199</v>
      </c>
      <c r="CE281" s="4">
        <v>271</v>
      </c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>
        <v>285</v>
      </c>
      <c r="EU281" s="4">
        <v>270</v>
      </c>
      <c r="EV281" s="4">
        <v>266</v>
      </c>
      <c r="EW281" s="4">
        <v>263</v>
      </c>
      <c r="EX281" s="4">
        <v>260</v>
      </c>
      <c r="EY281" s="4">
        <v>256</v>
      </c>
      <c r="EZ281" s="4">
        <v>252</v>
      </c>
      <c r="FA281" s="4">
        <v>248</v>
      </c>
      <c r="FB281" s="4">
        <v>243</v>
      </c>
      <c r="FC281" s="4">
        <v>237</v>
      </c>
      <c r="FD281" s="4">
        <v>231</v>
      </c>
      <c r="FE281" s="4">
        <v>226</v>
      </c>
      <c r="FF281" s="4">
        <v>221</v>
      </c>
      <c r="FG281" s="4">
        <v>216</v>
      </c>
      <c r="FH281" s="4">
        <v>211</v>
      </c>
      <c r="FI281" s="4">
        <v>206</v>
      </c>
      <c r="FJ281" s="4">
        <v>201</v>
      </c>
      <c r="FK281" s="4">
        <v>196</v>
      </c>
      <c r="FL281" s="4">
        <v>192</v>
      </c>
      <c r="FM281" s="4">
        <v>188</v>
      </c>
      <c r="FN281" s="4">
        <v>184</v>
      </c>
      <c r="FO281" s="4">
        <v>180</v>
      </c>
      <c r="FP281" s="4">
        <v>176</v>
      </c>
      <c r="FQ281" s="4">
        <v>172</v>
      </c>
      <c r="FR281" s="4">
        <v>168</v>
      </c>
      <c r="FS281" s="4">
        <v>164</v>
      </c>
      <c r="FT281" s="19">
        <v>47.5</v>
      </c>
      <c r="FU281" s="19">
        <v>67.5</v>
      </c>
      <c r="FV281" s="19">
        <v>66.5</v>
      </c>
      <c r="FW281" s="19">
        <v>65.8</v>
      </c>
      <c r="FX281" s="19">
        <v>65</v>
      </c>
      <c r="FY281" s="19">
        <v>51.2</v>
      </c>
      <c r="FZ281" s="19">
        <v>50.4</v>
      </c>
      <c r="GA281" s="19">
        <v>41.3</v>
      </c>
      <c r="GB281" s="19">
        <v>40.5</v>
      </c>
      <c r="GC281" s="19">
        <v>47.4</v>
      </c>
      <c r="GD281" s="19">
        <v>46.2</v>
      </c>
      <c r="GE281" s="19">
        <v>45.2</v>
      </c>
      <c r="GF281" s="19">
        <v>44.2</v>
      </c>
      <c r="GG281" s="19">
        <v>43.2</v>
      </c>
      <c r="GH281" s="19">
        <v>42.2</v>
      </c>
      <c r="GI281" s="19">
        <v>51.5</v>
      </c>
      <c r="GJ281" s="19">
        <v>50.3</v>
      </c>
      <c r="GK281" s="19">
        <v>49</v>
      </c>
      <c r="GL281" s="19">
        <v>48</v>
      </c>
      <c r="GM281" s="19">
        <v>47</v>
      </c>
      <c r="GN281" s="19">
        <v>46</v>
      </c>
      <c r="GO281" s="19">
        <v>45</v>
      </c>
      <c r="GP281" s="19">
        <v>44</v>
      </c>
      <c r="GQ281" s="19">
        <v>43</v>
      </c>
      <c r="GR281" s="19">
        <v>42</v>
      </c>
      <c r="GS281" s="19">
        <v>41</v>
      </c>
    </row>
    <row r="282">
      <c r="A282" s="2" t="s">
        <v>1797</v>
      </c>
      <c r="B282" s="2" t="s">
        <v>245</v>
      </c>
      <c r="C282" s="2" t="s">
        <v>1625</v>
      </c>
      <c r="D282" s="2" t="s">
        <v>247</v>
      </c>
      <c r="E282" s="2" t="s">
        <v>248</v>
      </c>
      <c r="F282" s="2" t="s">
        <v>1626</v>
      </c>
      <c r="G282" s="2" t="s">
        <v>1626</v>
      </c>
      <c r="H282" s="2" t="s">
        <v>1626</v>
      </c>
      <c r="I282" s="2" t="s">
        <v>1627</v>
      </c>
      <c r="J282" s="2" t="s">
        <v>285</v>
      </c>
      <c r="K282" s="2" t="s">
        <v>1790</v>
      </c>
      <c r="L282" s="3">
        <v>19.57</v>
      </c>
      <c r="M282" s="3">
        <v>20.55</v>
      </c>
      <c r="N282" s="3">
        <v>42.99</v>
      </c>
      <c r="O282" s="2" t="s">
        <v>196</v>
      </c>
      <c r="P282" s="2" t="s">
        <v>197</v>
      </c>
      <c r="Q282" s="2" t="s">
        <v>198</v>
      </c>
      <c r="R282" s="2" t="s">
        <v>199</v>
      </c>
      <c r="S282" s="2" t="s">
        <v>1791</v>
      </c>
      <c r="T282" s="2" t="s">
        <v>1546</v>
      </c>
      <c r="U282" s="2" t="s">
        <v>199</v>
      </c>
      <c r="V282" s="2" t="s">
        <v>1547</v>
      </c>
      <c r="W282" s="2" t="s">
        <v>203</v>
      </c>
      <c r="X282" s="2" t="s">
        <v>199</v>
      </c>
      <c r="Y282" s="2" t="s">
        <v>1587</v>
      </c>
      <c r="Z282" s="4">
        <v>4</v>
      </c>
      <c r="AA282" s="4">
        <f>=ROUNDDOWN(0.181818181818182,0)</f>
      </c>
      <c r="AB282" s="5">
        <v>22</v>
      </c>
      <c r="AC282" s="2" t="s">
        <v>199</v>
      </c>
      <c r="AD282" s="4"/>
      <c r="AE282" s="4"/>
      <c r="AF282" s="6">
        <v>65</v>
      </c>
      <c r="AG282" s="6"/>
      <c r="AH282" s="7">
        <v>0.9677</v>
      </c>
      <c r="AI282" s="4"/>
      <c r="AJ282" s="4">
        <f>=ROUNDDOWN({0},0)</f>
      </c>
      <c r="AK282" s="5"/>
      <c r="AL282" s="2" t="s">
        <v>199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199</v>
      </c>
      <c r="AW282" s="8" t="s">
        <v>199</v>
      </c>
      <c r="AX282" s="4" t="s">
        <v>199</v>
      </c>
      <c r="AY282" s="8" t="s">
        <v>199</v>
      </c>
      <c r="AZ282" s="7" t="s">
        <v>199</v>
      </c>
      <c r="BA282" s="7" t="s">
        <v>199</v>
      </c>
      <c r="BB282" s="7"/>
      <c r="BC282" s="4" t="s">
        <v>199</v>
      </c>
      <c r="BD282" s="8" t="s">
        <v>199</v>
      </c>
      <c r="BE282" s="4" t="s">
        <v>199</v>
      </c>
      <c r="BF282" s="8" t="s">
        <v>199</v>
      </c>
      <c r="BG282" s="7" t="s">
        <v>199</v>
      </c>
      <c r="BH282" s="7" t="s">
        <v>199</v>
      </c>
      <c r="BI282" s="7"/>
      <c r="BJ282" s="4">
        <v>242</v>
      </c>
      <c r="BK282" s="8">
        <v>5278</v>
      </c>
      <c r="BL282" s="2" t="s">
        <v>1798</v>
      </c>
      <c r="BM282" s="7"/>
      <c r="BN282" s="7"/>
      <c r="BO282" s="4"/>
      <c r="BP282" s="8"/>
      <c r="BQ282" s="4"/>
      <c r="BR282" s="8"/>
      <c r="BS282" s="7"/>
      <c r="BT282" s="7"/>
      <c r="BU282" s="2" t="s">
        <v>1633</v>
      </c>
      <c r="BV282" s="2" t="s">
        <v>199</v>
      </c>
      <c r="BW282" s="2" t="s">
        <v>199</v>
      </c>
      <c r="BX282" s="2" t="s">
        <v>208</v>
      </c>
      <c r="BY282" s="2" t="s">
        <v>209</v>
      </c>
      <c r="BZ282" s="2" t="s">
        <v>196</v>
      </c>
      <c r="CA282" s="2" t="s">
        <v>1589</v>
      </c>
      <c r="CB282" s="2" t="s">
        <v>1799</v>
      </c>
      <c r="CC282" s="2" t="s">
        <v>212</v>
      </c>
      <c r="CD282" s="2" t="s">
        <v>199</v>
      </c>
      <c r="CE282" s="4">
        <v>4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>
        <v>6</v>
      </c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>
        <v>272</v>
      </c>
      <c r="FN282" s="4">
        <v>267</v>
      </c>
      <c r="FO282" s="4">
        <v>259</v>
      </c>
      <c r="FP282" s="4">
        <v>250</v>
      </c>
      <c r="FQ282" s="4">
        <v>241</v>
      </c>
      <c r="FR282" s="4">
        <v>232</v>
      </c>
      <c r="FS282" s="4">
        <v>223</v>
      </c>
      <c r="FT282" s="19">
        <v>0.7</v>
      </c>
      <c r="FU282" s="20">
        <v>0</v>
      </c>
      <c r="FV282" s="20">
        <v>0</v>
      </c>
      <c r="FW282" s="20">
        <v>0</v>
      </c>
      <c r="FX282" s="20">
        <v>0</v>
      </c>
      <c r="FY282" s="20">
        <v>0</v>
      </c>
      <c r="FZ282" s="20">
        <v>0</v>
      </c>
      <c r="GA282" s="20">
        <v>0</v>
      </c>
      <c r="GB282" s="20">
        <v>0</v>
      </c>
      <c r="GC282" s="20">
        <v>0</v>
      </c>
      <c r="GD282" s="20">
        <v>0</v>
      </c>
      <c r="GE282" s="20">
        <v>0</v>
      </c>
      <c r="GF282" s="20">
        <v>0</v>
      </c>
      <c r="GG282" s="20">
        <v>0</v>
      </c>
      <c r="GH282" s="20">
        <v>0</v>
      </c>
      <c r="GI282" s="20">
        <v>0</v>
      </c>
      <c r="GJ282" s="20">
        <v>0</v>
      </c>
      <c r="GK282" s="20">
        <v>0</v>
      </c>
      <c r="GL282" s="20">
        <v>0</v>
      </c>
      <c r="GM282" s="19">
        <v>34</v>
      </c>
      <c r="GN282" s="19">
        <v>29.7</v>
      </c>
      <c r="GO282" s="19">
        <v>28.8</v>
      </c>
      <c r="GP282" s="19">
        <v>27.8</v>
      </c>
      <c r="GQ282" s="19">
        <v>26.8</v>
      </c>
      <c r="GR282" s="19">
        <v>25.8</v>
      </c>
      <c r="GS282" s="19">
        <v>22.3</v>
      </c>
    </row>
    <row r="283">
      <c r="A283" s="2" t="s">
        <v>1800</v>
      </c>
      <c r="B283" s="2" t="s">
        <v>245</v>
      </c>
      <c r="C283" s="2" t="s">
        <v>1625</v>
      </c>
      <c r="D283" s="2" t="s">
        <v>247</v>
      </c>
      <c r="E283" s="2" t="s">
        <v>248</v>
      </c>
      <c r="F283" s="2" t="s">
        <v>1626</v>
      </c>
      <c r="G283" s="2" t="s">
        <v>1626</v>
      </c>
      <c r="H283" s="2" t="s">
        <v>1626</v>
      </c>
      <c r="I283" s="2" t="s">
        <v>1627</v>
      </c>
      <c r="J283" s="2" t="s">
        <v>223</v>
      </c>
      <c r="K283" s="2" t="s">
        <v>1790</v>
      </c>
      <c r="L283" s="3">
        <v>27.39</v>
      </c>
      <c r="M283" s="3">
        <v>28.76</v>
      </c>
      <c r="N283" s="3">
        <v>62.99</v>
      </c>
      <c r="O283" s="2" t="s">
        <v>196</v>
      </c>
      <c r="P283" s="2" t="s">
        <v>197</v>
      </c>
      <c r="Q283" s="2" t="s">
        <v>198</v>
      </c>
      <c r="R283" s="2" t="s">
        <v>199</v>
      </c>
      <c r="S283" s="2" t="s">
        <v>1791</v>
      </c>
      <c r="T283" s="2" t="s">
        <v>1546</v>
      </c>
      <c r="U283" s="2" t="s">
        <v>199</v>
      </c>
      <c r="V283" s="2" t="s">
        <v>1547</v>
      </c>
      <c r="W283" s="2" t="s">
        <v>203</v>
      </c>
      <c r="X283" s="2" t="s">
        <v>199</v>
      </c>
      <c r="Y283" s="2" t="s">
        <v>1587</v>
      </c>
      <c r="Z283" s="4">
        <v>529</v>
      </c>
      <c r="AA283" s="4">
        <f>=ROUNDDOWN(58.7777777777778,0)</f>
      </c>
      <c r="AB283" s="5">
        <v>9</v>
      </c>
      <c r="AC283" s="2" t="s">
        <v>199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199</v>
      </c>
      <c r="AW283" s="8" t="s">
        <v>199</v>
      </c>
      <c r="AX283" s="4" t="s">
        <v>199</v>
      </c>
      <c r="AY283" s="8" t="s">
        <v>199</v>
      </c>
      <c r="AZ283" s="7" t="s">
        <v>199</v>
      </c>
      <c r="BA283" s="7" t="s">
        <v>199</v>
      </c>
      <c r="BB283" s="7"/>
      <c r="BC283" s="4" t="s">
        <v>199</v>
      </c>
      <c r="BD283" s="8" t="s">
        <v>199</v>
      </c>
      <c r="BE283" s="4" t="s">
        <v>199</v>
      </c>
      <c r="BF283" s="8" t="s">
        <v>199</v>
      </c>
      <c r="BG283" s="7" t="s">
        <v>199</v>
      </c>
      <c r="BH283" s="7" t="s">
        <v>199</v>
      </c>
      <c r="BI283" s="7"/>
      <c r="BJ283" s="4">
        <v>78</v>
      </c>
      <c r="BK283" s="8">
        <v>2498.37</v>
      </c>
      <c r="BL283" s="2" t="s">
        <v>1801</v>
      </c>
      <c r="BM283" s="7"/>
      <c r="BN283" s="7"/>
      <c r="BO283" s="4"/>
      <c r="BP283" s="8"/>
      <c r="BQ283" s="4"/>
      <c r="BR283" s="8"/>
      <c r="BS283" s="7"/>
      <c r="BT283" s="7"/>
      <c r="BU283" s="2" t="s">
        <v>1633</v>
      </c>
      <c r="BV283" s="2" t="s">
        <v>199</v>
      </c>
      <c r="BW283" s="2" t="s">
        <v>199</v>
      </c>
      <c r="BX283" s="2" t="s">
        <v>208</v>
      </c>
      <c r="BY283" s="2" t="s">
        <v>209</v>
      </c>
      <c r="BZ283" s="2" t="s">
        <v>196</v>
      </c>
      <c r="CA283" s="2" t="s">
        <v>1589</v>
      </c>
      <c r="CB283" s="2" t="s">
        <v>1802</v>
      </c>
      <c r="CC283" s="2" t="s">
        <v>212</v>
      </c>
      <c r="CD283" s="2" t="s">
        <v>199</v>
      </c>
      <c r="CE283" s="4">
        <v>529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>
        <v>551</v>
      </c>
      <c r="EU283" s="4">
        <v>525</v>
      </c>
      <c r="EV283" s="4">
        <v>520</v>
      </c>
      <c r="EW283" s="4">
        <v>516</v>
      </c>
      <c r="EX283" s="4">
        <v>512</v>
      </c>
      <c r="EY283" s="4">
        <v>508</v>
      </c>
      <c r="EZ283" s="4">
        <v>504</v>
      </c>
      <c r="FA283" s="4">
        <v>500</v>
      </c>
      <c r="FB283" s="4">
        <v>496</v>
      </c>
      <c r="FC283" s="4">
        <v>493</v>
      </c>
      <c r="FD283" s="4">
        <v>488</v>
      </c>
      <c r="FE283" s="4">
        <v>484</v>
      </c>
      <c r="FF283" s="4">
        <v>480</v>
      </c>
      <c r="FG283" s="4">
        <v>476</v>
      </c>
      <c r="FH283" s="4">
        <v>472</v>
      </c>
      <c r="FI283" s="4">
        <v>468</v>
      </c>
      <c r="FJ283" s="4">
        <v>464</v>
      </c>
      <c r="FK283" s="4">
        <v>460</v>
      </c>
      <c r="FL283" s="4">
        <v>457</v>
      </c>
      <c r="FM283" s="4">
        <v>454</v>
      </c>
      <c r="FN283" s="4">
        <v>451</v>
      </c>
      <c r="FO283" s="4">
        <v>448</v>
      </c>
      <c r="FP283" s="4">
        <v>445</v>
      </c>
      <c r="FQ283" s="4">
        <v>442</v>
      </c>
      <c r="FR283" s="4">
        <v>439</v>
      </c>
      <c r="FS283" s="4">
        <v>436</v>
      </c>
      <c r="FT283" s="19">
        <v>55.1</v>
      </c>
      <c r="FU283" s="19">
        <v>131.3</v>
      </c>
      <c r="FV283" s="19">
        <v>130</v>
      </c>
      <c r="FW283" s="19">
        <v>129</v>
      </c>
      <c r="FX283" s="19">
        <v>128</v>
      </c>
      <c r="FY283" s="19">
        <v>127</v>
      </c>
      <c r="FZ283" s="19">
        <v>126</v>
      </c>
      <c r="GA283" s="19">
        <v>125</v>
      </c>
      <c r="GB283" s="19">
        <v>124</v>
      </c>
      <c r="GC283" s="19">
        <v>123.3</v>
      </c>
      <c r="GD283" s="19">
        <v>122</v>
      </c>
      <c r="GE283" s="19">
        <v>121</v>
      </c>
      <c r="GF283" s="19">
        <v>120</v>
      </c>
      <c r="GG283" s="19">
        <v>119</v>
      </c>
      <c r="GH283" s="19">
        <v>118</v>
      </c>
      <c r="GI283" s="19">
        <v>117</v>
      </c>
      <c r="GJ283" s="19">
        <v>154.7</v>
      </c>
      <c r="GK283" s="19">
        <v>153.3</v>
      </c>
      <c r="GL283" s="19">
        <v>152.3</v>
      </c>
      <c r="GM283" s="19">
        <v>151.3</v>
      </c>
      <c r="GN283" s="19">
        <v>150.3</v>
      </c>
      <c r="GO283" s="19">
        <v>149.3</v>
      </c>
      <c r="GP283" s="19">
        <v>148.3</v>
      </c>
      <c r="GQ283" s="19">
        <v>147.3</v>
      </c>
      <c r="GR283" s="19">
        <v>146.3</v>
      </c>
      <c r="GS283" s="19">
        <v>109</v>
      </c>
    </row>
    <row r="284">
      <c r="A284" s="2" t="s">
        <v>1803</v>
      </c>
      <c r="B284" s="2" t="s">
        <v>245</v>
      </c>
      <c r="C284" s="2" t="s">
        <v>1625</v>
      </c>
      <c r="D284" s="2" t="s">
        <v>247</v>
      </c>
      <c r="E284" s="2" t="s">
        <v>248</v>
      </c>
      <c r="F284" s="2" t="s">
        <v>1626</v>
      </c>
      <c r="G284" s="2" t="s">
        <v>1626</v>
      </c>
      <c r="H284" s="2" t="s">
        <v>1626</v>
      </c>
      <c r="I284" s="2" t="s">
        <v>1627</v>
      </c>
      <c r="J284" s="2" t="s">
        <v>194</v>
      </c>
      <c r="K284" s="2" t="s">
        <v>1804</v>
      </c>
      <c r="L284" s="3">
        <v>14.89</v>
      </c>
      <c r="M284" s="3">
        <v>15.63</v>
      </c>
      <c r="N284" s="3">
        <v>31.99</v>
      </c>
      <c r="O284" s="2" t="s">
        <v>196</v>
      </c>
      <c r="P284" s="2" t="s">
        <v>197</v>
      </c>
      <c r="Q284" s="2" t="s">
        <v>198</v>
      </c>
      <c r="R284" s="2" t="s">
        <v>199</v>
      </c>
      <c r="S284" s="2" t="s">
        <v>1805</v>
      </c>
      <c r="T284" s="2" t="s">
        <v>1546</v>
      </c>
      <c r="U284" s="2" t="s">
        <v>199</v>
      </c>
      <c r="V284" s="2" t="s">
        <v>681</v>
      </c>
      <c r="W284" s="2" t="s">
        <v>203</v>
      </c>
      <c r="X284" s="2" t="s">
        <v>199</v>
      </c>
      <c r="Y284" s="2" t="s">
        <v>1596</v>
      </c>
      <c r="Z284" s="4">
        <v>1442</v>
      </c>
      <c r="AA284" s="4">
        <f>=ROUNDDOWN(42.4117647058823,0)</f>
      </c>
      <c r="AB284" s="5">
        <v>34</v>
      </c>
      <c r="AC284" s="2" t="s">
        <v>199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199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199</v>
      </c>
      <c r="AW284" s="8" t="s">
        <v>199</v>
      </c>
      <c r="AX284" s="4" t="s">
        <v>199</v>
      </c>
      <c r="AY284" s="8" t="s">
        <v>199</v>
      </c>
      <c r="AZ284" s="7" t="s">
        <v>199</v>
      </c>
      <c r="BA284" s="7" t="s">
        <v>199</v>
      </c>
      <c r="BB284" s="7"/>
      <c r="BC284" s="4" t="s">
        <v>199</v>
      </c>
      <c r="BD284" s="8" t="s">
        <v>199</v>
      </c>
      <c r="BE284" s="4" t="s">
        <v>199</v>
      </c>
      <c r="BF284" s="8" t="s">
        <v>199</v>
      </c>
      <c r="BG284" s="7" t="s">
        <v>199</v>
      </c>
      <c r="BH284" s="7" t="s">
        <v>199</v>
      </c>
      <c r="BI284" s="7"/>
      <c r="BJ284" s="4">
        <v>528</v>
      </c>
      <c r="BK284" s="8">
        <v>8392.1</v>
      </c>
      <c r="BL284" s="2" t="s">
        <v>1643</v>
      </c>
      <c r="BM284" s="7"/>
      <c r="BN284" s="7"/>
      <c r="BO284" s="4"/>
      <c r="BP284" s="8"/>
      <c r="BQ284" s="4"/>
      <c r="BR284" s="8"/>
      <c r="BS284" s="7"/>
      <c r="BT284" s="7"/>
      <c r="BU284" s="2" t="s">
        <v>1633</v>
      </c>
      <c r="BV284" s="2" t="s">
        <v>199</v>
      </c>
      <c r="BW284" s="2" t="s">
        <v>199</v>
      </c>
      <c r="BX284" s="2" t="s">
        <v>208</v>
      </c>
      <c r="BY284" s="2" t="s">
        <v>209</v>
      </c>
      <c r="BZ284" s="2" t="s">
        <v>196</v>
      </c>
      <c r="CA284" s="2" t="s">
        <v>1589</v>
      </c>
      <c r="CB284" s="2" t="s">
        <v>1598</v>
      </c>
      <c r="CC284" s="2" t="s">
        <v>212</v>
      </c>
      <c r="CD284" s="2" t="s">
        <v>199</v>
      </c>
      <c r="CE284" s="4">
        <v>367</v>
      </c>
      <c r="CF284" s="4">
        <v>1074</v>
      </c>
      <c r="CG284" s="4"/>
      <c r="CH284" s="4"/>
      <c r="CI284" s="4"/>
      <c r="CJ284" s="4"/>
      <c r="CK284" s="4"/>
      <c r="CL284" s="4">
        <v>1</v>
      </c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>
        <v>1610</v>
      </c>
      <c r="EU284" s="4">
        <v>1597</v>
      </c>
      <c r="EV284" s="4">
        <v>1590</v>
      </c>
      <c r="EW284" s="4">
        <v>1585</v>
      </c>
      <c r="EX284" s="4">
        <v>1580</v>
      </c>
      <c r="EY284" s="4">
        <v>1574</v>
      </c>
      <c r="EZ284" s="4">
        <v>1568</v>
      </c>
      <c r="FA284" s="4">
        <v>1562</v>
      </c>
      <c r="FB284" s="4">
        <v>1556</v>
      </c>
      <c r="FC284" s="4">
        <v>1551</v>
      </c>
      <c r="FD284" s="4">
        <v>1546</v>
      </c>
      <c r="FE284" s="4">
        <v>1541</v>
      </c>
      <c r="FF284" s="4">
        <v>1536</v>
      </c>
      <c r="FG284" s="4">
        <v>1531</v>
      </c>
      <c r="FH284" s="4">
        <v>1526</v>
      </c>
      <c r="FI284" s="4">
        <v>1521</v>
      </c>
      <c r="FJ284" s="4">
        <v>1516</v>
      </c>
      <c r="FK284" s="4">
        <v>1511</v>
      </c>
      <c r="FL284" s="4">
        <v>1506</v>
      </c>
      <c r="FM284" s="4">
        <v>1492</v>
      </c>
      <c r="FN284" s="4">
        <v>1478</v>
      </c>
      <c r="FO284" s="4">
        <v>1464</v>
      </c>
      <c r="FP284" s="4">
        <v>1450</v>
      </c>
      <c r="FQ284" s="4">
        <v>1436</v>
      </c>
      <c r="FR284" s="4">
        <v>1422</v>
      </c>
      <c r="FS284" s="4">
        <v>1408</v>
      </c>
      <c r="FT284" s="19">
        <v>201.3</v>
      </c>
      <c r="FU284" s="19">
        <v>266.2</v>
      </c>
      <c r="FV284" s="19">
        <v>265</v>
      </c>
      <c r="FW284" s="19">
        <v>264.2</v>
      </c>
      <c r="FX284" s="19">
        <v>263.3</v>
      </c>
      <c r="FY284" s="19">
        <v>262.3</v>
      </c>
      <c r="FZ284" s="19">
        <v>261.3</v>
      </c>
      <c r="GA284" s="19">
        <v>312.4</v>
      </c>
      <c r="GB284" s="19">
        <v>311.2</v>
      </c>
      <c r="GC284" s="19">
        <v>310.2</v>
      </c>
      <c r="GD284" s="19">
        <v>309.2</v>
      </c>
      <c r="GE284" s="19">
        <v>308.2</v>
      </c>
      <c r="GF284" s="19">
        <v>307.2</v>
      </c>
      <c r="GG284" s="19">
        <v>306.2</v>
      </c>
      <c r="GH284" s="19">
        <v>305.2</v>
      </c>
      <c r="GI284" s="19">
        <v>217.3</v>
      </c>
      <c r="GJ284" s="19">
        <v>151.6</v>
      </c>
      <c r="GK284" s="19">
        <v>125.9</v>
      </c>
      <c r="GL284" s="19">
        <v>107.6</v>
      </c>
      <c r="GM284" s="19">
        <v>106.6</v>
      </c>
      <c r="GN284" s="19">
        <v>105.6</v>
      </c>
      <c r="GO284" s="19">
        <v>104.6</v>
      </c>
      <c r="GP284" s="19">
        <v>103.6</v>
      </c>
      <c r="GQ284" s="19">
        <v>102.6</v>
      </c>
      <c r="GR284" s="19">
        <v>94.8</v>
      </c>
      <c r="GS284" s="19">
        <v>88</v>
      </c>
    </row>
    <row r="285">
      <c r="A285" s="2" t="s">
        <v>1806</v>
      </c>
      <c r="B285" s="2" t="s">
        <v>245</v>
      </c>
      <c r="C285" s="2" t="s">
        <v>1625</v>
      </c>
      <c r="D285" s="2" t="s">
        <v>247</v>
      </c>
      <c r="E285" s="2" t="s">
        <v>248</v>
      </c>
      <c r="F285" s="2" t="s">
        <v>1626</v>
      </c>
      <c r="G285" s="2" t="s">
        <v>1626</v>
      </c>
      <c r="H285" s="2" t="s">
        <v>1626</v>
      </c>
      <c r="I285" s="2" t="s">
        <v>1627</v>
      </c>
      <c r="J285" s="2" t="s">
        <v>223</v>
      </c>
      <c r="K285" s="2" t="s">
        <v>1804</v>
      </c>
      <c r="L285" s="3">
        <v>27.39</v>
      </c>
      <c r="M285" s="3">
        <v>28.76</v>
      </c>
      <c r="N285" s="3">
        <v>62.99</v>
      </c>
      <c r="O285" s="2" t="s">
        <v>196</v>
      </c>
      <c r="P285" s="2" t="s">
        <v>197</v>
      </c>
      <c r="Q285" s="2" t="s">
        <v>198</v>
      </c>
      <c r="R285" s="2" t="s">
        <v>199</v>
      </c>
      <c r="S285" s="2" t="s">
        <v>1805</v>
      </c>
      <c r="T285" s="2" t="s">
        <v>1546</v>
      </c>
      <c r="U285" s="2" t="s">
        <v>199</v>
      </c>
      <c r="V285" s="2" t="s">
        <v>681</v>
      </c>
      <c r="W285" s="2" t="s">
        <v>203</v>
      </c>
      <c r="X285" s="2" t="s">
        <v>199</v>
      </c>
      <c r="Y285" s="2" t="s">
        <v>1596</v>
      </c>
      <c r="Z285" s="4">
        <v>763</v>
      </c>
      <c r="AA285" s="4">
        <f>=ROUNDDOWN({0},0)</f>
      </c>
      <c r="AB285" s="5">
        <v>12</v>
      </c>
      <c r="AC285" s="2" t="s">
        <v>199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199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199</v>
      </c>
      <c r="AW285" s="8" t="s">
        <v>199</v>
      </c>
      <c r="AX285" s="4" t="s">
        <v>199</v>
      </c>
      <c r="AY285" s="8" t="s">
        <v>199</v>
      </c>
      <c r="AZ285" s="7" t="s">
        <v>199</v>
      </c>
      <c r="BA285" s="7" t="s">
        <v>199</v>
      </c>
      <c r="BB285" s="7"/>
      <c r="BC285" s="4" t="s">
        <v>199</v>
      </c>
      <c r="BD285" s="8" t="s">
        <v>199</v>
      </c>
      <c r="BE285" s="4" t="s">
        <v>199</v>
      </c>
      <c r="BF285" s="8" t="s">
        <v>199</v>
      </c>
      <c r="BG285" s="7" t="s">
        <v>199</v>
      </c>
      <c r="BH285" s="7" t="s">
        <v>199</v>
      </c>
      <c r="BI285" s="7"/>
      <c r="BJ285" s="4">
        <v>77</v>
      </c>
      <c r="BK285" s="8">
        <v>2313.72</v>
      </c>
      <c r="BL285" s="2" t="s">
        <v>1690</v>
      </c>
      <c r="BM285" s="7"/>
      <c r="BN285" s="7"/>
      <c r="BO285" s="4"/>
      <c r="BP285" s="8"/>
      <c r="BQ285" s="4"/>
      <c r="BR285" s="8"/>
      <c r="BS285" s="7"/>
      <c r="BT285" s="7"/>
      <c r="BU285" s="2" t="s">
        <v>1633</v>
      </c>
      <c r="BV285" s="2" t="s">
        <v>199</v>
      </c>
      <c r="BW285" s="2" t="s">
        <v>199</v>
      </c>
      <c r="BX285" s="2" t="s">
        <v>208</v>
      </c>
      <c r="BY285" s="2" t="s">
        <v>209</v>
      </c>
      <c r="BZ285" s="2" t="s">
        <v>196</v>
      </c>
      <c r="CA285" s="2" t="s">
        <v>1589</v>
      </c>
      <c r="CB285" s="2" t="s">
        <v>1807</v>
      </c>
      <c r="CC285" s="2" t="s">
        <v>212</v>
      </c>
      <c r="CD285" s="2" t="s">
        <v>199</v>
      </c>
      <c r="CE285" s="4">
        <v>408</v>
      </c>
      <c r="CF285" s="4">
        <v>355</v>
      </c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>
        <v>776</v>
      </c>
      <c r="EU285" s="4">
        <v>762</v>
      </c>
      <c r="EV285" s="4">
        <v>757</v>
      </c>
      <c r="EW285" s="4">
        <v>753</v>
      </c>
      <c r="EX285" s="4">
        <v>749</v>
      </c>
      <c r="EY285" s="4">
        <v>745</v>
      </c>
      <c r="EZ285" s="4">
        <v>740</v>
      </c>
      <c r="FA285" s="4">
        <v>733</v>
      </c>
      <c r="FB285" s="4">
        <v>726</v>
      </c>
      <c r="FC285" s="4">
        <v>720</v>
      </c>
      <c r="FD285" s="4">
        <v>714</v>
      </c>
      <c r="FE285" s="4">
        <v>709</v>
      </c>
      <c r="FF285" s="4">
        <v>704</v>
      </c>
      <c r="FG285" s="4">
        <v>699</v>
      </c>
      <c r="FH285" s="4">
        <v>694</v>
      </c>
      <c r="FI285" s="4">
        <v>689</v>
      </c>
      <c r="FJ285" s="4">
        <v>684</v>
      </c>
      <c r="FK285" s="4">
        <v>679</v>
      </c>
      <c r="FL285" s="4">
        <v>675</v>
      </c>
      <c r="FM285" s="4">
        <v>671</v>
      </c>
      <c r="FN285" s="4">
        <v>667</v>
      </c>
      <c r="FO285" s="4">
        <v>663</v>
      </c>
      <c r="FP285" s="4">
        <v>659</v>
      </c>
      <c r="FQ285" s="4">
        <v>655</v>
      </c>
      <c r="FR285" s="4">
        <v>651</v>
      </c>
      <c r="FS285" s="4">
        <v>647</v>
      </c>
      <c r="FT285" s="19">
        <v>110.9</v>
      </c>
      <c r="FU285" s="19">
        <v>190.5</v>
      </c>
      <c r="FV285" s="19">
        <v>189.3</v>
      </c>
      <c r="FW285" s="19">
        <v>150.6</v>
      </c>
      <c r="FX285" s="19">
        <v>124.8</v>
      </c>
      <c r="FY285" s="19">
        <v>124.2</v>
      </c>
      <c r="FZ285" s="19">
        <v>123.3</v>
      </c>
      <c r="GA285" s="19">
        <v>122.2</v>
      </c>
      <c r="GB285" s="19">
        <v>121</v>
      </c>
      <c r="GC285" s="19">
        <v>144</v>
      </c>
      <c r="GD285" s="19">
        <v>142.8</v>
      </c>
      <c r="GE285" s="19">
        <v>141.8</v>
      </c>
      <c r="GF285" s="19">
        <v>140.8</v>
      </c>
      <c r="GG285" s="19">
        <v>139.8</v>
      </c>
      <c r="GH285" s="19">
        <v>138.8</v>
      </c>
      <c r="GI285" s="19">
        <v>172.3</v>
      </c>
      <c r="GJ285" s="19">
        <v>171</v>
      </c>
      <c r="GK285" s="19">
        <v>169.8</v>
      </c>
      <c r="GL285" s="19">
        <v>168.8</v>
      </c>
      <c r="GM285" s="19">
        <v>167.8</v>
      </c>
      <c r="GN285" s="19">
        <v>166.8</v>
      </c>
      <c r="GO285" s="19">
        <v>165.8</v>
      </c>
      <c r="GP285" s="19">
        <v>164.8</v>
      </c>
      <c r="GQ285" s="19">
        <v>163.8</v>
      </c>
      <c r="GR285" s="19">
        <v>162.8</v>
      </c>
      <c r="GS285" s="19">
        <v>161.8</v>
      </c>
    </row>
    <row r="286">
      <c r="A286" s="2" t="s">
        <v>1808</v>
      </c>
      <c r="B286" s="2" t="s">
        <v>245</v>
      </c>
      <c r="C286" s="2" t="s">
        <v>1625</v>
      </c>
      <c r="D286" s="2" t="s">
        <v>247</v>
      </c>
      <c r="E286" s="2" t="s">
        <v>248</v>
      </c>
      <c r="F286" s="2" t="s">
        <v>1626</v>
      </c>
      <c r="G286" s="2" t="s">
        <v>1626</v>
      </c>
      <c r="H286" s="2" t="s">
        <v>1626</v>
      </c>
      <c r="I286" s="2" t="s">
        <v>1627</v>
      </c>
      <c r="J286" s="2" t="s">
        <v>194</v>
      </c>
      <c r="K286" s="2" t="s">
        <v>1809</v>
      </c>
      <c r="L286" s="3">
        <v>14.89</v>
      </c>
      <c r="M286" s="3">
        <v>15.63</v>
      </c>
      <c r="N286" s="3">
        <v>31.99</v>
      </c>
      <c r="O286" s="2" t="s">
        <v>196</v>
      </c>
      <c r="P286" s="2" t="s">
        <v>197</v>
      </c>
      <c r="Q286" s="2" t="s">
        <v>198</v>
      </c>
      <c r="R286" s="2" t="s">
        <v>199</v>
      </c>
      <c r="S286" s="2" t="s">
        <v>1810</v>
      </c>
      <c r="T286" s="2" t="s">
        <v>1546</v>
      </c>
      <c r="U286" s="2" t="s">
        <v>199</v>
      </c>
      <c r="V286" s="2" t="s">
        <v>681</v>
      </c>
      <c r="W286" s="2" t="s">
        <v>203</v>
      </c>
      <c r="X286" s="2" t="s">
        <v>199</v>
      </c>
      <c r="Y286" s="2" t="s">
        <v>204</v>
      </c>
      <c r="Z286" s="4">
        <v>979</v>
      </c>
      <c r="AA286" s="4">
        <f>=ROUNDDOWN(46.6190476190476,0)</f>
      </c>
      <c r="AB286" s="5">
        <v>21</v>
      </c>
      <c r="AC286" s="2" t="s">
        <v>199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199</v>
      </c>
      <c r="AW286" s="8" t="s">
        <v>199</v>
      </c>
      <c r="AX286" s="4" t="s">
        <v>199</v>
      </c>
      <c r="AY286" s="8" t="s">
        <v>199</v>
      </c>
      <c r="AZ286" s="7" t="s">
        <v>199</v>
      </c>
      <c r="BA286" s="7" t="s">
        <v>199</v>
      </c>
      <c r="BB286" s="7"/>
      <c r="BC286" s="4" t="s">
        <v>199</v>
      </c>
      <c r="BD286" s="8" t="s">
        <v>199</v>
      </c>
      <c r="BE286" s="4" t="s">
        <v>199</v>
      </c>
      <c r="BF286" s="8" t="s">
        <v>199</v>
      </c>
      <c r="BG286" s="7" t="s">
        <v>199</v>
      </c>
      <c r="BH286" s="7" t="s">
        <v>199</v>
      </c>
      <c r="BI286" s="7"/>
      <c r="BJ286" s="4">
        <v>184</v>
      </c>
      <c r="BK286" s="8">
        <v>3015.33</v>
      </c>
      <c r="BL286" s="2" t="s">
        <v>1811</v>
      </c>
      <c r="BM286" s="7"/>
      <c r="BN286" s="7"/>
      <c r="BO286" s="4"/>
      <c r="BP286" s="8"/>
      <c r="BQ286" s="4"/>
      <c r="BR286" s="8"/>
      <c r="BS286" s="7"/>
      <c r="BT286" s="7"/>
      <c r="BU286" s="2" t="s">
        <v>1633</v>
      </c>
      <c r="BV286" s="2" t="s">
        <v>199</v>
      </c>
      <c r="BW286" s="2" t="s">
        <v>199</v>
      </c>
      <c r="BX286" s="2" t="s">
        <v>208</v>
      </c>
      <c r="BY286" s="2" t="s">
        <v>209</v>
      </c>
      <c r="BZ286" s="2" t="s">
        <v>196</v>
      </c>
      <c r="CA286" s="2" t="s">
        <v>1812</v>
      </c>
      <c r="CB286" s="2" t="s">
        <v>1813</v>
      </c>
      <c r="CC286" s="2" t="s">
        <v>212</v>
      </c>
      <c r="CD286" s="2" t="s">
        <v>199</v>
      </c>
      <c r="CE286" s="4">
        <v>979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>
        <v>987</v>
      </c>
      <c r="EU286" s="4">
        <v>973</v>
      </c>
      <c r="EV286" s="4">
        <v>964</v>
      </c>
      <c r="EW286" s="4">
        <v>957</v>
      </c>
      <c r="EX286" s="4">
        <v>950</v>
      </c>
      <c r="EY286" s="4">
        <v>942</v>
      </c>
      <c r="EZ286" s="4">
        <v>934</v>
      </c>
      <c r="FA286" s="4">
        <v>926</v>
      </c>
      <c r="FB286" s="4">
        <v>918</v>
      </c>
      <c r="FC286" s="4">
        <v>912</v>
      </c>
      <c r="FD286" s="4">
        <v>906</v>
      </c>
      <c r="FE286" s="4">
        <v>900</v>
      </c>
      <c r="FF286" s="4">
        <v>894</v>
      </c>
      <c r="FG286" s="4">
        <v>888</v>
      </c>
      <c r="FH286" s="4">
        <v>882</v>
      </c>
      <c r="FI286" s="4">
        <v>876</v>
      </c>
      <c r="FJ286" s="4">
        <v>870</v>
      </c>
      <c r="FK286" s="4">
        <v>864</v>
      </c>
      <c r="FL286" s="4">
        <v>860</v>
      </c>
      <c r="FM286" s="4">
        <v>856</v>
      </c>
      <c r="FN286" s="4">
        <v>852</v>
      </c>
      <c r="FO286" s="4">
        <v>848</v>
      </c>
      <c r="FP286" s="4">
        <v>844</v>
      </c>
      <c r="FQ286" s="4">
        <v>840</v>
      </c>
      <c r="FR286" s="4">
        <v>836</v>
      </c>
      <c r="FS286" s="4">
        <v>832</v>
      </c>
      <c r="FT286" s="19">
        <v>109.7</v>
      </c>
      <c r="FU286" s="19">
        <v>121.6</v>
      </c>
      <c r="FV286" s="19">
        <v>120.5</v>
      </c>
      <c r="FW286" s="19">
        <v>119.6</v>
      </c>
      <c r="FX286" s="19">
        <v>118.8</v>
      </c>
      <c r="FY286" s="19">
        <v>117.8</v>
      </c>
      <c r="FZ286" s="19">
        <v>133.4</v>
      </c>
      <c r="GA286" s="19">
        <v>154.3</v>
      </c>
      <c r="GB286" s="19">
        <v>153</v>
      </c>
      <c r="GC286" s="19">
        <v>152</v>
      </c>
      <c r="GD286" s="19">
        <v>151</v>
      </c>
      <c r="GE286" s="19">
        <v>150</v>
      </c>
      <c r="GF286" s="19">
        <v>149</v>
      </c>
      <c r="GG286" s="19">
        <v>148</v>
      </c>
      <c r="GH286" s="19">
        <v>147</v>
      </c>
      <c r="GI286" s="19">
        <v>175.2</v>
      </c>
      <c r="GJ286" s="19">
        <v>217.5</v>
      </c>
      <c r="GK286" s="19">
        <v>216</v>
      </c>
      <c r="GL286" s="19">
        <v>215</v>
      </c>
      <c r="GM286" s="19">
        <v>214</v>
      </c>
      <c r="GN286" s="19">
        <v>213</v>
      </c>
      <c r="GO286" s="19">
        <v>212</v>
      </c>
      <c r="GP286" s="19">
        <v>211</v>
      </c>
      <c r="GQ286" s="19">
        <v>210</v>
      </c>
      <c r="GR286" s="19">
        <v>139.3</v>
      </c>
      <c r="GS286" s="19">
        <v>118.9</v>
      </c>
    </row>
    <row r="287">
      <c r="A287" s="2" t="s">
        <v>1814</v>
      </c>
      <c r="B287" s="2" t="s">
        <v>245</v>
      </c>
      <c r="C287" s="2" t="s">
        <v>1625</v>
      </c>
      <c r="D287" s="2" t="s">
        <v>247</v>
      </c>
      <c r="E287" s="2" t="s">
        <v>248</v>
      </c>
      <c r="F287" s="2" t="s">
        <v>1626</v>
      </c>
      <c r="G287" s="2" t="s">
        <v>1626</v>
      </c>
      <c r="H287" s="2" t="s">
        <v>1626</v>
      </c>
      <c r="I287" s="2" t="s">
        <v>1627</v>
      </c>
      <c r="J287" s="2" t="s">
        <v>251</v>
      </c>
      <c r="K287" s="2" t="s">
        <v>1809</v>
      </c>
      <c r="L287" s="3">
        <v>27.39</v>
      </c>
      <c r="M287" s="3">
        <v>28.76</v>
      </c>
      <c r="N287" s="3">
        <v>62.99</v>
      </c>
      <c r="O287" s="2" t="s">
        <v>196</v>
      </c>
      <c r="P287" s="2" t="s">
        <v>197</v>
      </c>
      <c r="Q287" s="2" t="s">
        <v>198</v>
      </c>
      <c r="R287" s="2" t="s">
        <v>199</v>
      </c>
      <c r="S287" s="2" t="s">
        <v>1810</v>
      </c>
      <c r="T287" s="2" t="s">
        <v>1546</v>
      </c>
      <c r="U287" s="2" t="s">
        <v>199</v>
      </c>
      <c r="V287" s="2" t="s">
        <v>681</v>
      </c>
      <c r="W287" s="2" t="s">
        <v>203</v>
      </c>
      <c r="X287" s="2" t="s">
        <v>199</v>
      </c>
      <c r="Y287" s="2" t="s">
        <v>1815</v>
      </c>
      <c r="Z287" s="4">
        <v>186</v>
      </c>
      <c r="AA287" s="4">
        <f>=ROUNDDOWN(18.6,0)</f>
      </c>
      <c r="AB287" s="5">
        <v>10</v>
      </c>
      <c r="AC287" s="2" t="s">
        <v>199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199</v>
      </c>
      <c r="AW287" s="8" t="s">
        <v>199</v>
      </c>
      <c r="AX287" s="4" t="s">
        <v>199</v>
      </c>
      <c r="AY287" s="8" t="s">
        <v>199</v>
      </c>
      <c r="AZ287" s="7" t="s">
        <v>199</v>
      </c>
      <c r="BA287" s="7" t="s">
        <v>199</v>
      </c>
      <c r="BB287" s="7"/>
      <c r="BC287" s="4" t="s">
        <v>199</v>
      </c>
      <c r="BD287" s="8" t="s">
        <v>199</v>
      </c>
      <c r="BE287" s="4" t="s">
        <v>199</v>
      </c>
      <c r="BF287" s="8" t="s">
        <v>199</v>
      </c>
      <c r="BG287" s="7" t="s">
        <v>199</v>
      </c>
      <c r="BH287" s="7" t="s">
        <v>199</v>
      </c>
      <c r="BI287" s="7"/>
      <c r="BJ287" s="4">
        <v>159</v>
      </c>
      <c r="BK287" s="8">
        <v>4707.2</v>
      </c>
      <c r="BL287" s="2" t="s">
        <v>1643</v>
      </c>
      <c r="BM287" s="7"/>
      <c r="BN287" s="7"/>
      <c r="BO287" s="4"/>
      <c r="BP287" s="8"/>
      <c r="BQ287" s="4"/>
      <c r="BR287" s="8"/>
      <c r="BS287" s="7"/>
      <c r="BT287" s="7"/>
      <c r="BU287" s="2" t="s">
        <v>1633</v>
      </c>
      <c r="BV287" s="2" t="s">
        <v>199</v>
      </c>
      <c r="BW287" s="2" t="s">
        <v>199</v>
      </c>
      <c r="BX287" s="2" t="s">
        <v>208</v>
      </c>
      <c r="BY287" s="2" t="s">
        <v>209</v>
      </c>
      <c r="BZ287" s="2" t="s">
        <v>196</v>
      </c>
      <c r="CA287" s="2" t="s">
        <v>1812</v>
      </c>
      <c r="CB287" s="2" t="s">
        <v>1816</v>
      </c>
      <c r="CC287" s="2" t="s">
        <v>212</v>
      </c>
      <c r="CD287" s="2" t="s">
        <v>199</v>
      </c>
      <c r="CE287" s="4">
        <v>186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>
        <v>208</v>
      </c>
      <c r="EU287" s="4">
        <v>197</v>
      </c>
      <c r="EV287" s="4">
        <v>193</v>
      </c>
      <c r="EW287" s="4">
        <v>190</v>
      </c>
      <c r="EX287" s="4">
        <v>187</v>
      </c>
      <c r="EY287" s="4">
        <v>183</v>
      </c>
      <c r="EZ287" s="4">
        <v>179</v>
      </c>
      <c r="FA287" s="4">
        <v>175</v>
      </c>
      <c r="FB287" s="4">
        <v>171</v>
      </c>
      <c r="FC287" s="4">
        <v>168</v>
      </c>
      <c r="FD287" s="4">
        <v>165</v>
      </c>
      <c r="FE287" s="4">
        <v>162</v>
      </c>
      <c r="FF287" s="4">
        <v>157</v>
      </c>
      <c r="FG287" s="4">
        <v>152</v>
      </c>
      <c r="FH287" s="4">
        <v>147</v>
      </c>
      <c r="FI287" s="4">
        <v>142</v>
      </c>
      <c r="FJ287" s="4">
        <v>137</v>
      </c>
      <c r="FK287" s="4">
        <v>132</v>
      </c>
      <c r="FL287" s="4">
        <v>128</v>
      </c>
      <c r="FM287" s="4">
        <v>124</v>
      </c>
      <c r="FN287" s="4">
        <v>120</v>
      </c>
      <c r="FO287" s="4">
        <v>116</v>
      </c>
      <c r="FP287" s="4">
        <v>112</v>
      </c>
      <c r="FQ287" s="4">
        <v>108</v>
      </c>
      <c r="FR287" s="4">
        <v>104</v>
      </c>
      <c r="FS287" s="4">
        <v>100</v>
      </c>
      <c r="FT287" s="19">
        <v>41.6</v>
      </c>
      <c r="FU287" s="19">
        <v>49.3</v>
      </c>
      <c r="FV287" s="19">
        <v>48.3</v>
      </c>
      <c r="FW287" s="19">
        <v>47.5</v>
      </c>
      <c r="FX287" s="19">
        <v>46.8</v>
      </c>
      <c r="FY287" s="19">
        <v>45.8</v>
      </c>
      <c r="FZ287" s="19">
        <v>44.8</v>
      </c>
      <c r="GA287" s="19">
        <v>58.3</v>
      </c>
      <c r="GB287" s="19">
        <v>42.8</v>
      </c>
      <c r="GC287" s="19">
        <v>42</v>
      </c>
      <c r="GD287" s="19">
        <v>41.3</v>
      </c>
      <c r="GE287" s="19">
        <v>32.4</v>
      </c>
      <c r="GF287" s="9"/>
      <c r="GG287" s="19">
        <v>30.4</v>
      </c>
      <c r="GH287" s="19">
        <v>29.4</v>
      </c>
      <c r="GI287" s="19">
        <v>35.5</v>
      </c>
      <c r="GJ287" s="19">
        <v>34.3</v>
      </c>
      <c r="GK287" s="19">
        <v>33</v>
      </c>
      <c r="GL287" s="19">
        <v>32</v>
      </c>
      <c r="GM287" s="19">
        <v>31</v>
      </c>
      <c r="GN287" s="19">
        <v>30</v>
      </c>
      <c r="GO287" s="19">
        <v>29</v>
      </c>
      <c r="GP287" s="19">
        <v>28</v>
      </c>
      <c r="GQ287" s="19">
        <v>27</v>
      </c>
      <c r="GR287" s="19">
        <v>26</v>
      </c>
      <c r="GS287" s="19">
        <v>25</v>
      </c>
    </row>
    <row r="288">
      <c r="A288" s="2" t="s">
        <v>1817</v>
      </c>
      <c r="B288" s="2" t="s">
        <v>245</v>
      </c>
      <c r="C288" s="2" t="s">
        <v>1625</v>
      </c>
      <c r="D288" s="2" t="s">
        <v>247</v>
      </c>
      <c r="E288" s="2" t="s">
        <v>248</v>
      </c>
      <c r="F288" s="2" t="s">
        <v>1626</v>
      </c>
      <c r="G288" s="2" t="s">
        <v>1626</v>
      </c>
      <c r="H288" s="2" t="s">
        <v>1626</v>
      </c>
      <c r="I288" s="2" t="s">
        <v>1627</v>
      </c>
      <c r="J288" s="2" t="s">
        <v>194</v>
      </c>
      <c r="K288" s="2" t="s">
        <v>1818</v>
      </c>
      <c r="L288" s="3">
        <v>14.89</v>
      </c>
      <c r="M288" s="3">
        <v>15.63</v>
      </c>
      <c r="N288" s="3">
        <v>31.99</v>
      </c>
      <c r="O288" s="2" t="s">
        <v>196</v>
      </c>
      <c r="P288" s="2" t="s">
        <v>621</v>
      </c>
      <c r="Q288" s="2" t="s">
        <v>198</v>
      </c>
      <c r="R288" s="2" t="s">
        <v>199</v>
      </c>
      <c r="S288" s="2" t="s">
        <v>1819</v>
      </c>
      <c r="T288" s="2" t="s">
        <v>1546</v>
      </c>
      <c r="U288" s="2" t="s">
        <v>637</v>
      </c>
      <c r="V288" s="2" t="s">
        <v>622</v>
      </c>
      <c r="W288" s="2" t="s">
        <v>203</v>
      </c>
      <c r="X288" s="2" t="s">
        <v>623</v>
      </c>
      <c r="Y288" s="2" t="s">
        <v>1651</v>
      </c>
      <c r="Z288" s="4">
        <v>730</v>
      </c>
      <c r="AA288" s="4">
        <f>=ROUNDDOWN(19.2105263157895,0)</f>
      </c>
      <c r="AB288" s="5">
        <v>38</v>
      </c>
      <c r="AC288" s="2" t="s">
        <v>199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199</v>
      </c>
      <c r="AW288" s="8" t="s">
        <v>199</v>
      </c>
      <c r="AX288" s="4" t="s">
        <v>199</v>
      </c>
      <c r="AY288" s="8" t="s">
        <v>199</v>
      </c>
      <c r="AZ288" s="7" t="s">
        <v>199</v>
      </c>
      <c r="BA288" s="7" t="s">
        <v>199</v>
      </c>
      <c r="BB288" s="7"/>
      <c r="BC288" s="4" t="s">
        <v>199</v>
      </c>
      <c r="BD288" s="8" t="s">
        <v>199</v>
      </c>
      <c r="BE288" s="4" t="s">
        <v>199</v>
      </c>
      <c r="BF288" s="8" t="s">
        <v>199</v>
      </c>
      <c r="BG288" s="7" t="s">
        <v>199</v>
      </c>
      <c r="BH288" s="7" t="s">
        <v>199</v>
      </c>
      <c r="BI288" s="7"/>
      <c r="BJ288" s="4">
        <v>349</v>
      </c>
      <c r="BK288" s="8">
        <v>5601.88</v>
      </c>
      <c r="BL288" s="2" t="s">
        <v>1632</v>
      </c>
      <c r="BM288" s="7"/>
      <c r="BN288" s="7"/>
      <c r="BO288" s="4"/>
      <c r="BP288" s="8"/>
      <c r="BQ288" s="4"/>
      <c r="BR288" s="8"/>
      <c r="BS288" s="7"/>
      <c r="BT288" s="7"/>
      <c r="BU288" s="2" t="s">
        <v>1633</v>
      </c>
      <c r="BV288" s="2" t="s">
        <v>199</v>
      </c>
      <c r="BW288" s="2" t="s">
        <v>199</v>
      </c>
      <c r="BX288" s="2" t="s">
        <v>208</v>
      </c>
      <c r="BY288" s="2" t="s">
        <v>209</v>
      </c>
      <c r="BZ288" s="2" t="s">
        <v>196</v>
      </c>
      <c r="CA288" s="2" t="s">
        <v>1653</v>
      </c>
      <c r="CB288" s="2" t="s">
        <v>1820</v>
      </c>
      <c r="CC288" s="2" t="s">
        <v>212</v>
      </c>
      <c r="CD288" s="2" t="s">
        <v>199</v>
      </c>
      <c r="CE288" s="4">
        <v>730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>
        <v>767</v>
      </c>
      <c r="EU288" s="4">
        <v>740</v>
      </c>
      <c r="EV288" s="4">
        <v>727</v>
      </c>
      <c r="EW288" s="4">
        <v>717</v>
      </c>
      <c r="EX288" s="4">
        <v>707</v>
      </c>
      <c r="EY288" s="4">
        <v>696</v>
      </c>
      <c r="EZ288" s="4">
        <v>685</v>
      </c>
      <c r="FA288" s="4">
        <v>674</v>
      </c>
      <c r="FB288" s="4">
        <v>663</v>
      </c>
      <c r="FC288" s="4">
        <v>655</v>
      </c>
      <c r="FD288" s="4">
        <v>647</v>
      </c>
      <c r="FE288" s="4">
        <v>639</v>
      </c>
      <c r="FF288" s="4">
        <v>631</v>
      </c>
      <c r="FG288" s="4">
        <v>623</v>
      </c>
      <c r="FH288" s="4">
        <v>615</v>
      </c>
      <c r="FI288" s="4">
        <v>607</v>
      </c>
      <c r="FJ288" s="4">
        <v>599</v>
      </c>
      <c r="FK288" s="4">
        <v>591</v>
      </c>
      <c r="FL288" s="4">
        <v>585</v>
      </c>
      <c r="FM288" s="4">
        <v>579</v>
      </c>
      <c r="FN288" s="4">
        <v>573</v>
      </c>
      <c r="FO288" s="4">
        <v>567</v>
      </c>
      <c r="FP288" s="4">
        <v>561</v>
      </c>
      <c r="FQ288" s="4">
        <v>555</v>
      </c>
      <c r="FR288" s="4">
        <v>549</v>
      </c>
      <c r="FS288" s="4">
        <v>543</v>
      </c>
      <c r="FT288" s="19">
        <v>51.1</v>
      </c>
      <c r="FU288" s="19">
        <v>67.3</v>
      </c>
      <c r="FV288" s="19">
        <v>72.7</v>
      </c>
      <c r="FW288" s="19">
        <v>65.2</v>
      </c>
      <c r="FX288" s="19">
        <v>64.3</v>
      </c>
      <c r="FY288" s="19">
        <v>69.6</v>
      </c>
      <c r="FZ288" s="19">
        <v>68.5</v>
      </c>
      <c r="GA288" s="19">
        <v>74.9</v>
      </c>
      <c r="GB288" s="19">
        <v>82.9</v>
      </c>
      <c r="GC288" s="19">
        <v>81.9</v>
      </c>
      <c r="GD288" s="19">
        <v>80.9</v>
      </c>
      <c r="GE288" s="19">
        <v>79.9</v>
      </c>
      <c r="GF288" s="19">
        <v>78.9</v>
      </c>
      <c r="GG288" s="19">
        <v>77.9</v>
      </c>
      <c r="GH288" s="19">
        <v>76.9</v>
      </c>
      <c r="GI288" s="19">
        <v>86.7</v>
      </c>
      <c r="GJ288" s="19">
        <v>99.8</v>
      </c>
      <c r="GK288" s="19">
        <v>98.5</v>
      </c>
      <c r="GL288" s="19">
        <v>97.5</v>
      </c>
      <c r="GM288" s="19">
        <v>96.5</v>
      </c>
      <c r="GN288" s="19">
        <v>95.5</v>
      </c>
      <c r="GO288" s="19">
        <v>94.5</v>
      </c>
      <c r="GP288" s="19">
        <v>93.5</v>
      </c>
      <c r="GQ288" s="19">
        <v>92.5</v>
      </c>
      <c r="GR288" s="19">
        <v>91.5</v>
      </c>
      <c r="GS288" s="19">
        <v>90.5</v>
      </c>
    </row>
    <row r="289">
      <c r="A289" s="2" t="s">
        <v>1821</v>
      </c>
      <c r="B289" s="2" t="s">
        <v>245</v>
      </c>
      <c r="C289" s="2" t="s">
        <v>1625</v>
      </c>
      <c r="D289" s="2" t="s">
        <v>247</v>
      </c>
      <c r="E289" s="2" t="s">
        <v>248</v>
      </c>
      <c r="F289" s="2" t="s">
        <v>1626</v>
      </c>
      <c r="G289" s="2" t="s">
        <v>1626</v>
      </c>
      <c r="H289" s="2" t="s">
        <v>1626</v>
      </c>
      <c r="I289" s="2" t="s">
        <v>1627</v>
      </c>
      <c r="J289" s="2" t="s">
        <v>285</v>
      </c>
      <c r="K289" s="2" t="s">
        <v>1818</v>
      </c>
      <c r="L289" s="3">
        <v>19.57</v>
      </c>
      <c r="M289" s="3">
        <v>20.55</v>
      </c>
      <c r="N289" s="3">
        <v>42.99</v>
      </c>
      <c r="O289" s="2" t="s">
        <v>196</v>
      </c>
      <c r="P289" s="2" t="s">
        <v>517</v>
      </c>
      <c r="Q289" s="2" t="s">
        <v>198</v>
      </c>
      <c r="R289" s="2" t="s">
        <v>199</v>
      </c>
      <c r="S289" s="2" t="s">
        <v>1819</v>
      </c>
      <c r="T289" s="2" t="s">
        <v>1546</v>
      </c>
      <c r="U289" s="2" t="s">
        <v>254</v>
      </c>
      <c r="V289" s="2" t="s">
        <v>622</v>
      </c>
      <c r="W289" s="2" t="s">
        <v>203</v>
      </c>
      <c r="X289" s="2" t="s">
        <v>623</v>
      </c>
      <c r="Y289" s="2" t="s">
        <v>1651</v>
      </c>
      <c r="Z289" s="4"/>
      <c r="AA289" s="4">
        <f>=ROUNDDOWN({0},0)</f>
      </c>
      <c r="AB289" s="5">
        <v>30</v>
      </c>
      <c r="AC289" s="2" t="s">
        <v>1639</v>
      </c>
      <c r="AD289" s="4">
        <v>125</v>
      </c>
      <c r="AE289" s="4">
        <v>125</v>
      </c>
      <c r="AF289" s="6">
        <v>65</v>
      </c>
      <c r="AG289" s="6"/>
      <c r="AH289" s="7">
        <v>0.7097</v>
      </c>
      <c r="AI289" s="4"/>
      <c r="AJ289" s="4">
        <f>=ROUNDDOWN({0},0)</f>
      </c>
      <c r="AK289" s="5"/>
      <c r="AL289" s="2" t="s">
        <v>199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199</v>
      </c>
      <c r="AW289" s="8" t="s">
        <v>199</v>
      </c>
      <c r="AX289" s="4" t="s">
        <v>199</v>
      </c>
      <c r="AY289" s="8" t="s">
        <v>199</v>
      </c>
      <c r="AZ289" s="7" t="s">
        <v>199</v>
      </c>
      <c r="BA289" s="7" t="s">
        <v>199</v>
      </c>
      <c r="BB289" s="7"/>
      <c r="BC289" s="4" t="s">
        <v>199</v>
      </c>
      <c r="BD289" s="8" t="s">
        <v>199</v>
      </c>
      <c r="BE289" s="4" t="s">
        <v>199</v>
      </c>
      <c r="BF289" s="8" t="s">
        <v>199</v>
      </c>
      <c r="BG289" s="7" t="s">
        <v>199</v>
      </c>
      <c r="BH289" s="7" t="s">
        <v>199</v>
      </c>
      <c r="BI289" s="7"/>
      <c r="BJ289" s="4">
        <v>419</v>
      </c>
      <c r="BK289" s="8">
        <v>8869.28</v>
      </c>
      <c r="BL289" s="2" t="s">
        <v>1643</v>
      </c>
      <c r="BM289" s="7"/>
      <c r="BN289" s="7"/>
      <c r="BO289" s="4"/>
      <c r="BP289" s="8"/>
      <c r="BQ289" s="4"/>
      <c r="BR289" s="8"/>
      <c r="BS289" s="7"/>
      <c r="BT289" s="7"/>
      <c r="BU289" s="2" t="s">
        <v>1633</v>
      </c>
      <c r="BV289" s="2" t="s">
        <v>199</v>
      </c>
      <c r="BW289" s="2" t="s">
        <v>199</v>
      </c>
      <c r="BX289" s="2" t="s">
        <v>208</v>
      </c>
      <c r="BY289" s="2" t="s">
        <v>209</v>
      </c>
      <c r="BZ289" s="2" t="s">
        <v>196</v>
      </c>
      <c r="CA289" s="2" t="s">
        <v>1653</v>
      </c>
      <c r="CB289" s="2" t="s">
        <v>1822</v>
      </c>
      <c r="CC289" s="2" t="s">
        <v>212</v>
      </c>
      <c r="CD289" s="2" t="s">
        <v>199</v>
      </c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>
        <v>125</v>
      </c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>
        <v>2</v>
      </c>
      <c r="EU289" s="4"/>
      <c r="EV289" s="4"/>
      <c r="EW289" s="4"/>
      <c r="EX289" s="4"/>
      <c r="EY289" s="4"/>
      <c r="EZ289" s="4">
        <v>125</v>
      </c>
      <c r="FA289" s="4">
        <v>55</v>
      </c>
      <c r="FB289" s="4">
        <v>37</v>
      </c>
      <c r="FC289" s="4">
        <v>22</v>
      </c>
      <c r="FD289" s="4">
        <v>7</v>
      </c>
      <c r="FE289" s="4"/>
      <c r="FF289" s="4"/>
      <c r="FG289" s="4"/>
      <c r="FH289" s="4"/>
      <c r="FI289" s="4"/>
      <c r="FJ289" s="4"/>
      <c r="FK289" s="4"/>
      <c r="FL289" s="4"/>
      <c r="FM289" s="4">
        <v>613</v>
      </c>
      <c r="FN289" s="4">
        <v>559</v>
      </c>
      <c r="FO289" s="4">
        <v>547</v>
      </c>
      <c r="FP289" s="4">
        <v>535</v>
      </c>
      <c r="FQ289" s="4">
        <v>523</v>
      </c>
      <c r="FR289" s="4">
        <v>511</v>
      </c>
      <c r="FS289" s="4">
        <v>499</v>
      </c>
      <c r="FT289" s="19">
        <v>0.2</v>
      </c>
      <c r="FU289" s="20">
        <v>0</v>
      </c>
      <c r="FV289" s="20">
        <v>0</v>
      </c>
      <c r="FW289" s="20">
        <v>0</v>
      </c>
      <c r="FX289" s="20">
        <v>0</v>
      </c>
      <c r="FY289" s="20">
        <v>0</v>
      </c>
      <c r="FZ289" s="19">
        <v>4.2</v>
      </c>
      <c r="GA289" s="19">
        <v>3.9</v>
      </c>
      <c r="GB289" s="19">
        <v>3.4</v>
      </c>
      <c r="GC289" s="19">
        <v>2.4</v>
      </c>
      <c r="GD289" s="19">
        <v>1</v>
      </c>
      <c r="GE289" s="20">
        <v>0</v>
      </c>
      <c r="GF289" s="20">
        <v>0</v>
      </c>
      <c r="GG289" s="20">
        <v>0</v>
      </c>
      <c r="GH289" s="20">
        <v>0</v>
      </c>
      <c r="GI289" s="20">
        <v>0</v>
      </c>
      <c r="GJ289" s="20">
        <v>0</v>
      </c>
      <c r="GK289" s="20">
        <v>0</v>
      </c>
      <c r="GL289" s="20">
        <v>0</v>
      </c>
      <c r="GM289" s="19">
        <v>27.9</v>
      </c>
      <c r="GN289" s="19">
        <v>46.6</v>
      </c>
      <c r="GO289" s="19">
        <v>45.6</v>
      </c>
      <c r="GP289" s="19">
        <v>44.6</v>
      </c>
      <c r="GQ289" s="19">
        <v>43.6</v>
      </c>
      <c r="GR289" s="19">
        <v>42.6</v>
      </c>
      <c r="GS289" s="19">
        <v>38.4</v>
      </c>
    </row>
    <row r="290">
      <c r="A290" s="2" t="s">
        <v>1823</v>
      </c>
      <c r="B290" s="2" t="s">
        <v>245</v>
      </c>
      <c r="C290" s="2" t="s">
        <v>1625</v>
      </c>
      <c r="D290" s="2" t="s">
        <v>247</v>
      </c>
      <c r="E290" s="2" t="s">
        <v>248</v>
      </c>
      <c r="F290" s="2" t="s">
        <v>1626</v>
      </c>
      <c r="G290" s="2" t="s">
        <v>1626</v>
      </c>
      <c r="H290" s="2" t="s">
        <v>1626</v>
      </c>
      <c r="I290" s="2" t="s">
        <v>1627</v>
      </c>
      <c r="J290" s="2" t="s">
        <v>219</v>
      </c>
      <c r="K290" s="2" t="s">
        <v>1818</v>
      </c>
      <c r="L290" s="3">
        <v>22.21</v>
      </c>
      <c r="M290" s="3">
        <v>23.32</v>
      </c>
      <c r="N290" s="3">
        <v>47.99</v>
      </c>
      <c r="O290" s="2" t="s">
        <v>196</v>
      </c>
      <c r="P290" s="2" t="s">
        <v>951</v>
      </c>
      <c r="Q290" s="2" t="s">
        <v>198</v>
      </c>
      <c r="R290" s="2" t="s">
        <v>199</v>
      </c>
      <c r="S290" s="2" t="s">
        <v>1819</v>
      </c>
      <c r="T290" s="2" t="s">
        <v>1546</v>
      </c>
      <c r="U290" s="2" t="s">
        <v>254</v>
      </c>
      <c r="V290" s="2" t="s">
        <v>622</v>
      </c>
      <c r="W290" s="2" t="s">
        <v>203</v>
      </c>
      <c r="X290" s="2" t="s">
        <v>623</v>
      </c>
      <c r="Y290" s="2" t="s">
        <v>1651</v>
      </c>
      <c r="Z290" s="4">
        <v>2126</v>
      </c>
      <c r="AA290" s="4">
        <f>=ROUNDDOWN(40.8846153846154,0)</f>
      </c>
      <c r="AB290" s="5">
        <v>52</v>
      </c>
      <c r="AC290" s="2" t="s">
        <v>1639</v>
      </c>
      <c r="AD290" s="4">
        <v>746</v>
      </c>
      <c r="AE290" s="4">
        <v>746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199</v>
      </c>
      <c r="AW290" s="8" t="s">
        <v>199</v>
      </c>
      <c r="AX290" s="4" t="s">
        <v>199</v>
      </c>
      <c r="AY290" s="8" t="s">
        <v>199</v>
      </c>
      <c r="AZ290" s="7" t="s">
        <v>199</v>
      </c>
      <c r="BA290" s="7" t="s">
        <v>199</v>
      </c>
      <c r="BB290" s="7"/>
      <c r="BC290" s="4" t="s">
        <v>199</v>
      </c>
      <c r="BD290" s="8" t="s">
        <v>199</v>
      </c>
      <c r="BE290" s="4" t="s">
        <v>199</v>
      </c>
      <c r="BF290" s="8" t="s">
        <v>199</v>
      </c>
      <c r="BG290" s="7" t="s">
        <v>199</v>
      </c>
      <c r="BH290" s="7" t="s">
        <v>199</v>
      </c>
      <c r="BI290" s="7"/>
      <c r="BJ290" s="4">
        <v>159</v>
      </c>
      <c r="BK290" s="8">
        <v>3951.8</v>
      </c>
      <c r="BL290" s="2" t="s">
        <v>1824</v>
      </c>
      <c r="BM290" s="7"/>
      <c r="BN290" s="7"/>
      <c r="BO290" s="4"/>
      <c r="BP290" s="8"/>
      <c r="BQ290" s="4"/>
      <c r="BR290" s="8"/>
      <c r="BS290" s="7"/>
      <c r="BT290" s="7"/>
      <c r="BU290" s="2" t="s">
        <v>1633</v>
      </c>
      <c r="BV290" s="2" t="s">
        <v>199</v>
      </c>
      <c r="BW290" s="2" t="s">
        <v>199</v>
      </c>
      <c r="BX290" s="2" t="s">
        <v>208</v>
      </c>
      <c r="BY290" s="2" t="s">
        <v>209</v>
      </c>
      <c r="BZ290" s="2" t="s">
        <v>196</v>
      </c>
      <c r="CA290" s="2" t="s">
        <v>1653</v>
      </c>
      <c r="CB290" s="2" t="s">
        <v>1825</v>
      </c>
      <c r="CC290" s="2" t="s">
        <v>212</v>
      </c>
      <c r="CD290" s="2" t="s">
        <v>199</v>
      </c>
      <c r="CE290" s="4">
        <v>2126</v>
      </c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>
        <v>746</v>
      </c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>
        <v>2138</v>
      </c>
      <c r="EU290" s="4">
        <v>2114</v>
      </c>
      <c r="EV290" s="4">
        <v>2104</v>
      </c>
      <c r="EW290" s="4">
        <v>2097</v>
      </c>
      <c r="EX290" s="4">
        <v>2090</v>
      </c>
      <c r="EY290" s="4">
        <v>2082</v>
      </c>
      <c r="EZ290" s="4">
        <v>2820</v>
      </c>
      <c r="FA290" s="4">
        <v>2812</v>
      </c>
      <c r="FB290" s="4">
        <v>2804</v>
      </c>
      <c r="FC290" s="4">
        <v>2798</v>
      </c>
      <c r="FD290" s="4">
        <v>2792</v>
      </c>
      <c r="FE290" s="4">
        <v>2786</v>
      </c>
      <c r="FF290" s="4">
        <v>2780</v>
      </c>
      <c r="FG290" s="4">
        <v>2774</v>
      </c>
      <c r="FH290" s="4">
        <v>2768</v>
      </c>
      <c r="FI290" s="4">
        <v>2762</v>
      </c>
      <c r="FJ290" s="4">
        <v>2756</v>
      </c>
      <c r="FK290" s="4">
        <v>2750</v>
      </c>
      <c r="FL290" s="4">
        <v>2745</v>
      </c>
      <c r="FM290" s="4">
        <v>2740</v>
      </c>
      <c r="FN290" s="4">
        <v>2735</v>
      </c>
      <c r="FO290" s="4">
        <v>2730</v>
      </c>
      <c r="FP290" s="4">
        <v>2725</v>
      </c>
      <c r="FQ290" s="4">
        <v>2720</v>
      </c>
      <c r="FR290" s="4">
        <v>2715</v>
      </c>
      <c r="FS290" s="4">
        <v>2710</v>
      </c>
      <c r="FT290" s="19">
        <v>178.2</v>
      </c>
      <c r="FU290" s="19">
        <v>264.3</v>
      </c>
      <c r="FV290" s="19">
        <v>263</v>
      </c>
      <c r="FW290" s="19">
        <v>262.1</v>
      </c>
      <c r="FX290" s="19">
        <v>261.3</v>
      </c>
      <c r="FY290" s="19">
        <v>260.3</v>
      </c>
      <c r="FZ290" s="19">
        <v>402.9</v>
      </c>
      <c r="GA290" s="19">
        <v>468.7</v>
      </c>
      <c r="GB290" s="19">
        <v>467.3</v>
      </c>
      <c r="GC290" s="19">
        <v>466.3</v>
      </c>
      <c r="GD290" s="19">
        <v>465.3</v>
      </c>
      <c r="GE290" s="19">
        <v>464.3</v>
      </c>
      <c r="GF290" s="19">
        <v>463.3</v>
      </c>
      <c r="GG290" s="19">
        <v>462.3</v>
      </c>
      <c r="GH290" s="19">
        <v>461.3</v>
      </c>
      <c r="GI290" s="19">
        <v>460.3</v>
      </c>
      <c r="GJ290" s="19">
        <v>551.2</v>
      </c>
      <c r="GK290" s="19">
        <v>550</v>
      </c>
      <c r="GL290" s="19">
        <v>549</v>
      </c>
      <c r="GM290" s="19">
        <v>548</v>
      </c>
      <c r="GN290" s="19">
        <v>547</v>
      </c>
      <c r="GO290" s="19">
        <v>546</v>
      </c>
      <c r="GP290" s="19">
        <v>545</v>
      </c>
      <c r="GQ290" s="19">
        <v>544</v>
      </c>
      <c r="GR290" s="19">
        <v>543</v>
      </c>
      <c r="GS290" s="19">
        <v>542</v>
      </c>
    </row>
    <row r="291">
      <c r="A291" s="2" t="s">
        <v>1826</v>
      </c>
      <c r="B291" s="2" t="s">
        <v>245</v>
      </c>
      <c r="C291" s="2" t="s">
        <v>1625</v>
      </c>
      <c r="D291" s="2" t="s">
        <v>247</v>
      </c>
      <c r="E291" s="2" t="s">
        <v>248</v>
      </c>
      <c r="F291" s="2" t="s">
        <v>1626</v>
      </c>
      <c r="G291" s="2" t="s">
        <v>1626</v>
      </c>
      <c r="H291" s="2" t="s">
        <v>1626</v>
      </c>
      <c r="I291" s="2" t="s">
        <v>1627</v>
      </c>
      <c r="J291" s="2" t="s">
        <v>223</v>
      </c>
      <c r="K291" s="2" t="s">
        <v>1818</v>
      </c>
      <c r="L291" s="3">
        <v>27.39</v>
      </c>
      <c r="M291" s="3">
        <v>28.76</v>
      </c>
      <c r="N291" s="3">
        <v>62.99</v>
      </c>
      <c r="O291" s="2" t="s">
        <v>196</v>
      </c>
      <c r="P291" s="2" t="s">
        <v>197</v>
      </c>
      <c r="Q291" s="2" t="s">
        <v>198</v>
      </c>
      <c r="R291" s="2" t="s">
        <v>199</v>
      </c>
      <c r="S291" s="2" t="s">
        <v>1819</v>
      </c>
      <c r="T291" s="2" t="s">
        <v>1546</v>
      </c>
      <c r="U291" s="2" t="s">
        <v>254</v>
      </c>
      <c r="V291" s="2" t="s">
        <v>622</v>
      </c>
      <c r="W291" s="2" t="s">
        <v>203</v>
      </c>
      <c r="X291" s="2" t="s">
        <v>623</v>
      </c>
      <c r="Y291" s="2" t="s">
        <v>1651</v>
      </c>
      <c r="Z291" s="4">
        <v>621</v>
      </c>
      <c r="AA291" s="4">
        <f>=ROUNDDOWN(38.8125,0)</f>
      </c>
      <c r="AB291" s="5">
        <v>16</v>
      </c>
      <c r="AC291" s="2" t="s">
        <v>199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199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199</v>
      </c>
      <c r="AW291" s="8" t="s">
        <v>199</v>
      </c>
      <c r="AX291" s="4" t="s">
        <v>199</v>
      </c>
      <c r="AY291" s="8" t="s">
        <v>199</v>
      </c>
      <c r="AZ291" s="7" t="s">
        <v>199</v>
      </c>
      <c r="BA291" s="7" t="s">
        <v>199</v>
      </c>
      <c r="BB291" s="7"/>
      <c r="BC291" s="4" t="s">
        <v>199</v>
      </c>
      <c r="BD291" s="8" t="s">
        <v>199</v>
      </c>
      <c r="BE291" s="4" t="s">
        <v>199</v>
      </c>
      <c r="BF291" s="8" t="s">
        <v>199</v>
      </c>
      <c r="BG291" s="7" t="s">
        <v>199</v>
      </c>
      <c r="BH291" s="7" t="s">
        <v>199</v>
      </c>
      <c r="BI291" s="7"/>
      <c r="BJ291" s="4">
        <v>100</v>
      </c>
      <c r="BK291" s="8">
        <v>2855.3</v>
      </c>
      <c r="BL291" s="2" t="s">
        <v>1827</v>
      </c>
      <c r="BM291" s="7"/>
      <c r="BN291" s="7"/>
      <c r="BO291" s="4"/>
      <c r="BP291" s="8"/>
      <c r="BQ291" s="4"/>
      <c r="BR291" s="8"/>
      <c r="BS291" s="7"/>
      <c r="BT291" s="7"/>
      <c r="BU291" s="2" t="s">
        <v>1633</v>
      </c>
      <c r="BV291" s="2" t="s">
        <v>199</v>
      </c>
      <c r="BW291" s="2" t="s">
        <v>199</v>
      </c>
      <c r="BX291" s="2" t="s">
        <v>208</v>
      </c>
      <c r="BY291" s="2" t="s">
        <v>209</v>
      </c>
      <c r="BZ291" s="2" t="s">
        <v>196</v>
      </c>
      <c r="CA291" s="2" t="s">
        <v>1653</v>
      </c>
      <c r="CB291" s="2" t="s">
        <v>1828</v>
      </c>
      <c r="CC291" s="2" t="s">
        <v>212</v>
      </c>
      <c r="CD291" s="2" t="s">
        <v>199</v>
      </c>
      <c r="CE291" s="4">
        <v>621</v>
      </c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>
        <v>641</v>
      </c>
      <c r="EU291" s="4">
        <v>622</v>
      </c>
      <c r="EV291" s="4">
        <v>616</v>
      </c>
      <c r="EW291" s="4">
        <v>611</v>
      </c>
      <c r="EX291" s="4">
        <v>606</v>
      </c>
      <c r="EY291" s="4">
        <v>600</v>
      </c>
      <c r="EZ291" s="4">
        <v>592</v>
      </c>
      <c r="FA291" s="4">
        <v>582</v>
      </c>
      <c r="FB291" s="4">
        <v>572</v>
      </c>
      <c r="FC291" s="4">
        <v>564</v>
      </c>
      <c r="FD291" s="4">
        <v>556</v>
      </c>
      <c r="FE291" s="4">
        <v>549</v>
      </c>
      <c r="FF291" s="4">
        <v>542</v>
      </c>
      <c r="FG291" s="4">
        <v>535</v>
      </c>
      <c r="FH291" s="4">
        <v>528</v>
      </c>
      <c r="FI291" s="4">
        <v>521</v>
      </c>
      <c r="FJ291" s="4">
        <v>514</v>
      </c>
      <c r="FK291" s="4">
        <v>507</v>
      </c>
      <c r="FL291" s="4">
        <v>501</v>
      </c>
      <c r="FM291" s="4">
        <v>495</v>
      </c>
      <c r="FN291" s="4">
        <v>489</v>
      </c>
      <c r="FO291" s="4">
        <v>483</v>
      </c>
      <c r="FP291" s="4">
        <v>477</v>
      </c>
      <c r="FQ291" s="4">
        <v>471</v>
      </c>
      <c r="FR291" s="4">
        <v>465</v>
      </c>
      <c r="FS291" s="4">
        <v>459</v>
      </c>
      <c r="FT291" s="19">
        <v>71.2</v>
      </c>
      <c r="FU291" s="19">
        <v>103.7</v>
      </c>
      <c r="FV291" s="19">
        <v>102.7</v>
      </c>
      <c r="FW291" s="19">
        <v>87.3</v>
      </c>
      <c r="FX291" s="19">
        <v>75.8</v>
      </c>
      <c r="FY291" s="19">
        <v>66.7</v>
      </c>
      <c r="FZ291" s="19">
        <v>65.8</v>
      </c>
      <c r="GA291" s="19">
        <v>72.8</v>
      </c>
      <c r="GB291" s="19">
        <v>71.5</v>
      </c>
      <c r="GC291" s="19">
        <v>80.6</v>
      </c>
      <c r="GD291" s="19">
        <v>79.4</v>
      </c>
      <c r="GE291" s="19">
        <v>78.4</v>
      </c>
      <c r="GF291" s="19">
        <v>77.4</v>
      </c>
      <c r="GG291" s="19">
        <v>76.4</v>
      </c>
      <c r="GH291" s="19">
        <v>75.4</v>
      </c>
      <c r="GI291" s="19">
        <v>86.8</v>
      </c>
      <c r="GJ291" s="19">
        <v>85.7</v>
      </c>
      <c r="GK291" s="19">
        <v>84.5</v>
      </c>
      <c r="GL291" s="19">
        <v>83.5</v>
      </c>
      <c r="GM291" s="19">
        <v>82.5</v>
      </c>
      <c r="GN291" s="19">
        <v>81.5</v>
      </c>
      <c r="GO291" s="19">
        <v>80.5</v>
      </c>
      <c r="GP291" s="19">
        <v>79.5</v>
      </c>
      <c r="GQ291" s="19">
        <v>78.5</v>
      </c>
      <c r="GR291" s="19">
        <v>77.5</v>
      </c>
      <c r="GS291" s="19">
        <v>76.5</v>
      </c>
    </row>
    <row r="292">
      <c r="A292" s="2" t="s">
        <v>1829</v>
      </c>
      <c r="B292" s="2" t="s">
        <v>245</v>
      </c>
      <c r="C292" s="2" t="s">
        <v>1625</v>
      </c>
      <c r="D292" s="2" t="s">
        <v>247</v>
      </c>
      <c r="E292" s="2" t="s">
        <v>248</v>
      </c>
      <c r="F292" s="2" t="s">
        <v>1626</v>
      </c>
      <c r="G292" s="2" t="s">
        <v>1626</v>
      </c>
      <c r="H292" s="2" t="s">
        <v>1626</v>
      </c>
      <c r="I292" s="2" t="s">
        <v>1627</v>
      </c>
      <c r="J292" s="2" t="s">
        <v>214</v>
      </c>
      <c r="K292" s="2" t="s">
        <v>1830</v>
      </c>
      <c r="L292" s="3">
        <v>16.16</v>
      </c>
      <c r="M292" s="3">
        <v>16.97</v>
      </c>
      <c r="N292" s="3">
        <v>34.99</v>
      </c>
      <c r="O292" s="2" t="s">
        <v>196</v>
      </c>
      <c r="P292" s="2" t="s">
        <v>517</v>
      </c>
      <c r="Q292" s="2" t="s">
        <v>198</v>
      </c>
      <c r="R292" s="2" t="s">
        <v>199</v>
      </c>
      <c r="S292" s="2" t="s">
        <v>1831</v>
      </c>
      <c r="T292" s="2" t="s">
        <v>1546</v>
      </c>
      <c r="U292" s="2" t="s">
        <v>199</v>
      </c>
      <c r="V292" s="2" t="s">
        <v>681</v>
      </c>
      <c r="W292" s="2" t="s">
        <v>203</v>
      </c>
      <c r="X292" s="2" t="s">
        <v>199</v>
      </c>
      <c r="Y292" s="2" t="s">
        <v>1815</v>
      </c>
      <c r="Z292" s="4">
        <v>513</v>
      </c>
      <c r="AA292" s="4">
        <f>=ROUNDDOWN(19.7307692307692,0)</f>
      </c>
      <c r="AB292" s="5">
        <v>26</v>
      </c>
      <c r="AC292" s="2" t="s">
        <v>199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199</v>
      </c>
      <c r="AW292" s="8" t="s">
        <v>199</v>
      </c>
      <c r="AX292" s="4" t="s">
        <v>199</v>
      </c>
      <c r="AY292" s="8" t="s">
        <v>199</v>
      </c>
      <c r="AZ292" s="7" t="s">
        <v>199</v>
      </c>
      <c r="BA292" s="7" t="s">
        <v>199</v>
      </c>
      <c r="BB292" s="7"/>
      <c r="BC292" s="4" t="s">
        <v>199</v>
      </c>
      <c r="BD292" s="8" t="s">
        <v>199</v>
      </c>
      <c r="BE292" s="4" t="s">
        <v>199</v>
      </c>
      <c r="BF292" s="8" t="s">
        <v>199</v>
      </c>
      <c r="BG292" s="7" t="s">
        <v>199</v>
      </c>
      <c r="BH292" s="7" t="s">
        <v>199</v>
      </c>
      <c r="BI292" s="7"/>
      <c r="BJ292" s="4">
        <v>169</v>
      </c>
      <c r="BK292" s="8">
        <v>2954.98</v>
      </c>
      <c r="BL292" s="2" t="s">
        <v>1615</v>
      </c>
      <c r="BM292" s="7"/>
      <c r="BN292" s="7"/>
      <c r="BO292" s="4"/>
      <c r="BP292" s="8"/>
      <c r="BQ292" s="4"/>
      <c r="BR292" s="8"/>
      <c r="BS292" s="7"/>
      <c r="BT292" s="7"/>
      <c r="BU292" s="2" t="s">
        <v>1633</v>
      </c>
      <c r="BV292" s="2" t="s">
        <v>199</v>
      </c>
      <c r="BW292" s="2" t="s">
        <v>199</v>
      </c>
      <c r="BX292" s="2" t="s">
        <v>208</v>
      </c>
      <c r="BY292" s="2" t="s">
        <v>209</v>
      </c>
      <c r="BZ292" s="2" t="s">
        <v>196</v>
      </c>
      <c r="CA292" s="2" t="s">
        <v>1832</v>
      </c>
      <c r="CB292" s="2" t="s">
        <v>221</v>
      </c>
      <c r="CC292" s="2" t="s">
        <v>212</v>
      </c>
      <c r="CD292" s="2" t="s">
        <v>199</v>
      </c>
      <c r="CE292" s="4">
        <v>513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>
        <v>577</v>
      </c>
      <c r="EU292" s="4">
        <v>536</v>
      </c>
      <c r="EV292" s="4">
        <v>523</v>
      </c>
      <c r="EW292" s="4">
        <v>513</v>
      </c>
      <c r="EX292" s="4">
        <v>503</v>
      </c>
      <c r="EY292" s="4">
        <v>492</v>
      </c>
      <c r="EZ292" s="4">
        <v>481</v>
      </c>
      <c r="FA292" s="4">
        <v>470</v>
      </c>
      <c r="FB292" s="4">
        <v>459</v>
      </c>
      <c r="FC292" s="4">
        <v>451</v>
      </c>
      <c r="FD292" s="4">
        <v>443</v>
      </c>
      <c r="FE292" s="4">
        <v>435</v>
      </c>
      <c r="FF292" s="4">
        <v>427</v>
      </c>
      <c r="FG292" s="4">
        <v>419</v>
      </c>
      <c r="FH292" s="4">
        <v>411</v>
      </c>
      <c r="FI292" s="4">
        <v>403</v>
      </c>
      <c r="FJ292" s="4">
        <v>395</v>
      </c>
      <c r="FK292" s="4">
        <v>387</v>
      </c>
      <c r="FL292" s="4">
        <v>381</v>
      </c>
      <c r="FM292" s="4">
        <v>375</v>
      </c>
      <c r="FN292" s="4">
        <v>369</v>
      </c>
      <c r="FO292" s="4">
        <v>363</v>
      </c>
      <c r="FP292" s="4">
        <v>357</v>
      </c>
      <c r="FQ292" s="4">
        <v>351</v>
      </c>
      <c r="FR292" s="4">
        <v>345</v>
      </c>
      <c r="FS292" s="4">
        <v>339</v>
      </c>
      <c r="FT292" s="19">
        <v>32.1</v>
      </c>
      <c r="FU292" s="19">
        <v>48.7</v>
      </c>
      <c r="FV292" s="19">
        <v>52.3</v>
      </c>
      <c r="FW292" s="19">
        <v>46.6</v>
      </c>
      <c r="FX292" s="19">
        <v>45.7</v>
      </c>
      <c r="FY292" s="19">
        <v>49.2</v>
      </c>
      <c r="FZ292" s="19">
        <v>48.1</v>
      </c>
      <c r="GA292" s="19">
        <v>52.2</v>
      </c>
      <c r="GB292" s="19">
        <v>57.4</v>
      </c>
      <c r="GC292" s="19">
        <v>56.4</v>
      </c>
      <c r="GD292" s="19">
        <v>55.4</v>
      </c>
      <c r="GE292" s="19">
        <v>54.4</v>
      </c>
      <c r="GF292" s="19">
        <v>53.4</v>
      </c>
      <c r="GG292" s="19">
        <v>52.4</v>
      </c>
      <c r="GH292" s="19">
        <v>51.4</v>
      </c>
      <c r="GI292" s="19">
        <v>57.6</v>
      </c>
      <c r="GJ292" s="19">
        <v>65.8</v>
      </c>
      <c r="GK292" s="19">
        <v>64.5</v>
      </c>
      <c r="GL292" s="19">
        <v>63.5</v>
      </c>
      <c r="GM292" s="19">
        <v>62.5</v>
      </c>
      <c r="GN292" s="19">
        <v>61.5</v>
      </c>
      <c r="GO292" s="19">
        <v>60.5</v>
      </c>
      <c r="GP292" s="19">
        <v>59.5</v>
      </c>
      <c r="GQ292" s="19">
        <v>58.5</v>
      </c>
      <c r="GR292" s="19">
        <v>57.5</v>
      </c>
      <c r="GS292" s="19">
        <v>56.5</v>
      </c>
    </row>
    <row r="293">
      <c r="A293" s="2" t="s">
        <v>1833</v>
      </c>
      <c r="B293" s="2" t="s">
        <v>245</v>
      </c>
      <c r="C293" s="2" t="s">
        <v>1625</v>
      </c>
      <c r="D293" s="2" t="s">
        <v>247</v>
      </c>
      <c r="E293" s="2" t="s">
        <v>248</v>
      </c>
      <c r="F293" s="2" t="s">
        <v>1626</v>
      </c>
      <c r="G293" s="2" t="s">
        <v>1626</v>
      </c>
      <c r="H293" s="2" t="s">
        <v>1626</v>
      </c>
      <c r="I293" s="2" t="s">
        <v>1627</v>
      </c>
      <c r="J293" s="2" t="s">
        <v>285</v>
      </c>
      <c r="K293" s="2" t="s">
        <v>1830</v>
      </c>
      <c r="L293" s="3">
        <v>19.57</v>
      </c>
      <c r="M293" s="3">
        <v>20.55</v>
      </c>
      <c r="N293" s="3">
        <v>42.99</v>
      </c>
      <c r="O293" s="2" t="s">
        <v>196</v>
      </c>
      <c r="P293" s="2" t="s">
        <v>197</v>
      </c>
      <c r="Q293" s="2" t="s">
        <v>198</v>
      </c>
      <c r="R293" s="2" t="s">
        <v>199</v>
      </c>
      <c r="S293" s="2" t="s">
        <v>1831</v>
      </c>
      <c r="T293" s="2" t="s">
        <v>1546</v>
      </c>
      <c r="U293" s="2" t="s">
        <v>199</v>
      </c>
      <c r="V293" s="2" t="s">
        <v>681</v>
      </c>
      <c r="W293" s="2" t="s">
        <v>203</v>
      </c>
      <c r="X293" s="2" t="s">
        <v>199</v>
      </c>
      <c r="Y293" s="2" t="s">
        <v>204</v>
      </c>
      <c r="Z293" s="4">
        <v>929</v>
      </c>
      <c r="AA293" s="4">
        <f>=ROUNDDOWN(61.9333333333333,0)</f>
      </c>
      <c r="AB293" s="5">
        <v>15</v>
      </c>
      <c r="AC293" s="2" t="s">
        <v>199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199</v>
      </c>
      <c r="AW293" s="8" t="s">
        <v>199</v>
      </c>
      <c r="AX293" s="4" t="s">
        <v>199</v>
      </c>
      <c r="AY293" s="8" t="s">
        <v>199</v>
      </c>
      <c r="AZ293" s="7" t="s">
        <v>199</v>
      </c>
      <c r="BA293" s="7" t="s">
        <v>199</v>
      </c>
      <c r="BB293" s="7"/>
      <c r="BC293" s="4" t="s">
        <v>199</v>
      </c>
      <c r="BD293" s="8" t="s">
        <v>199</v>
      </c>
      <c r="BE293" s="4" t="s">
        <v>199</v>
      </c>
      <c r="BF293" s="8" t="s">
        <v>199</v>
      </c>
      <c r="BG293" s="7" t="s">
        <v>199</v>
      </c>
      <c r="BH293" s="7" t="s">
        <v>199</v>
      </c>
      <c r="BI293" s="7"/>
      <c r="BJ293" s="4">
        <v>66</v>
      </c>
      <c r="BK293" s="8">
        <v>1473.67</v>
      </c>
      <c r="BL293" s="2" t="s">
        <v>1834</v>
      </c>
      <c r="BM293" s="7"/>
      <c r="BN293" s="7"/>
      <c r="BO293" s="4"/>
      <c r="BP293" s="8"/>
      <c r="BQ293" s="4"/>
      <c r="BR293" s="8"/>
      <c r="BS293" s="7"/>
      <c r="BT293" s="7"/>
      <c r="BU293" s="2" t="s">
        <v>1633</v>
      </c>
      <c r="BV293" s="2" t="s">
        <v>199</v>
      </c>
      <c r="BW293" s="2" t="s">
        <v>199</v>
      </c>
      <c r="BX293" s="2" t="s">
        <v>208</v>
      </c>
      <c r="BY293" s="2" t="s">
        <v>209</v>
      </c>
      <c r="BZ293" s="2" t="s">
        <v>196</v>
      </c>
      <c r="CA293" s="2" t="s">
        <v>1812</v>
      </c>
      <c r="CB293" s="2" t="s">
        <v>317</v>
      </c>
      <c r="CC293" s="2" t="s">
        <v>212</v>
      </c>
      <c r="CD293" s="2" t="s">
        <v>199</v>
      </c>
      <c r="CE293" s="4">
        <v>929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>
        <v>938</v>
      </c>
      <c r="EU293" s="4">
        <v>923</v>
      </c>
      <c r="EV293" s="4">
        <v>914</v>
      </c>
      <c r="EW293" s="4">
        <v>907</v>
      </c>
      <c r="EX293" s="4">
        <v>900</v>
      </c>
      <c r="EY293" s="4">
        <v>892</v>
      </c>
      <c r="EZ293" s="4">
        <v>884</v>
      </c>
      <c r="FA293" s="4">
        <v>876</v>
      </c>
      <c r="FB293" s="4">
        <v>868</v>
      </c>
      <c r="FC293" s="4">
        <v>862</v>
      </c>
      <c r="FD293" s="4">
        <v>856</v>
      </c>
      <c r="FE293" s="4">
        <v>849</v>
      </c>
      <c r="FF293" s="4">
        <v>841</v>
      </c>
      <c r="FG293" s="4">
        <v>833</v>
      </c>
      <c r="FH293" s="4">
        <v>825</v>
      </c>
      <c r="FI293" s="4">
        <v>817</v>
      </c>
      <c r="FJ293" s="4">
        <v>809</v>
      </c>
      <c r="FK293" s="4">
        <v>801</v>
      </c>
      <c r="FL293" s="4">
        <v>795</v>
      </c>
      <c r="FM293" s="4">
        <v>789</v>
      </c>
      <c r="FN293" s="4">
        <v>783</v>
      </c>
      <c r="FO293" s="4">
        <v>777</v>
      </c>
      <c r="FP293" s="4">
        <v>771</v>
      </c>
      <c r="FQ293" s="4">
        <v>765</v>
      </c>
      <c r="FR293" s="4">
        <v>759</v>
      </c>
      <c r="FS293" s="4">
        <v>753</v>
      </c>
      <c r="FT293" s="19">
        <v>93.8</v>
      </c>
      <c r="FU293" s="19">
        <v>115.4</v>
      </c>
      <c r="FV293" s="19">
        <v>114.3</v>
      </c>
      <c r="FW293" s="19">
        <v>113.4</v>
      </c>
      <c r="FX293" s="19">
        <v>112.5</v>
      </c>
      <c r="FY293" s="19">
        <v>111.5</v>
      </c>
      <c r="FZ293" s="19">
        <v>126.3</v>
      </c>
      <c r="GA293" s="19">
        <v>125.1</v>
      </c>
      <c r="GB293" s="19">
        <v>124</v>
      </c>
      <c r="GC293" s="19">
        <v>123.1</v>
      </c>
      <c r="GD293" s="19">
        <v>107</v>
      </c>
      <c r="GE293" s="19">
        <v>106.1</v>
      </c>
      <c r="GF293" s="19">
        <v>105.1</v>
      </c>
      <c r="GG293" s="19">
        <v>104.1</v>
      </c>
      <c r="GH293" s="19">
        <v>103.1</v>
      </c>
      <c r="GI293" s="19">
        <v>116.7</v>
      </c>
      <c r="GJ293" s="19">
        <v>134.8</v>
      </c>
      <c r="GK293" s="19">
        <v>133.5</v>
      </c>
      <c r="GL293" s="19">
        <v>132.5</v>
      </c>
      <c r="GM293" s="19">
        <v>131.5</v>
      </c>
      <c r="GN293" s="19">
        <v>130.5</v>
      </c>
      <c r="GO293" s="19">
        <v>129.5</v>
      </c>
      <c r="GP293" s="19">
        <v>128.5</v>
      </c>
      <c r="GQ293" s="19">
        <v>127.5</v>
      </c>
      <c r="GR293" s="19">
        <v>126.5</v>
      </c>
      <c r="GS293" s="19">
        <v>125.5</v>
      </c>
    </row>
    <row r="294">
      <c r="A294" s="2" t="s">
        <v>1835</v>
      </c>
      <c r="B294" s="2" t="s">
        <v>245</v>
      </c>
      <c r="C294" s="2" t="s">
        <v>1625</v>
      </c>
      <c r="D294" s="2" t="s">
        <v>247</v>
      </c>
      <c r="E294" s="2" t="s">
        <v>248</v>
      </c>
      <c r="F294" s="2" t="s">
        <v>1626</v>
      </c>
      <c r="G294" s="2" t="s">
        <v>1626</v>
      </c>
      <c r="H294" s="2" t="s">
        <v>1626</v>
      </c>
      <c r="I294" s="2" t="s">
        <v>1627</v>
      </c>
      <c r="J294" s="2" t="s">
        <v>251</v>
      </c>
      <c r="K294" s="2" t="s">
        <v>1830</v>
      </c>
      <c r="L294" s="3">
        <v>27.39</v>
      </c>
      <c r="M294" s="3">
        <v>28.76</v>
      </c>
      <c r="N294" s="3">
        <v>62.99</v>
      </c>
      <c r="O294" s="2" t="s">
        <v>196</v>
      </c>
      <c r="P294" s="2" t="s">
        <v>517</v>
      </c>
      <c r="Q294" s="2" t="s">
        <v>198</v>
      </c>
      <c r="R294" s="2" t="s">
        <v>199</v>
      </c>
      <c r="S294" s="2" t="s">
        <v>1831</v>
      </c>
      <c r="T294" s="2" t="s">
        <v>1546</v>
      </c>
      <c r="U294" s="2" t="s">
        <v>199</v>
      </c>
      <c r="V294" s="2" t="s">
        <v>681</v>
      </c>
      <c r="W294" s="2" t="s">
        <v>203</v>
      </c>
      <c r="X294" s="2" t="s">
        <v>199</v>
      </c>
      <c r="Y294" s="2" t="s">
        <v>1836</v>
      </c>
      <c r="Z294" s="4">
        <v>721</v>
      </c>
      <c r="AA294" s="4">
        <f>=ROUNDDOWN(90.125,0)</f>
      </c>
      <c r="AB294" s="5">
        <v>8</v>
      </c>
      <c r="AC294" s="2" t="s">
        <v>199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199</v>
      </c>
      <c r="AW294" s="8" t="s">
        <v>199</v>
      </c>
      <c r="AX294" s="4" t="s">
        <v>199</v>
      </c>
      <c r="AY294" s="8" t="s">
        <v>199</v>
      </c>
      <c r="AZ294" s="7" t="s">
        <v>199</v>
      </c>
      <c r="BA294" s="7" t="s">
        <v>199</v>
      </c>
      <c r="BB294" s="7"/>
      <c r="BC294" s="4" t="s">
        <v>199</v>
      </c>
      <c r="BD294" s="8" t="s">
        <v>199</v>
      </c>
      <c r="BE294" s="4" t="s">
        <v>199</v>
      </c>
      <c r="BF294" s="8" t="s">
        <v>199</v>
      </c>
      <c r="BG294" s="7" t="s">
        <v>199</v>
      </c>
      <c r="BH294" s="7" t="s">
        <v>199</v>
      </c>
      <c r="BI294" s="7"/>
      <c r="BJ294" s="4">
        <v>77</v>
      </c>
      <c r="BK294" s="8">
        <v>2241.68</v>
      </c>
      <c r="BL294" s="2" t="s">
        <v>1837</v>
      </c>
      <c r="BM294" s="7"/>
      <c r="BN294" s="7"/>
      <c r="BO294" s="4"/>
      <c r="BP294" s="8"/>
      <c r="BQ294" s="4"/>
      <c r="BR294" s="8"/>
      <c r="BS294" s="7"/>
      <c r="BT294" s="7"/>
      <c r="BU294" s="2" t="s">
        <v>1633</v>
      </c>
      <c r="BV294" s="2" t="s">
        <v>199</v>
      </c>
      <c r="BW294" s="2" t="s">
        <v>199</v>
      </c>
      <c r="BX294" s="2" t="s">
        <v>208</v>
      </c>
      <c r="BY294" s="2" t="s">
        <v>209</v>
      </c>
      <c r="BZ294" s="2" t="s">
        <v>196</v>
      </c>
      <c r="CA294" s="2" t="s">
        <v>1812</v>
      </c>
      <c r="CB294" s="2" t="s">
        <v>1838</v>
      </c>
      <c r="CC294" s="2" t="s">
        <v>212</v>
      </c>
      <c r="CD294" s="2" t="s">
        <v>199</v>
      </c>
      <c r="CE294" s="4">
        <v>720</v>
      </c>
      <c r="CF294" s="4"/>
      <c r="CG294" s="4"/>
      <c r="CH294" s="4"/>
      <c r="CI294" s="4"/>
      <c r="CJ294" s="4"/>
      <c r="CK294" s="4"/>
      <c r="CL294" s="4">
        <v>1</v>
      </c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>
        <v>738</v>
      </c>
      <c r="EU294" s="4">
        <v>720</v>
      </c>
      <c r="EV294" s="4">
        <v>717</v>
      </c>
      <c r="EW294" s="4">
        <v>715</v>
      </c>
      <c r="EX294" s="4">
        <v>713</v>
      </c>
      <c r="EY294" s="4">
        <v>710</v>
      </c>
      <c r="EZ294" s="4">
        <v>707</v>
      </c>
      <c r="FA294" s="4">
        <v>704</v>
      </c>
      <c r="FB294" s="4">
        <v>701</v>
      </c>
      <c r="FC294" s="4">
        <v>699</v>
      </c>
      <c r="FD294" s="4">
        <v>697</v>
      </c>
      <c r="FE294" s="4">
        <v>695</v>
      </c>
      <c r="FF294" s="4">
        <v>693</v>
      </c>
      <c r="FG294" s="4">
        <v>691</v>
      </c>
      <c r="FH294" s="4">
        <v>689</v>
      </c>
      <c r="FI294" s="4">
        <v>687</v>
      </c>
      <c r="FJ294" s="4">
        <v>685</v>
      </c>
      <c r="FK294" s="4">
        <v>683</v>
      </c>
      <c r="FL294" s="4">
        <v>681</v>
      </c>
      <c r="FM294" s="4">
        <v>679</v>
      </c>
      <c r="FN294" s="4">
        <v>677</v>
      </c>
      <c r="FO294" s="4">
        <v>675</v>
      </c>
      <c r="FP294" s="4">
        <v>672</v>
      </c>
      <c r="FQ294" s="4">
        <v>668</v>
      </c>
      <c r="FR294" s="4">
        <v>664</v>
      </c>
      <c r="FS294" s="4">
        <v>660</v>
      </c>
      <c r="FT294" s="19">
        <v>123</v>
      </c>
      <c r="FU294" s="19">
        <v>360</v>
      </c>
      <c r="FV294" s="19">
        <v>358.5</v>
      </c>
      <c r="FW294" s="19">
        <v>238.3</v>
      </c>
      <c r="FX294" s="19">
        <v>237.7</v>
      </c>
      <c r="FY294" s="19">
        <v>236.7</v>
      </c>
      <c r="FZ294" s="19">
        <v>353.5</v>
      </c>
      <c r="GA294" s="19">
        <v>352</v>
      </c>
      <c r="GB294" s="19">
        <v>350.5</v>
      </c>
      <c r="GC294" s="19">
        <v>349.5</v>
      </c>
      <c r="GD294" s="19">
        <v>348.5</v>
      </c>
      <c r="GE294" s="19">
        <v>347.5</v>
      </c>
      <c r="GF294" s="19">
        <v>346.5</v>
      </c>
      <c r="GG294" s="19">
        <v>345.5</v>
      </c>
      <c r="GH294" s="19">
        <v>344.5</v>
      </c>
      <c r="GI294" s="19">
        <v>343.5</v>
      </c>
      <c r="GJ294" s="19">
        <v>342.5</v>
      </c>
      <c r="GK294" s="19">
        <v>341.5</v>
      </c>
      <c r="GL294" s="19">
        <v>340.5</v>
      </c>
      <c r="GM294" s="19">
        <v>226.3</v>
      </c>
      <c r="GN294" s="19">
        <v>225.7</v>
      </c>
      <c r="GO294" s="19">
        <v>168.8</v>
      </c>
      <c r="GP294" s="19">
        <v>168</v>
      </c>
      <c r="GQ294" s="19">
        <v>167</v>
      </c>
      <c r="GR294" s="19">
        <v>166</v>
      </c>
      <c r="GS294" s="19">
        <v>165</v>
      </c>
    </row>
    <row r="295">
      <c r="A295" s="2" t="s">
        <v>1839</v>
      </c>
      <c r="B295" s="2" t="s">
        <v>245</v>
      </c>
      <c r="C295" s="2" t="s">
        <v>1625</v>
      </c>
      <c r="D295" s="2" t="s">
        <v>247</v>
      </c>
      <c r="E295" s="2" t="s">
        <v>248</v>
      </c>
      <c r="F295" s="2" t="s">
        <v>1626</v>
      </c>
      <c r="G295" s="2" t="s">
        <v>1626</v>
      </c>
      <c r="H295" s="2" t="s">
        <v>1626</v>
      </c>
      <c r="I295" s="2" t="s">
        <v>1627</v>
      </c>
      <c r="J295" s="2" t="s">
        <v>194</v>
      </c>
      <c r="K295" s="2" t="s">
        <v>1840</v>
      </c>
      <c r="L295" s="3">
        <v>14.89</v>
      </c>
      <c r="M295" s="3">
        <v>15.63</v>
      </c>
      <c r="N295" s="3">
        <v>31.99</v>
      </c>
      <c r="O295" s="2" t="s">
        <v>196</v>
      </c>
      <c r="P295" s="2" t="s">
        <v>197</v>
      </c>
      <c r="Q295" s="2" t="s">
        <v>198</v>
      </c>
      <c r="R295" s="2" t="s">
        <v>199</v>
      </c>
      <c r="S295" s="2" t="s">
        <v>1841</v>
      </c>
      <c r="T295" s="2" t="s">
        <v>1546</v>
      </c>
      <c r="U295" s="2" t="s">
        <v>199</v>
      </c>
      <c r="V295" s="2" t="s">
        <v>202</v>
      </c>
      <c r="W295" s="2" t="s">
        <v>203</v>
      </c>
      <c r="X295" s="2" t="s">
        <v>199</v>
      </c>
      <c r="Y295" s="2" t="s">
        <v>204</v>
      </c>
      <c r="Z295" s="4">
        <v>1327</v>
      </c>
      <c r="AA295" s="4">
        <f>=ROUNDDOWN(110.583333333333,0)</f>
      </c>
      <c r="AB295" s="5">
        <v>12</v>
      </c>
      <c r="AC295" s="2" t="s">
        <v>199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199</v>
      </c>
      <c r="AW295" s="8" t="s">
        <v>199</v>
      </c>
      <c r="AX295" s="4" t="s">
        <v>199</v>
      </c>
      <c r="AY295" s="8" t="s">
        <v>199</v>
      </c>
      <c r="AZ295" s="7" t="s">
        <v>199</v>
      </c>
      <c r="BA295" s="7" t="s">
        <v>199</v>
      </c>
      <c r="BB295" s="7"/>
      <c r="BC295" s="4" t="s">
        <v>199</v>
      </c>
      <c r="BD295" s="8" t="s">
        <v>199</v>
      </c>
      <c r="BE295" s="4" t="s">
        <v>199</v>
      </c>
      <c r="BF295" s="8" t="s">
        <v>199</v>
      </c>
      <c r="BG295" s="7" t="s">
        <v>199</v>
      </c>
      <c r="BH295" s="7" t="s">
        <v>199</v>
      </c>
      <c r="BI295" s="7"/>
      <c r="BJ295" s="4">
        <v>40</v>
      </c>
      <c r="BK295" s="8">
        <v>683.14</v>
      </c>
      <c r="BL295" s="2" t="s">
        <v>1842</v>
      </c>
      <c r="BM295" s="7"/>
      <c r="BN295" s="7"/>
      <c r="BO295" s="4"/>
      <c r="BP295" s="8"/>
      <c r="BQ295" s="4"/>
      <c r="BR295" s="8"/>
      <c r="BS295" s="7"/>
      <c r="BT295" s="7"/>
      <c r="BU295" s="2" t="s">
        <v>1633</v>
      </c>
      <c r="BV295" s="2" t="s">
        <v>199</v>
      </c>
      <c r="BW295" s="2" t="s">
        <v>199</v>
      </c>
      <c r="BX295" s="2" t="s">
        <v>208</v>
      </c>
      <c r="BY295" s="2" t="s">
        <v>209</v>
      </c>
      <c r="BZ295" s="2" t="s">
        <v>196</v>
      </c>
      <c r="CA295" s="2" t="s">
        <v>1685</v>
      </c>
      <c r="CB295" s="2" t="s">
        <v>1843</v>
      </c>
      <c r="CC295" s="2" t="s">
        <v>212</v>
      </c>
      <c r="CD295" s="2" t="s">
        <v>199</v>
      </c>
      <c r="CE295" s="4">
        <v>680</v>
      </c>
      <c r="CF295" s="4">
        <v>646</v>
      </c>
      <c r="CG295" s="4"/>
      <c r="CH295" s="4"/>
      <c r="CI295" s="4"/>
      <c r="CJ295" s="4"/>
      <c r="CK295" s="4"/>
      <c r="CL295" s="4">
        <v>1</v>
      </c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>
        <v>1342</v>
      </c>
      <c r="EU295" s="4">
        <v>1321</v>
      </c>
      <c r="EV295" s="4">
        <v>1316</v>
      </c>
      <c r="EW295" s="4">
        <v>1312</v>
      </c>
      <c r="EX295" s="4">
        <v>1308</v>
      </c>
      <c r="EY295" s="4">
        <v>1304</v>
      </c>
      <c r="EZ295" s="4">
        <v>1300</v>
      </c>
      <c r="FA295" s="4">
        <v>1296</v>
      </c>
      <c r="FB295" s="4">
        <v>1292</v>
      </c>
      <c r="FC295" s="4">
        <v>1289</v>
      </c>
      <c r="FD295" s="4">
        <v>1286</v>
      </c>
      <c r="FE295" s="4">
        <v>1283</v>
      </c>
      <c r="FF295" s="4">
        <v>1280</v>
      </c>
      <c r="FG295" s="4">
        <v>1277</v>
      </c>
      <c r="FH295" s="4">
        <v>1274</v>
      </c>
      <c r="FI295" s="4">
        <v>1271</v>
      </c>
      <c r="FJ295" s="4">
        <v>1268</v>
      </c>
      <c r="FK295" s="4">
        <v>1265</v>
      </c>
      <c r="FL295" s="4">
        <v>1263</v>
      </c>
      <c r="FM295" s="4">
        <v>1261</v>
      </c>
      <c r="FN295" s="4">
        <v>1259</v>
      </c>
      <c r="FO295" s="4">
        <v>1257</v>
      </c>
      <c r="FP295" s="4">
        <v>1255</v>
      </c>
      <c r="FQ295" s="4">
        <v>1253</v>
      </c>
      <c r="FR295" s="4">
        <v>1251</v>
      </c>
      <c r="FS295" s="4">
        <v>1249</v>
      </c>
      <c r="FT295" s="19">
        <v>167.8</v>
      </c>
      <c r="FU295" s="19">
        <v>330.3</v>
      </c>
      <c r="FV295" s="19">
        <v>329</v>
      </c>
      <c r="FW295" s="19">
        <v>328</v>
      </c>
      <c r="FX295" s="19">
        <v>327</v>
      </c>
      <c r="FY295" s="19">
        <v>326</v>
      </c>
      <c r="FZ295" s="19">
        <v>325</v>
      </c>
      <c r="GA295" s="19">
        <v>432</v>
      </c>
      <c r="GB295" s="19">
        <v>430.7</v>
      </c>
      <c r="GC295" s="19">
        <v>429.7</v>
      </c>
      <c r="GD295" s="19">
        <v>428.7</v>
      </c>
      <c r="GE295" s="19">
        <v>427.7</v>
      </c>
      <c r="GF295" s="19">
        <v>426.7</v>
      </c>
      <c r="GG295" s="19">
        <v>425.7</v>
      </c>
      <c r="GH295" s="19">
        <v>424.7</v>
      </c>
      <c r="GI295" s="19">
        <v>635.5</v>
      </c>
      <c r="GJ295" s="19">
        <v>634</v>
      </c>
      <c r="GK295" s="19">
        <v>632.5</v>
      </c>
      <c r="GL295" s="19">
        <v>631.5</v>
      </c>
      <c r="GM295" s="19">
        <v>630.5</v>
      </c>
      <c r="GN295" s="19">
        <v>629.5</v>
      </c>
      <c r="GO295" s="19">
        <v>628.5</v>
      </c>
      <c r="GP295" s="19">
        <v>627.5</v>
      </c>
      <c r="GQ295" s="19">
        <v>626.5</v>
      </c>
      <c r="GR295" s="19">
        <v>625.5</v>
      </c>
      <c r="GS295" s="19">
        <v>624.5</v>
      </c>
    </row>
    <row r="296">
      <c r="A296" s="2" t="s">
        <v>1844</v>
      </c>
      <c r="B296" s="2" t="s">
        <v>245</v>
      </c>
      <c r="C296" s="2" t="s">
        <v>1625</v>
      </c>
      <c r="D296" s="2" t="s">
        <v>247</v>
      </c>
      <c r="E296" s="2" t="s">
        <v>248</v>
      </c>
      <c r="F296" s="2" t="s">
        <v>1626</v>
      </c>
      <c r="G296" s="2" t="s">
        <v>1626</v>
      </c>
      <c r="H296" s="2" t="s">
        <v>1626</v>
      </c>
      <c r="I296" s="2" t="s">
        <v>1627</v>
      </c>
      <c r="J296" s="2" t="s">
        <v>285</v>
      </c>
      <c r="K296" s="2" t="s">
        <v>1840</v>
      </c>
      <c r="L296" s="3">
        <v>19.57</v>
      </c>
      <c r="M296" s="3">
        <v>20.55</v>
      </c>
      <c r="N296" s="3">
        <v>42.99</v>
      </c>
      <c r="O296" s="2" t="s">
        <v>196</v>
      </c>
      <c r="P296" s="2" t="s">
        <v>197</v>
      </c>
      <c r="Q296" s="2" t="s">
        <v>198</v>
      </c>
      <c r="R296" s="2" t="s">
        <v>199</v>
      </c>
      <c r="S296" s="2" t="s">
        <v>1841</v>
      </c>
      <c r="T296" s="2" t="s">
        <v>1546</v>
      </c>
      <c r="U296" s="2" t="s">
        <v>199</v>
      </c>
      <c r="V296" s="2" t="s">
        <v>202</v>
      </c>
      <c r="W296" s="2" t="s">
        <v>203</v>
      </c>
      <c r="X296" s="2" t="s">
        <v>199</v>
      </c>
      <c r="Y296" s="2" t="s">
        <v>204</v>
      </c>
      <c r="Z296" s="4">
        <v>709</v>
      </c>
      <c r="AA296" s="4">
        <f>=ROUNDDOWN(101.285714285714,0)</f>
      </c>
      <c r="AB296" s="5">
        <v>7</v>
      </c>
      <c r="AC296" s="2" t="s">
        <v>199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199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199</v>
      </c>
      <c r="AW296" s="8" t="s">
        <v>199</v>
      </c>
      <c r="AX296" s="4" t="s">
        <v>199</v>
      </c>
      <c r="AY296" s="8" t="s">
        <v>199</v>
      </c>
      <c r="AZ296" s="7" t="s">
        <v>199</v>
      </c>
      <c r="BA296" s="7" t="s">
        <v>199</v>
      </c>
      <c r="BB296" s="7"/>
      <c r="BC296" s="4" t="s">
        <v>199</v>
      </c>
      <c r="BD296" s="8" t="s">
        <v>199</v>
      </c>
      <c r="BE296" s="4" t="s">
        <v>199</v>
      </c>
      <c r="BF296" s="8" t="s">
        <v>199</v>
      </c>
      <c r="BG296" s="7" t="s">
        <v>199</v>
      </c>
      <c r="BH296" s="7" t="s">
        <v>199</v>
      </c>
      <c r="BI296" s="7"/>
      <c r="BJ296" s="4">
        <v>44</v>
      </c>
      <c r="BK296" s="8">
        <v>976.84</v>
      </c>
      <c r="BL296" s="2" t="s">
        <v>1845</v>
      </c>
      <c r="BM296" s="7"/>
      <c r="BN296" s="7"/>
      <c r="BO296" s="4"/>
      <c r="BP296" s="8"/>
      <c r="BQ296" s="4"/>
      <c r="BR296" s="8"/>
      <c r="BS296" s="7"/>
      <c r="BT296" s="7"/>
      <c r="BU296" s="2" t="s">
        <v>1633</v>
      </c>
      <c r="BV296" s="2" t="s">
        <v>199</v>
      </c>
      <c r="BW296" s="2" t="s">
        <v>199</v>
      </c>
      <c r="BX296" s="2" t="s">
        <v>208</v>
      </c>
      <c r="BY296" s="2" t="s">
        <v>209</v>
      </c>
      <c r="BZ296" s="2" t="s">
        <v>196</v>
      </c>
      <c r="CA296" s="2" t="s">
        <v>1685</v>
      </c>
      <c r="CB296" s="2" t="s">
        <v>1846</v>
      </c>
      <c r="CC296" s="2" t="s">
        <v>212</v>
      </c>
      <c r="CD296" s="2" t="s">
        <v>199</v>
      </c>
      <c r="CE296" s="4">
        <v>401</v>
      </c>
      <c r="CF296" s="4">
        <v>308</v>
      </c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>
        <v>714</v>
      </c>
      <c r="EU296" s="4">
        <v>704</v>
      </c>
      <c r="EV296" s="4">
        <v>700</v>
      </c>
      <c r="EW296" s="4">
        <v>697</v>
      </c>
      <c r="EX296" s="4">
        <v>694</v>
      </c>
      <c r="EY296" s="4">
        <v>690</v>
      </c>
      <c r="EZ296" s="4">
        <v>686</v>
      </c>
      <c r="FA296" s="4">
        <v>682</v>
      </c>
      <c r="FB296" s="4">
        <v>678</v>
      </c>
      <c r="FC296" s="4">
        <v>675</v>
      </c>
      <c r="FD296" s="4">
        <v>672</v>
      </c>
      <c r="FE296" s="4">
        <v>669</v>
      </c>
      <c r="FF296" s="4">
        <v>666</v>
      </c>
      <c r="FG296" s="4">
        <v>663</v>
      </c>
      <c r="FH296" s="4">
        <v>660</v>
      </c>
      <c r="FI296" s="4">
        <v>657</v>
      </c>
      <c r="FJ296" s="4">
        <v>654</v>
      </c>
      <c r="FK296" s="4">
        <v>651</v>
      </c>
      <c r="FL296" s="4">
        <v>649</v>
      </c>
      <c r="FM296" s="4">
        <v>647</v>
      </c>
      <c r="FN296" s="4">
        <v>645</v>
      </c>
      <c r="FO296" s="4">
        <v>643</v>
      </c>
      <c r="FP296" s="4">
        <v>641</v>
      </c>
      <c r="FQ296" s="4">
        <v>639</v>
      </c>
      <c r="FR296" s="4">
        <v>637</v>
      </c>
      <c r="FS296" s="4">
        <v>635</v>
      </c>
      <c r="FT296" s="19">
        <v>142.8</v>
      </c>
      <c r="FU296" s="19">
        <v>176</v>
      </c>
      <c r="FV296" s="19">
        <v>175</v>
      </c>
      <c r="FW296" s="19">
        <v>174.3</v>
      </c>
      <c r="FX296" s="19">
        <v>173.5</v>
      </c>
      <c r="FY296" s="19">
        <v>172.5</v>
      </c>
      <c r="FZ296" s="19">
        <v>171.5</v>
      </c>
      <c r="GA296" s="19">
        <v>227.3</v>
      </c>
      <c r="GB296" s="19">
        <v>226</v>
      </c>
      <c r="GC296" s="19">
        <v>225</v>
      </c>
      <c r="GD296" s="19">
        <v>224</v>
      </c>
      <c r="GE296" s="19">
        <v>223</v>
      </c>
      <c r="GF296" s="19">
        <v>222</v>
      </c>
      <c r="GG296" s="19">
        <v>221</v>
      </c>
      <c r="GH296" s="19">
        <v>220</v>
      </c>
      <c r="GI296" s="19">
        <v>328.5</v>
      </c>
      <c r="GJ296" s="19">
        <v>327</v>
      </c>
      <c r="GK296" s="19">
        <v>325.5</v>
      </c>
      <c r="GL296" s="19">
        <v>324.5</v>
      </c>
      <c r="GM296" s="19">
        <v>323.5</v>
      </c>
      <c r="GN296" s="19">
        <v>322.5</v>
      </c>
      <c r="GO296" s="19">
        <v>321.5</v>
      </c>
      <c r="GP296" s="19">
        <v>320.5</v>
      </c>
      <c r="GQ296" s="19">
        <v>319.5</v>
      </c>
      <c r="GR296" s="19">
        <v>318.5</v>
      </c>
      <c r="GS296" s="19">
        <v>317.5</v>
      </c>
    </row>
    <row r="297">
      <c r="A297" s="2" t="s">
        <v>1847</v>
      </c>
      <c r="B297" s="2" t="s">
        <v>245</v>
      </c>
      <c r="C297" s="2" t="s">
        <v>1625</v>
      </c>
      <c r="D297" s="2" t="s">
        <v>247</v>
      </c>
      <c r="E297" s="2" t="s">
        <v>248</v>
      </c>
      <c r="F297" s="2" t="s">
        <v>1626</v>
      </c>
      <c r="G297" s="2" t="s">
        <v>1626</v>
      </c>
      <c r="H297" s="2" t="s">
        <v>1626</v>
      </c>
      <c r="I297" s="2" t="s">
        <v>1627</v>
      </c>
      <c r="J297" s="2" t="s">
        <v>223</v>
      </c>
      <c r="K297" s="2" t="s">
        <v>1840</v>
      </c>
      <c r="L297" s="3">
        <v>27.39</v>
      </c>
      <c r="M297" s="3">
        <v>28.76</v>
      </c>
      <c r="N297" s="3">
        <v>62.99</v>
      </c>
      <c r="O297" s="2" t="s">
        <v>196</v>
      </c>
      <c r="P297" s="2" t="s">
        <v>197</v>
      </c>
      <c r="Q297" s="2" t="s">
        <v>198</v>
      </c>
      <c r="R297" s="2" t="s">
        <v>199</v>
      </c>
      <c r="S297" s="2" t="s">
        <v>1841</v>
      </c>
      <c r="T297" s="2" t="s">
        <v>1546</v>
      </c>
      <c r="U297" s="2" t="s">
        <v>199</v>
      </c>
      <c r="V297" s="2" t="s">
        <v>202</v>
      </c>
      <c r="W297" s="2" t="s">
        <v>203</v>
      </c>
      <c r="X297" s="2" t="s">
        <v>199</v>
      </c>
      <c r="Y297" s="2" t="s">
        <v>204</v>
      </c>
      <c r="Z297" s="4">
        <v>576</v>
      </c>
      <c r="AA297" s="4">
        <f>=ROUNDDOWN(64,0)</f>
      </c>
      <c r="AB297" s="5">
        <v>9</v>
      </c>
      <c r="AC297" s="2" t="s">
        <v>199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199</v>
      </c>
      <c r="AW297" s="8" t="s">
        <v>199</v>
      </c>
      <c r="AX297" s="4" t="s">
        <v>199</v>
      </c>
      <c r="AY297" s="8" t="s">
        <v>199</v>
      </c>
      <c r="AZ297" s="7" t="s">
        <v>199</v>
      </c>
      <c r="BA297" s="7" t="s">
        <v>199</v>
      </c>
      <c r="BB297" s="7"/>
      <c r="BC297" s="4" t="s">
        <v>199</v>
      </c>
      <c r="BD297" s="8" t="s">
        <v>199</v>
      </c>
      <c r="BE297" s="4" t="s">
        <v>199</v>
      </c>
      <c r="BF297" s="8" t="s">
        <v>199</v>
      </c>
      <c r="BG297" s="7" t="s">
        <v>199</v>
      </c>
      <c r="BH297" s="7" t="s">
        <v>199</v>
      </c>
      <c r="BI297" s="7"/>
      <c r="BJ297" s="4">
        <v>52</v>
      </c>
      <c r="BK297" s="8">
        <v>1550.57</v>
      </c>
      <c r="BL297" s="2" t="s">
        <v>1659</v>
      </c>
      <c r="BM297" s="7"/>
      <c r="BN297" s="7"/>
      <c r="BO297" s="4"/>
      <c r="BP297" s="8"/>
      <c r="BQ297" s="4"/>
      <c r="BR297" s="8"/>
      <c r="BS297" s="7"/>
      <c r="BT297" s="7"/>
      <c r="BU297" s="2" t="s">
        <v>1633</v>
      </c>
      <c r="BV297" s="2" t="s">
        <v>199</v>
      </c>
      <c r="BW297" s="2" t="s">
        <v>199</v>
      </c>
      <c r="BX297" s="2" t="s">
        <v>208</v>
      </c>
      <c r="BY297" s="2" t="s">
        <v>209</v>
      </c>
      <c r="BZ297" s="2" t="s">
        <v>196</v>
      </c>
      <c r="CA297" s="2" t="s">
        <v>1685</v>
      </c>
      <c r="CB297" s="2" t="s">
        <v>281</v>
      </c>
      <c r="CC297" s="2" t="s">
        <v>212</v>
      </c>
      <c r="CD297" s="2" t="s">
        <v>199</v>
      </c>
      <c r="CE297" s="4">
        <v>576</v>
      </c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>
        <v>582</v>
      </c>
      <c r="EU297" s="4">
        <v>570</v>
      </c>
      <c r="EV297" s="4">
        <v>565</v>
      </c>
      <c r="EW297" s="4">
        <v>561</v>
      </c>
      <c r="EX297" s="4">
        <v>557</v>
      </c>
      <c r="EY297" s="4">
        <v>553</v>
      </c>
      <c r="EZ297" s="4">
        <v>549</v>
      </c>
      <c r="FA297" s="4">
        <v>545</v>
      </c>
      <c r="FB297" s="4">
        <v>541</v>
      </c>
      <c r="FC297" s="4">
        <v>536</v>
      </c>
      <c r="FD297" s="4">
        <v>531</v>
      </c>
      <c r="FE297" s="4">
        <v>527</v>
      </c>
      <c r="FF297" s="4">
        <v>523</v>
      </c>
      <c r="FG297" s="4">
        <v>519</v>
      </c>
      <c r="FH297" s="4">
        <v>515</v>
      </c>
      <c r="FI297" s="4">
        <v>511</v>
      </c>
      <c r="FJ297" s="4">
        <v>507</v>
      </c>
      <c r="FK297" s="4">
        <v>503</v>
      </c>
      <c r="FL297" s="4">
        <v>500</v>
      </c>
      <c r="FM297" s="4">
        <v>497</v>
      </c>
      <c r="FN297" s="4">
        <v>494</v>
      </c>
      <c r="FO297" s="4">
        <v>491</v>
      </c>
      <c r="FP297" s="4">
        <v>488</v>
      </c>
      <c r="FQ297" s="4">
        <v>485</v>
      </c>
      <c r="FR297" s="4">
        <v>482</v>
      </c>
      <c r="FS297" s="4">
        <v>479</v>
      </c>
      <c r="FT297" s="19">
        <v>97</v>
      </c>
      <c r="FU297" s="19">
        <v>142.5</v>
      </c>
      <c r="FV297" s="19">
        <v>141.3</v>
      </c>
      <c r="FW297" s="19">
        <v>140.3</v>
      </c>
      <c r="FX297" s="19">
        <v>139.3</v>
      </c>
      <c r="FY297" s="19">
        <v>138.3</v>
      </c>
      <c r="FZ297" s="19">
        <v>137.3</v>
      </c>
      <c r="GA297" s="19">
        <v>136.3</v>
      </c>
      <c r="GB297" s="19">
        <v>135.3</v>
      </c>
      <c r="GC297" s="19">
        <v>134</v>
      </c>
      <c r="GD297" s="19">
        <v>132.8</v>
      </c>
      <c r="GE297" s="19">
        <v>131.8</v>
      </c>
      <c r="GF297" s="19">
        <v>130.8</v>
      </c>
      <c r="GG297" s="19">
        <v>129.8</v>
      </c>
      <c r="GH297" s="19">
        <v>128.8</v>
      </c>
      <c r="GI297" s="19">
        <v>127.8</v>
      </c>
      <c r="GJ297" s="19">
        <v>169</v>
      </c>
      <c r="GK297" s="19">
        <v>167.7</v>
      </c>
      <c r="GL297" s="19">
        <v>166.7</v>
      </c>
      <c r="GM297" s="19">
        <v>165.7</v>
      </c>
      <c r="GN297" s="19">
        <v>164.7</v>
      </c>
      <c r="GO297" s="19">
        <v>163.7</v>
      </c>
      <c r="GP297" s="19">
        <v>162.7</v>
      </c>
      <c r="GQ297" s="19">
        <v>161.7</v>
      </c>
      <c r="GR297" s="19">
        <v>160.7</v>
      </c>
      <c r="GS297" s="19">
        <v>119.8</v>
      </c>
    </row>
    <row r="298">
      <c r="A298" s="2" t="s">
        <v>1848</v>
      </c>
      <c r="B298" s="2" t="s">
        <v>245</v>
      </c>
      <c r="C298" s="2" t="s">
        <v>1625</v>
      </c>
      <c r="D298" s="2" t="s">
        <v>247</v>
      </c>
      <c r="E298" s="2" t="s">
        <v>248</v>
      </c>
      <c r="F298" s="2" t="s">
        <v>1626</v>
      </c>
      <c r="G298" s="2" t="s">
        <v>1626</v>
      </c>
      <c r="H298" s="2" t="s">
        <v>1626</v>
      </c>
      <c r="I298" s="2" t="s">
        <v>1627</v>
      </c>
      <c r="J298" s="2" t="s">
        <v>251</v>
      </c>
      <c r="K298" s="2" t="s">
        <v>1840</v>
      </c>
      <c r="L298" s="3">
        <v>27.39</v>
      </c>
      <c r="M298" s="3">
        <v>28.76</v>
      </c>
      <c r="N298" s="3">
        <v>62.99</v>
      </c>
      <c r="O298" s="2" t="s">
        <v>196</v>
      </c>
      <c r="P298" s="2" t="s">
        <v>197</v>
      </c>
      <c r="Q298" s="2" t="s">
        <v>198</v>
      </c>
      <c r="R298" s="2" t="s">
        <v>199</v>
      </c>
      <c r="S298" s="2" t="s">
        <v>1841</v>
      </c>
      <c r="T298" s="2" t="s">
        <v>1546</v>
      </c>
      <c r="U298" s="2" t="s">
        <v>199</v>
      </c>
      <c r="V298" s="2" t="s">
        <v>202</v>
      </c>
      <c r="W298" s="2" t="s">
        <v>203</v>
      </c>
      <c r="X298" s="2" t="s">
        <v>199</v>
      </c>
      <c r="Y298" s="2" t="s">
        <v>204</v>
      </c>
      <c r="Z298" s="4">
        <v>285</v>
      </c>
      <c r="AA298" s="4">
        <f>=ROUNDDOWN(95,0)</f>
      </c>
      <c r="AB298" s="5">
        <v>3</v>
      </c>
      <c r="AC298" s="2" t="s">
        <v>199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199</v>
      </c>
      <c r="AW298" s="8" t="s">
        <v>199</v>
      </c>
      <c r="AX298" s="4" t="s">
        <v>199</v>
      </c>
      <c r="AY298" s="8" t="s">
        <v>199</v>
      </c>
      <c r="AZ298" s="7" t="s">
        <v>199</v>
      </c>
      <c r="BA298" s="7" t="s">
        <v>199</v>
      </c>
      <c r="BB298" s="7"/>
      <c r="BC298" s="4" t="s">
        <v>199</v>
      </c>
      <c r="BD298" s="8" t="s">
        <v>199</v>
      </c>
      <c r="BE298" s="4" t="s">
        <v>199</v>
      </c>
      <c r="BF298" s="8" t="s">
        <v>199</v>
      </c>
      <c r="BG298" s="7" t="s">
        <v>199</v>
      </c>
      <c r="BH298" s="7" t="s">
        <v>199</v>
      </c>
      <c r="BI298" s="7"/>
      <c r="BJ298" s="4">
        <v>41</v>
      </c>
      <c r="BK298" s="8">
        <v>1205.48</v>
      </c>
      <c r="BL298" s="2" t="s">
        <v>1849</v>
      </c>
      <c r="BM298" s="7"/>
      <c r="BN298" s="7"/>
      <c r="BO298" s="4"/>
      <c r="BP298" s="8"/>
      <c r="BQ298" s="4"/>
      <c r="BR298" s="8"/>
      <c r="BS298" s="7"/>
      <c r="BT298" s="7"/>
      <c r="BU298" s="2" t="s">
        <v>1633</v>
      </c>
      <c r="BV298" s="2" t="s">
        <v>199</v>
      </c>
      <c r="BW298" s="2" t="s">
        <v>199</v>
      </c>
      <c r="BX298" s="2" t="s">
        <v>208</v>
      </c>
      <c r="BY298" s="2" t="s">
        <v>209</v>
      </c>
      <c r="BZ298" s="2" t="s">
        <v>196</v>
      </c>
      <c r="CA298" s="2" t="s">
        <v>1685</v>
      </c>
      <c r="CB298" s="2" t="s">
        <v>1850</v>
      </c>
      <c r="CC298" s="2" t="s">
        <v>212</v>
      </c>
      <c r="CD298" s="2" t="s">
        <v>199</v>
      </c>
      <c r="CE298" s="4">
        <v>149</v>
      </c>
      <c r="CF298" s="4">
        <v>136</v>
      </c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>
        <v>287</v>
      </c>
      <c r="EU298" s="4">
        <v>283</v>
      </c>
      <c r="EV298" s="4">
        <v>281</v>
      </c>
      <c r="EW298" s="4">
        <v>280</v>
      </c>
      <c r="EX298" s="4">
        <v>279</v>
      </c>
      <c r="EY298" s="4">
        <v>278</v>
      </c>
      <c r="EZ298" s="4">
        <v>277</v>
      </c>
      <c r="FA298" s="4">
        <v>276</v>
      </c>
      <c r="FB298" s="4">
        <v>275</v>
      </c>
      <c r="FC298" s="4">
        <v>274</v>
      </c>
      <c r="FD298" s="4">
        <v>273</v>
      </c>
      <c r="FE298" s="4">
        <v>272</v>
      </c>
      <c r="FF298" s="4">
        <v>271</v>
      </c>
      <c r="FG298" s="4">
        <v>270</v>
      </c>
      <c r="FH298" s="4">
        <v>269</v>
      </c>
      <c r="FI298" s="4">
        <v>268</v>
      </c>
      <c r="FJ298" s="4">
        <v>267</v>
      </c>
      <c r="FK298" s="4">
        <v>266</v>
      </c>
      <c r="FL298" s="4">
        <v>265</v>
      </c>
      <c r="FM298" s="4">
        <v>264</v>
      </c>
      <c r="FN298" s="4">
        <v>263</v>
      </c>
      <c r="FO298" s="4">
        <v>262</v>
      </c>
      <c r="FP298" s="4">
        <v>261</v>
      </c>
      <c r="FQ298" s="4">
        <v>260</v>
      </c>
      <c r="FR298" s="4">
        <v>259</v>
      </c>
      <c r="FS298" s="4">
        <v>258</v>
      </c>
      <c r="FT298" s="19">
        <v>143.5</v>
      </c>
      <c r="FU298" s="19">
        <v>283</v>
      </c>
      <c r="FV298" s="19">
        <v>281</v>
      </c>
      <c r="FW298" s="19">
        <v>280</v>
      </c>
      <c r="FX298" s="19">
        <v>279</v>
      </c>
      <c r="FY298" s="19">
        <v>278</v>
      </c>
      <c r="FZ298" s="19">
        <v>277</v>
      </c>
      <c r="GA298" s="19">
        <v>276</v>
      </c>
      <c r="GB298" s="19">
        <v>275</v>
      </c>
      <c r="GC298" s="19">
        <v>274</v>
      </c>
      <c r="GD298" s="19">
        <v>273</v>
      </c>
      <c r="GE298" s="19">
        <v>272</v>
      </c>
      <c r="GF298" s="19">
        <v>271</v>
      </c>
      <c r="GG298" s="19">
        <v>270</v>
      </c>
      <c r="GH298" s="19">
        <v>269</v>
      </c>
      <c r="GI298" s="19">
        <v>268</v>
      </c>
      <c r="GJ298" s="19">
        <v>267</v>
      </c>
      <c r="GK298" s="19">
        <v>266</v>
      </c>
      <c r="GL298" s="19">
        <v>265</v>
      </c>
      <c r="GM298" s="19">
        <v>264</v>
      </c>
      <c r="GN298" s="19">
        <v>263</v>
      </c>
      <c r="GO298" s="19">
        <v>262</v>
      </c>
      <c r="GP298" s="19">
        <v>261</v>
      </c>
      <c r="GQ298" s="19">
        <v>260</v>
      </c>
      <c r="GR298" s="19">
        <v>259</v>
      </c>
      <c r="GS298" s="19">
        <v>258</v>
      </c>
    </row>
    <row r="299">
      <c r="A299" s="2" t="s">
        <v>1851</v>
      </c>
      <c r="B299" s="2" t="s">
        <v>245</v>
      </c>
      <c r="C299" s="2" t="s">
        <v>1007</v>
      </c>
      <c r="D299" s="2" t="s">
        <v>247</v>
      </c>
      <c r="E299" s="2" t="s">
        <v>248</v>
      </c>
      <c r="F299" s="2" t="s">
        <v>1852</v>
      </c>
      <c r="G299" s="2" t="s">
        <v>1852</v>
      </c>
      <c r="H299" s="2" t="s">
        <v>1852</v>
      </c>
      <c r="I299" s="2" t="s">
        <v>1853</v>
      </c>
      <c r="J299" s="2" t="s">
        <v>194</v>
      </c>
      <c r="K299" s="2" t="s">
        <v>1854</v>
      </c>
      <c r="L299" s="3">
        <v>14.89</v>
      </c>
      <c r="M299" s="3">
        <v>15.63</v>
      </c>
      <c r="N299" s="3">
        <v>31.99</v>
      </c>
      <c r="O299" s="2" t="s">
        <v>196</v>
      </c>
      <c r="P299" s="2" t="s">
        <v>197</v>
      </c>
      <c r="Q299" s="2" t="s">
        <v>198</v>
      </c>
      <c r="R299" s="2" t="s">
        <v>199</v>
      </c>
      <c r="S299" s="2" t="s">
        <v>1855</v>
      </c>
      <c r="T299" s="2" t="s">
        <v>1546</v>
      </c>
      <c r="U299" s="2" t="s">
        <v>637</v>
      </c>
      <c r="V299" s="2" t="s">
        <v>900</v>
      </c>
      <c r="W299" s="2" t="s">
        <v>203</v>
      </c>
      <c r="X299" s="2" t="s">
        <v>623</v>
      </c>
      <c r="Y299" s="2" t="s">
        <v>1856</v>
      </c>
      <c r="Z299" s="4">
        <v>373</v>
      </c>
      <c r="AA299" s="4">
        <f>=ROUNDDOWN(15.5416666666667,0)</f>
      </c>
      <c r="AB299" s="5">
        <v>24</v>
      </c>
      <c r="AC299" s="2" t="s">
        <v>199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199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199</v>
      </c>
      <c r="BD299" s="8" t="s">
        <v>199</v>
      </c>
      <c r="BE299" s="4" t="s">
        <v>199</v>
      </c>
      <c r="BF299" s="8" t="s">
        <v>199</v>
      </c>
      <c r="BG299" s="7" t="s">
        <v>199</v>
      </c>
      <c r="BH299" s="7" t="s">
        <v>199</v>
      </c>
      <c r="BI299" s="7"/>
      <c r="BJ299" s="4">
        <v>265</v>
      </c>
      <c r="BK299" s="8">
        <v>4608.64</v>
      </c>
      <c r="BL299" s="2" t="s">
        <v>1857</v>
      </c>
      <c r="BM299" s="7"/>
      <c r="BN299" s="7"/>
      <c r="BO299" s="4"/>
      <c r="BP299" s="8"/>
      <c r="BQ299" s="4"/>
      <c r="BR299" s="8"/>
      <c r="BS299" s="7"/>
      <c r="BT299" s="7"/>
      <c r="BU299" s="2" t="s">
        <v>1858</v>
      </c>
      <c r="BV299" s="2" t="s">
        <v>199</v>
      </c>
      <c r="BW299" s="2" t="s">
        <v>199</v>
      </c>
      <c r="BX299" s="2" t="s">
        <v>208</v>
      </c>
      <c r="BY299" s="2" t="s">
        <v>209</v>
      </c>
      <c r="BZ299" s="2" t="s">
        <v>196</v>
      </c>
      <c r="CA299" s="2" t="s">
        <v>1859</v>
      </c>
      <c r="CB299" s="2" t="s">
        <v>1860</v>
      </c>
      <c r="CC299" s="2" t="s">
        <v>212</v>
      </c>
      <c r="CD299" s="2" t="s">
        <v>199</v>
      </c>
      <c r="CE299" s="4">
        <v>373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>
        <v>380</v>
      </c>
      <c r="EU299" s="4">
        <v>312</v>
      </c>
      <c r="EV299" s="4">
        <v>295</v>
      </c>
      <c r="EW299" s="4">
        <v>281</v>
      </c>
      <c r="EX299" s="4">
        <v>267</v>
      </c>
      <c r="EY299" s="4">
        <v>251</v>
      </c>
      <c r="EZ299" s="4">
        <v>235</v>
      </c>
      <c r="FA299" s="4">
        <v>219</v>
      </c>
      <c r="FB299" s="4">
        <v>203</v>
      </c>
      <c r="FC299" s="4">
        <v>190</v>
      </c>
      <c r="FD299" s="4">
        <v>177</v>
      </c>
      <c r="FE299" s="4">
        <v>165</v>
      </c>
      <c r="FF299" s="4">
        <v>153</v>
      </c>
      <c r="FG299" s="4">
        <v>141</v>
      </c>
      <c r="FH299" s="4">
        <v>129</v>
      </c>
      <c r="FI299" s="4">
        <v>117</v>
      </c>
      <c r="FJ299" s="4">
        <v>105</v>
      </c>
      <c r="FK299" s="4">
        <v>93</v>
      </c>
      <c r="FL299" s="4">
        <v>83</v>
      </c>
      <c r="FM299" s="4">
        <v>120</v>
      </c>
      <c r="FN299" s="4">
        <v>110</v>
      </c>
      <c r="FO299" s="4">
        <v>100</v>
      </c>
      <c r="FP299" s="4">
        <v>90</v>
      </c>
      <c r="FQ299" s="4">
        <v>80</v>
      </c>
      <c r="FR299" s="4">
        <v>70</v>
      </c>
      <c r="FS299" s="4">
        <v>60</v>
      </c>
      <c r="FT299" s="19">
        <v>13.6</v>
      </c>
      <c r="FU299" s="19">
        <v>20.8</v>
      </c>
      <c r="FV299" s="19">
        <v>19.7</v>
      </c>
      <c r="FW299" s="19">
        <v>17.6</v>
      </c>
      <c r="FX299" s="19">
        <v>16.7</v>
      </c>
      <c r="FY299" s="19">
        <v>16.7</v>
      </c>
      <c r="FZ299" s="19">
        <v>16.8</v>
      </c>
      <c r="GA299" s="19">
        <v>15.6</v>
      </c>
      <c r="GB299" s="19">
        <v>16.9</v>
      </c>
      <c r="GC299" s="19">
        <v>15.8</v>
      </c>
      <c r="GD299" s="19">
        <v>14.8</v>
      </c>
      <c r="GE299" s="19">
        <v>13.8</v>
      </c>
      <c r="GF299" s="19">
        <v>12.8</v>
      </c>
      <c r="GG299" s="19">
        <v>11.8</v>
      </c>
      <c r="GH299" s="19">
        <v>10.8</v>
      </c>
      <c r="GI299" s="19">
        <v>10.6</v>
      </c>
      <c r="GJ299" s="19">
        <v>10.5</v>
      </c>
      <c r="GK299" s="19">
        <v>9.3</v>
      </c>
      <c r="GL299" s="19">
        <v>8.3</v>
      </c>
      <c r="GM299" s="19">
        <v>12</v>
      </c>
      <c r="GN299" s="19">
        <v>11</v>
      </c>
      <c r="GO299" s="19">
        <v>10</v>
      </c>
      <c r="GP299" s="19">
        <v>9</v>
      </c>
      <c r="GQ299" s="19">
        <v>8</v>
      </c>
      <c r="GR299" s="19">
        <v>7</v>
      </c>
      <c r="GS299" s="19">
        <v>6</v>
      </c>
    </row>
    <row r="300">
      <c r="A300" s="2" t="s">
        <v>1861</v>
      </c>
      <c r="B300" s="2" t="s">
        <v>245</v>
      </c>
      <c r="C300" s="2" t="s">
        <v>1007</v>
      </c>
      <c r="D300" s="2" t="s">
        <v>247</v>
      </c>
      <c r="E300" s="2" t="s">
        <v>248</v>
      </c>
      <c r="F300" s="2" t="s">
        <v>1852</v>
      </c>
      <c r="G300" s="2" t="s">
        <v>1852</v>
      </c>
      <c r="H300" s="2" t="s">
        <v>1852</v>
      </c>
      <c r="I300" s="2" t="s">
        <v>1853</v>
      </c>
      <c r="J300" s="2" t="s">
        <v>214</v>
      </c>
      <c r="K300" s="2" t="s">
        <v>1862</v>
      </c>
      <c r="L300" s="3">
        <v>15.22</v>
      </c>
      <c r="M300" s="3">
        <v>15.98</v>
      </c>
      <c r="N300" s="3">
        <v>32.99</v>
      </c>
      <c r="O300" s="2" t="s">
        <v>196</v>
      </c>
      <c r="P300" s="2" t="s">
        <v>517</v>
      </c>
      <c r="Q300" s="2" t="s">
        <v>198</v>
      </c>
      <c r="R300" s="2" t="s">
        <v>199</v>
      </c>
      <c r="S300" s="2" t="s">
        <v>1863</v>
      </c>
      <c r="T300" s="2" t="s">
        <v>1546</v>
      </c>
      <c r="U300" s="2" t="s">
        <v>637</v>
      </c>
      <c r="V300" s="2" t="s">
        <v>1547</v>
      </c>
      <c r="W300" s="2" t="s">
        <v>203</v>
      </c>
      <c r="X300" s="2" t="s">
        <v>623</v>
      </c>
      <c r="Y300" s="2" t="s">
        <v>1864</v>
      </c>
      <c r="Z300" s="4">
        <v>210</v>
      </c>
      <c r="AA300" s="4">
        <f>=ROUNDDOWN(4.11764705882353,0)</f>
      </c>
      <c r="AB300" s="5">
        <v>51</v>
      </c>
      <c r="AC300" s="2" t="s">
        <v>1865</v>
      </c>
      <c r="AD300" s="4">
        <v>263</v>
      </c>
      <c r="AE300" s="4">
        <v>263</v>
      </c>
      <c r="AF300" s="6">
        <v>65</v>
      </c>
      <c r="AG300" s="6"/>
      <c r="AH300" s="7">
        <v>0.9032</v>
      </c>
      <c r="AI300" s="4"/>
      <c r="AJ300" s="4">
        <f>=ROUNDDOWN({0},0)</f>
      </c>
      <c r="AK300" s="5"/>
      <c r="AL300" s="2" t="s">
        <v>199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199</v>
      </c>
      <c r="BD300" s="8" t="s">
        <v>199</v>
      </c>
      <c r="BE300" s="4" t="s">
        <v>199</v>
      </c>
      <c r="BF300" s="8" t="s">
        <v>199</v>
      </c>
      <c r="BG300" s="7" t="s">
        <v>199</v>
      </c>
      <c r="BH300" s="7" t="s">
        <v>199</v>
      </c>
      <c r="BI300" s="7"/>
      <c r="BJ300" s="4">
        <v>53</v>
      </c>
      <c r="BK300" s="8">
        <v>947.51</v>
      </c>
      <c r="BL300" s="2" t="s">
        <v>1866</v>
      </c>
      <c r="BM300" s="7"/>
      <c r="BN300" s="7"/>
      <c r="BO300" s="4"/>
      <c r="BP300" s="8"/>
      <c r="BQ300" s="4"/>
      <c r="BR300" s="8"/>
      <c r="BS300" s="7"/>
      <c r="BT300" s="7"/>
      <c r="BU300" s="2" t="s">
        <v>1858</v>
      </c>
      <c r="BV300" s="2" t="s">
        <v>199</v>
      </c>
      <c r="BW300" s="2" t="s">
        <v>199</v>
      </c>
      <c r="BX300" s="2" t="s">
        <v>208</v>
      </c>
      <c r="BY300" s="2" t="s">
        <v>209</v>
      </c>
      <c r="BZ300" s="2" t="s">
        <v>196</v>
      </c>
      <c r="CA300" s="2" t="s">
        <v>1867</v>
      </c>
      <c r="CB300" s="2" t="s">
        <v>1868</v>
      </c>
      <c r="CC300" s="2" t="s">
        <v>212</v>
      </c>
      <c r="CD300" s="2" t="s">
        <v>199</v>
      </c>
      <c r="CE300" s="4">
        <v>210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>
        <v>263</v>
      </c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>
        <v>222</v>
      </c>
      <c r="EU300" s="4">
        <v>210</v>
      </c>
      <c r="EV300" s="4">
        <v>206</v>
      </c>
      <c r="EW300" s="4">
        <v>451</v>
      </c>
      <c r="EX300" s="4">
        <v>424</v>
      </c>
      <c r="EY300" s="4">
        <v>396</v>
      </c>
      <c r="EZ300" s="4">
        <v>368</v>
      </c>
      <c r="FA300" s="4">
        <v>340</v>
      </c>
      <c r="FB300" s="4">
        <v>312</v>
      </c>
      <c r="FC300" s="4">
        <v>286</v>
      </c>
      <c r="FD300" s="4">
        <v>260</v>
      </c>
      <c r="FE300" s="4">
        <v>238</v>
      </c>
      <c r="FF300" s="4">
        <v>216</v>
      </c>
      <c r="FG300" s="4">
        <v>194</v>
      </c>
      <c r="FH300" s="4">
        <v>172</v>
      </c>
      <c r="FI300" s="4">
        <v>150</v>
      </c>
      <c r="FJ300" s="4">
        <v>128</v>
      </c>
      <c r="FK300" s="4">
        <v>106</v>
      </c>
      <c r="FL300" s="4">
        <v>86</v>
      </c>
      <c r="FM300" s="4">
        <v>596</v>
      </c>
      <c r="FN300" s="4">
        <v>576</v>
      </c>
      <c r="FO300" s="4">
        <v>556</v>
      </c>
      <c r="FP300" s="4">
        <v>536</v>
      </c>
      <c r="FQ300" s="4">
        <v>516</v>
      </c>
      <c r="FR300" s="4">
        <v>496</v>
      </c>
      <c r="FS300" s="4">
        <v>476</v>
      </c>
      <c r="FT300" s="19">
        <v>14.8</v>
      </c>
      <c r="FU300" s="19">
        <v>11.1</v>
      </c>
      <c r="FV300" s="19">
        <v>8.2</v>
      </c>
      <c r="FW300" s="19">
        <v>16.1</v>
      </c>
      <c r="FX300" s="19">
        <v>15.1</v>
      </c>
      <c r="FY300" s="19">
        <v>14.1</v>
      </c>
      <c r="FZ300" s="19">
        <v>13.6</v>
      </c>
      <c r="GA300" s="9"/>
      <c r="GB300" s="9"/>
      <c r="GC300" s="19">
        <v>12.4</v>
      </c>
      <c r="GD300" s="19">
        <v>11.8</v>
      </c>
      <c r="GE300" s="19">
        <v>10.8</v>
      </c>
      <c r="GF300" s="19">
        <v>9.8</v>
      </c>
      <c r="GG300" s="19">
        <v>8.8</v>
      </c>
      <c r="GH300" s="19">
        <v>7.8</v>
      </c>
      <c r="GI300" s="19">
        <v>7.1</v>
      </c>
      <c r="GJ300" s="19">
        <v>6.4</v>
      </c>
      <c r="GK300" s="19">
        <v>5.3</v>
      </c>
      <c r="GL300" s="19">
        <v>4.3</v>
      </c>
      <c r="GM300" s="19">
        <v>29.8</v>
      </c>
      <c r="GN300" s="19">
        <v>28.8</v>
      </c>
      <c r="GO300" s="19">
        <v>27.8</v>
      </c>
      <c r="GP300" s="19">
        <v>26.8</v>
      </c>
      <c r="GQ300" s="19">
        <v>25.8</v>
      </c>
      <c r="GR300" s="19">
        <v>23.6</v>
      </c>
      <c r="GS300" s="19">
        <v>21.6</v>
      </c>
    </row>
    <row r="301">
      <c r="A301" s="2" t="s">
        <v>1869</v>
      </c>
      <c r="B301" s="2" t="s">
        <v>245</v>
      </c>
      <c r="C301" s="2" t="s">
        <v>1007</v>
      </c>
      <c r="D301" s="2" t="s">
        <v>247</v>
      </c>
      <c r="E301" s="2" t="s">
        <v>248</v>
      </c>
      <c r="F301" s="2" t="s">
        <v>1852</v>
      </c>
      <c r="G301" s="2" t="s">
        <v>1852</v>
      </c>
      <c r="H301" s="2" t="s">
        <v>1852</v>
      </c>
      <c r="I301" s="2" t="s">
        <v>1853</v>
      </c>
      <c r="J301" s="2" t="s">
        <v>194</v>
      </c>
      <c r="K301" s="2" t="s">
        <v>1870</v>
      </c>
      <c r="L301" s="3">
        <v>14.89</v>
      </c>
      <c r="M301" s="3">
        <v>15.63</v>
      </c>
      <c r="N301" s="3">
        <v>31.99</v>
      </c>
      <c r="O301" s="2" t="s">
        <v>196</v>
      </c>
      <c r="P301" s="2" t="s">
        <v>197</v>
      </c>
      <c r="Q301" s="2" t="s">
        <v>198</v>
      </c>
      <c r="R301" s="2" t="s">
        <v>199</v>
      </c>
      <c r="S301" s="2" t="s">
        <v>1871</v>
      </c>
      <c r="T301" s="2" t="s">
        <v>1546</v>
      </c>
      <c r="U301" s="2" t="s">
        <v>637</v>
      </c>
      <c r="V301" s="2" t="s">
        <v>1547</v>
      </c>
      <c r="W301" s="2" t="s">
        <v>203</v>
      </c>
      <c r="X301" s="2" t="s">
        <v>623</v>
      </c>
      <c r="Y301" s="2" t="s">
        <v>1864</v>
      </c>
      <c r="Z301" s="4"/>
      <c r="AA301" s="4">
        <f>=ROUNDDOWN({0},0)</f>
      </c>
      <c r="AB301" s="5">
        <v>39</v>
      </c>
      <c r="AC301" s="2" t="s">
        <v>199</v>
      </c>
      <c r="AD301" s="4"/>
      <c r="AE301" s="4"/>
      <c r="AF301" s="6">
        <v>65</v>
      </c>
      <c r="AG301" s="6"/>
      <c r="AH301" s="7">
        <v>0.7742</v>
      </c>
      <c r="AI301" s="4"/>
      <c r="AJ301" s="4">
        <f>=ROUNDDOWN({0},0)</f>
      </c>
      <c r="AK301" s="5"/>
      <c r="AL301" s="2" t="s">
        <v>199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199</v>
      </c>
      <c r="BD301" s="8" t="s">
        <v>199</v>
      </c>
      <c r="BE301" s="4" t="s">
        <v>199</v>
      </c>
      <c r="BF301" s="8" t="s">
        <v>199</v>
      </c>
      <c r="BG301" s="7" t="s">
        <v>199</v>
      </c>
      <c r="BH301" s="7" t="s">
        <v>199</v>
      </c>
      <c r="BI301" s="7"/>
      <c r="BJ301" s="4">
        <v>78</v>
      </c>
      <c r="BK301" s="8">
        <v>1377.57</v>
      </c>
      <c r="BL301" s="2" t="s">
        <v>1872</v>
      </c>
      <c r="BM301" s="7"/>
      <c r="BN301" s="7"/>
      <c r="BO301" s="4"/>
      <c r="BP301" s="8"/>
      <c r="BQ301" s="4"/>
      <c r="BR301" s="8"/>
      <c r="BS301" s="7"/>
      <c r="BT301" s="7"/>
      <c r="BU301" s="2" t="s">
        <v>1858</v>
      </c>
      <c r="BV301" s="2" t="s">
        <v>199</v>
      </c>
      <c r="BW301" s="2" t="s">
        <v>199</v>
      </c>
      <c r="BX301" s="2" t="s">
        <v>208</v>
      </c>
      <c r="BY301" s="2" t="s">
        <v>209</v>
      </c>
      <c r="BZ301" s="2" t="s">
        <v>196</v>
      </c>
      <c r="CA301" s="2" t="s">
        <v>1867</v>
      </c>
      <c r="CB301" s="2" t="s">
        <v>277</v>
      </c>
      <c r="CC301" s="2" t="s">
        <v>212</v>
      </c>
      <c r="CD301" s="2" t="s">
        <v>199</v>
      </c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>
        <v>214</v>
      </c>
      <c r="FN301" s="4">
        <v>128</v>
      </c>
      <c r="FO301" s="4">
        <v>112</v>
      </c>
      <c r="FP301" s="4">
        <v>96</v>
      </c>
      <c r="FQ301" s="4">
        <v>156</v>
      </c>
      <c r="FR301" s="4">
        <v>140</v>
      </c>
      <c r="FS301" s="4">
        <v>124</v>
      </c>
      <c r="FT301" s="20">
        <v>0</v>
      </c>
      <c r="FU301" s="20">
        <v>0</v>
      </c>
      <c r="FV301" s="20">
        <v>0</v>
      </c>
      <c r="FW301" s="20">
        <v>0</v>
      </c>
      <c r="FX301" s="20">
        <v>0</v>
      </c>
      <c r="FY301" s="20">
        <v>0</v>
      </c>
      <c r="FZ301" s="20">
        <v>0</v>
      </c>
      <c r="GA301" s="20">
        <v>0</v>
      </c>
      <c r="GB301" s="20">
        <v>0</v>
      </c>
      <c r="GC301" s="20">
        <v>0</v>
      </c>
      <c r="GD301" s="20">
        <v>0</v>
      </c>
      <c r="GE301" s="20">
        <v>0</v>
      </c>
      <c r="GF301" s="20">
        <v>0</v>
      </c>
      <c r="GG301" s="20">
        <v>0</v>
      </c>
      <c r="GH301" s="20">
        <v>0</v>
      </c>
      <c r="GI301" s="20">
        <v>0</v>
      </c>
      <c r="GJ301" s="20">
        <v>0</v>
      </c>
      <c r="GK301" s="20">
        <v>0</v>
      </c>
      <c r="GL301" s="20">
        <v>0</v>
      </c>
      <c r="GM301" s="19">
        <v>6.3</v>
      </c>
      <c r="GN301" s="19">
        <v>8</v>
      </c>
      <c r="GO301" s="19">
        <v>7</v>
      </c>
      <c r="GP301" s="19">
        <v>6</v>
      </c>
      <c r="GQ301" s="19">
        <v>9.8</v>
      </c>
      <c r="GR301" s="19">
        <v>8.8</v>
      </c>
      <c r="GS301" s="19">
        <v>7.3</v>
      </c>
    </row>
    <row r="302">
      <c r="A302" s="2" t="s">
        <v>1873</v>
      </c>
      <c r="B302" s="2" t="s">
        <v>245</v>
      </c>
      <c r="C302" s="2" t="s">
        <v>1007</v>
      </c>
      <c r="D302" s="2" t="s">
        <v>247</v>
      </c>
      <c r="E302" s="2" t="s">
        <v>248</v>
      </c>
      <c r="F302" s="2" t="s">
        <v>1852</v>
      </c>
      <c r="G302" s="2" t="s">
        <v>1852</v>
      </c>
      <c r="H302" s="2" t="s">
        <v>1852</v>
      </c>
      <c r="I302" s="2" t="s">
        <v>1853</v>
      </c>
      <c r="J302" s="2" t="s">
        <v>219</v>
      </c>
      <c r="K302" s="2" t="s">
        <v>1874</v>
      </c>
      <c r="L302" s="3">
        <v>21.27</v>
      </c>
      <c r="M302" s="3">
        <v>22.33</v>
      </c>
      <c r="N302" s="3">
        <v>47.99</v>
      </c>
      <c r="O302" s="2" t="s">
        <v>196</v>
      </c>
      <c r="P302" s="2" t="s">
        <v>197</v>
      </c>
      <c r="Q302" s="2" t="s">
        <v>198</v>
      </c>
      <c r="R302" s="2" t="s">
        <v>199</v>
      </c>
      <c r="S302" s="2" t="s">
        <v>1875</v>
      </c>
      <c r="T302" s="2" t="s">
        <v>1546</v>
      </c>
      <c r="U302" s="2" t="s">
        <v>254</v>
      </c>
      <c r="V302" s="2" t="s">
        <v>1547</v>
      </c>
      <c r="W302" s="2" t="s">
        <v>203</v>
      </c>
      <c r="X302" s="2" t="s">
        <v>623</v>
      </c>
      <c r="Y302" s="2" t="s">
        <v>1864</v>
      </c>
      <c r="Z302" s="4"/>
      <c r="AA302" s="4">
        <f>=ROUNDDOWN({0},0)</f>
      </c>
      <c r="AB302" s="5">
        <v>32</v>
      </c>
      <c r="AC302" s="2" t="s">
        <v>199</v>
      </c>
      <c r="AD302" s="4"/>
      <c r="AE302" s="4"/>
      <c r="AF302" s="6">
        <v>65</v>
      </c>
      <c r="AG302" s="6"/>
      <c r="AH302" s="7">
        <v>0.7742</v>
      </c>
      <c r="AI302" s="4"/>
      <c r="AJ302" s="4">
        <f>=ROUNDDOWN({0},0)</f>
      </c>
      <c r="AK302" s="5"/>
      <c r="AL302" s="2" t="s">
        <v>199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199</v>
      </c>
      <c r="BD302" s="8" t="s">
        <v>199</v>
      </c>
      <c r="BE302" s="4" t="s">
        <v>199</v>
      </c>
      <c r="BF302" s="8" t="s">
        <v>199</v>
      </c>
      <c r="BG302" s="7" t="s">
        <v>199</v>
      </c>
      <c r="BH302" s="7" t="s">
        <v>199</v>
      </c>
      <c r="BI302" s="7"/>
      <c r="BJ302" s="4">
        <v>78</v>
      </c>
      <c r="BK302" s="8">
        <v>1950</v>
      </c>
      <c r="BL302" s="2" t="s">
        <v>684</v>
      </c>
      <c r="BM302" s="7"/>
      <c r="BN302" s="7"/>
      <c r="BO302" s="4"/>
      <c r="BP302" s="8"/>
      <c r="BQ302" s="4"/>
      <c r="BR302" s="8"/>
      <c r="BS302" s="7"/>
      <c r="BT302" s="7"/>
      <c r="BU302" s="2" t="s">
        <v>1858</v>
      </c>
      <c r="BV302" s="2" t="s">
        <v>199</v>
      </c>
      <c r="BW302" s="2" t="s">
        <v>199</v>
      </c>
      <c r="BX302" s="2" t="s">
        <v>208</v>
      </c>
      <c r="BY302" s="2" t="s">
        <v>209</v>
      </c>
      <c r="BZ302" s="2" t="s">
        <v>196</v>
      </c>
      <c r="CA302" s="2" t="s">
        <v>1867</v>
      </c>
      <c r="CB302" s="2" t="s">
        <v>1634</v>
      </c>
      <c r="CC302" s="2" t="s">
        <v>212</v>
      </c>
      <c r="CD302" s="2" t="s">
        <v>199</v>
      </c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>
        <v>315</v>
      </c>
      <c r="FN302" s="4">
        <v>281</v>
      </c>
      <c r="FO302" s="4">
        <v>268</v>
      </c>
      <c r="FP302" s="4">
        <v>255</v>
      </c>
      <c r="FQ302" s="4">
        <v>242</v>
      </c>
      <c r="FR302" s="4">
        <v>229</v>
      </c>
      <c r="FS302" s="4">
        <v>216</v>
      </c>
      <c r="FT302" s="20">
        <v>0</v>
      </c>
      <c r="FU302" s="20">
        <v>0</v>
      </c>
      <c r="FV302" s="20">
        <v>0</v>
      </c>
      <c r="FW302" s="20">
        <v>0</v>
      </c>
      <c r="FX302" s="20">
        <v>0</v>
      </c>
      <c r="FY302" s="20">
        <v>0</v>
      </c>
      <c r="FZ302" s="20">
        <v>0</v>
      </c>
      <c r="GA302" s="20">
        <v>0</v>
      </c>
      <c r="GB302" s="20">
        <v>0</v>
      </c>
      <c r="GC302" s="20">
        <v>0</v>
      </c>
      <c r="GD302" s="20">
        <v>0</v>
      </c>
      <c r="GE302" s="20">
        <v>0</v>
      </c>
      <c r="GF302" s="20">
        <v>0</v>
      </c>
      <c r="GG302" s="20">
        <v>0</v>
      </c>
      <c r="GH302" s="20">
        <v>0</v>
      </c>
      <c r="GI302" s="20">
        <v>0</v>
      </c>
      <c r="GJ302" s="20">
        <v>0</v>
      </c>
      <c r="GK302" s="20">
        <v>0</v>
      </c>
      <c r="GL302" s="20">
        <v>0</v>
      </c>
      <c r="GM302" s="19">
        <v>17.5</v>
      </c>
      <c r="GN302" s="19">
        <v>21.6</v>
      </c>
      <c r="GO302" s="19">
        <v>20.6</v>
      </c>
      <c r="GP302" s="19">
        <v>19.6</v>
      </c>
      <c r="GQ302" s="19">
        <v>18.6</v>
      </c>
      <c r="GR302" s="19">
        <v>17.6</v>
      </c>
      <c r="GS302" s="19">
        <v>15.4</v>
      </c>
    </row>
    <row r="303">
      <c r="A303" s="2" t="s">
        <v>1876</v>
      </c>
      <c r="B303" s="2" t="s">
        <v>245</v>
      </c>
      <c r="C303" s="2" t="s">
        <v>1007</v>
      </c>
      <c r="D303" s="2" t="s">
        <v>247</v>
      </c>
      <c r="E303" s="2" t="s">
        <v>248</v>
      </c>
      <c r="F303" s="2" t="s">
        <v>1852</v>
      </c>
      <c r="G303" s="2" t="s">
        <v>1852</v>
      </c>
      <c r="H303" s="2" t="s">
        <v>1852</v>
      </c>
      <c r="I303" s="2" t="s">
        <v>1853</v>
      </c>
      <c r="J303" s="2" t="s">
        <v>285</v>
      </c>
      <c r="K303" s="2" t="s">
        <v>1877</v>
      </c>
      <c r="L303" s="3">
        <v>19.13</v>
      </c>
      <c r="M303" s="3">
        <v>20.09</v>
      </c>
      <c r="N303" s="3">
        <v>42.99</v>
      </c>
      <c r="O303" s="2" t="s">
        <v>196</v>
      </c>
      <c r="P303" s="2" t="s">
        <v>197</v>
      </c>
      <c r="Q303" s="2" t="s">
        <v>198</v>
      </c>
      <c r="R303" s="2" t="s">
        <v>199</v>
      </c>
      <c r="S303" s="2" t="s">
        <v>1878</v>
      </c>
      <c r="T303" s="2" t="s">
        <v>1546</v>
      </c>
      <c r="U303" s="2" t="s">
        <v>254</v>
      </c>
      <c r="V303" s="2" t="s">
        <v>1547</v>
      </c>
      <c r="W303" s="2" t="s">
        <v>203</v>
      </c>
      <c r="X303" s="2" t="s">
        <v>623</v>
      </c>
      <c r="Y303" s="2" t="s">
        <v>1864</v>
      </c>
      <c r="Z303" s="4">
        <v>75</v>
      </c>
      <c r="AA303" s="4">
        <f>=ROUNDDOWN(5,0)</f>
      </c>
      <c r="AB303" s="5">
        <v>15</v>
      </c>
      <c r="AC303" s="2" t="s">
        <v>199</v>
      </c>
      <c r="AD303" s="4"/>
      <c r="AE303" s="4"/>
      <c r="AF303" s="6">
        <v>65</v>
      </c>
      <c r="AG303" s="6"/>
      <c r="AH303" s="7">
        <v>0.9032</v>
      </c>
      <c r="AI303" s="4"/>
      <c r="AJ303" s="4">
        <f>=ROUNDDOWN({0},0)</f>
      </c>
      <c r="AK303" s="5"/>
      <c r="AL303" s="2" t="s">
        <v>199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199</v>
      </c>
      <c r="BD303" s="8" t="s">
        <v>199</v>
      </c>
      <c r="BE303" s="4" t="s">
        <v>199</v>
      </c>
      <c r="BF303" s="8" t="s">
        <v>199</v>
      </c>
      <c r="BG303" s="7" t="s">
        <v>199</v>
      </c>
      <c r="BH303" s="7" t="s">
        <v>199</v>
      </c>
      <c r="BI303" s="7"/>
      <c r="BJ303" s="4">
        <v>69</v>
      </c>
      <c r="BK303" s="8">
        <v>1538.36</v>
      </c>
      <c r="BL303" s="2" t="s">
        <v>304</v>
      </c>
      <c r="BM303" s="7"/>
      <c r="BN303" s="7"/>
      <c r="BO303" s="4"/>
      <c r="BP303" s="8"/>
      <c r="BQ303" s="4"/>
      <c r="BR303" s="8"/>
      <c r="BS303" s="7"/>
      <c r="BT303" s="7"/>
      <c r="BU303" s="2" t="s">
        <v>1858</v>
      </c>
      <c r="BV303" s="2" t="s">
        <v>199</v>
      </c>
      <c r="BW303" s="2" t="s">
        <v>199</v>
      </c>
      <c r="BX303" s="2" t="s">
        <v>208</v>
      </c>
      <c r="BY303" s="2" t="s">
        <v>209</v>
      </c>
      <c r="BZ303" s="2" t="s">
        <v>196</v>
      </c>
      <c r="CA303" s="2" t="s">
        <v>1867</v>
      </c>
      <c r="CB303" s="2" t="s">
        <v>1879</v>
      </c>
      <c r="CC303" s="2" t="s">
        <v>212</v>
      </c>
      <c r="CD303" s="2" t="s">
        <v>199</v>
      </c>
      <c r="CE303" s="4">
        <v>75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>
        <v>107</v>
      </c>
      <c r="EU303" s="4">
        <v>47</v>
      </c>
      <c r="EV303" s="4">
        <v>37</v>
      </c>
      <c r="EW303" s="4">
        <v>28</v>
      </c>
      <c r="EX303" s="4">
        <v>19</v>
      </c>
      <c r="EY303" s="4">
        <v>10</v>
      </c>
      <c r="EZ303" s="4">
        <v>1</v>
      </c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>
        <v>96</v>
      </c>
      <c r="FN303" s="4">
        <v>62</v>
      </c>
      <c r="FO303" s="4">
        <v>56</v>
      </c>
      <c r="FP303" s="4">
        <v>50</v>
      </c>
      <c r="FQ303" s="4">
        <v>44</v>
      </c>
      <c r="FR303" s="4">
        <v>38</v>
      </c>
      <c r="FS303" s="4">
        <v>117</v>
      </c>
      <c r="FT303" s="19">
        <v>4.9</v>
      </c>
      <c r="FU303" s="19">
        <v>5.2</v>
      </c>
      <c r="FV303" s="19">
        <v>4.1</v>
      </c>
      <c r="FW303" s="19">
        <v>3.5</v>
      </c>
      <c r="FX303" s="19">
        <v>3.2</v>
      </c>
      <c r="FY303" s="19">
        <v>2</v>
      </c>
      <c r="FZ303" s="19">
        <v>0.3</v>
      </c>
      <c r="GA303" s="20">
        <v>0</v>
      </c>
      <c r="GB303" s="20">
        <v>0</v>
      </c>
      <c r="GC303" s="20">
        <v>0</v>
      </c>
      <c r="GD303" s="20">
        <v>0</v>
      </c>
      <c r="GE303" s="20">
        <v>0</v>
      </c>
      <c r="GF303" s="20">
        <v>0</v>
      </c>
      <c r="GG303" s="20">
        <v>0</v>
      </c>
      <c r="GH303" s="20">
        <v>0</v>
      </c>
      <c r="GI303" s="20">
        <v>0</v>
      </c>
      <c r="GJ303" s="20">
        <v>0</v>
      </c>
      <c r="GK303" s="20">
        <v>0</v>
      </c>
      <c r="GL303" s="20">
        <v>0</v>
      </c>
      <c r="GM303" s="19">
        <v>7.4</v>
      </c>
      <c r="GN303" s="19">
        <v>10.3</v>
      </c>
      <c r="GO303" s="19">
        <v>9.3</v>
      </c>
      <c r="GP303" s="19">
        <v>8.3</v>
      </c>
      <c r="GQ303" s="19">
        <v>7.3</v>
      </c>
      <c r="GR303" s="19">
        <v>6.3</v>
      </c>
      <c r="GS303" s="19">
        <v>19.5</v>
      </c>
    </row>
    <row r="304">
      <c r="A304" s="2" t="s">
        <v>1880</v>
      </c>
      <c r="B304" s="2" t="s">
        <v>245</v>
      </c>
      <c r="C304" s="2" t="s">
        <v>1007</v>
      </c>
      <c r="D304" s="2" t="s">
        <v>247</v>
      </c>
      <c r="E304" s="2" t="s">
        <v>248</v>
      </c>
      <c r="F304" s="2" t="s">
        <v>1852</v>
      </c>
      <c r="G304" s="2" t="s">
        <v>1852</v>
      </c>
      <c r="H304" s="2" t="s">
        <v>1852</v>
      </c>
      <c r="I304" s="2" t="s">
        <v>1853</v>
      </c>
      <c r="J304" s="2" t="s">
        <v>214</v>
      </c>
      <c r="K304" s="2" t="s">
        <v>1881</v>
      </c>
      <c r="L304" s="3">
        <v>15.22</v>
      </c>
      <c r="M304" s="3">
        <v>15.98</v>
      </c>
      <c r="N304" s="3">
        <v>32.99</v>
      </c>
      <c r="O304" s="2" t="s">
        <v>196</v>
      </c>
      <c r="P304" s="2" t="s">
        <v>197</v>
      </c>
      <c r="Q304" s="2" t="s">
        <v>198</v>
      </c>
      <c r="R304" s="2" t="s">
        <v>199</v>
      </c>
      <c r="S304" s="2" t="s">
        <v>1882</v>
      </c>
      <c r="T304" s="2" t="s">
        <v>1546</v>
      </c>
      <c r="U304" s="2" t="s">
        <v>637</v>
      </c>
      <c r="V304" s="2" t="s">
        <v>622</v>
      </c>
      <c r="W304" s="2" t="s">
        <v>203</v>
      </c>
      <c r="X304" s="2" t="s">
        <v>623</v>
      </c>
      <c r="Y304" s="2" t="s">
        <v>1651</v>
      </c>
      <c r="Z304" s="4">
        <v>226</v>
      </c>
      <c r="AA304" s="4">
        <f>=ROUNDDOWN(22.6,0)</f>
      </c>
      <c r="AB304" s="5">
        <v>10</v>
      </c>
      <c r="AC304" s="2" t="s">
        <v>199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199</v>
      </c>
      <c r="BD304" s="8" t="s">
        <v>199</v>
      </c>
      <c r="BE304" s="4" t="s">
        <v>199</v>
      </c>
      <c r="BF304" s="8" t="s">
        <v>199</v>
      </c>
      <c r="BG304" s="7" t="s">
        <v>199</v>
      </c>
      <c r="BH304" s="7" t="s">
        <v>199</v>
      </c>
      <c r="BI304" s="7"/>
      <c r="BJ304" s="4">
        <v>33</v>
      </c>
      <c r="BK304" s="8">
        <v>592.05</v>
      </c>
      <c r="BL304" s="2" t="s">
        <v>1883</v>
      </c>
      <c r="BM304" s="7"/>
      <c r="BN304" s="7"/>
      <c r="BO304" s="4"/>
      <c r="BP304" s="8"/>
      <c r="BQ304" s="4"/>
      <c r="BR304" s="8"/>
      <c r="BS304" s="7"/>
      <c r="BT304" s="7"/>
      <c r="BU304" s="2" t="s">
        <v>1858</v>
      </c>
      <c r="BV304" s="2" t="s">
        <v>199</v>
      </c>
      <c r="BW304" s="2" t="s">
        <v>199</v>
      </c>
      <c r="BX304" s="2" t="s">
        <v>208</v>
      </c>
      <c r="BY304" s="2" t="s">
        <v>209</v>
      </c>
      <c r="BZ304" s="2" t="s">
        <v>196</v>
      </c>
      <c r="CA304" s="2" t="s">
        <v>1653</v>
      </c>
      <c r="CB304" s="2" t="s">
        <v>1884</v>
      </c>
      <c r="CC304" s="2" t="s">
        <v>212</v>
      </c>
      <c r="CD304" s="2" t="s">
        <v>199</v>
      </c>
      <c r="CE304" s="4">
        <v>174</v>
      </c>
      <c r="CF304" s="4">
        <v>52</v>
      </c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>
        <v>226</v>
      </c>
      <c r="EU304" s="4">
        <v>196</v>
      </c>
      <c r="EV304" s="4">
        <v>189</v>
      </c>
      <c r="EW304" s="4">
        <v>183</v>
      </c>
      <c r="EX304" s="4">
        <v>177</v>
      </c>
      <c r="EY304" s="4">
        <v>171</v>
      </c>
      <c r="EZ304" s="4">
        <v>165</v>
      </c>
      <c r="FA304" s="4">
        <v>159</v>
      </c>
      <c r="FB304" s="4">
        <v>153</v>
      </c>
      <c r="FC304" s="4">
        <v>148</v>
      </c>
      <c r="FD304" s="4">
        <v>143</v>
      </c>
      <c r="FE304" s="4">
        <v>138</v>
      </c>
      <c r="FF304" s="4">
        <v>133</v>
      </c>
      <c r="FG304" s="4">
        <v>128</v>
      </c>
      <c r="FH304" s="4">
        <v>123</v>
      </c>
      <c r="FI304" s="4">
        <v>118</v>
      </c>
      <c r="FJ304" s="4">
        <v>113</v>
      </c>
      <c r="FK304" s="4">
        <v>108</v>
      </c>
      <c r="FL304" s="4">
        <v>104</v>
      </c>
      <c r="FM304" s="4">
        <v>100</v>
      </c>
      <c r="FN304" s="4">
        <v>96</v>
      </c>
      <c r="FO304" s="4">
        <v>92</v>
      </c>
      <c r="FP304" s="4">
        <v>88</v>
      </c>
      <c r="FQ304" s="4">
        <v>84</v>
      </c>
      <c r="FR304" s="4">
        <v>80</v>
      </c>
      <c r="FS304" s="4">
        <v>76</v>
      </c>
      <c r="FT304" s="19">
        <v>18.8</v>
      </c>
      <c r="FU304" s="19">
        <v>32.7</v>
      </c>
      <c r="FV304" s="19">
        <v>31.5</v>
      </c>
      <c r="FW304" s="19">
        <v>30.5</v>
      </c>
      <c r="FX304" s="19">
        <v>29.5</v>
      </c>
      <c r="FY304" s="19">
        <v>28.5</v>
      </c>
      <c r="FZ304" s="19">
        <v>27.5</v>
      </c>
      <c r="GA304" s="19">
        <v>31.8</v>
      </c>
      <c r="GB304" s="19">
        <v>30.6</v>
      </c>
      <c r="GC304" s="19">
        <v>29.6</v>
      </c>
      <c r="GD304" s="19">
        <v>28.6</v>
      </c>
      <c r="GE304" s="19">
        <v>27.6</v>
      </c>
      <c r="GF304" s="19">
        <v>26.6</v>
      </c>
      <c r="GG304" s="19">
        <v>25.6</v>
      </c>
      <c r="GH304" s="19">
        <v>24.6</v>
      </c>
      <c r="GI304" s="19">
        <v>29.5</v>
      </c>
      <c r="GJ304" s="19">
        <v>28.3</v>
      </c>
      <c r="GK304" s="19">
        <v>27</v>
      </c>
      <c r="GL304" s="19">
        <v>26</v>
      </c>
      <c r="GM304" s="19">
        <v>25</v>
      </c>
      <c r="GN304" s="19">
        <v>24</v>
      </c>
      <c r="GO304" s="19">
        <v>23</v>
      </c>
      <c r="GP304" s="19">
        <v>22</v>
      </c>
      <c r="GQ304" s="19">
        <v>21</v>
      </c>
      <c r="GR304" s="19">
        <v>20</v>
      </c>
      <c r="GS304" s="19">
        <v>19</v>
      </c>
    </row>
    <row r="305">
      <c r="A305" s="2" t="s">
        <v>1885</v>
      </c>
      <c r="B305" s="2" t="s">
        <v>245</v>
      </c>
      <c r="C305" s="2" t="s">
        <v>1007</v>
      </c>
      <c r="D305" s="2" t="s">
        <v>247</v>
      </c>
      <c r="E305" s="2" t="s">
        <v>248</v>
      </c>
      <c r="F305" s="2" t="s">
        <v>1852</v>
      </c>
      <c r="G305" s="2" t="s">
        <v>1852</v>
      </c>
      <c r="H305" s="2" t="s">
        <v>1852</v>
      </c>
      <c r="I305" s="2" t="s">
        <v>1853</v>
      </c>
      <c r="J305" s="2" t="s">
        <v>194</v>
      </c>
      <c r="K305" s="2" t="s">
        <v>1886</v>
      </c>
      <c r="L305" s="3">
        <v>14.89</v>
      </c>
      <c r="M305" s="3">
        <v>15.63</v>
      </c>
      <c r="N305" s="3">
        <v>31.99</v>
      </c>
      <c r="O305" s="2" t="s">
        <v>196</v>
      </c>
      <c r="P305" s="2" t="s">
        <v>197</v>
      </c>
      <c r="Q305" s="2" t="s">
        <v>198</v>
      </c>
      <c r="R305" s="2" t="s">
        <v>199</v>
      </c>
      <c r="S305" s="2" t="s">
        <v>1887</v>
      </c>
      <c r="T305" s="2" t="s">
        <v>1546</v>
      </c>
      <c r="U305" s="2" t="s">
        <v>637</v>
      </c>
      <c r="V305" s="2" t="s">
        <v>1547</v>
      </c>
      <c r="W305" s="2" t="s">
        <v>623</v>
      </c>
      <c r="X305" s="2" t="s">
        <v>199</v>
      </c>
      <c r="Y305" s="2" t="s">
        <v>1864</v>
      </c>
      <c r="Z305" s="4">
        <v>450</v>
      </c>
      <c r="AA305" s="4">
        <f>=ROUNDDOWN(10.7142857142857,0)</f>
      </c>
      <c r="AB305" s="5">
        <v>42</v>
      </c>
      <c r="AC305" s="2" t="s">
        <v>199</v>
      </c>
      <c r="AD305" s="4"/>
      <c r="AE305" s="4"/>
      <c r="AF305" s="6">
        <v>65</v>
      </c>
      <c r="AG305" s="6"/>
      <c r="AH305" s="7">
        <v>0.9032</v>
      </c>
      <c r="AI305" s="4"/>
      <c r="AJ305" s="4">
        <f>=ROUNDDOWN({0},0)</f>
      </c>
      <c r="AK305" s="5"/>
      <c r="AL305" s="2" t="s">
        <v>199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199</v>
      </c>
      <c r="AW305" s="8" t="s">
        <v>199</v>
      </c>
      <c r="AX305" s="4" t="s">
        <v>199</v>
      </c>
      <c r="AY305" s="8" t="s">
        <v>199</v>
      </c>
      <c r="AZ305" s="7" t="s">
        <v>199</v>
      </c>
      <c r="BA305" s="7" t="s">
        <v>199</v>
      </c>
      <c r="BB305" s="7"/>
      <c r="BC305" s="4" t="s">
        <v>199</v>
      </c>
      <c r="BD305" s="8" t="s">
        <v>199</v>
      </c>
      <c r="BE305" s="4" t="s">
        <v>199</v>
      </c>
      <c r="BF305" s="8" t="s">
        <v>199</v>
      </c>
      <c r="BG305" s="7" t="s">
        <v>199</v>
      </c>
      <c r="BH305" s="7" t="s">
        <v>199</v>
      </c>
      <c r="BI305" s="7"/>
      <c r="BJ305" s="4">
        <v>174</v>
      </c>
      <c r="BK305" s="8">
        <v>3012.65</v>
      </c>
      <c r="BL305" s="2" t="s">
        <v>1571</v>
      </c>
      <c r="BM305" s="7"/>
      <c r="BN305" s="7"/>
      <c r="BO305" s="4"/>
      <c r="BP305" s="8"/>
      <c r="BQ305" s="4"/>
      <c r="BR305" s="8"/>
      <c r="BS305" s="7"/>
      <c r="BT305" s="7"/>
      <c r="BU305" s="2" t="s">
        <v>1858</v>
      </c>
      <c r="BV305" s="2" t="s">
        <v>199</v>
      </c>
      <c r="BW305" s="2" t="s">
        <v>199</v>
      </c>
      <c r="BX305" s="2" t="s">
        <v>208</v>
      </c>
      <c r="BY305" s="2" t="s">
        <v>209</v>
      </c>
      <c r="BZ305" s="2" t="s">
        <v>196</v>
      </c>
      <c r="CA305" s="2" t="s">
        <v>1867</v>
      </c>
      <c r="CB305" s="2" t="s">
        <v>1888</v>
      </c>
      <c r="CC305" s="2" t="s">
        <v>212</v>
      </c>
      <c r="CD305" s="2" t="s">
        <v>199</v>
      </c>
      <c r="CE305" s="4">
        <v>114</v>
      </c>
      <c r="CF305" s="4"/>
      <c r="CG305" s="4"/>
      <c r="CH305" s="4"/>
      <c r="CI305" s="4"/>
      <c r="CJ305" s="4"/>
      <c r="CK305" s="4"/>
      <c r="CL305" s="4">
        <v>336</v>
      </c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>
        <v>483</v>
      </c>
      <c r="EU305" s="4">
        <v>463</v>
      </c>
      <c r="EV305" s="4">
        <v>454</v>
      </c>
      <c r="EW305" s="4">
        <v>447</v>
      </c>
      <c r="EX305" s="4">
        <v>432</v>
      </c>
      <c r="EY305" s="4">
        <v>414</v>
      </c>
      <c r="EZ305" s="4">
        <v>396</v>
      </c>
      <c r="FA305" s="4">
        <v>378</v>
      </c>
      <c r="FB305" s="4">
        <v>360</v>
      </c>
      <c r="FC305" s="4">
        <v>347</v>
      </c>
      <c r="FD305" s="4">
        <v>334</v>
      </c>
      <c r="FE305" s="4">
        <v>318</v>
      </c>
      <c r="FF305" s="4">
        <v>298</v>
      </c>
      <c r="FG305" s="4">
        <v>278</v>
      </c>
      <c r="FH305" s="4">
        <v>258</v>
      </c>
      <c r="FI305" s="4">
        <v>238</v>
      </c>
      <c r="FJ305" s="4">
        <v>218</v>
      </c>
      <c r="FK305" s="4">
        <v>198</v>
      </c>
      <c r="FL305" s="4">
        <v>181</v>
      </c>
      <c r="FM305" s="4">
        <v>374</v>
      </c>
      <c r="FN305" s="4">
        <v>357</v>
      </c>
      <c r="FO305" s="4">
        <v>340</v>
      </c>
      <c r="FP305" s="4">
        <v>323</v>
      </c>
      <c r="FQ305" s="4">
        <v>306</v>
      </c>
      <c r="FR305" s="4">
        <v>289</v>
      </c>
      <c r="FS305" s="4">
        <v>272</v>
      </c>
      <c r="FT305" s="19">
        <v>37.2</v>
      </c>
      <c r="FU305" s="19">
        <v>38.6</v>
      </c>
      <c r="FV305" s="19">
        <v>32.4</v>
      </c>
      <c r="FW305" s="19">
        <v>26.3</v>
      </c>
      <c r="FX305" s="19">
        <v>24</v>
      </c>
      <c r="FY305" s="19">
        <v>24.4</v>
      </c>
      <c r="FZ305" s="19">
        <v>24.8</v>
      </c>
      <c r="GA305" s="19">
        <v>25.2</v>
      </c>
      <c r="GB305" s="19">
        <v>22.5</v>
      </c>
      <c r="GC305" s="19">
        <v>20.4</v>
      </c>
      <c r="GD305" s="19">
        <v>17.6</v>
      </c>
      <c r="GE305" s="19">
        <v>15.9</v>
      </c>
      <c r="GF305" s="19">
        <v>14.9</v>
      </c>
      <c r="GG305" s="19">
        <v>13.9</v>
      </c>
      <c r="GH305" s="19">
        <v>13.6</v>
      </c>
      <c r="GI305" s="19">
        <v>13.2</v>
      </c>
      <c r="GJ305" s="19">
        <v>12.1</v>
      </c>
      <c r="GK305" s="19">
        <v>11.6</v>
      </c>
      <c r="GL305" s="19">
        <v>10.6</v>
      </c>
      <c r="GM305" s="19">
        <v>22</v>
      </c>
      <c r="GN305" s="19">
        <v>21</v>
      </c>
      <c r="GO305" s="19">
        <v>20</v>
      </c>
      <c r="GP305" s="19">
        <v>19</v>
      </c>
      <c r="GQ305" s="19">
        <v>18</v>
      </c>
      <c r="GR305" s="19">
        <v>16.1</v>
      </c>
      <c r="GS305" s="19">
        <v>15.1</v>
      </c>
    </row>
    <row r="306">
      <c r="A306" s="2" t="s">
        <v>1889</v>
      </c>
      <c r="B306" s="2" t="s">
        <v>245</v>
      </c>
      <c r="C306" s="2" t="s">
        <v>1007</v>
      </c>
      <c r="D306" s="2" t="s">
        <v>247</v>
      </c>
      <c r="E306" s="2" t="s">
        <v>248</v>
      </c>
      <c r="F306" s="2" t="s">
        <v>1852</v>
      </c>
      <c r="G306" s="2" t="s">
        <v>1852</v>
      </c>
      <c r="H306" s="2" t="s">
        <v>1852</v>
      </c>
      <c r="I306" s="2" t="s">
        <v>1853</v>
      </c>
      <c r="J306" s="2" t="s">
        <v>214</v>
      </c>
      <c r="K306" s="2" t="s">
        <v>1886</v>
      </c>
      <c r="L306" s="3">
        <v>15.22</v>
      </c>
      <c r="M306" s="3">
        <v>15.98</v>
      </c>
      <c r="N306" s="3">
        <v>32.99</v>
      </c>
      <c r="O306" s="2" t="s">
        <v>196</v>
      </c>
      <c r="P306" s="2" t="s">
        <v>197</v>
      </c>
      <c r="Q306" s="2" t="s">
        <v>198</v>
      </c>
      <c r="R306" s="2" t="s">
        <v>199</v>
      </c>
      <c r="S306" s="2" t="s">
        <v>1887</v>
      </c>
      <c r="T306" s="2" t="s">
        <v>1546</v>
      </c>
      <c r="U306" s="2" t="s">
        <v>637</v>
      </c>
      <c r="V306" s="2" t="s">
        <v>1547</v>
      </c>
      <c r="W306" s="2" t="s">
        <v>203</v>
      </c>
      <c r="X306" s="2" t="s">
        <v>623</v>
      </c>
      <c r="Y306" s="2" t="s">
        <v>1864</v>
      </c>
      <c r="Z306" s="4">
        <v>311</v>
      </c>
      <c r="AA306" s="4">
        <f>=ROUNDDOWN(10.7241379310345,0)</f>
      </c>
      <c r="AB306" s="5">
        <v>29</v>
      </c>
      <c r="AC306" s="2" t="s">
        <v>199</v>
      </c>
      <c r="AD306" s="4"/>
      <c r="AE306" s="4"/>
      <c r="AF306" s="6">
        <v>65</v>
      </c>
      <c r="AG306" s="6"/>
      <c r="AH306" s="7">
        <v>0.9032</v>
      </c>
      <c r="AI306" s="4"/>
      <c r="AJ306" s="4">
        <f>=ROUNDDOWN({0},0)</f>
      </c>
      <c r="AK306" s="5"/>
      <c r="AL306" s="2" t="s">
        <v>199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199</v>
      </c>
      <c r="AW306" s="8" t="s">
        <v>199</v>
      </c>
      <c r="AX306" s="4" t="s">
        <v>199</v>
      </c>
      <c r="AY306" s="8" t="s">
        <v>199</v>
      </c>
      <c r="AZ306" s="7" t="s">
        <v>199</v>
      </c>
      <c r="BA306" s="7" t="s">
        <v>199</v>
      </c>
      <c r="BB306" s="7"/>
      <c r="BC306" s="4" t="s">
        <v>199</v>
      </c>
      <c r="BD306" s="8" t="s">
        <v>199</v>
      </c>
      <c r="BE306" s="4" t="s">
        <v>199</v>
      </c>
      <c r="BF306" s="8" t="s">
        <v>199</v>
      </c>
      <c r="BG306" s="7" t="s">
        <v>199</v>
      </c>
      <c r="BH306" s="7" t="s">
        <v>199</v>
      </c>
      <c r="BI306" s="7"/>
      <c r="BJ306" s="4">
        <v>38</v>
      </c>
      <c r="BK306" s="8">
        <v>685.17</v>
      </c>
      <c r="BL306" s="2" t="s">
        <v>1890</v>
      </c>
      <c r="BM306" s="7"/>
      <c r="BN306" s="7"/>
      <c r="BO306" s="4"/>
      <c r="BP306" s="8"/>
      <c r="BQ306" s="4"/>
      <c r="BR306" s="8"/>
      <c r="BS306" s="7"/>
      <c r="BT306" s="7"/>
      <c r="BU306" s="2" t="s">
        <v>1858</v>
      </c>
      <c r="BV306" s="2" t="s">
        <v>199</v>
      </c>
      <c r="BW306" s="2" t="s">
        <v>199</v>
      </c>
      <c r="BX306" s="2" t="s">
        <v>208</v>
      </c>
      <c r="BY306" s="2" t="s">
        <v>209</v>
      </c>
      <c r="BZ306" s="2" t="s">
        <v>196</v>
      </c>
      <c r="CA306" s="2" t="s">
        <v>1867</v>
      </c>
      <c r="CB306" s="2" t="s">
        <v>800</v>
      </c>
      <c r="CC306" s="2" t="s">
        <v>212</v>
      </c>
      <c r="CD306" s="2" t="s">
        <v>199</v>
      </c>
      <c r="CE306" s="4">
        <v>154</v>
      </c>
      <c r="CF306" s="4"/>
      <c r="CG306" s="4"/>
      <c r="CH306" s="4"/>
      <c r="CI306" s="4"/>
      <c r="CJ306" s="4"/>
      <c r="CK306" s="4"/>
      <c r="CL306" s="4">
        <v>157</v>
      </c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>
        <v>337</v>
      </c>
      <c r="EU306" s="4">
        <v>302</v>
      </c>
      <c r="EV306" s="4">
        <v>290</v>
      </c>
      <c r="EW306" s="4">
        <v>281</v>
      </c>
      <c r="EX306" s="4">
        <v>272</v>
      </c>
      <c r="EY306" s="4">
        <v>261</v>
      </c>
      <c r="EZ306" s="4">
        <v>250</v>
      </c>
      <c r="FA306" s="4">
        <v>239</v>
      </c>
      <c r="FB306" s="4">
        <v>228</v>
      </c>
      <c r="FC306" s="4">
        <v>220</v>
      </c>
      <c r="FD306" s="4">
        <v>211</v>
      </c>
      <c r="FE306" s="4">
        <v>197</v>
      </c>
      <c r="FF306" s="4">
        <v>183</v>
      </c>
      <c r="FG306" s="4">
        <v>169</v>
      </c>
      <c r="FH306" s="4">
        <v>155</v>
      </c>
      <c r="FI306" s="4">
        <v>141</v>
      </c>
      <c r="FJ306" s="4">
        <v>127</v>
      </c>
      <c r="FK306" s="4">
        <v>113</v>
      </c>
      <c r="FL306" s="4">
        <v>101</v>
      </c>
      <c r="FM306" s="4">
        <v>225</v>
      </c>
      <c r="FN306" s="4">
        <v>213</v>
      </c>
      <c r="FO306" s="4">
        <v>201</v>
      </c>
      <c r="FP306" s="4">
        <v>189</v>
      </c>
      <c r="FQ306" s="4">
        <v>177</v>
      </c>
      <c r="FR306" s="4">
        <v>165</v>
      </c>
      <c r="FS306" s="4">
        <v>153</v>
      </c>
      <c r="FT306" s="19">
        <v>21.1</v>
      </c>
      <c r="FU306" s="19">
        <v>30.2</v>
      </c>
      <c r="FV306" s="19">
        <v>29</v>
      </c>
      <c r="FW306" s="19">
        <v>28.1</v>
      </c>
      <c r="FX306" s="19">
        <v>24.7</v>
      </c>
      <c r="FY306" s="19">
        <v>26.1</v>
      </c>
      <c r="FZ306" s="19">
        <v>25</v>
      </c>
      <c r="GA306" s="19">
        <v>23.9</v>
      </c>
      <c r="GB306" s="19">
        <v>20.7</v>
      </c>
      <c r="GC306" s="19">
        <v>16.9</v>
      </c>
      <c r="GD306" s="19">
        <v>15.1</v>
      </c>
      <c r="GE306" s="19">
        <v>14.1</v>
      </c>
      <c r="GF306" s="19">
        <v>13.1</v>
      </c>
      <c r="GG306" s="19">
        <v>12.1</v>
      </c>
      <c r="GH306" s="19">
        <v>11.1</v>
      </c>
      <c r="GI306" s="19">
        <v>10.8</v>
      </c>
      <c r="GJ306" s="19">
        <v>10.6</v>
      </c>
      <c r="GK306" s="19">
        <v>9.4</v>
      </c>
      <c r="GL306" s="19">
        <v>8.4</v>
      </c>
      <c r="GM306" s="19">
        <v>18.8</v>
      </c>
      <c r="GN306" s="19">
        <v>17.8</v>
      </c>
      <c r="GO306" s="19">
        <v>16.8</v>
      </c>
      <c r="GP306" s="19">
        <v>15.8</v>
      </c>
      <c r="GQ306" s="19">
        <v>14.8</v>
      </c>
      <c r="GR306" s="19">
        <v>13.8</v>
      </c>
      <c r="GS306" s="19">
        <v>12.8</v>
      </c>
    </row>
    <row r="307">
      <c r="A307" s="2" t="s">
        <v>1891</v>
      </c>
      <c r="B307" s="2" t="s">
        <v>245</v>
      </c>
      <c r="C307" s="2" t="s">
        <v>1007</v>
      </c>
      <c r="D307" s="2" t="s">
        <v>247</v>
      </c>
      <c r="E307" s="2" t="s">
        <v>248</v>
      </c>
      <c r="F307" s="2" t="s">
        <v>1852</v>
      </c>
      <c r="G307" s="2" t="s">
        <v>1852</v>
      </c>
      <c r="H307" s="2" t="s">
        <v>1852</v>
      </c>
      <c r="I307" s="2" t="s">
        <v>1853</v>
      </c>
      <c r="J307" s="2" t="s">
        <v>219</v>
      </c>
      <c r="K307" s="2" t="s">
        <v>1886</v>
      </c>
      <c r="L307" s="3">
        <v>21.27</v>
      </c>
      <c r="M307" s="3">
        <v>22.33</v>
      </c>
      <c r="N307" s="3">
        <v>47.99</v>
      </c>
      <c r="O307" s="2" t="s">
        <v>196</v>
      </c>
      <c r="P307" s="2" t="s">
        <v>197</v>
      </c>
      <c r="Q307" s="2" t="s">
        <v>198</v>
      </c>
      <c r="R307" s="2" t="s">
        <v>199</v>
      </c>
      <c r="S307" s="2" t="s">
        <v>1887</v>
      </c>
      <c r="T307" s="2" t="s">
        <v>1546</v>
      </c>
      <c r="U307" s="2" t="s">
        <v>254</v>
      </c>
      <c r="V307" s="2" t="s">
        <v>1547</v>
      </c>
      <c r="W307" s="2" t="s">
        <v>203</v>
      </c>
      <c r="X307" s="2" t="s">
        <v>623</v>
      </c>
      <c r="Y307" s="2" t="s">
        <v>1864</v>
      </c>
      <c r="Z307" s="4">
        <v>277</v>
      </c>
      <c r="AA307" s="4">
        <f>=ROUNDDOWN(9.89285714285714,0)</f>
      </c>
      <c r="AB307" s="5">
        <v>28</v>
      </c>
      <c r="AC307" s="2" t="s">
        <v>199</v>
      </c>
      <c r="AD307" s="4"/>
      <c r="AE307" s="4"/>
      <c r="AF307" s="6">
        <v>65</v>
      </c>
      <c r="AG307" s="6"/>
      <c r="AH307" s="7">
        <v>0.5161</v>
      </c>
      <c r="AI307" s="4"/>
      <c r="AJ307" s="4">
        <f>=ROUNDDOWN({0},0)</f>
      </c>
      <c r="AK307" s="5"/>
      <c r="AL307" s="2" t="s">
        <v>199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199</v>
      </c>
      <c r="AW307" s="8" t="s">
        <v>199</v>
      </c>
      <c r="AX307" s="4" t="s">
        <v>199</v>
      </c>
      <c r="AY307" s="8" t="s">
        <v>199</v>
      </c>
      <c r="AZ307" s="7" t="s">
        <v>199</v>
      </c>
      <c r="BA307" s="7" t="s">
        <v>199</v>
      </c>
      <c r="BB307" s="7"/>
      <c r="BC307" s="4" t="s">
        <v>199</v>
      </c>
      <c r="BD307" s="8" t="s">
        <v>199</v>
      </c>
      <c r="BE307" s="4" t="s">
        <v>199</v>
      </c>
      <c r="BF307" s="8" t="s">
        <v>199</v>
      </c>
      <c r="BG307" s="7" t="s">
        <v>199</v>
      </c>
      <c r="BH307" s="7" t="s">
        <v>199</v>
      </c>
      <c r="BI307" s="7"/>
      <c r="BJ307" s="4">
        <v>97</v>
      </c>
      <c r="BK307" s="8">
        <v>2410.26</v>
      </c>
      <c r="BL307" s="2" t="s">
        <v>1892</v>
      </c>
      <c r="BM307" s="7"/>
      <c r="BN307" s="7"/>
      <c r="BO307" s="4"/>
      <c r="BP307" s="8"/>
      <c r="BQ307" s="4"/>
      <c r="BR307" s="8"/>
      <c r="BS307" s="7"/>
      <c r="BT307" s="7"/>
      <c r="BU307" s="2" t="s">
        <v>1858</v>
      </c>
      <c r="BV307" s="2" t="s">
        <v>199</v>
      </c>
      <c r="BW307" s="2" t="s">
        <v>199</v>
      </c>
      <c r="BX307" s="2" t="s">
        <v>208</v>
      </c>
      <c r="BY307" s="2" t="s">
        <v>209</v>
      </c>
      <c r="BZ307" s="2" t="s">
        <v>196</v>
      </c>
      <c r="CA307" s="2" t="s">
        <v>1867</v>
      </c>
      <c r="CB307" s="2" t="s">
        <v>277</v>
      </c>
      <c r="CC307" s="2" t="s">
        <v>212</v>
      </c>
      <c r="CD307" s="2" t="s">
        <v>199</v>
      </c>
      <c r="CE307" s="4">
        <v>120</v>
      </c>
      <c r="CF307" s="4"/>
      <c r="CG307" s="4"/>
      <c r="CH307" s="4"/>
      <c r="CI307" s="4"/>
      <c r="CJ307" s="4"/>
      <c r="CK307" s="4"/>
      <c r="CL307" s="4">
        <v>157</v>
      </c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>
        <v>296</v>
      </c>
      <c r="EU307" s="4">
        <v>272</v>
      </c>
      <c r="EV307" s="4">
        <v>261</v>
      </c>
      <c r="EW307" s="4">
        <v>253</v>
      </c>
      <c r="EX307" s="4">
        <v>241</v>
      </c>
      <c r="EY307" s="4">
        <v>227</v>
      </c>
      <c r="EZ307" s="4">
        <v>213</v>
      </c>
      <c r="FA307" s="4">
        <v>199</v>
      </c>
      <c r="FB307" s="4">
        <v>185</v>
      </c>
      <c r="FC307" s="4">
        <v>175</v>
      </c>
      <c r="FD307" s="4">
        <v>163</v>
      </c>
      <c r="FE307" s="4">
        <v>150</v>
      </c>
      <c r="FF307" s="4">
        <v>137</v>
      </c>
      <c r="FG307" s="4">
        <v>124</v>
      </c>
      <c r="FH307" s="4">
        <v>111</v>
      </c>
      <c r="FI307" s="4">
        <v>98</v>
      </c>
      <c r="FJ307" s="4">
        <v>85</v>
      </c>
      <c r="FK307" s="4">
        <v>72</v>
      </c>
      <c r="FL307" s="4">
        <v>61</v>
      </c>
      <c r="FM307" s="4">
        <v>208</v>
      </c>
      <c r="FN307" s="4">
        <v>197</v>
      </c>
      <c r="FO307" s="4">
        <v>186</v>
      </c>
      <c r="FP307" s="4">
        <v>175</v>
      </c>
      <c r="FQ307" s="4">
        <v>164</v>
      </c>
      <c r="FR307" s="4">
        <v>153</v>
      </c>
      <c r="FS307" s="4">
        <v>142</v>
      </c>
      <c r="FT307" s="19">
        <v>21.1</v>
      </c>
      <c r="FU307" s="19">
        <v>24.7</v>
      </c>
      <c r="FV307" s="19">
        <v>21.8</v>
      </c>
      <c r="FW307" s="19">
        <v>18.1</v>
      </c>
      <c r="FX307" s="19">
        <v>17.2</v>
      </c>
      <c r="FY307" s="19">
        <v>17.5</v>
      </c>
      <c r="FZ307" s="19">
        <v>17.8</v>
      </c>
      <c r="GA307" s="19">
        <v>16.6</v>
      </c>
      <c r="GB307" s="19">
        <v>15.4</v>
      </c>
      <c r="GC307" s="19">
        <v>13.5</v>
      </c>
      <c r="GD307" s="19">
        <v>12.5</v>
      </c>
      <c r="GE307" s="19">
        <v>11.5</v>
      </c>
      <c r="GF307" s="19">
        <v>10.5</v>
      </c>
      <c r="GG307" s="19">
        <v>9.5</v>
      </c>
      <c r="GH307" s="19">
        <v>9.3</v>
      </c>
      <c r="GI307" s="19">
        <v>8.2</v>
      </c>
      <c r="GJ307" s="19">
        <v>7.1</v>
      </c>
      <c r="GK307" s="19">
        <v>6.5</v>
      </c>
      <c r="GL307" s="19">
        <v>5.5</v>
      </c>
      <c r="GM307" s="19">
        <v>18.9</v>
      </c>
      <c r="GN307" s="19">
        <v>17.9</v>
      </c>
      <c r="GO307" s="19">
        <v>16.9</v>
      </c>
      <c r="GP307" s="19">
        <v>15.9</v>
      </c>
      <c r="GQ307" s="19">
        <v>14.9</v>
      </c>
      <c r="GR307" s="19">
        <v>13.9</v>
      </c>
      <c r="GS307" s="19">
        <v>11.8</v>
      </c>
    </row>
    <row r="308">
      <c r="A308" s="2" t="s">
        <v>1893</v>
      </c>
      <c r="B308" s="2" t="s">
        <v>736</v>
      </c>
      <c r="C308" s="2" t="s">
        <v>1007</v>
      </c>
      <c r="D308" s="2" t="s">
        <v>228</v>
      </c>
      <c r="E308" s="2" t="s">
        <v>487</v>
      </c>
      <c r="F308" s="2" t="s">
        <v>1894</v>
      </c>
      <c r="G308" s="2" t="s">
        <v>1470</v>
      </c>
      <c r="H308" s="2" t="s">
        <v>1895</v>
      </c>
      <c r="I308" s="2" t="s">
        <v>1896</v>
      </c>
      <c r="J308" s="2" t="s">
        <v>1011</v>
      </c>
      <c r="K308" s="2" t="s">
        <v>371</v>
      </c>
      <c r="L308" s="3">
        <v>31.5</v>
      </c>
      <c r="M308" s="3">
        <v>33.08</v>
      </c>
      <c r="N308" s="3">
        <v>69.99</v>
      </c>
      <c r="O308" s="2" t="s">
        <v>196</v>
      </c>
      <c r="P308" s="2" t="s">
        <v>841</v>
      </c>
      <c r="Q308" s="2" t="s">
        <v>198</v>
      </c>
      <c r="R308" s="2" t="s">
        <v>199</v>
      </c>
      <c r="S308" s="2" t="s">
        <v>1897</v>
      </c>
      <c r="T308" s="2" t="s">
        <v>386</v>
      </c>
      <c r="U308" s="2" t="s">
        <v>254</v>
      </c>
      <c r="V308" s="2" t="s">
        <v>681</v>
      </c>
      <c r="W308" s="2" t="s">
        <v>203</v>
      </c>
      <c r="X308" s="2" t="s">
        <v>1014</v>
      </c>
      <c r="Y308" s="2" t="s">
        <v>204</v>
      </c>
      <c r="Z308" s="4">
        <v>698</v>
      </c>
      <c r="AA308" s="4">
        <f>=ROUNDDOWN(387.777777777778,0)</f>
      </c>
      <c r="AB308" s="5">
        <v>1.8</v>
      </c>
      <c r="AC308" s="2" t="s">
        <v>199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14</v>
      </c>
      <c r="BK308" s="8">
        <v>505.1</v>
      </c>
      <c r="BL308" s="2" t="s">
        <v>1898</v>
      </c>
      <c r="BM308" s="7"/>
      <c r="BN308" s="7"/>
      <c r="BO308" s="4"/>
      <c r="BP308" s="8"/>
      <c r="BQ308" s="4"/>
      <c r="BR308" s="8"/>
      <c r="BS308" s="7"/>
      <c r="BT308" s="7"/>
      <c r="BU308" s="2" t="s">
        <v>1899</v>
      </c>
      <c r="BV308" s="2" t="s">
        <v>199</v>
      </c>
      <c r="BW308" s="2" t="s">
        <v>199</v>
      </c>
      <c r="BX308" s="2" t="s">
        <v>208</v>
      </c>
      <c r="BY308" s="2" t="s">
        <v>209</v>
      </c>
      <c r="BZ308" s="2" t="s">
        <v>196</v>
      </c>
      <c r="CA308" s="2" t="s">
        <v>210</v>
      </c>
      <c r="CB308" s="2" t="s">
        <v>773</v>
      </c>
      <c r="CC308" s="2" t="s">
        <v>212</v>
      </c>
      <c r="CD308" s="2" t="s">
        <v>199</v>
      </c>
      <c r="CE308" s="4">
        <v>698</v>
      </c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>
        <v>698</v>
      </c>
      <c r="EU308" s="4">
        <v>696</v>
      </c>
      <c r="EV308" s="4">
        <v>694</v>
      </c>
      <c r="EW308" s="4">
        <v>692</v>
      </c>
      <c r="EX308" s="4">
        <v>690</v>
      </c>
      <c r="EY308" s="4">
        <v>688</v>
      </c>
      <c r="EZ308" s="4">
        <v>686</v>
      </c>
      <c r="FA308" s="4">
        <v>684</v>
      </c>
      <c r="FB308" s="4">
        <v>682</v>
      </c>
      <c r="FC308" s="4">
        <v>680</v>
      </c>
      <c r="FD308" s="4">
        <v>678</v>
      </c>
      <c r="FE308" s="4">
        <v>676</v>
      </c>
      <c r="FF308" s="4">
        <v>674</v>
      </c>
      <c r="FG308" s="4">
        <v>672</v>
      </c>
      <c r="FH308" s="4">
        <v>670</v>
      </c>
      <c r="FI308" s="4">
        <v>668</v>
      </c>
      <c r="FJ308" s="4">
        <v>666</v>
      </c>
      <c r="FK308" s="4">
        <v>664</v>
      </c>
      <c r="FL308" s="4">
        <v>662</v>
      </c>
      <c r="FM308" s="4">
        <v>652</v>
      </c>
      <c r="FN308" s="4">
        <v>642</v>
      </c>
      <c r="FO308" s="4">
        <v>632</v>
      </c>
      <c r="FP308" s="4">
        <v>622</v>
      </c>
      <c r="FQ308" s="4">
        <v>612</v>
      </c>
      <c r="FR308" s="4">
        <v>602</v>
      </c>
      <c r="FS308" s="4">
        <v>592</v>
      </c>
      <c r="FT308" s="19">
        <v>349</v>
      </c>
      <c r="FU308" s="19">
        <v>348</v>
      </c>
      <c r="FV308" s="19">
        <v>347</v>
      </c>
      <c r="FW308" s="19">
        <v>346</v>
      </c>
      <c r="FX308" s="19">
        <v>345</v>
      </c>
      <c r="FY308" s="19">
        <v>344</v>
      </c>
      <c r="FZ308" s="19">
        <v>343</v>
      </c>
      <c r="GA308" s="19">
        <v>342</v>
      </c>
      <c r="GB308" s="19">
        <v>341</v>
      </c>
      <c r="GC308" s="19">
        <v>340</v>
      </c>
      <c r="GD308" s="19">
        <v>339</v>
      </c>
      <c r="GE308" s="19">
        <v>338</v>
      </c>
      <c r="GF308" s="19">
        <v>337</v>
      </c>
      <c r="GG308" s="19">
        <v>336</v>
      </c>
      <c r="GH308" s="19">
        <v>335</v>
      </c>
      <c r="GI308" s="19">
        <v>167</v>
      </c>
      <c r="GJ308" s="19">
        <v>111</v>
      </c>
      <c r="GK308" s="19">
        <v>83</v>
      </c>
      <c r="GL308" s="19">
        <v>66.2</v>
      </c>
      <c r="GM308" s="19">
        <v>65.2</v>
      </c>
      <c r="GN308" s="19">
        <v>64.2</v>
      </c>
      <c r="GO308" s="19">
        <v>63.2</v>
      </c>
      <c r="GP308" s="19">
        <v>62.2</v>
      </c>
      <c r="GQ308" s="19">
        <v>61.2</v>
      </c>
      <c r="GR308" s="19">
        <v>60.2</v>
      </c>
      <c r="GS308" s="19">
        <v>59.2</v>
      </c>
    </row>
    <row r="309">
      <c r="A309" s="2" t="s">
        <v>1900</v>
      </c>
      <c r="B309" s="2" t="s">
        <v>630</v>
      </c>
      <c r="C309" s="2" t="s">
        <v>246</v>
      </c>
      <c r="D309" s="2" t="s">
        <v>631</v>
      </c>
      <c r="E309" s="2" t="s">
        <v>720</v>
      </c>
      <c r="F309" s="2" t="s">
        <v>1901</v>
      </c>
      <c r="G309" s="2" t="s">
        <v>1902</v>
      </c>
      <c r="H309" s="2" t="s">
        <v>1903</v>
      </c>
      <c r="I309" s="2" t="s">
        <v>1904</v>
      </c>
      <c r="J309" s="2" t="s">
        <v>223</v>
      </c>
      <c r="K309" s="2" t="s">
        <v>360</v>
      </c>
      <c r="L309" s="3">
        <v>81.59</v>
      </c>
      <c r="M309" s="3">
        <v>85.67</v>
      </c>
      <c r="N309" s="3">
        <v>159.99</v>
      </c>
      <c r="O309" s="2" t="s">
        <v>196</v>
      </c>
      <c r="P309" s="2" t="s">
        <v>197</v>
      </c>
      <c r="Q309" s="2" t="s">
        <v>198</v>
      </c>
      <c r="R309" s="2" t="s">
        <v>199</v>
      </c>
      <c r="S309" s="2" t="s">
        <v>1905</v>
      </c>
      <c r="T309" s="2" t="s">
        <v>1906</v>
      </c>
      <c r="U309" s="2" t="s">
        <v>1907</v>
      </c>
      <c r="V309" s="2" t="s">
        <v>1381</v>
      </c>
      <c r="W309" s="2" t="s">
        <v>1908</v>
      </c>
      <c r="X309" s="2" t="s">
        <v>1909</v>
      </c>
      <c r="Y309" s="2" t="s">
        <v>204</v>
      </c>
      <c r="Z309" s="4">
        <v>269</v>
      </c>
      <c r="AA309" s="4">
        <f>=ROUNDDOWN(53.8,0)</f>
      </c>
      <c r="AB309" s="5">
        <v>5</v>
      </c>
      <c r="AC309" s="2" t="s">
        <v>199</v>
      </c>
      <c r="AD309" s="4"/>
      <c r="AE309" s="4"/>
      <c r="AF309" s="6">
        <v>65</v>
      </c>
      <c r="AG309" s="6">
        <v>73</v>
      </c>
      <c r="AH309" s="7">
        <v>1</v>
      </c>
      <c r="AI309" s="4"/>
      <c r="AJ309" s="4">
        <f>=ROUNDDOWN({0},0)</f>
      </c>
      <c r="AK309" s="5"/>
      <c r="AL309" s="2" t="s">
        <v>199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26</v>
      </c>
      <c r="BK309" s="8">
        <v>2247.85</v>
      </c>
      <c r="BL309" s="2" t="s">
        <v>1643</v>
      </c>
      <c r="BM309" s="7"/>
      <c r="BN309" s="7"/>
      <c r="BO309" s="4"/>
      <c r="BP309" s="8"/>
      <c r="BQ309" s="4"/>
      <c r="BR309" s="8"/>
      <c r="BS309" s="7"/>
      <c r="BT309" s="7"/>
      <c r="BU309" s="2" t="s">
        <v>1910</v>
      </c>
      <c r="BV309" s="2" t="s">
        <v>199</v>
      </c>
      <c r="BW309" s="2" t="s">
        <v>199</v>
      </c>
      <c r="BX309" s="2" t="s">
        <v>208</v>
      </c>
      <c r="BY309" s="2" t="s">
        <v>209</v>
      </c>
      <c r="BZ309" s="2" t="s">
        <v>196</v>
      </c>
      <c r="CA309" s="2" t="s">
        <v>210</v>
      </c>
      <c r="CB309" s="2" t="s">
        <v>1911</v>
      </c>
      <c r="CC309" s="2" t="s">
        <v>212</v>
      </c>
      <c r="CD309" s="2" t="s">
        <v>199</v>
      </c>
      <c r="CE309" s="4">
        <v>132</v>
      </c>
      <c r="CF309" s="4">
        <v>110</v>
      </c>
      <c r="CG309" s="4"/>
      <c r="CH309" s="4">
        <v>27</v>
      </c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>
        <v>274</v>
      </c>
      <c r="EU309" s="4">
        <v>266</v>
      </c>
      <c r="EV309" s="4">
        <v>261</v>
      </c>
      <c r="EW309" s="4">
        <v>256</v>
      </c>
      <c r="EX309" s="4">
        <v>251</v>
      </c>
      <c r="EY309" s="4">
        <v>246</v>
      </c>
      <c r="EZ309" s="4">
        <v>241</v>
      </c>
      <c r="FA309" s="4">
        <v>236</v>
      </c>
      <c r="FB309" s="4">
        <v>231</v>
      </c>
      <c r="FC309" s="4">
        <v>226</v>
      </c>
      <c r="FD309" s="4">
        <v>221</v>
      </c>
      <c r="FE309" s="4">
        <v>216</v>
      </c>
      <c r="FF309" s="4">
        <v>211</v>
      </c>
      <c r="FG309" s="4">
        <v>206</v>
      </c>
      <c r="FH309" s="4">
        <v>201</v>
      </c>
      <c r="FI309" s="4">
        <v>196</v>
      </c>
      <c r="FJ309" s="4">
        <v>191</v>
      </c>
      <c r="FK309" s="4">
        <v>186</v>
      </c>
      <c r="FL309" s="4">
        <v>181</v>
      </c>
      <c r="FM309" s="4">
        <v>176</v>
      </c>
      <c r="FN309" s="4">
        <v>171</v>
      </c>
      <c r="FO309" s="4">
        <v>166</v>
      </c>
      <c r="FP309" s="4">
        <v>161</v>
      </c>
      <c r="FQ309" s="4">
        <v>156</v>
      </c>
      <c r="FR309" s="4">
        <v>151</v>
      </c>
      <c r="FS309" s="4">
        <v>146</v>
      </c>
      <c r="FT309" s="19">
        <v>38.2</v>
      </c>
      <c r="FU309" s="19">
        <v>43</v>
      </c>
      <c r="FV309" s="19">
        <v>42</v>
      </c>
      <c r="FW309" s="19">
        <v>41</v>
      </c>
      <c r="FX309" s="19">
        <v>40</v>
      </c>
      <c r="FY309" s="19">
        <v>39</v>
      </c>
      <c r="FZ309" s="19">
        <v>38</v>
      </c>
      <c r="GA309" s="19">
        <v>37</v>
      </c>
      <c r="GB309" s="19">
        <v>36</v>
      </c>
      <c r="GC309" s="19">
        <v>35</v>
      </c>
      <c r="GD309" s="19">
        <v>34</v>
      </c>
      <c r="GE309" s="19">
        <v>33</v>
      </c>
      <c r="GF309" s="19">
        <v>32</v>
      </c>
      <c r="GG309" s="19">
        <v>31</v>
      </c>
      <c r="GH309" s="19">
        <v>30</v>
      </c>
      <c r="GI309" s="19">
        <v>29</v>
      </c>
      <c r="GJ309" s="19">
        <v>28</v>
      </c>
      <c r="GK309" s="19">
        <v>27</v>
      </c>
      <c r="GL309" s="19">
        <v>26</v>
      </c>
      <c r="GM309" s="19">
        <v>25</v>
      </c>
      <c r="GN309" s="19">
        <v>24</v>
      </c>
      <c r="GO309" s="19">
        <v>23</v>
      </c>
      <c r="GP309" s="19">
        <v>22</v>
      </c>
      <c r="GQ309" s="19">
        <v>21</v>
      </c>
      <c r="GR309" s="19">
        <v>20</v>
      </c>
      <c r="GS309" s="19">
        <v>18</v>
      </c>
    </row>
    <row r="310">
      <c r="A310" s="2" t="s">
        <v>1912</v>
      </c>
      <c r="B310" s="2" t="s">
        <v>736</v>
      </c>
      <c r="C310" s="2" t="s">
        <v>1007</v>
      </c>
      <c r="D310" s="2" t="s">
        <v>631</v>
      </c>
      <c r="E310" s="2" t="s">
        <v>720</v>
      </c>
      <c r="F310" s="2" t="s">
        <v>1913</v>
      </c>
      <c r="G310" s="2" t="s">
        <v>1914</v>
      </c>
      <c r="H310" s="2" t="s">
        <v>1915</v>
      </c>
      <c r="I310" s="2" t="s">
        <v>1916</v>
      </c>
      <c r="J310" s="2" t="s">
        <v>232</v>
      </c>
      <c r="K310" s="2" t="s">
        <v>1917</v>
      </c>
      <c r="L310" s="3">
        <v>29.9</v>
      </c>
      <c r="M310" s="3">
        <v>31.4</v>
      </c>
      <c r="N310" s="3">
        <v>64.99</v>
      </c>
      <c r="O310" s="2" t="s">
        <v>1130</v>
      </c>
      <c r="P310" s="2" t="s">
        <v>841</v>
      </c>
      <c r="Q310" s="2" t="s">
        <v>198</v>
      </c>
      <c r="R310" s="2" t="s">
        <v>199</v>
      </c>
      <c r="S310" s="2" t="s">
        <v>1918</v>
      </c>
      <c r="T310" s="2" t="s">
        <v>386</v>
      </c>
      <c r="U310" s="2" t="s">
        <v>492</v>
      </c>
      <c r="V310" s="2" t="s">
        <v>1381</v>
      </c>
      <c r="W310" s="2" t="s">
        <v>623</v>
      </c>
      <c r="X310" s="2" t="s">
        <v>640</v>
      </c>
      <c r="Y310" s="2" t="s">
        <v>800</v>
      </c>
      <c r="Z310" s="4">
        <v>131</v>
      </c>
      <c r="AA310" s="4">
        <f>=ROUNDDOWN(59.5454545454545,0)</f>
      </c>
      <c r="AB310" s="5">
        <v>2.2</v>
      </c>
      <c r="AC310" s="2" t="s">
        <v>199</v>
      </c>
      <c r="AD310" s="4"/>
      <c r="AE310" s="4"/>
      <c r="AF310" s="6">
        <v>64</v>
      </c>
      <c r="AG310" s="6"/>
      <c r="AH310" s="7">
        <v>0.9355</v>
      </c>
      <c r="AI310" s="4"/>
      <c r="AJ310" s="4">
        <f>=ROUNDDOWN({0},0)</f>
      </c>
      <c r="AK310" s="5"/>
      <c r="AL310" s="2" t="s">
        <v>199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8</v>
      </c>
      <c r="BK310" s="8">
        <v>307.92</v>
      </c>
      <c r="BL310" s="2" t="s">
        <v>1919</v>
      </c>
      <c r="BM310" s="7"/>
      <c r="BN310" s="7"/>
      <c r="BO310" s="4"/>
      <c r="BP310" s="8"/>
      <c r="BQ310" s="4"/>
      <c r="BR310" s="8"/>
      <c r="BS310" s="7"/>
      <c r="BT310" s="7"/>
      <c r="BU310" s="2" t="s">
        <v>1920</v>
      </c>
      <c r="BV310" s="2" t="s">
        <v>199</v>
      </c>
      <c r="BW310" s="2" t="s">
        <v>199</v>
      </c>
      <c r="BX310" s="2" t="s">
        <v>208</v>
      </c>
      <c r="BY310" s="2" t="s">
        <v>209</v>
      </c>
      <c r="BZ310" s="2" t="s">
        <v>196</v>
      </c>
      <c r="CA310" s="2" t="s">
        <v>1921</v>
      </c>
      <c r="CB310" s="2" t="s">
        <v>1743</v>
      </c>
      <c r="CC310" s="2" t="s">
        <v>212</v>
      </c>
      <c r="CD310" s="2" t="s">
        <v>199</v>
      </c>
      <c r="CE310" s="4">
        <v>131</v>
      </c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>
        <v>265</v>
      </c>
      <c r="EU310" s="4">
        <v>259</v>
      </c>
      <c r="EV310" s="4">
        <v>256</v>
      </c>
      <c r="EW310" s="4">
        <v>253</v>
      </c>
      <c r="EX310" s="4">
        <v>250</v>
      </c>
      <c r="EY310" s="4">
        <v>247</v>
      </c>
      <c r="EZ310" s="4">
        <v>244</v>
      </c>
      <c r="FA310" s="4">
        <v>241</v>
      </c>
      <c r="FB310" s="4">
        <v>238</v>
      </c>
      <c r="FC310" s="4">
        <v>235</v>
      </c>
      <c r="FD310" s="4">
        <v>232</v>
      </c>
      <c r="FE310" s="4">
        <v>229</v>
      </c>
      <c r="FF310" s="4">
        <v>226</v>
      </c>
      <c r="FG310" s="4">
        <v>223</v>
      </c>
      <c r="FH310" s="4">
        <v>220</v>
      </c>
      <c r="FI310" s="4">
        <v>217</v>
      </c>
      <c r="FJ310" s="4">
        <v>214</v>
      </c>
      <c r="FK310" s="4">
        <v>211</v>
      </c>
      <c r="FL310" s="4">
        <v>208</v>
      </c>
      <c r="FM310" s="4">
        <v>205</v>
      </c>
      <c r="FN310" s="4">
        <v>202</v>
      </c>
      <c r="FO310" s="4">
        <v>199</v>
      </c>
      <c r="FP310" s="4">
        <v>196</v>
      </c>
      <c r="FQ310" s="4">
        <v>192</v>
      </c>
      <c r="FR310" s="4">
        <v>189</v>
      </c>
      <c r="FS310" s="4">
        <v>184</v>
      </c>
      <c r="FT310" s="19">
        <v>66.3</v>
      </c>
      <c r="FU310" s="19">
        <v>86.3</v>
      </c>
      <c r="FV310" s="19">
        <v>85.3</v>
      </c>
      <c r="FW310" s="19">
        <v>84.3</v>
      </c>
      <c r="FX310" s="19">
        <v>83.3</v>
      </c>
      <c r="FY310" s="19">
        <v>82.3</v>
      </c>
      <c r="FZ310" s="19">
        <v>81.3</v>
      </c>
      <c r="GA310" s="19">
        <v>80.3</v>
      </c>
      <c r="GB310" s="19">
        <v>79.3</v>
      </c>
      <c r="GC310" s="19">
        <v>78.3</v>
      </c>
      <c r="GD310" s="19">
        <v>77.3</v>
      </c>
      <c r="GE310" s="19">
        <v>76.3</v>
      </c>
      <c r="GF310" s="19">
        <v>75.3</v>
      </c>
      <c r="GG310" s="19">
        <v>74.3</v>
      </c>
      <c r="GH310" s="19">
        <v>73.3</v>
      </c>
      <c r="GI310" s="19">
        <v>72.3</v>
      </c>
      <c r="GJ310" s="19">
        <v>71.3</v>
      </c>
      <c r="GK310" s="19">
        <v>70.3</v>
      </c>
      <c r="GL310" s="19">
        <v>69.3</v>
      </c>
      <c r="GM310" s="19">
        <v>68.3</v>
      </c>
      <c r="GN310" s="19">
        <v>67.3</v>
      </c>
      <c r="GO310" s="19">
        <v>49.8</v>
      </c>
      <c r="GP310" s="19">
        <v>49</v>
      </c>
      <c r="GQ310" s="19">
        <v>48</v>
      </c>
      <c r="GR310" s="19">
        <v>37.8</v>
      </c>
      <c r="GS310" s="19">
        <v>46</v>
      </c>
    </row>
    <row r="311">
      <c r="A311" s="2" t="s">
        <v>1922</v>
      </c>
      <c r="B311" s="2" t="s">
        <v>1019</v>
      </c>
      <c r="C311" s="2" t="s">
        <v>1923</v>
      </c>
      <c r="D311" s="2" t="s">
        <v>1318</v>
      </c>
      <c r="E311" s="2" t="s">
        <v>1319</v>
      </c>
      <c r="F311" s="2" t="s">
        <v>1924</v>
      </c>
      <c r="G311" s="2" t="s">
        <v>1924</v>
      </c>
      <c r="H311" s="2" t="s">
        <v>1924</v>
      </c>
      <c r="I311" s="2" t="s">
        <v>1319</v>
      </c>
      <c r="J311" s="2" t="s">
        <v>194</v>
      </c>
      <c r="K311" s="2" t="s">
        <v>371</v>
      </c>
      <c r="L311" s="3">
        <v>16.56</v>
      </c>
      <c r="M311" s="3">
        <v>17.39</v>
      </c>
      <c r="N311" s="3">
        <v>36.99</v>
      </c>
      <c r="O311" s="2" t="s">
        <v>196</v>
      </c>
      <c r="P311" s="2" t="s">
        <v>197</v>
      </c>
      <c r="Q311" s="2" t="s">
        <v>198</v>
      </c>
      <c r="R311" s="2" t="s">
        <v>199</v>
      </c>
      <c r="S311" s="2" t="s">
        <v>1925</v>
      </c>
      <c r="T311" s="2" t="s">
        <v>1926</v>
      </c>
      <c r="U311" s="2" t="s">
        <v>280</v>
      </c>
      <c r="V311" s="2" t="s">
        <v>202</v>
      </c>
      <c r="W311" s="2" t="s">
        <v>203</v>
      </c>
      <c r="X311" s="2" t="s">
        <v>199</v>
      </c>
      <c r="Y311" s="2" t="s">
        <v>1927</v>
      </c>
      <c r="Z311" s="4">
        <v>252</v>
      </c>
      <c r="AA311" s="4">
        <f>=ROUNDDOWN(84,0)</f>
      </c>
      <c r="AB311" s="5">
        <v>3</v>
      </c>
      <c r="AC311" s="2" t="s">
        <v>199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199</v>
      </c>
      <c r="AW311" s="8" t="s">
        <v>199</v>
      </c>
      <c r="AX311" s="4" t="s">
        <v>199</v>
      </c>
      <c r="AY311" s="8" t="s">
        <v>199</v>
      </c>
      <c r="AZ311" s="7" t="s">
        <v>199</v>
      </c>
      <c r="BA311" s="7" t="s">
        <v>199</v>
      </c>
      <c r="BB311" s="7"/>
      <c r="BC311" s="4" t="s">
        <v>199</v>
      </c>
      <c r="BD311" s="8" t="s">
        <v>199</v>
      </c>
      <c r="BE311" s="4" t="s">
        <v>199</v>
      </c>
      <c r="BF311" s="8" t="s">
        <v>199</v>
      </c>
      <c r="BG311" s="7" t="s">
        <v>199</v>
      </c>
      <c r="BH311" s="7" t="s">
        <v>199</v>
      </c>
      <c r="BI311" s="7"/>
      <c r="BJ311" s="4">
        <v>35</v>
      </c>
      <c r="BK311" s="8">
        <v>651.75</v>
      </c>
      <c r="BL311" s="2" t="s">
        <v>292</v>
      </c>
      <c r="BM311" s="7"/>
      <c r="BN311" s="7"/>
      <c r="BO311" s="4"/>
      <c r="BP311" s="8"/>
      <c r="BQ311" s="4"/>
      <c r="BR311" s="8"/>
      <c r="BS311" s="7"/>
      <c r="BT311" s="7"/>
      <c r="BU311" s="2" t="s">
        <v>1928</v>
      </c>
      <c r="BV311" s="2" t="s">
        <v>199</v>
      </c>
      <c r="BW311" s="2" t="s">
        <v>199</v>
      </c>
      <c r="BX311" s="2" t="s">
        <v>208</v>
      </c>
      <c r="BY311" s="2" t="s">
        <v>209</v>
      </c>
      <c r="BZ311" s="2" t="s">
        <v>196</v>
      </c>
      <c r="CA311" s="2" t="s">
        <v>1929</v>
      </c>
      <c r="CB311" s="2" t="s">
        <v>1930</v>
      </c>
      <c r="CC311" s="2" t="s">
        <v>212</v>
      </c>
      <c r="CD311" s="2" t="s">
        <v>199</v>
      </c>
      <c r="CE311" s="4">
        <v>252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>
        <v>253</v>
      </c>
      <c r="EU311" s="4">
        <v>251</v>
      </c>
      <c r="EV311" s="4">
        <v>249</v>
      </c>
      <c r="EW311" s="4">
        <v>247</v>
      </c>
      <c r="EX311" s="4">
        <v>245</v>
      </c>
      <c r="EY311" s="4">
        <v>243</v>
      </c>
      <c r="EZ311" s="4">
        <v>240</v>
      </c>
      <c r="FA311" s="4">
        <v>237</v>
      </c>
      <c r="FB311" s="4">
        <v>234</v>
      </c>
      <c r="FC311" s="4">
        <v>231</v>
      </c>
      <c r="FD311" s="4">
        <v>228</v>
      </c>
      <c r="FE311" s="4">
        <v>225</v>
      </c>
      <c r="FF311" s="4">
        <v>222</v>
      </c>
      <c r="FG311" s="4">
        <v>219</v>
      </c>
      <c r="FH311" s="4">
        <v>216</v>
      </c>
      <c r="FI311" s="4">
        <v>213</v>
      </c>
      <c r="FJ311" s="4">
        <v>210</v>
      </c>
      <c r="FK311" s="4">
        <v>207</v>
      </c>
      <c r="FL311" s="4">
        <v>204</v>
      </c>
      <c r="FM311" s="4">
        <v>201</v>
      </c>
      <c r="FN311" s="4">
        <v>198</v>
      </c>
      <c r="FO311" s="4">
        <v>195</v>
      </c>
      <c r="FP311" s="4">
        <v>192</v>
      </c>
      <c r="FQ311" s="4">
        <v>188</v>
      </c>
      <c r="FR311" s="4">
        <v>184</v>
      </c>
      <c r="FS311" s="4">
        <v>180</v>
      </c>
      <c r="FT311" s="19">
        <v>126.5</v>
      </c>
      <c r="FU311" s="19">
        <v>125.5</v>
      </c>
      <c r="FV311" s="19">
        <v>124.5</v>
      </c>
      <c r="FW311" s="19">
        <v>123.5</v>
      </c>
      <c r="FX311" s="19">
        <v>81.7</v>
      </c>
      <c r="FY311" s="19">
        <v>81</v>
      </c>
      <c r="FZ311" s="19">
        <v>80</v>
      </c>
      <c r="GA311" s="19">
        <v>79</v>
      </c>
      <c r="GB311" s="19">
        <v>78</v>
      </c>
      <c r="GC311" s="19">
        <v>77</v>
      </c>
      <c r="GD311" s="19">
        <v>76</v>
      </c>
      <c r="GE311" s="19">
        <v>75</v>
      </c>
      <c r="GF311" s="19">
        <v>74</v>
      </c>
      <c r="GG311" s="19">
        <v>73</v>
      </c>
      <c r="GH311" s="19">
        <v>72</v>
      </c>
      <c r="GI311" s="19">
        <v>71</v>
      </c>
      <c r="GJ311" s="19">
        <v>70</v>
      </c>
      <c r="GK311" s="19">
        <v>69</v>
      </c>
      <c r="GL311" s="19">
        <v>68</v>
      </c>
      <c r="GM311" s="19">
        <v>67</v>
      </c>
      <c r="GN311" s="19">
        <v>49.5</v>
      </c>
      <c r="GO311" s="19">
        <v>48.8</v>
      </c>
      <c r="GP311" s="19">
        <v>48</v>
      </c>
      <c r="GQ311" s="19">
        <v>47</v>
      </c>
      <c r="GR311" s="19">
        <v>36.8</v>
      </c>
      <c r="GS311" s="19">
        <v>36</v>
      </c>
    </row>
    <row r="312">
      <c r="A312" s="2" t="s">
        <v>1931</v>
      </c>
      <c r="B312" s="2" t="s">
        <v>1019</v>
      </c>
      <c r="C312" s="2" t="s">
        <v>1923</v>
      </c>
      <c r="D312" s="2" t="s">
        <v>1318</v>
      </c>
      <c r="E312" s="2" t="s">
        <v>1319</v>
      </c>
      <c r="F312" s="2" t="s">
        <v>1924</v>
      </c>
      <c r="G312" s="2" t="s">
        <v>1924</v>
      </c>
      <c r="H312" s="2" t="s">
        <v>1924</v>
      </c>
      <c r="I312" s="2" t="s">
        <v>1319</v>
      </c>
      <c r="J312" s="2" t="s">
        <v>232</v>
      </c>
      <c r="K312" s="2" t="s">
        <v>371</v>
      </c>
      <c r="L312" s="3">
        <v>19.6</v>
      </c>
      <c r="M312" s="3">
        <v>20.58</v>
      </c>
      <c r="N312" s="3">
        <v>41.99</v>
      </c>
      <c r="O312" s="2" t="s">
        <v>196</v>
      </c>
      <c r="P312" s="2" t="s">
        <v>197</v>
      </c>
      <c r="Q312" s="2" t="s">
        <v>198</v>
      </c>
      <c r="R312" s="2" t="s">
        <v>199</v>
      </c>
      <c r="S312" s="2" t="s">
        <v>1925</v>
      </c>
      <c r="T312" s="2" t="s">
        <v>1926</v>
      </c>
      <c r="U312" s="2" t="s">
        <v>280</v>
      </c>
      <c r="V312" s="2" t="s">
        <v>202</v>
      </c>
      <c r="W312" s="2" t="s">
        <v>203</v>
      </c>
      <c r="X312" s="2" t="s">
        <v>199</v>
      </c>
      <c r="Y312" s="2" t="s">
        <v>1927</v>
      </c>
      <c r="Z312" s="4">
        <v>163</v>
      </c>
      <c r="AA312" s="4">
        <f>=ROUNDDOWN(14.5535714285714,0)</f>
      </c>
      <c r="AB312" s="5">
        <v>11.2</v>
      </c>
      <c r="AC312" s="2" t="s">
        <v>199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199</v>
      </c>
      <c r="AW312" s="8" t="s">
        <v>199</v>
      </c>
      <c r="AX312" s="4" t="s">
        <v>199</v>
      </c>
      <c r="AY312" s="8" t="s">
        <v>199</v>
      </c>
      <c r="AZ312" s="7" t="s">
        <v>199</v>
      </c>
      <c r="BA312" s="7" t="s">
        <v>199</v>
      </c>
      <c r="BB312" s="7"/>
      <c r="BC312" s="4" t="s">
        <v>199</v>
      </c>
      <c r="BD312" s="8" t="s">
        <v>199</v>
      </c>
      <c r="BE312" s="4" t="s">
        <v>199</v>
      </c>
      <c r="BF312" s="8" t="s">
        <v>199</v>
      </c>
      <c r="BG312" s="7" t="s">
        <v>199</v>
      </c>
      <c r="BH312" s="7" t="s">
        <v>199</v>
      </c>
      <c r="BI312" s="7"/>
      <c r="BJ312" s="4">
        <v>224</v>
      </c>
      <c r="BK312" s="8">
        <v>4960.3</v>
      </c>
      <c r="BL312" s="2" t="s">
        <v>1932</v>
      </c>
      <c r="BM312" s="7"/>
      <c r="BN312" s="7"/>
      <c r="BO312" s="4"/>
      <c r="BP312" s="8"/>
      <c r="BQ312" s="4"/>
      <c r="BR312" s="8"/>
      <c r="BS312" s="7"/>
      <c r="BT312" s="7"/>
      <c r="BU312" s="2" t="s">
        <v>1928</v>
      </c>
      <c r="BV312" s="2" t="s">
        <v>199</v>
      </c>
      <c r="BW312" s="2" t="s">
        <v>199</v>
      </c>
      <c r="BX312" s="2" t="s">
        <v>208</v>
      </c>
      <c r="BY312" s="2" t="s">
        <v>209</v>
      </c>
      <c r="BZ312" s="2" t="s">
        <v>196</v>
      </c>
      <c r="CA312" s="2" t="s">
        <v>1929</v>
      </c>
      <c r="CB312" s="2" t="s">
        <v>1477</v>
      </c>
      <c r="CC312" s="2" t="s">
        <v>212</v>
      </c>
      <c r="CD312" s="2" t="s">
        <v>199</v>
      </c>
      <c r="CE312" s="4">
        <v>163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>
        <v>174</v>
      </c>
      <c r="EU312" s="4">
        <v>156</v>
      </c>
      <c r="EV312" s="4">
        <v>147</v>
      </c>
      <c r="EW312" s="4">
        <v>138</v>
      </c>
      <c r="EX312" s="4">
        <v>129</v>
      </c>
      <c r="EY312" s="4">
        <v>120</v>
      </c>
      <c r="EZ312" s="4">
        <v>112</v>
      </c>
      <c r="FA312" s="4">
        <v>104</v>
      </c>
      <c r="FB312" s="4">
        <v>94</v>
      </c>
      <c r="FC312" s="4">
        <v>85</v>
      </c>
      <c r="FD312" s="4">
        <v>73</v>
      </c>
      <c r="FE312" s="4">
        <v>61</v>
      </c>
      <c r="FF312" s="4">
        <v>49</v>
      </c>
      <c r="FG312" s="4">
        <v>37</v>
      </c>
      <c r="FH312" s="4">
        <v>23</v>
      </c>
      <c r="FI312" s="4">
        <v>9</v>
      </c>
      <c r="FJ312" s="4"/>
      <c r="FK312" s="4"/>
      <c r="FL312" s="4"/>
      <c r="FM312" s="4"/>
      <c r="FN312" s="4"/>
      <c r="FO312" s="4"/>
      <c r="FP312" s="4"/>
      <c r="FQ312" s="4">
        <v>267</v>
      </c>
      <c r="FR312" s="4">
        <v>247</v>
      </c>
      <c r="FS312" s="4">
        <v>234</v>
      </c>
      <c r="FT312" s="19">
        <v>15.8</v>
      </c>
      <c r="FU312" s="19">
        <v>17.3</v>
      </c>
      <c r="FV312" s="19">
        <v>16.3</v>
      </c>
      <c r="FW312" s="19">
        <v>17.3</v>
      </c>
      <c r="FX312" s="19">
        <v>14.3</v>
      </c>
      <c r="FY312" s="19">
        <v>13.3</v>
      </c>
      <c r="FZ312" s="19">
        <v>11.2</v>
      </c>
      <c r="GA312" s="19">
        <v>9.5</v>
      </c>
      <c r="GB312" s="19">
        <v>8.5</v>
      </c>
      <c r="GC312" s="19">
        <v>7.1</v>
      </c>
      <c r="GD312" s="19">
        <v>6.1</v>
      </c>
      <c r="GE312" s="19">
        <v>4.7</v>
      </c>
      <c r="GF312" s="19">
        <v>3.8</v>
      </c>
      <c r="GG312" s="19">
        <v>2.8</v>
      </c>
      <c r="GH312" s="19">
        <v>1.9</v>
      </c>
      <c r="GI312" s="19">
        <v>0.8</v>
      </c>
      <c r="GJ312" s="20">
        <v>0</v>
      </c>
      <c r="GK312" s="20">
        <v>0</v>
      </c>
      <c r="GL312" s="20">
        <v>0</v>
      </c>
      <c r="GM312" s="20">
        <v>0</v>
      </c>
      <c r="GN312" s="20">
        <v>0</v>
      </c>
      <c r="GO312" s="20">
        <v>0</v>
      </c>
      <c r="GP312" s="20">
        <v>0</v>
      </c>
      <c r="GQ312" s="19">
        <v>16.7</v>
      </c>
      <c r="GR312" s="19">
        <v>16.5</v>
      </c>
      <c r="GS312" s="19">
        <v>14.6</v>
      </c>
    </row>
    <row r="313">
      <c r="A313" s="2" t="s">
        <v>1933</v>
      </c>
      <c r="B313" s="2" t="s">
        <v>1019</v>
      </c>
      <c r="C313" s="2" t="s">
        <v>1923</v>
      </c>
      <c r="D313" s="2" t="s">
        <v>1318</v>
      </c>
      <c r="E313" s="2" t="s">
        <v>1319</v>
      </c>
      <c r="F313" s="2" t="s">
        <v>1924</v>
      </c>
      <c r="G313" s="2" t="s">
        <v>1924</v>
      </c>
      <c r="H313" s="2" t="s">
        <v>1924</v>
      </c>
      <c r="I313" s="2" t="s">
        <v>1319</v>
      </c>
      <c r="J313" s="2" t="s">
        <v>194</v>
      </c>
      <c r="K313" s="2" t="s">
        <v>1934</v>
      </c>
      <c r="L313" s="3">
        <v>16.56</v>
      </c>
      <c r="M313" s="3">
        <v>17.39</v>
      </c>
      <c r="N313" s="3">
        <v>36.99</v>
      </c>
      <c r="O313" s="2" t="s">
        <v>196</v>
      </c>
      <c r="P313" s="2" t="s">
        <v>197</v>
      </c>
      <c r="Q313" s="2" t="s">
        <v>198</v>
      </c>
      <c r="R313" s="2" t="s">
        <v>199</v>
      </c>
      <c r="S313" s="2" t="s">
        <v>1935</v>
      </c>
      <c r="T313" s="2" t="s">
        <v>1926</v>
      </c>
      <c r="U313" s="2" t="s">
        <v>280</v>
      </c>
      <c r="V313" s="2" t="s">
        <v>202</v>
      </c>
      <c r="W313" s="2" t="s">
        <v>203</v>
      </c>
      <c r="X313" s="2" t="s">
        <v>199</v>
      </c>
      <c r="Y313" s="2" t="s">
        <v>1927</v>
      </c>
      <c r="Z313" s="4">
        <v>203</v>
      </c>
      <c r="AA313" s="4">
        <f>=ROUNDDOWN(40.6,0)</f>
      </c>
      <c r="AB313" s="5">
        <v>5</v>
      </c>
      <c r="AC313" s="2" t="s">
        <v>1936</v>
      </c>
      <c r="AD313" s="4">
        <v>80</v>
      </c>
      <c r="AE313" s="4">
        <v>80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199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199</v>
      </c>
      <c r="BD313" s="8" t="s">
        <v>199</v>
      </c>
      <c r="BE313" s="4" t="s">
        <v>199</v>
      </c>
      <c r="BF313" s="8" t="s">
        <v>199</v>
      </c>
      <c r="BG313" s="7" t="s">
        <v>199</v>
      </c>
      <c r="BH313" s="7" t="s">
        <v>199</v>
      </c>
      <c r="BI313" s="7"/>
      <c r="BJ313" s="4">
        <v>81</v>
      </c>
      <c r="BK313" s="8">
        <v>1507.66</v>
      </c>
      <c r="BL313" s="2" t="s">
        <v>1937</v>
      </c>
      <c r="BM313" s="7"/>
      <c r="BN313" s="7"/>
      <c r="BO313" s="4"/>
      <c r="BP313" s="8"/>
      <c r="BQ313" s="4"/>
      <c r="BR313" s="8"/>
      <c r="BS313" s="7"/>
      <c r="BT313" s="7"/>
      <c r="BU313" s="2" t="s">
        <v>1928</v>
      </c>
      <c r="BV313" s="2" t="s">
        <v>199</v>
      </c>
      <c r="BW313" s="2" t="s">
        <v>199</v>
      </c>
      <c r="BX313" s="2" t="s">
        <v>208</v>
      </c>
      <c r="BY313" s="2" t="s">
        <v>209</v>
      </c>
      <c r="BZ313" s="2" t="s">
        <v>196</v>
      </c>
      <c r="CA313" s="2" t="s">
        <v>1929</v>
      </c>
      <c r="CB313" s="2" t="s">
        <v>1335</v>
      </c>
      <c r="CC313" s="2" t="s">
        <v>212</v>
      </c>
      <c r="CD313" s="2" t="s">
        <v>199</v>
      </c>
      <c r="CE313" s="4">
        <v>203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>
        <v>80</v>
      </c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>
        <v>205</v>
      </c>
      <c r="EU313" s="4">
        <v>198</v>
      </c>
      <c r="EV313" s="4">
        <v>194</v>
      </c>
      <c r="EW313" s="4">
        <v>190</v>
      </c>
      <c r="EX313" s="4">
        <v>186</v>
      </c>
      <c r="EY313" s="4">
        <v>182</v>
      </c>
      <c r="EZ313" s="4">
        <v>257</v>
      </c>
      <c r="FA313" s="4">
        <v>252</v>
      </c>
      <c r="FB313" s="4">
        <v>247</v>
      </c>
      <c r="FC313" s="4">
        <v>242</v>
      </c>
      <c r="FD313" s="4">
        <v>236</v>
      </c>
      <c r="FE313" s="4">
        <v>230</v>
      </c>
      <c r="FF313" s="4">
        <v>224</v>
      </c>
      <c r="FG313" s="4">
        <v>218</v>
      </c>
      <c r="FH313" s="4">
        <v>212</v>
      </c>
      <c r="FI313" s="4">
        <v>206</v>
      </c>
      <c r="FJ313" s="4">
        <v>200</v>
      </c>
      <c r="FK313" s="4">
        <v>195</v>
      </c>
      <c r="FL313" s="4">
        <v>190</v>
      </c>
      <c r="FM313" s="4">
        <v>185</v>
      </c>
      <c r="FN313" s="4">
        <v>180</v>
      </c>
      <c r="FO313" s="4">
        <v>175</v>
      </c>
      <c r="FP313" s="4">
        <v>170</v>
      </c>
      <c r="FQ313" s="4">
        <v>163</v>
      </c>
      <c r="FR313" s="4">
        <v>156</v>
      </c>
      <c r="FS313" s="4">
        <v>149</v>
      </c>
      <c r="FT313" s="19">
        <v>41</v>
      </c>
      <c r="FU313" s="19">
        <v>49.5</v>
      </c>
      <c r="FV313" s="19">
        <v>48.5</v>
      </c>
      <c r="FW313" s="19">
        <v>47.5</v>
      </c>
      <c r="FX313" s="19">
        <v>37.2</v>
      </c>
      <c r="FY313" s="19">
        <v>36.4</v>
      </c>
      <c r="FZ313" s="19">
        <v>51.4</v>
      </c>
      <c r="GA313" s="19">
        <v>42</v>
      </c>
      <c r="GB313" s="19">
        <v>41.2</v>
      </c>
      <c r="GC313" s="19">
        <v>40.3</v>
      </c>
      <c r="GD313" s="19">
        <v>39.3</v>
      </c>
      <c r="GE313" s="19">
        <v>38.3</v>
      </c>
      <c r="GF313" s="19">
        <v>37.3</v>
      </c>
      <c r="GG313" s="19">
        <v>36.3</v>
      </c>
      <c r="GH313" s="19">
        <v>35.3</v>
      </c>
      <c r="GI313" s="19">
        <v>41.2</v>
      </c>
      <c r="GJ313" s="19">
        <v>40</v>
      </c>
      <c r="GK313" s="19">
        <v>39</v>
      </c>
      <c r="GL313" s="19">
        <v>38</v>
      </c>
      <c r="GM313" s="19">
        <v>30.8</v>
      </c>
      <c r="GN313" s="19">
        <v>30</v>
      </c>
      <c r="GO313" s="19">
        <v>29.2</v>
      </c>
      <c r="GP313" s="19">
        <v>24.3</v>
      </c>
      <c r="GQ313" s="19">
        <v>20.4</v>
      </c>
      <c r="GR313" s="19">
        <v>19.5</v>
      </c>
      <c r="GS313" s="19">
        <v>18.6</v>
      </c>
    </row>
    <row r="314">
      <c r="A314" s="2" t="s">
        <v>1938</v>
      </c>
      <c r="B314" s="2" t="s">
        <v>1019</v>
      </c>
      <c r="C314" s="2" t="s">
        <v>1923</v>
      </c>
      <c r="D314" s="2" t="s">
        <v>1318</v>
      </c>
      <c r="E314" s="2" t="s">
        <v>1319</v>
      </c>
      <c r="F314" s="2" t="s">
        <v>1924</v>
      </c>
      <c r="G314" s="2" t="s">
        <v>1924</v>
      </c>
      <c r="H314" s="2" t="s">
        <v>1924</v>
      </c>
      <c r="I314" s="2" t="s">
        <v>1319</v>
      </c>
      <c r="J314" s="2" t="s">
        <v>194</v>
      </c>
      <c r="K314" s="2" t="s">
        <v>723</v>
      </c>
      <c r="L314" s="3">
        <v>16.56</v>
      </c>
      <c r="M314" s="3">
        <v>17.39</v>
      </c>
      <c r="N314" s="3">
        <v>36.99</v>
      </c>
      <c r="O314" s="2" t="s">
        <v>196</v>
      </c>
      <c r="P314" s="2" t="s">
        <v>197</v>
      </c>
      <c r="Q314" s="2" t="s">
        <v>198</v>
      </c>
      <c r="R314" s="2" t="s">
        <v>199</v>
      </c>
      <c r="S314" s="2" t="s">
        <v>1939</v>
      </c>
      <c r="T314" s="2" t="s">
        <v>1926</v>
      </c>
      <c r="U314" s="2" t="s">
        <v>280</v>
      </c>
      <c r="V314" s="2" t="s">
        <v>202</v>
      </c>
      <c r="W314" s="2" t="s">
        <v>203</v>
      </c>
      <c r="X314" s="2" t="s">
        <v>199</v>
      </c>
      <c r="Y314" s="2" t="s">
        <v>1940</v>
      </c>
      <c r="Z314" s="4">
        <v>193</v>
      </c>
      <c r="AA314" s="4">
        <f>=ROUNDDOWN(38.6,0)</f>
      </c>
      <c r="AB314" s="5">
        <v>5</v>
      </c>
      <c r="AC314" s="2" t="s">
        <v>1936</v>
      </c>
      <c r="AD314" s="4">
        <v>80</v>
      </c>
      <c r="AE314" s="4">
        <v>80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199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199</v>
      </c>
      <c r="AW314" s="8" t="s">
        <v>199</v>
      </c>
      <c r="AX314" s="4" t="s">
        <v>199</v>
      </c>
      <c r="AY314" s="8" t="s">
        <v>199</v>
      </c>
      <c r="AZ314" s="7" t="s">
        <v>199</v>
      </c>
      <c r="BA314" s="7" t="s">
        <v>199</v>
      </c>
      <c r="BB314" s="7"/>
      <c r="BC314" s="4" t="s">
        <v>199</v>
      </c>
      <c r="BD314" s="8" t="s">
        <v>199</v>
      </c>
      <c r="BE314" s="4" t="s">
        <v>199</v>
      </c>
      <c r="BF314" s="8" t="s">
        <v>199</v>
      </c>
      <c r="BG314" s="7" t="s">
        <v>199</v>
      </c>
      <c r="BH314" s="7" t="s">
        <v>199</v>
      </c>
      <c r="BI314" s="7"/>
      <c r="BJ314" s="4">
        <v>43</v>
      </c>
      <c r="BK314" s="8">
        <v>799.65</v>
      </c>
      <c r="BL314" s="2" t="s">
        <v>482</v>
      </c>
      <c r="BM314" s="7"/>
      <c r="BN314" s="7"/>
      <c r="BO314" s="4"/>
      <c r="BP314" s="8"/>
      <c r="BQ314" s="4"/>
      <c r="BR314" s="8"/>
      <c r="BS314" s="7"/>
      <c r="BT314" s="7"/>
      <c r="BU314" s="2" t="s">
        <v>1928</v>
      </c>
      <c r="BV314" s="2" t="s">
        <v>199</v>
      </c>
      <c r="BW314" s="2" t="s">
        <v>199</v>
      </c>
      <c r="BX314" s="2" t="s">
        <v>208</v>
      </c>
      <c r="BY314" s="2" t="s">
        <v>209</v>
      </c>
      <c r="BZ314" s="2" t="s">
        <v>196</v>
      </c>
      <c r="CA314" s="2" t="s">
        <v>1929</v>
      </c>
      <c r="CB314" s="2" t="s">
        <v>1941</v>
      </c>
      <c r="CC314" s="2" t="s">
        <v>212</v>
      </c>
      <c r="CD314" s="2" t="s">
        <v>199</v>
      </c>
      <c r="CE314" s="4">
        <v>193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>
        <v>80</v>
      </c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>
        <v>196</v>
      </c>
      <c r="EU314" s="4">
        <v>191</v>
      </c>
      <c r="EV314" s="4">
        <v>188</v>
      </c>
      <c r="EW314" s="4">
        <v>184</v>
      </c>
      <c r="EX314" s="4">
        <v>180</v>
      </c>
      <c r="EY314" s="4">
        <v>176</v>
      </c>
      <c r="EZ314" s="4">
        <v>251</v>
      </c>
      <c r="FA314" s="4">
        <v>246</v>
      </c>
      <c r="FB314" s="4">
        <v>241</v>
      </c>
      <c r="FC314" s="4">
        <v>236</v>
      </c>
      <c r="FD314" s="4">
        <v>230</v>
      </c>
      <c r="FE314" s="4">
        <v>224</v>
      </c>
      <c r="FF314" s="4">
        <v>218</v>
      </c>
      <c r="FG314" s="4">
        <v>212</v>
      </c>
      <c r="FH314" s="4">
        <v>206</v>
      </c>
      <c r="FI314" s="4">
        <v>200</v>
      </c>
      <c r="FJ314" s="4">
        <v>194</v>
      </c>
      <c r="FK314" s="4">
        <v>189</v>
      </c>
      <c r="FL314" s="4">
        <v>184</v>
      </c>
      <c r="FM314" s="4">
        <v>179</v>
      </c>
      <c r="FN314" s="4">
        <v>174</v>
      </c>
      <c r="FO314" s="4">
        <v>169</v>
      </c>
      <c r="FP314" s="4">
        <v>164</v>
      </c>
      <c r="FQ314" s="4">
        <v>157</v>
      </c>
      <c r="FR314" s="4">
        <v>150</v>
      </c>
      <c r="FS314" s="4">
        <v>143</v>
      </c>
      <c r="FT314" s="19">
        <v>49</v>
      </c>
      <c r="FU314" s="19">
        <v>47.8</v>
      </c>
      <c r="FV314" s="19">
        <v>47</v>
      </c>
      <c r="FW314" s="19">
        <v>46</v>
      </c>
      <c r="FX314" s="19">
        <v>36</v>
      </c>
      <c r="FY314" s="19">
        <v>35.2</v>
      </c>
      <c r="FZ314" s="19">
        <v>50.2</v>
      </c>
      <c r="GA314" s="19">
        <v>41</v>
      </c>
      <c r="GB314" s="19">
        <v>40.2</v>
      </c>
      <c r="GC314" s="19">
        <v>39.3</v>
      </c>
      <c r="GD314" s="19">
        <v>38.3</v>
      </c>
      <c r="GE314" s="19">
        <v>37.3</v>
      </c>
      <c r="GF314" s="19">
        <v>36.3</v>
      </c>
      <c r="GG314" s="19">
        <v>35.3</v>
      </c>
      <c r="GH314" s="19">
        <v>34.3</v>
      </c>
      <c r="GI314" s="19">
        <v>40</v>
      </c>
      <c r="GJ314" s="19">
        <v>38.8</v>
      </c>
      <c r="GK314" s="19">
        <v>37.8</v>
      </c>
      <c r="GL314" s="19">
        <v>36.8</v>
      </c>
      <c r="GM314" s="19">
        <v>29.8</v>
      </c>
      <c r="GN314" s="19">
        <v>29</v>
      </c>
      <c r="GO314" s="19">
        <v>28.2</v>
      </c>
      <c r="GP314" s="19">
        <v>23.4</v>
      </c>
      <c r="GQ314" s="19">
        <v>19.6</v>
      </c>
      <c r="GR314" s="19">
        <v>18.8</v>
      </c>
      <c r="GS314" s="19">
        <v>17.9</v>
      </c>
    </row>
    <row r="315">
      <c r="A315" s="2" t="s">
        <v>1942</v>
      </c>
      <c r="B315" s="2" t="s">
        <v>1019</v>
      </c>
      <c r="C315" s="2" t="s">
        <v>1923</v>
      </c>
      <c r="D315" s="2" t="s">
        <v>1318</v>
      </c>
      <c r="E315" s="2" t="s">
        <v>1319</v>
      </c>
      <c r="F315" s="2" t="s">
        <v>1924</v>
      </c>
      <c r="G315" s="2" t="s">
        <v>1924</v>
      </c>
      <c r="H315" s="2" t="s">
        <v>1924</v>
      </c>
      <c r="I315" s="2" t="s">
        <v>1319</v>
      </c>
      <c r="J315" s="2" t="s">
        <v>232</v>
      </c>
      <c r="K315" s="2" t="s">
        <v>723</v>
      </c>
      <c r="L315" s="3">
        <v>19.6</v>
      </c>
      <c r="M315" s="3">
        <v>20.58</v>
      </c>
      <c r="N315" s="3">
        <v>41.99</v>
      </c>
      <c r="O315" s="2" t="s">
        <v>196</v>
      </c>
      <c r="P315" s="2" t="s">
        <v>197</v>
      </c>
      <c r="Q315" s="2" t="s">
        <v>198</v>
      </c>
      <c r="R315" s="2" t="s">
        <v>199</v>
      </c>
      <c r="S315" s="2" t="s">
        <v>1939</v>
      </c>
      <c r="T315" s="2" t="s">
        <v>1926</v>
      </c>
      <c r="U315" s="2" t="s">
        <v>280</v>
      </c>
      <c r="V315" s="2" t="s">
        <v>202</v>
      </c>
      <c r="W315" s="2" t="s">
        <v>203</v>
      </c>
      <c r="X315" s="2" t="s">
        <v>199</v>
      </c>
      <c r="Y315" s="2" t="s">
        <v>1940</v>
      </c>
      <c r="Z315" s="4">
        <v>191</v>
      </c>
      <c r="AA315" s="4">
        <f>=ROUNDDOWN(17.2072072072072,0)</f>
      </c>
      <c r="AB315" s="5">
        <v>11.1</v>
      </c>
      <c r="AC315" s="2" t="s">
        <v>1936</v>
      </c>
      <c r="AD315" s="4">
        <v>80</v>
      </c>
      <c r="AE315" s="4">
        <v>80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199</v>
      </c>
      <c r="AW315" s="8" t="s">
        <v>199</v>
      </c>
      <c r="AX315" s="4" t="s">
        <v>199</v>
      </c>
      <c r="AY315" s="8" t="s">
        <v>199</v>
      </c>
      <c r="AZ315" s="7" t="s">
        <v>199</v>
      </c>
      <c r="BA315" s="7" t="s">
        <v>199</v>
      </c>
      <c r="BB315" s="7"/>
      <c r="BC315" s="4" t="s">
        <v>199</v>
      </c>
      <c r="BD315" s="8" t="s">
        <v>199</v>
      </c>
      <c r="BE315" s="4" t="s">
        <v>199</v>
      </c>
      <c r="BF315" s="8" t="s">
        <v>199</v>
      </c>
      <c r="BG315" s="7" t="s">
        <v>199</v>
      </c>
      <c r="BH315" s="7" t="s">
        <v>199</v>
      </c>
      <c r="BI315" s="7"/>
      <c r="BJ315" s="4">
        <v>250</v>
      </c>
      <c r="BK315" s="8">
        <v>5542.21</v>
      </c>
      <c r="BL315" s="2" t="s">
        <v>1943</v>
      </c>
      <c r="BM315" s="7"/>
      <c r="BN315" s="7"/>
      <c r="BO315" s="4"/>
      <c r="BP315" s="8"/>
      <c r="BQ315" s="4"/>
      <c r="BR315" s="8"/>
      <c r="BS315" s="7"/>
      <c r="BT315" s="7"/>
      <c r="BU315" s="2" t="s">
        <v>1928</v>
      </c>
      <c r="BV315" s="2" t="s">
        <v>199</v>
      </c>
      <c r="BW315" s="2" t="s">
        <v>199</v>
      </c>
      <c r="BX315" s="2" t="s">
        <v>208</v>
      </c>
      <c r="BY315" s="2" t="s">
        <v>209</v>
      </c>
      <c r="BZ315" s="2" t="s">
        <v>196</v>
      </c>
      <c r="CA315" s="2" t="s">
        <v>1929</v>
      </c>
      <c r="CB315" s="2" t="s">
        <v>1944</v>
      </c>
      <c r="CC315" s="2" t="s">
        <v>212</v>
      </c>
      <c r="CD315" s="2" t="s">
        <v>199</v>
      </c>
      <c r="CE315" s="4">
        <v>191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>
        <v>80</v>
      </c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>
        <v>203</v>
      </c>
      <c r="EU315" s="4">
        <v>182</v>
      </c>
      <c r="EV315" s="4">
        <v>174</v>
      </c>
      <c r="EW315" s="4">
        <v>166</v>
      </c>
      <c r="EX315" s="4">
        <v>158</v>
      </c>
      <c r="EY315" s="4">
        <v>150</v>
      </c>
      <c r="EZ315" s="4">
        <v>223</v>
      </c>
      <c r="FA315" s="4">
        <v>216</v>
      </c>
      <c r="FB315" s="4">
        <v>208</v>
      </c>
      <c r="FC315" s="4">
        <v>201</v>
      </c>
      <c r="FD315" s="4">
        <v>192</v>
      </c>
      <c r="FE315" s="4">
        <v>183</v>
      </c>
      <c r="FF315" s="4">
        <v>173</v>
      </c>
      <c r="FG315" s="4">
        <v>161</v>
      </c>
      <c r="FH315" s="4">
        <v>146</v>
      </c>
      <c r="FI315" s="4">
        <v>132</v>
      </c>
      <c r="FJ315" s="4">
        <v>117</v>
      </c>
      <c r="FK315" s="4">
        <v>104</v>
      </c>
      <c r="FL315" s="4">
        <v>92</v>
      </c>
      <c r="FM315" s="4">
        <v>80</v>
      </c>
      <c r="FN315" s="4">
        <v>68</v>
      </c>
      <c r="FO315" s="4">
        <v>56</v>
      </c>
      <c r="FP315" s="4">
        <v>43</v>
      </c>
      <c r="FQ315" s="4">
        <v>230</v>
      </c>
      <c r="FR315" s="4">
        <v>217</v>
      </c>
      <c r="FS315" s="4">
        <v>204</v>
      </c>
      <c r="FT315" s="19">
        <v>18.5</v>
      </c>
      <c r="FU315" s="19">
        <v>22.8</v>
      </c>
      <c r="FV315" s="19">
        <v>21.8</v>
      </c>
      <c r="FW315" s="19">
        <v>20.8</v>
      </c>
      <c r="FX315" s="19">
        <v>19.8</v>
      </c>
      <c r="FY315" s="19">
        <v>21.4</v>
      </c>
      <c r="FZ315" s="19">
        <v>27.9</v>
      </c>
      <c r="GA315" s="19">
        <v>27</v>
      </c>
      <c r="GB315" s="19">
        <v>23.1</v>
      </c>
      <c r="GC315" s="19">
        <v>20.1</v>
      </c>
      <c r="GD315" s="19">
        <v>16</v>
      </c>
      <c r="GE315" s="19">
        <v>14.1</v>
      </c>
      <c r="GF315" s="19">
        <v>12.4</v>
      </c>
      <c r="GG315" s="19">
        <v>11.5</v>
      </c>
      <c r="GH315" s="19">
        <v>10.4</v>
      </c>
      <c r="GI315" s="19">
        <v>10.2</v>
      </c>
      <c r="GJ315" s="19">
        <v>9.8</v>
      </c>
      <c r="GK315" s="19">
        <v>8.7</v>
      </c>
      <c r="GL315" s="19">
        <v>7.7</v>
      </c>
      <c r="GM315" s="19">
        <v>6.7</v>
      </c>
      <c r="GN315" s="19">
        <v>5.2</v>
      </c>
      <c r="GO315" s="19">
        <v>4.3</v>
      </c>
      <c r="GP315" s="19">
        <v>3.3</v>
      </c>
      <c r="GQ315" s="19">
        <v>16.4</v>
      </c>
      <c r="GR315" s="19">
        <v>14.5</v>
      </c>
      <c r="GS315" s="19">
        <v>12.8</v>
      </c>
    </row>
    <row r="316">
      <c r="A316" s="2" t="s">
        <v>1945</v>
      </c>
      <c r="B316" s="2" t="s">
        <v>1019</v>
      </c>
      <c r="C316" s="2" t="s">
        <v>1923</v>
      </c>
      <c r="D316" s="2" t="s">
        <v>1318</v>
      </c>
      <c r="E316" s="2" t="s">
        <v>1319</v>
      </c>
      <c r="F316" s="2" t="s">
        <v>1924</v>
      </c>
      <c r="G316" s="2" t="s">
        <v>1924</v>
      </c>
      <c r="H316" s="2" t="s">
        <v>1924</v>
      </c>
      <c r="I316" s="2" t="s">
        <v>1319</v>
      </c>
      <c r="J316" s="2" t="s">
        <v>223</v>
      </c>
      <c r="K316" s="2" t="s">
        <v>723</v>
      </c>
      <c r="L316" s="3">
        <v>22.38</v>
      </c>
      <c r="M316" s="3">
        <v>23.5</v>
      </c>
      <c r="N316" s="3">
        <v>46.99</v>
      </c>
      <c r="O316" s="2" t="s">
        <v>196</v>
      </c>
      <c r="P316" s="2" t="s">
        <v>197</v>
      </c>
      <c r="Q316" s="2" t="s">
        <v>198</v>
      </c>
      <c r="R316" s="2" t="s">
        <v>199</v>
      </c>
      <c r="S316" s="2" t="s">
        <v>1939</v>
      </c>
      <c r="T316" s="2" t="s">
        <v>1926</v>
      </c>
      <c r="U316" s="2" t="s">
        <v>280</v>
      </c>
      <c r="V316" s="2" t="s">
        <v>202</v>
      </c>
      <c r="W316" s="2" t="s">
        <v>203</v>
      </c>
      <c r="X316" s="2" t="s">
        <v>199</v>
      </c>
      <c r="Y316" s="2" t="s">
        <v>1927</v>
      </c>
      <c r="Z316" s="4">
        <v>178</v>
      </c>
      <c r="AA316" s="4">
        <f>=ROUNDDOWN(12.7142857142857,0)</f>
      </c>
      <c r="AB316" s="5">
        <v>14</v>
      </c>
      <c r="AC316" s="2" t="s">
        <v>1936</v>
      </c>
      <c r="AD316" s="4">
        <v>240</v>
      </c>
      <c r="AE316" s="4">
        <v>240</v>
      </c>
      <c r="AF316" s="6">
        <v>65</v>
      </c>
      <c r="AG316" s="6"/>
      <c r="AH316" s="7">
        <v>0.4194</v>
      </c>
      <c r="AI316" s="4"/>
      <c r="AJ316" s="4">
        <f>=ROUNDDOWN({0},0)</f>
      </c>
      <c r="AK316" s="5"/>
      <c r="AL316" s="2" t="s">
        <v>199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199</v>
      </c>
      <c r="AW316" s="8" t="s">
        <v>199</v>
      </c>
      <c r="AX316" s="4" t="s">
        <v>199</v>
      </c>
      <c r="AY316" s="8" t="s">
        <v>199</v>
      </c>
      <c r="AZ316" s="7" t="s">
        <v>199</v>
      </c>
      <c r="BA316" s="7" t="s">
        <v>199</v>
      </c>
      <c r="BB316" s="7"/>
      <c r="BC316" s="4" t="s">
        <v>199</v>
      </c>
      <c r="BD316" s="8" t="s">
        <v>199</v>
      </c>
      <c r="BE316" s="4" t="s">
        <v>199</v>
      </c>
      <c r="BF316" s="8" t="s">
        <v>199</v>
      </c>
      <c r="BG316" s="7" t="s">
        <v>199</v>
      </c>
      <c r="BH316" s="7" t="s">
        <v>199</v>
      </c>
      <c r="BI316" s="7"/>
      <c r="BJ316" s="4">
        <v>57</v>
      </c>
      <c r="BK316" s="8">
        <v>1448.48</v>
      </c>
      <c r="BL316" s="2" t="s">
        <v>1946</v>
      </c>
      <c r="BM316" s="7"/>
      <c r="BN316" s="7"/>
      <c r="BO316" s="4"/>
      <c r="BP316" s="8"/>
      <c r="BQ316" s="4"/>
      <c r="BR316" s="8"/>
      <c r="BS316" s="7"/>
      <c r="BT316" s="7"/>
      <c r="BU316" s="2" t="s">
        <v>1928</v>
      </c>
      <c r="BV316" s="2" t="s">
        <v>199</v>
      </c>
      <c r="BW316" s="2" t="s">
        <v>199</v>
      </c>
      <c r="BX316" s="2" t="s">
        <v>208</v>
      </c>
      <c r="BY316" s="2" t="s">
        <v>209</v>
      </c>
      <c r="BZ316" s="2" t="s">
        <v>196</v>
      </c>
      <c r="CA316" s="2" t="s">
        <v>1929</v>
      </c>
      <c r="CB316" s="2" t="s">
        <v>1947</v>
      </c>
      <c r="CC316" s="2" t="s">
        <v>212</v>
      </c>
      <c r="CD316" s="2" t="s">
        <v>199</v>
      </c>
      <c r="CE316" s="4">
        <v>178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>
        <v>240</v>
      </c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>
        <v>190</v>
      </c>
      <c r="EU316" s="4">
        <v>171</v>
      </c>
      <c r="EV316" s="4">
        <v>164</v>
      </c>
      <c r="EW316" s="4">
        <v>153</v>
      </c>
      <c r="EX316" s="4">
        <v>141</v>
      </c>
      <c r="EY316" s="4">
        <v>129</v>
      </c>
      <c r="EZ316" s="4">
        <v>356</v>
      </c>
      <c r="FA316" s="4">
        <v>343</v>
      </c>
      <c r="FB316" s="4">
        <v>329</v>
      </c>
      <c r="FC316" s="4">
        <v>316</v>
      </c>
      <c r="FD316" s="4">
        <v>298</v>
      </c>
      <c r="FE316" s="4">
        <v>281</v>
      </c>
      <c r="FF316" s="4">
        <v>264</v>
      </c>
      <c r="FG316" s="4">
        <v>247</v>
      </c>
      <c r="FH316" s="4">
        <v>226</v>
      </c>
      <c r="FI316" s="4">
        <v>206</v>
      </c>
      <c r="FJ316" s="4">
        <v>185</v>
      </c>
      <c r="FK316" s="4">
        <v>169</v>
      </c>
      <c r="FL316" s="4">
        <v>153</v>
      </c>
      <c r="FM316" s="4">
        <v>137</v>
      </c>
      <c r="FN316" s="4">
        <v>121</v>
      </c>
      <c r="FO316" s="4">
        <v>105</v>
      </c>
      <c r="FP316" s="4">
        <v>88</v>
      </c>
      <c r="FQ316" s="4">
        <v>250</v>
      </c>
      <c r="FR316" s="4">
        <v>235</v>
      </c>
      <c r="FS316" s="4">
        <v>220</v>
      </c>
      <c r="FT316" s="19">
        <v>15.8</v>
      </c>
      <c r="FU316" s="19">
        <v>17.1</v>
      </c>
      <c r="FV316" s="19">
        <v>13.7</v>
      </c>
      <c r="FW316" s="19">
        <v>12.8</v>
      </c>
      <c r="FX316" s="19">
        <v>10.8</v>
      </c>
      <c r="FY316" s="19">
        <v>9.9</v>
      </c>
      <c r="FZ316" s="19">
        <v>25.4</v>
      </c>
      <c r="GA316" s="19">
        <v>21.4</v>
      </c>
      <c r="GB316" s="19">
        <v>20.6</v>
      </c>
      <c r="GC316" s="19">
        <v>18.6</v>
      </c>
      <c r="GD316" s="19">
        <v>16.6</v>
      </c>
      <c r="GE316" s="19">
        <v>14.8</v>
      </c>
      <c r="GF316" s="19">
        <v>13.2</v>
      </c>
      <c r="GG316" s="19">
        <v>12.4</v>
      </c>
      <c r="GH316" s="19">
        <v>12.6</v>
      </c>
      <c r="GI316" s="19">
        <v>12.1</v>
      </c>
      <c r="GJ316" s="19">
        <v>11.6</v>
      </c>
      <c r="GK316" s="19">
        <v>10.6</v>
      </c>
      <c r="GL316" s="19">
        <v>9.6</v>
      </c>
      <c r="GM316" s="19">
        <v>8.6</v>
      </c>
      <c r="GN316" s="19">
        <v>7.6</v>
      </c>
      <c r="GO316" s="19">
        <v>6.6</v>
      </c>
      <c r="GP316" s="19">
        <v>5.9</v>
      </c>
      <c r="GQ316" s="19">
        <v>15.6</v>
      </c>
      <c r="GR316" s="19">
        <v>14.7</v>
      </c>
      <c r="GS316" s="19">
        <v>12.9</v>
      </c>
    </row>
    <row r="317">
      <c r="A317" s="2" t="s">
        <v>1948</v>
      </c>
      <c r="B317" s="2" t="s">
        <v>1019</v>
      </c>
      <c r="C317" s="2" t="s">
        <v>1923</v>
      </c>
      <c r="D317" s="2" t="s">
        <v>1318</v>
      </c>
      <c r="E317" s="2" t="s">
        <v>1319</v>
      </c>
      <c r="F317" s="2" t="s">
        <v>1924</v>
      </c>
      <c r="G317" s="2" t="s">
        <v>1924</v>
      </c>
      <c r="H317" s="2" t="s">
        <v>1924</v>
      </c>
      <c r="I317" s="2" t="s">
        <v>1319</v>
      </c>
      <c r="J317" s="2" t="s">
        <v>194</v>
      </c>
      <c r="K317" s="2" t="s">
        <v>233</v>
      </c>
      <c r="L317" s="3">
        <v>16.56</v>
      </c>
      <c r="M317" s="3">
        <v>17.39</v>
      </c>
      <c r="N317" s="3">
        <v>36.99</v>
      </c>
      <c r="O317" s="2" t="s">
        <v>196</v>
      </c>
      <c r="P317" s="2" t="s">
        <v>197</v>
      </c>
      <c r="Q317" s="2" t="s">
        <v>198</v>
      </c>
      <c r="R317" s="2" t="s">
        <v>199</v>
      </c>
      <c r="S317" s="2" t="s">
        <v>1949</v>
      </c>
      <c r="T317" s="2" t="s">
        <v>1926</v>
      </c>
      <c r="U317" s="2" t="s">
        <v>280</v>
      </c>
      <c r="V317" s="2" t="s">
        <v>202</v>
      </c>
      <c r="W317" s="2" t="s">
        <v>203</v>
      </c>
      <c r="X317" s="2" t="s">
        <v>199</v>
      </c>
      <c r="Y317" s="2" t="s">
        <v>1940</v>
      </c>
      <c r="Z317" s="4">
        <v>230</v>
      </c>
      <c r="AA317" s="4">
        <f>=ROUNDDOWN(76.6666666666667,0)</f>
      </c>
      <c r="AB317" s="5">
        <v>3</v>
      </c>
      <c r="AC317" s="2" t="s">
        <v>199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199</v>
      </c>
      <c r="AW317" s="8" t="s">
        <v>199</v>
      </c>
      <c r="AX317" s="4" t="s">
        <v>199</v>
      </c>
      <c r="AY317" s="8" t="s">
        <v>199</v>
      </c>
      <c r="AZ317" s="7" t="s">
        <v>199</v>
      </c>
      <c r="BA317" s="7" t="s">
        <v>199</v>
      </c>
      <c r="BB317" s="7"/>
      <c r="BC317" s="4" t="s">
        <v>199</v>
      </c>
      <c r="BD317" s="8" t="s">
        <v>199</v>
      </c>
      <c r="BE317" s="4" t="s">
        <v>199</v>
      </c>
      <c r="BF317" s="8" t="s">
        <v>199</v>
      </c>
      <c r="BG317" s="7" t="s">
        <v>199</v>
      </c>
      <c r="BH317" s="7" t="s">
        <v>199</v>
      </c>
      <c r="BI317" s="7"/>
      <c r="BJ317" s="4">
        <v>35</v>
      </c>
      <c r="BK317" s="8">
        <v>650.54</v>
      </c>
      <c r="BL317" s="2" t="s">
        <v>1950</v>
      </c>
      <c r="BM317" s="7"/>
      <c r="BN317" s="7"/>
      <c r="BO317" s="4"/>
      <c r="BP317" s="8"/>
      <c r="BQ317" s="4"/>
      <c r="BR317" s="8"/>
      <c r="BS317" s="7"/>
      <c r="BT317" s="7"/>
      <c r="BU317" s="2" t="s">
        <v>1928</v>
      </c>
      <c r="BV317" s="2" t="s">
        <v>199</v>
      </c>
      <c r="BW317" s="2" t="s">
        <v>199</v>
      </c>
      <c r="BX317" s="2" t="s">
        <v>208</v>
      </c>
      <c r="BY317" s="2" t="s">
        <v>209</v>
      </c>
      <c r="BZ317" s="2" t="s">
        <v>196</v>
      </c>
      <c r="CA317" s="2" t="s">
        <v>1929</v>
      </c>
      <c r="CB317" s="2" t="s">
        <v>199</v>
      </c>
      <c r="CC317" s="2" t="s">
        <v>212</v>
      </c>
      <c r="CD317" s="2" t="s">
        <v>199</v>
      </c>
      <c r="CE317" s="4">
        <v>230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>
        <v>239</v>
      </c>
      <c r="EU317" s="4">
        <v>231</v>
      </c>
      <c r="EV317" s="4">
        <v>229</v>
      </c>
      <c r="EW317" s="4">
        <v>227</v>
      </c>
      <c r="EX317" s="4">
        <v>225</v>
      </c>
      <c r="EY317" s="4">
        <v>223</v>
      </c>
      <c r="EZ317" s="4">
        <v>220</v>
      </c>
      <c r="FA317" s="4">
        <v>217</v>
      </c>
      <c r="FB317" s="4">
        <v>214</v>
      </c>
      <c r="FC317" s="4">
        <v>211</v>
      </c>
      <c r="FD317" s="4">
        <v>208</v>
      </c>
      <c r="FE317" s="4">
        <v>205</v>
      </c>
      <c r="FF317" s="4">
        <v>202</v>
      </c>
      <c r="FG317" s="4">
        <v>199</v>
      </c>
      <c r="FH317" s="4">
        <v>196</v>
      </c>
      <c r="FI317" s="4">
        <v>193</v>
      </c>
      <c r="FJ317" s="4">
        <v>190</v>
      </c>
      <c r="FK317" s="4">
        <v>187</v>
      </c>
      <c r="FL317" s="4">
        <v>184</v>
      </c>
      <c r="FM317" s="4">
        <v>181</v>
      </c>
      <c r="FN317" s="4">
        <v>178</v>
      </c>
      <c r="FO317" s="4">
        <v>175</v>
      </c>
      <c r="FP317" s="4">
        <v>172</v>
      </c>
      <c r="FQ317" s="4">
        <v>168</v>
      </c>
      <c r="FR317" s="4">
        <v>164</v>
      </c>
      <c r="FS317" s="4">
        <v>160</v>
      </c>
      <c r="FT317" s="19">
        <v>59.8</v>
      </c>
      <c r="FU317" s="19">
        <v>115.5</v>
      </c>
      <c r="FV317" s="19">
        <v>114.5</v>
      </c>
      <c r="FW317" s="19">
        <v>113.5</v>
      </c>
      <c r="FX317" s="19">
        <v>75</v>
      </c>
      <c r="FY317" s="19">
        <v>74.3</v>
      </c>
      <c r="FZ317" s="19">
        <v>73.3</v>
      </c>
      <c r="GA317" s="19">
        <v>72.3</v>
      </c>
      <c r="GB317" s="19">
        <v>71.3</v>
      </c>
      <c r="GC317" s="19">
        <v>70.3</v>
      </c>
      <c r="GD317" s="19">
        <v>69.3</v>
      </c>
      <c r="GE317" s="19">
        <v>68.3</v>
      </c>
      <c r="GF317" s="19">
        <v>67.3</v>
      </c>
      <c r="GG317" s="19">
        <v>66.3</v>
      </c>
      <c r="GH317" s="19">
        <v>65.3</v>
      </c>
      <c r="GI317" s="19">
        <v>64.3</v>
      </c>
      <c r="GJ317" s="19">
        <v>63.3</v>
      </c>
      <c r="GK317" s="19">
        <v>62.3</v>
      </c>
      <c r="GL317" s="19">
        <v>61.3</v>
      </c>
      <c r="GM317" s="19">
        <v>60.3</v>
      </c>
      <c r="GN317" s="19">
        <v>44.5</v>
      </c>
      <c r="GO317" s="19">
        <v>43.8</v>
      </c>
      <c r="GP317" s="19">
        <v>43</v>
      </c>
      <c r="GQ317" s="19">
        <v>42</v>
      </c>
      <c r="GR317" s="19">
        <v>32.8</v>
      </c>
      <c r="GS317" s="19">
        <v>32</v>
      </c>
    </row>
    <row r="318">
      <c r="A318" s="2" t="s">
        <v>1951</v>
      </c>
      <c r="B318" s="2" t="s">
        <v>1019</v>
      </c>
      <c r="C318" s="2" t="s">
        <v>1923</v>
      </c>
      <c r="D318" s="2" t="s">
        <v>1318</v>
      </c>
      <c r="E318" s="2" t="s">
        <v>1319</v>
      </c>
      <c r="F318" s="2" t="s">
        <v>1924</v>
      </c>
      <c r="G318" s="2" t="s">
        <v>1924</v>
      </c>
      <c r="H318" s="2" t="s">
        <v>1924</v>
      </c>
      <c r="I318" s="2" t="s">
        <v>1319</v>
      </c>
      <c r="J318" s="2" t="s">
        <v>232</v>
      </c>
      <c r="K318" s="2" t="s">
        <v>233</v>
      </c>
      <c r="L318" s="3">
        <v>19.6</v>
      </c>
      <c r="M318" s="3">
        <v>20.58</v>
      </c>
      <c r="N318" s="3">
        <v>41.99</v>
      </c>
      <c r="O318" s="2" t="s">
        <v>196</v>
      </c>
      <c r="P318" s="2" t="s">
        <v>197</v>
      </c>
      <c r="Q318" s="2" t="s">
        <v>198</v>
      </c>
      <c r="R318" s="2" t="s">
        <v>199</v>
      </c>
      <c r="S318" s="2" t="s">
        <v>1949</v>
      </c>
      <c r="T318" s="2" t="s">
        <v>1926</v>
      </c>
      <c r="U318" s="2" t="s">
        <v>280</v>
      </c>
      <c r="V318" s="2" t="s">
        <v>202</v>
      </c>
      <c r="W318" s="2" t="s">
        <v>203</v>
      </c>
      <c r="X318" s="2" t="s">
        <v>199</v>
      </c>
      <c r="Y318" s="2" t="s">
        <v>1940</v>
      </c>
      <c r="Z318" s="4">
        <v>251</v>
      </c>
      <c r="AA318" s="4">
        <f>=ROUNDDOWN(26.7021276595745,0)</f>
      </c>
      <c r="AB318" s="5">
        <v>9.4</v>
      </c>
      <c r="AC318" s="2" t="s">
        <v>199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199</v>
      </c>
      <c r="AW318" s="8" t="s">
        <v>199</v>
      </c>
      <c r="AX318" s="4" t="s">
        <v>199</v>
      </c>
      <c r="AY318" s="8" t="s">
        <v>199</v>
      </c>
      <c r="AZ318" s="7" t="s">
        <v>199</v>
      </c>
      <c r="BA318" s="7" t="s">
        <v>199</v>
      </c>
      <c r="BB318" s="7"/>
      <c r="BC318" s="4" t="s">
        <v>199</v>
      </c>
      <c r="BD318" s="8" t="s">
        <v>199</v>
      </c>
      <c r="BE318" s="4" t="s">
        <v>199</v>
      </c>
      <c r="BF318" s="8" t="s">
        <v>199</v>
      </c>
      <c r="BG318" s="7" t="s">
        <v>199</v>
      </c>
      <c r="BH318" s="7" t="s">
        <v>199</v>
      </c>
      <c r="BI318" s="7"/>
      <c r="BJ318" s="4">
        <v>173</v>
      </c>
      <c r="BK318" s="8">
        <v>3819.75</v>
      </c>
      <c r="BL318" s="2" t="s">
        <v>1952</v>
      </c>
      <c r="BM318" s="7"/>
      <c r="BN318" s="7"/>
      <c r="BO318" s="4"/>
      <c r="BP318" s="8"/>
      <c r="BQ318" s="4"/>
      <c r="BR318" s="8"/>
      <c r="BS318" s="7"/>
      <c r="BT318" s="7"/>
      <c r="BU318" s="2" t="s">
        <v>1928</v>
      </c>
      <c r="BV318" s="2" t="s">
        <v>199</v>
      </c>
      <c r="BW318" s="2" t="s">
        <v>199</v>
      </c>
      <c r="BX318" s="2" t="s">
        <v>208</v>
      </c>
      <c r="BY318" s="2" t="s">
        <v>209</v>
      </c>
      <c r="BZ318" s="2" t="s">
        <v>196</v>
      </c>
      <c r="CA318" s="2" t="s">
        <v>1929</v>
      </c>
      <c r="CB318" s="2" t="s">
        <v>1413</v>
      </c>
      <c r="CC318" s="2" t="s">
        <v>212</v>
      </c>
      <c r="CD318" s="2" t="s">
        <v>199</v>
      </c>
      <c r="CE318" s="4">
        <v>251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>
        <v>255</v>
      </c>
      <c r="EU318" s="4">
        <v>244</v>
      </c>
      <c r="EV318" s="4">
        <v>236</v>
      </c>
      <c r="EW318" s="4">
        <v>228</v>
      </c>
      <c r="EX318" s="4">
        <v>220</v>
      </c>
      <c r="EY318" s="4">
        <v>212</v>
      </c>
      <c r="EZ318" s="4">
        <v>205</v>
      </c>
      <c r="FA318" s="4">
        <v>198</v>
      </c>
      <c r="FB318" s="4">
        <v>190</v>
      </c>
      <c r="FC318" s="4">
        <v>183</v>
      </c>
      <c r="FD318" s="4">
        <v>174</v>
      </c>
      <c r="FE318" s="4">
        <v>165</v>
      </c>
      <c r="FF318" s="4">
        <v>156</v>
      </c>
      <c r="FG318" s="4">
        <v>147</v>
      </c>
      <c r="FH318" s="4">
        <v>136</v>
      </c>
      <c r="FI318" s="4">
        <v>125</v>
      </c>
      <c r="FJ318" s="4">
        <v>114</v>
      </c>
      <c r="FK318" s="4">
        <v>103</v>
      </c>
      <c r="FL318" s="4">
        <v>93</v>
      </c>
      <c r="FM318" s="4">
        <v>83</v>
      </c>
      <c r="FN318" s="4">
        <v>73</v>
      </c>
      <c r="FO318" s="4">
        <v>63</v>
      </c>
      <c r="FP318" s="4">
        <v>52</v>
      </c>
      <c r="FQ318" s="4">
        <v>210</v>
      </c>
      <c r="FR318" s="4">
        <v>199</v>
      </c>
      <c r="FS318" s="4">
        <v>188</v>
      </c>
      <c r="FT318" s="19">
        <v>28.3</v>
      </c>
      <c r="FU318" s="19">
        <v>30.5</v>
      </c>
      <c r="FV318" s="19">
        <v>29.5</v>
      </c>
      <c r="FW318" s="19">
        <v>28.5</v>
      </c>
      <c r="FX318" s="19">
        <v>27.5</v>
      </c>
      <c r="FY318" s="19">
        <v>30.3</v>
      </c>
      <c r="FZ318" s="19">
        <v>25.6</v>
      </c>
      <c r="GA318" s="19">
        <v>24.8</v>
      </c>
      <c r="GB318" s="19">
        <v>23.8</v>
      </c>
      <c r="GC318" s="19">
        <v>20.3</v>
      </c>
      <c r="GD318" s="19">
        <v>17.4</v>
      </c>
      <c r="GE318" s="19">
        <v>16.5</v>
      </c>
      <c r="GF318" s="19">
        <v>15.6</v>
      </c>
      <c r="GG318" s="19">
        <v>13.4</v>
      </c>
      <c r="GH318" s="19">
        <v>12.4</v>
      </c>
      <c r="GI318" s="19">
        <v>12.5</v>
      </c>
      <c r="GJ318" s="19">
        <v>11.4</v>
      </c>
      <c r="GK318" s="19">
        <v>10.3</v>
      </c>
      <c r="GL318" s="19">
        <v>9.3</v>
      </c>
      <c r="GM318" s="19">
        <v>8.3</v>
      </c>
      <c r="GN318" s="19">
        <v>6.6</v>
      </c>
      <c r="GO318" s="19">
        <v>5.7</v>
      </c>
      <c r="GP318" s="19">
        <v>4.7</v>
      </c>
      <c r="GQ318" s="19">
        <v>17.5</v>
      </c>
      <c r="GR318" s="19">
        <v>15.3</v>
      </c>
      <c r="GS318" s="19">
        <v>13.4</v>
      </c>
    </row>
    <row r="319">
      <c r="A319" s="2" t="s">
        <v>1953</v>
      </c>
      <c r="B319" s="2" t="s">
        <v>1019</v>
      </c>
      <c r="C319" s="2" t="s">
        <v>1923</v>
      </c>
      <c r="D319" s="2" t="s">
        <v>1318</v>
      </c>
      <c r="E319" s="2" t="s">
        <v>1319</v>
      </c>
      <c r="F319" s="2" t="s">
        <v>1924</v>
      </c>
      <c r="G319" s="2" t="s">
        <v>1924</v>
      </c>
      <c r="H319" s="2" t="s">
        <v>1924</v>
      </c>
      <c r="I319" s="2" t="s">
        <v>1319</v>
      </c>
      <c r="J319" s="2" t="s">
        <v>223</v>
      </c>
      <c r="K319" s="2" t="s">
        <v>233</v>
      </c>
      <c r="L319" s="3">
        <v>22.38</v>
      </c>
      <c r="M319" s="3">
        <v>23.5</v>
      </c>
      <c r="N319" s="3">
        <v>46.99</v>
      </c>
      <c r="O319" s="2" t="s">
        <v>196</v>
      </c>
      <c r="P319" s="2" t="s">
        <v>197</v>
      </c>
      <c r="Q319" s="2" t="s">
        <v>198</v>
      </c>
      <c r="R319" s="2" t="s">
        <v>199</v>
      </c>
      <c r="S319" s="2" t="s">
        <v>1949</v>
      </c>
      <c r="T319" s="2" t="s">
        <v>1926</v>
      </c>
      <c r="U319" s="2" t="s">
        <v>280</v>
      </c>
      <c r="V319" s="2" t="s">
        <v>202</v>
      </c>
      <c r="W319" s="2" t="s">
        <v>203</v>
      </c>
      <c r="X319" s="2" t="s">
        <v>199</v>
      </c>
      <c r="Y319" s="2" t="s">
        <v>1940</v>
      </c>
      <c r="Z319" s="4">
        <v>105</v>
      </c>
      <c r="AA319" s="4">
        <f>=ROUNDDOWN(17.5,0)</f>
      </c>
      <c r="AB319" s="5">
        <v>6</v>
      </c>
      <c r="AC319" s="2" t="s">
        <v>199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199</v>
      </c>
      <c r="AW319" s="8" t="s">
        <v>199</v>
      </c>
      <c r="AX319" s="4" t="s">
        <v>199</v>
      </c>
      <c r="AY319" s="8" t="s">
        <v>199</v>
      </c>
      <c r="AZ319" s="7" t="s">
        <v>199</v>
      </c>
      <c r="BA319" s="7" t="s">
        <v>199</v>
      </c>
      <c r="BB319" s="7"/>
      <c r="BC319" s="4" t="s">
        <v>199</v>
      </c>
      <c r="BD319" s="8" t="s">
        <v>199</v>
      </c>
      <c r="BE319" s="4" t="s">
        <v>199</v>
      </c>
      <c r="BF319" s="8" t="s">
        <v>199</v>
      </c>
      <c r="BG319" s="7" t="s">
        <v>199</v>
      </c>
      <c r="BH319" s="7" t="s">
        <v>199</v>
      </c>
      <c r="BI319" s="7"/>
      <c r="BJ319" s="4">
        <v>121</v>
      </c>
      <c r="BK319" s="8">
        <v>3060.81</v>
      </c>
      <c r="BL319" s="2" t="s">
        <v>1943</v>
      </c>
      <c r="BM319" s="7"/>
      <c r="BN319" s="7"/>
      <c r="BO319" s="4"/>
      <c r="BP319" s="8"/>
      <c r="BQ319" s="4"/>
      <c r="BR319" s="8"/>
      <c r="BS319" s="7"/>
      <c r="BT319" s="7"/>
      <c r="BU319" s="2" t="s">
        <v>1928</v>
      </c>
      <c r="BV319" s="2" t="s">
        <v>199</v>
      </c>
      <c r="BW319" s="2" t="s">
        <v>199</v>
      </c>
      <c r="BX319" s="2" t="s">
        <v>208</v>
      </c>
      <c r="BY319" s="2" t="s">
        <v>209</v>
      </c>
      <c r="BZ319" s="2" t="s">
        <v>196</v>
      </c>
      <c r="CA319" s="2" t="s">
        <v>1929</v>
      </c>
      <c r="CB319" s="2" t="s">
        <v>1477</v>
      </c>
      <c r="CC319" s="2" t="s">
        <v>212</v>
      </c>
      <c r="CD319" s="2" t="s">
        <v>199</v>
      </c>
      <c r="CE319" s="4">
        <v>105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>
        <v>113</v>
      </c>
      <c r="EU319" s="4">
        <v>105</v>
      </c>
      <c r="EV319" s="4">
        <v>100</v>
      </c>
      <c r="EW319" s="4">
        <v>95</v>
      </c>
      <c r="EX319" s="4">
        <v>90</v>
      </c>
      <c r="EY319" s="4">
        <v>85</v>
      </c>
      <c r="EZ319" s="4">
        <v>79</v>
      </c>
      <c r="FA319" s="4">
        <v>73</v>
      </c>
      <c r="FB319" s="4">
        <v>67</v>
      </c>
      <c r="FC319" s="4">
        <v>61</v>
      </c>
      <c r="FD319" s="4">
        <v>54</v>
      </c>
      <c r="FE319" s="4">
        <v>47</v>
      </c>
      <c r="FF319" s="4">
        <v>40</v>
      </c>
      <c r="FG319" s="4">
        <v>33</v>
      </c>
      <c r="FH319" s="4">
        <v>25</v>
      </c>
      <c r="FI319" s="4">
        <v>17</v>
      </c>
      <c r="FJ319" s="4">
        <v>9</v>
      </c>
      <c r="FK319" s="4">
        <v>2</v>
      </c>
      <c r="FL319" s="4"/>
      <c r="FM319" s="4"/>
      <c r="FN319" s="4"/>
      <c r="FO319" s="4"/>
      <c r="FP319" s="4"/>
      <c r="FQ319" s="4">
        <v>136</v>
      </c>
      <c r="FR319" s="4">
        <v>123</v>
      </c>
      <c r="FS319" s="4">
        <v>116</v>
      </c>
      <c r="FT319" s="19">
        <v>18.8</v>
      </c>
      <c r="FU319" s="19">
        <v>21</v>
      </c>
      <c r="FV319" s="19">
        <v>20</v>
      </c>
      <c r="FW319" s="19">
        <v>15.8</v>
      </c>
      <c r="FX319" s="19">
        <v>15</v>
      </c>
      <c r="FY319" s="19">
        <v>14.2</v>
      </c>
      <c r="FZ319" s="19">
        <v>13.2</v>
      </c>
      <c r="GA319" s="19">
        <v>12.2</v>
      </c>
      <c r="GB319" s="19">
        <v>9.6</v>
      </c>
      <c r="GC319" s="19">
        <v>8.7</v>
      </c>
      <c r="GD319" s="19">
        <v>7.7</v>
      </c>
      <c r="GE319" s="19">
        <v>5.9</v>
      </c>
      <c r="GF319" s="19">
        <v>5</v>
      </c>
      <c r="GG319" s="19">
        <v>4.1</v>
      </c>
      <c r="GH319" s="19">
        <v>3.6</v>
      </c>
      <c r="GI319" s="19">
        <v>2.4</v>
      </c>
      <c r="GJ319" s="19">
        <v>1.5</v>
      </c>
      <c r="GK319" s="19">
        <v>0.3</v>
      </c>
      <c r="GL319" s="20">
        <v>0</v>
      </c>
      <c r="GM319" s="20">
        <v>0</v>
      </c>
      <c r="GN319" s="20">
        <v>0</v>
      </c>
      <c r="GO319" s="20">
        <v>0</v>
      </c>
      <c r="GP319" s="20">
        <v>0</v>
      </c>
      <c r="GQ319" s="19">
        <v>15.1</v>
      </c>
      <c r="GR319" s="19">
        <v>15.4</v>
      </c>
      <c r="GS319" s="19">
        <v>14.5</v>
      </c>
    </row>
    <row r="320">
      <c r="A320" s="2" t="s">
        <v>1954</v>
      </c>
      <c r="B320" s="2" t="s">
        <v>554</v>
      </c>
      <c r="C320" s="2" t="s">
        <v>604</v>
      </c>
      <c r="D320" s="2" t="s">
        <v>555</v>
      </c>
      <c r="E320" s="2" t="s">
        <v>556</v>
      </c>
      <c r="F320" s="2" t="s">
        <v>1955</v>
      </c>
      <c r="G320" s="2" t="s">
        <v>1955</v>
      </c>
      <c r="H320" s="2" t="s">
        <v>1955</v>
      </c>
      <c r="I320" s="2" t="s">
        <v>1956</v>
      </c>
      <c r="J320" s="2" t="s">
        <v>559</v>
      </c>
      <c r="K320" s="2" t="s">
        <v>1957</v>
      </c>
      <c r="L320" s="3">
        <v>50</v>
      </c>
      <c r="M320" s="3">
        <v>52.5</v>
      </c>
      <c r="N320" s="3">
        <v>104.99</v>
      </c>
      <c r="O320" s="2" t="s">
        <v>196</v>
      </c>
      <c r="P320" s="2" t="s">
        <v>197</v>
      </c>
      <c r="Q320" s="2" t="s">
        <v>198</v>
      </c>
      <c r="R320" s="2" t="s">
        <v>199</v>
      </c>
      <c r="S320" s="2" t="s">
        <v>199</v>
      </c>
      <c r="T320" s="2" t="s">
        <v>199</v>
      </c>
      <c r="U320" s="2" t="s">
        <v>853</v>
      </c>
      <c r="V320" s="2" t="s">
        <v>493</v>
      </c>
      <c r="W320" s="2" t="s">
        <v>510</v>
      </c>
      <c r="X320" s="2" t="s">
        <v>199</v>
      </c>
      <c r="Y320" s="2" t="s">
        <v>901</v>
      </c>
      <c r="Z320" s="4">
        <v>86</v>
      </c>
      <c r="AA320" s="4">
        <f>=ROUNDDOWN(21.5,0)</f>
      </c>
      <c r="AB320" s="5">
        <v>4</v>
      </c>
      <c r="AC320" s="2" t="s">
        <v>199</v>
      </c>
      <c r="AD320" s="4"/>
      <c r="AE320" s="4"/>
      <c r="AF320" s="6">
        <v>61</v>
      </c>
      <c r="AG320" s="6"/>
      <c r="AH320" s="7">
        <v>0.4194</v>
      </c>
      <c r="AI320" s="4"/>
      <c r="AJ320" s="4">
        <f>=ROUNDDOWN({0},0)</f>
      </c>
      <c r="AK320" s="5"/>
      <c r="AL320" s="2" t="s">
        <v>199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6</v>
      </c>
      <c r="BK320" s="8">
        <v>312.35</v>
      </c>
      <c r="BL320" s="2" t="s">
        <v>1958</v>
      </c>
      <c r="BM320" s="7"/>
      <c r="BN320" s="7"/>
      <c r="BO320" s="4"/>
      <c r="BP320" s="8"/>
      <c r="BQ320" s="4"/>
      <c r="BR320" s="8"/>
      <c r="BS320" s="7"/>
      <c r="BT320" s="7"/>
      <c r="BU320" s="2" t="s">
        <v>1959</v>
      </c>
      <c r="BV320" s="2" t="s">
        <v>199</v>
      </c>
      <c r="BW320" s="2" t="s">
        <v>199</v>
      </c>
      <c r="BX320" s="2" t="s">
        <v>208</v>
      </c>
      <c r="BY320" s="2" t="s">
        <v>209</v>
      </c>
      <c r="BZ320" s="2" t="s">
        <v>196</v>
      </c>
      <c r="CA320" s="2" t="s">
        <v>1960</v>
      </c>
      <c r="CB320" s="2" t="s">
        <v>1961</v>
      </c>
      <c r="CC320" s="2" t="s">
        <v>212</v>
      </c>
      <c r="CD320" s="2" t="s">
        <v>199</v>
      </c>
      <c r="CE320" s="4"/>
      <c r="CF320" s="4">
        <v>86</v>
      </c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>
        <v>91</v>
      </c>
      <c r="EU320" s="4">
        <v>83</v>
      </c>
      <c r="EV320" s="4">
        <v>79</v>
      </c>
      <c r="EW320" s="4">
        <v>75</v>
      </c>
      <c r="EX320" s="4">
        <v>71</v>
      </c>
      <c r="EY320" s="4">
        <v>67</v>
      </c>
      <c r="EZ320" s="4">
        <v>63</v>
      </c>
      <c r="FA320" s="4">
        <v>59</v>
      </c>
      <c r="FB320" s="4">
        <v>54</v>
      </c>
      <c r="FC320" s="4">
        <v>50</v>
      </c>
      <c r="FD320" s="4">
        <v>46</v>
      </c>
      <c r="FE320" s="4">
        <v>42</v>
      </c>
      <c r="FF320" s="4">
        <v>38</v>
      </c>
      <c r="FG320" s="4">
        <v>34</v>
      </c>
      <c r="FH320" s="4">
        <v>30</v>
      </c>
      <c r="FI320" s="4">
        <v>26</v>
      </c>
      <c r="FJ320" s="4">
        <v>22</v>
      </c>
      <c r="FK320" s="4">
        <v>18</v>
      </c>
      <c r="FL320" s="4">
        <v>14</v>
      </c>
      <c r="FM320" s="4">
        <v>111</v>
      </c>
      <c r="FN320" s="4">
        <v>107</v>
      </c>
      <c r="FO320" s="4">
        <v>103</v>
      </c>
      <c r="FP320" s="4">
        <v>98</v>
      </c>
      <c r="FQ320" s="4">
        <v>94</v>
      </c>
      <c r="FR320" s="4">
        <v>90</v>
      </c>
      <c r="FS320" s="4">
        <v>86</v>
      </c>
      <c r="FT320" s="19">
        <v>18.2</v>
      </c>
      <c r="FU320" s="19">
        <v>20.8</v>
      </c>
      <c r="FV320" s="19">
        <v>19.8</v>
      </c>
      <c r="FW320" s="19">
        <v>18.8</v>
      </c>
      <c r="FX320" s="19">
        <v>17.8</v>
      </c>
      <c r="FY320" s="19">
        <v>16.8</v>
      </c>
      <c r="FZ320" s="19">
        <v>15.8</v>
      </c>
      <c r="GA320" s="19">
        <v>14.8</v>
      </c>
      <c r="GB320" s="19">
        <v>13.5</v>
      </c>
      <c r="GC320" s="19">
        <v>12.5</v>
      </c>
      <c r="GD320" s="19">
        <v>11.5</v>
      </c>
      <c r="GE320" s="19">
        <v>10.5</v>
      </c>
      <c r="GF320" s="19">
        <v>9.5</v>
      </c>
      <c r="GG320" s="19">
        <v>8.5</v>
      </c>
      <c r="GH320" s="19">
        <v>7.5</v>
      </c>
      <c r="GI320" s="19">
        <v>6.5</v>
      </c>
      <c r="GJ320" s="19">
        <v>5.5</v>
      </c>
      <c r="GK320" s="19">
        <v>4.5</v>
      </c>
      <c r="GL320" s="19">
        <v>3.5</v>
      </c>
      <c r="GM320" s="19">
        <v>27.8</v>
      </c>
      <c r="GN320" s="19">
        <v>26.8</v>
      </c>
      <c r="GO320" s="19">
        <v>25.8</v>
      </c>
      <c r="GP320" s="19">
        <v>24.5</v>
      </c>
      <c r="GQ320" s="19">
        <v>23.5</v>
      </c>
      <c r="GR320" s="19">
        <v>22.5</v>
      </c>
      <c r="GS320" s="19">
        <v>21.5</v>
      </c>
    </row>
    <row r="321">
      <c r="A321" s="2" t="s">
        <v>1962</v>
      </c>
      <c r="B321" s="2" t="s">
        <v>1019</v>
      </c>
      <c r="C321" s="2" t="s">
        <v>246</v>
      </c>
      <c r="D321" s="2" t="s">
        <v>1963</v>
      </c>
      <c r="E321" s="2" t="s">
        <v>1964</v>
      </c>
      <c r="F321" s="2" t="s">
        <v>1965</v>
      </c>
      <c r="G321" s="2" t="s">
        <v>1966</v>
      </c>
      <c r="H321" s="2" t="s">
        <v>1966</v>
      </c>
      <c r="I321" s="2" t="s">
        <v>1967</v>
      </c>
      <c r="J321" s="2" t="s">
        <v>1112</v>
      </c>
      <c r="K321" s="2" t="s">
        <v>371</v>
      </c>
      <c r="L321" s="3">
        <v>14.86</v>
      </c>
      <c r="M321" s="3">
        <v>15.6</v>
      </c>
      <c r="N321" s="3">
        <v>34.99</v>
      </c>
      <c r="O321" s="2" t="s">
        <v>196</v>
      </c>
      <c r="P321" s="2" t="s">
        <v>621</v>
      </c>
      <c r="Q321" s="2" t="s">
        <v>198</v>
      </c>
      <c r="R321" s="2" t="s">
        <v>199</v>
      </c>
      <c r="S321" s="2" t="s">
        <v>1968</v>
      </c>
      <c r="T321" s="2" t="s">
        <v>1969</v>
      </c>
      <c r="U321" s="2" t="s">
        <v>199</v>
      </c>
      <c r="V321" s="2" t="s">
        <v>202</v>
      </c>
      <c r="W321" s="2" t="s">
        <v>255</v>
      </c>
      <c r="X321" s="2" t="s">
        <v>199</v>
      </c>
      <c r="Y321" s="2" t="s">
        <v>204</v>
      </c>
      <c r="Z321" s="4">
        <v>1481</v>
      </c>
      <c r="AA321" s="4">
        <f>=ROUNDDOWN(38.9736842105263,0)</f>
      </c>
      <c r="AB321" s="5">
        <v>38</v>
      </c>
      <c r="AC321" s="2" t="s">
        <v>199</v>
      </c>
      <c r="AD321" s="4"/>
      <c r="AE321" s="4"/>
      <c r="AF321" s="6">
        <v>64</v>
      </c>
      <c r="AG321" s="6"/>
      <c r="AH321" s="7">
        <v>1</v>
      </c>
      <c r="AI321" s="4"/>
      <c r="AJ321" s="4">
        <f>=ROUNDDOWN({0},0)</f>
      </c>
      <c r="AK321" s="5"/>
      <c r="AL321" s="2" t="s">
        <v>199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805</v>
      </c>
      <c r="BK321" s="8">
        <v>12122.4</v>
      </c>
      <c r="BL321" s="2" t="s">
        <v>1970</v>
      </c>
      <c r="BM321" s="7"/>
      <c r="BN321" s="7"/>
      <c r="BO321" s="4"/>
      <c r="BP321" s="8"/>
      <c r="BQ321" s="4"/>
      <c r="BR321" s="8"/>
      <c r="BS321" s="7"/>
      <c r="BT321" s="7"/>
      <c r="BU321" s="2" t="s">
        <v>1971</v>
      </c>
      <c r="BV321" s="2" t="s">
        <v>199</v>
      </c>
      <c r="BW321" s="2" t="s">
        <v>199</v>
      </c>
      <c r="BX321" s="2" t="s">
        <v>208</v>
      </c>
      <c r="BY321" s="2" t="s">
        <v>209</v>
      </c>
      <c r="BZ321" s="2" t="s">
        <v>196</v>
      </c>
      <c r="CA321" s="2" t="s">
        <v>210</v>
      </c>
      <c r="CB321" s="2" t="s">
        <v>390</v>
      </c>
      <c r="CC321" s="2" t="s">
        <v>212</v>
      </c>
      <c r="CD321" s="2" t="s">
        <v>199</v>
      </c>
      <c r="CE321" s="4">
        <v>1481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>
        <v>1490</v>
      </c>
      <c r="EU321" s="4">
        <v>1425</v>
      </c>
      <c r="EV321" s="4">
        <v>1368</v>
      </c>
      <c r="EW321" s="4">
        <v>1311</v>
      </c>
      <c r="EX321" s="4">
        <v>1254</v>
      </c>
      <c r="EY321" s="4">
        <v>1197</v>
      </c>
      <c r="EZ321" s="4">
        <v>1159</v>
      </c>
      <c r="FA321" s="4">
        <v>1121</v>
      </c>
      <c r="FB321" s="4">
        <v>1079</v>
      </c>
      <c r="FC321" s="4">
        <v>1041</v>
      </c>
      <c r="FD321" s="4">
        <v>965</v>
      </c>
      <c r="FE321" s="4">
        <v>889</v>
      </c>
      <c r="FF321" s="4">
        <v>813</v>
      </c>
      <c r="FG321" s="4">
        <v>737</v>
      </c>
      <c r="FH321" s="4">
        <v>680</v>
      </c>
      <c r="FI321" s="4">
        <v>623</v>
      </c>
      <c r="FJ321" s="4">
        <v>566</v>
      </c>
      <c r="FK321" s="4">
        <v>509</v>
      </c>
      <c r="FL321" s="4">
        <v>452</v>
      </c>
      <c r="FM321" s="4">
        <v>395</v>
      </c>
      <c r="FN321" s="4">
        <v>338</v>
      </c>
      <c r="FO321" s="4">
        <v>281</v>
      </c>
      <c r="FP321" s="4">
        <v>216</v>
      </c>
      <c r="FQ321" s="4">
        <v>178</v>
      </c>
      <c r="FR321" s="4">
        <v>140</v>
      </c>
      <c r="FS321" s="4">
        <v>102</v>
      </c>
      <c r="FT321" s="19">
        <v>25.3</v>
      </c>
      <c r="FU321" s="19">
        <v>25</v>
      </c>
      <c r="FV321" s="19">
        <v>26.3</v>
      </c>
      <c r="FW321" s="19">
        <v>27.3</v>
      </c>
      <c r="FX321" s="19">
        <v>28.5</v>
      </c>
      <c r="FY321" s="19">
        <v>30.7</v>
      </c>
      <c r="FZ321" s="19">
        <v>24.1</v>
      </c>
      <c r="GA321" s="19">
        <v>19.3</v>
      </c>
      <c r="GB321" s="19">
        <v>16.3</v>
      </c>
      <c r="GC321" s="19">
        <v>13.7</v>
      </c>
      <c r="GD321" s="19">
        <v>13.6</v>
      </c>
      <c r="GE321" s="19">
        <v>13.5</v>
      </c>
      <c r="GF321" s="19">
        <v>13.1</v>
      </c>
      <c r="GG321" s="19">
        <v>12.9</v>
      </c>
      <c r="GH321" s="19">
        <v>11.9</v>
      </c>
      <c r="GI321" s="19">
        <v>10.9</v>
      </c>
      <c r="GJ321" s="19">
        <v>9.9</v>
      </c>
      <c r="GK321" s="19">
        <v>8.9</v>
      </c>
      <c r="GL321" s="19">
        <v>7.7</v>
      </c>
      <c r="GM321" s="19">
        <v>7.3</v>
      </c>
      <c r="GN321" s="19">
        <v>6.8</v>
      </c>
      <c r="GO321" s="19">
        <v>6.2</v>
      </c>
      <c r="GP321" s="19">
        <v>5.7</v>
      </c>
      <c r="GQ321" s="19">
        <v>4.6</v>
      </c>
      <c r="GR321" s="19">
        <v>3.6</v>
      </c>
      <c r="GS321" s="19">
        <v>2.6</v>
      </c>
    </row>
    <row r="322">
      <c r="A322" s="2" t="s">
        <v>1972</v>
      </c>
      <c r="B322" s="2" t="s">
        <v>1019</v>
      </c>
      <c r="C322" s="2" t="s">
        <v>1923</v>
      </c>
      <c r="D322" s="2" t="s">
        <v>1973</v>
      </c>
      <c r="E322" s="2" t="s">
        <v>1974</v>
      </c>
      <c r="F322" s="2" t="s">
        <v>1975</v>
      </c>
      <c r="G322" s="2" t="s">
        <v>1975</v>
      </c>
      <c r="H322" s="2" t="s">
        <v>1975</v>
      </c>
      <c r="I322" s="2" t="s">
        <v>1976</v>
      </c>
      <c r="J322" s="2" t="s">
        <v>194</v>
      </c>
      <c r="K322" s="2" t="s">
        <v>1104</v>
      </c>
      <c r="L322" s="3">
        <v>49.12</v>
      </c>
      <c r="M322" s="3">
        <v>51.58</v>
      </c>
      <c r="N322" s="3">
        <v>104.99</v>
      </c>
      <c r="O322" s="2" t="s">
        <v>196</v>
      </c>
      <c r="P322" s="2" t="s">
        <v>197</v>
      </c>
      <c r="Q322" s="2" t="s">
        <v>198</v>
      </c>
      <c r="R322" s="2" t="s">
        <v>199</v>
      </c>
      <c r="S322" s="2" t="s">
        <v>1977</v>
      </c>
      <c r="T322" s="2" t="s">
        <v>1978</v>
      </c>
      <c r="U322" s="2" t="s">
        <v>280</v>
      </c>
      <c r="V322" s="2" t="s">
        <v>202</v>
      </c>
      <c r="W322" s="2" t="s">
        <v>203</v>
      </c>
      <c r="X322" s="2" t="s">
        <v>712</v>
      </c>
      <c r="Y322" s="2" t="s">
        <v>204</v>
      </c>
      <c r="Z322" s="4">
        <v>359</v>
      </c>
      <c r="AA322" s="4">
        <f>=ROUNDDOWN(30.948275862069,0)</f>
      </c>
      <c r="AB322" s="5">
        <v>11.6</v>
      </c>
      <c r="AC322" s="2" t="s">
        <v>199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199</v>
      </c>
      <c r="BD322" s="8" t="s">
        <v>199</v>
      </c>
      <c r="BE322" s="4" t="s">
        <v>199</v>
      </c>
      <c r="BF322" s="8" t="s">
        <v>199</v>
      </c>
      <c r="BG322" s="7" t="s">
        <v>199</v>
      </c>
      <c r="BH322" s="7" t="s">
        <v>199</v>
      </c>
      <c r="BI322" s="7"/>
      <c r="BJ322" s="4">
        <v>36</v>
      </c>
      <c r="BK322" s="8">
        <v>1840.02</v>
      </c>
      <c r="BL322" s="2" t="s">
        <v>1979</v>
      </c>
      <c r="BM322" s="7"/>
      <c r="BN322" s="7"/>
      <c r="BO322" s="4"/>
      <c r="BP322" s="8"/>
      <c r="BQ322" s="4"/>
      <c r="BR322" s="8"/>
      <c r="BS322" s="7"/>
      <c r="BT322" s="7"/>
      <c r="BU322" s="2" t="s">
        <v>1980</v>
      </c>
      <c r="BV322" s="2" t="s">
        <v>199</v>
      </c>
      <c r="BW322" s="2" t="s">
        <v>199</v>
      </c>
      <c r="BX322" s="2" t="s">
        <v>260</v>
      </c>
      <c r="BY322" s="2" t="s">
        <v>209</v>
      </c>
      <c r="BZ322" s="2" t="s">
        <v>196</v>
      </c>
      <c r="CA322" s="2" t="s">
        <v>1981</v>
      </c>
      <c r="CB322" s="2" t="s">
        <v>1982</v>
      </c>
      <c r="CC322" s="2" t="s">
        <v>212</v>
      </c>
      <c r="CD322" s="2" t="s">
        <v>199</v>
      </c>
      <c r="CE322" s="4">
        <v>258</v>
      </c>
      <c r="CF322" s="4">
        <v>74</v>
      </c>
      <c r="CG322" s="4"/>
      <c r="CH322" s="4"/>
      <c r="CI322" s="4"/>
      <c r="CJ322" s="4"/>
      <c r="CK322" s="4"/>
      <c r="CL322" s="4">
        <v>27</v>
      </c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>
        <v>420</v>
      </c>
      <c r="EU322" s="4">
        <v>395</v>
      </c>
      <c r="EV322" s="4">
        <v>380</v>
      </c>
      <c r="EW322" s="4">
        <v>370</v>
      </c>
      <c r="EX322" s="4">
        <v>365</v>
      </c>
      <c r="EY322" s="4">
        <v>359</v>
      </c>
      <c r="EZ322" s="4">
        <v>354</v>
      </c>
      <c r="FA322" s="4">
        <v>348</v>
      </c>
      <c r="FB322" s="4">
        <v>342</v>
      </c>
      <c r="FC322" s="4">
        <v>339</v>
      </c>
      <c r="FD322" s="4">
        <v>334</v>
      </c>
      <c r="FE322" s="4">
        <v>329</v>
      </c>
      <c r="FF322" s="4">
        <v>325</v>
      </c>
      <c r="FG322" s="4">
        <v>322</v>
      </c>
      <c r="FH322" s="4">
        <v>319</v>
      </c>
      <c r="FI322" s="4">
        <v>317</v>
      </c>
      <c r="FJ322" s="4">
        <v>314</v>
      </c>
      <c r="FK322" s="4">
        <v>312</v>
      </c>
      <c r="FL322" s="4">
        <v>309</v>
      </c>
      <c r="FM322" s="4">
        <v>305</v>
      </c>
      <c r="FN322" s="4">
        <v>302</v>
      </c>
      <c r="FO322" s="4">
        <v>300</v>
      </c>
      <c r="FP322" s="4">
        <v>297</v>
      </c>
      <c r="FQ322" s="4">
        <v>295</v>
      </c>
      <c r="FR322" s="4">
        <v>292</v>
      </c>
      <c r="FS322" s="4">
        <v>290</v>
      </c>
      <c r="FT322" s="19">
        <v>30</v>
      </c>
      <c r="FU322" s="19">
        <v>43.9</v>
      </c>
      <c r="FV322" s="19">
        <v>63.3</v>
      </c>
      <c r="FW322" s="19">
        <v>61.7</v>
      </c>
      <c r="FX322" s="19">
        <v>60.8</v>
      </c>
      <c r="FY322" s="19">
        <v>71.8</v>
      </c>
      <c r="FZ322" s="19">
        <v>70.8</v>
      </c>
      <c r="GA322" s="19">
        <v>69.6</v>
      </c>
      <c r="GB322" s="19">
        <v>85.5</v>
      </c>
      <c r="GC322" s="19">
        <v>84.8</v>
      </c>
      <c r="GD322" s="19">
        <v>83.5</v>
      </c>
      <c r="GE322" s="19">
        <v>109.7</v>
      </c>
      <c r="GF322" s="19">
        <v>108.3</v>
      </c>
      <c r="GG322" s="19">
        <v>161</v>
      </c>
      <c r="GH322" s="19">
        <v>159.5</v>
      </c>
      <c r="GI322" s="19">
        <v>105.7</v>
      </c>
      <c r="GJ322" s="19">
        <v>104.7</v>
      </c>
      <c r="GK322" s="19">
        <v>104</v>
      </c>
      <c r="GL322" s="19">
        <v>103</v>
      </c>
      <c r="GM322" s="19">
        <v>152.5</v>
      </c>
      <c r="GN322" s="19">
        <v>151</v>
      </c>
      <c r="GO322" s="19">
        <v>150</v>
      </c>
      <c r="GP322" s="19">
        <v>148.5</v>
      </c>
      <c r="GQ322" s="19">
        <v>147.5</v>
      </c>
      <c r="GR322" s="19">
        <v>146</v>
      </c>
      <c r="GS322" s="19">
        <v>145</v>
      </c>
    </row>
    <row r="323">
      <c r="A323" s="2" t="s">
        <v>1983</v>
      </c>
      <c r="B323" s="2" t="s">
        <v>1019</v>
      </c>
      <c r="C323" s="2" t="s">
        <v>1923</v>
      </c>
      <c r="D323" s="2" t="s">
        <v>1973</v>
      </c>
      <c r="E323" s="2" t="s">
        <v>1974</v>
      </c>
      <c r="F323" s="2" t="s">
        <v>1975</v>
      </c>
      <c r="G323" s="2" t="s">
        <v>1975</v>
      </c>
      <c r="H323" s="2" t="s">
        <v>1975</v>
      </c>
      <c r="I323" s="2" t="s">
        <v>1976</v>
      </c>
      <c r="J323" s="2" t="s">
        <v>194</v>
      </c>
      <c r="K323" s="2" t="s">
        <v>1115</v>
      </c>
      <c r="L323" s="3">
        <v>49.12</v>
      </c>
      <c r="M323" s="3">
        <v>51.58</v>
      </c>
      <c r="N323" s="3">
        <v>104.99</v>
      </c>
      <c r="O323" s="2" t="s">
        <v>196</v>
      </c>
      <c r="P323" s="2" t="s">
        <v>197</v>
      </c>
      <c r="Q323" s="2" t="s">
        <v>198</v>
      </c>
      <c r="R323" s="2" t="s">
        <v>199</v>
      </c>
      <c r="S323" s="2" t="s">
        <v>1984</v>
      </c>
      <c r="T323" s="2" t="s">
        <v>1978</v>
      </c>
      <c r="U323" s="2" t="s">
        <v>280</v>
      </c>
      <c r="V323" s="2" t="s">
        <v>202</v>
      </c>
      <c r="W323" s="2" t="s">
        <v>203</v>
      </c>
      <c r="X323" s="2" t="s">
        <v>712</v>
      </c>
      <c r="Y323" s="2" t="s">
        <v>204</v>
      </c>
      <c r="Z323" s="4">
        <v>166</v>
      </c>
      <c r="AA323" s="4">
        <f>=ROUNDDOWN(7.57990867579909,0)</f>
      </c>
      <c r="AB323" s="5">
        <v>21.9</v>
      </c>
      <c r="AC323" s="2" t="s">
        <v>199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199</v>
      </c>
      <c r="BD323" s="8" t="s">
        <v>199</v>
      </c>
      <c r="BE323" s="4" t="s">
        <v>199</v>
      </c>
      <c r="BF323" s="8" t="s">
        <v>199</v>
      </c>
      <c r="BG323" s="7" t="s">
        <v>199</v>
      </c>
      <c r="BH323" s="7" t="s">
        <v>199</v>
      </c>
      <c r="BI323" s="7"/>
      <c r="BJ323" s="4">
        <v>30</v>
      </c>
      <c r="BK323" s="8">
        <v>1545</v>
      </c>
      <c r="BL323" s="2" t="s">
        <v>1985</v>
      </c>
      <c r="BM323" s="7"/>
      <c r="BN323" s="7"/>
      <c r="BO323" s="4"/>
      <c r="BP323" s="8"/>
      <c r="BQ323" s="4"/>
      <c r="BR323" s="8"/>
      <c r="BS323" s="7"/>
      <c r="BT323" s="7"/>
      <c r="BU323" s="2" t="s">
        <v>1980</v>
      </c>
      <c r="BV323" s="2" t="s">
        <v>199</v>
      </c>
      <c r="BW323" s="2" t="s">
        <v>199</v>
      </c>
      <c r="BX323" s="2" t="s">
        <v>260</v>
      </c>
      <c r="BY323" s="2" t="s">
        <v>209</v>
      </c>
      <c r="BZ323" s="2" t="s">
        <v>196</v>
      </c>
      <c r="CA323" s="2" t="s">
        <v>1981</v>
      </c>
      <c r="CB323" s="2" t="s">
        <v>1986</v>
      </c>
      <c r="CC323" s="2" t="s">
        <v>212</v>
      </c>
      <c r="CD323" s="2" t="s">
        <v>199</v>
      </c>
      <c r="CE323" s="4">
        <v>130</v>
      </c>
      <c r="CF323" s="4">
        <v>36</v>
      </c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>
        <v>277</v>
      </c>
      <c r="EU323" s="4">
        <v>219</v>
      </c>
      <c r="EV323" s="4">
        <v>205</v>
      </c>
      <c r="EW323" s="4">
        <v>195</v>
      </c>
      <c r="EX323" s="4">
        <v>188</v>
      </c>
      <c r="EY323" s="4">
        <v>180</v>
      </c>
      <c r="EZ323" s="4">
        <v>173</v>
      </c>
      <c r="FA323" s="4">
        <v>165</v>
      </c>
      <c r="FB323" s="4">
        <v>156</v>
      </c>
      <c r="FC323" s="4">
        <v>151</v>
      </c>
      <c r="FD323" s="4">
        <v>145</v>
      </c>
      <c r="FE323" s="4">
        <v>138</v>
      </c>
      <c r="FF323" s="4">
        <v>132</v>
      </c>
      <c r="FG323" s="4">
        <v>128</v>
      </c>
      <c r="FH323" s="4">
        <v>124</v>
      </c>
      <c r="FI323" s="4">
        <v>121</v>
      </c>
      <c r="FJ323" s="4">
        <v>117</v>
      </c>
      <c r="FK323" s="4">
        <v>114</v>
      </c>
      <c r="FL323" s="4">
        <v>110</v>
      </c>
      <c r="FM323" s="4">
        <v>103</v>
      </c>
      <c r="FN323" s="4">
        <v>97</v>
      </c>
      <c r="FO323" s="4">
        <v>93</v>
      </c>
      <c r="FP323" s="4">
        <v>87</v>
      </c>
      <c r="FQ323" s="4">
        <v>84</v>
      </c>
      <c r="FR323" s="4">
        <v>80</v>
      </c>
      <c r="FS323" s="4">
        <v>77</v>
      </c>
      <c r="FT323" s="19">
        <v>12.6</v>
      </c>
      <c r="FU323" s="19">
        <v>21.9</v>
      </c>
      <c r="FV323" s="19">
        <v>25.6</v>
      </c>
      <c r="FW323" s="19">
        <v>24.4</v>
      </c>
      <c r="FX323" s="19">
        <v>23.5</v>
      </c>
      <c r="FY323" s="19">
        <v>25.7</v>
      </c>
      <c r="FZ323" s="19">
        <v>24.7</v>
      </c>
      <c r="GA323" s="19">
        <v>23.6</v>
      </c>
      <c r="GB323" s="19">
        <v>26</v>
      </c>
      <c r="GC323" s="19">
        <v>25.2</v>
      </c>
      <c r="GD323" s="19">
        <v>29</v>
      </c>
      <c r="GE323" s="19">
        <v>34.5</v>
      </c>
      <c r="GF323" s="19">
        <v>33</v>
      </c>
      <c r="GG323" s="19">
        <v>32</v>
      </c>
      <c r="GH323" s="19">
        <v>31</v>
      </c>
      <c r="GI323" s="19">
        <v>30.3</v>
      </c>
      <c r="GJ323" s="19">
        <v>23.4</v>
      </c>
      <c r="GK323" s="19">
        <v>22.8</v>
      </c>
      <c r="GL323" s="19">
        <v>18.3</v>
      </c>
      <c r="GM323" s="19">
        <v>20.6</v>
      </c>
      <c r="GN323" s="19">
        <v>24.3</v>
      </c>
      <c r="GO323" s="19">
        <v>23.3</v>
      </c>
      <c r="GP323" s="19">
        <v>29</v>
      </c>
      <c r="GQ323" s="19">
        <v>28</v>
      </c>
      <c r="GR323" s="19">
        <v>20</v>
      </c>
      <c r="GS323" s="19">
        <v>19.3</v>
      </c>
    </row>
    <row r="324">
      <c r="A324" s="2" t="s">
        <v>1987</v>
      </c>
      <c r="B324" s="2" t="s">
        <v>1019</v>
      </c>
      <c r="C324" s="2" t="s">
        <v>246</v>
      </c>
      <c r="D324" s="2" t="s">
        <v>1021</v>
      </c>
      <c r="E324" s="2" t="s">
        <v>1022</v>
      </c>
      <c r="F324" s="2" t="s">
        <v>1988</v>
      </c>
      <c r="G324" s="2" t="s">
        <v>1989</v>
      </c>
      <c r="H324" s="2" t="s">
        <v>199</v>
      </c>
      <c r="I324" s="2" t="s">
        <v>1990</v>
      </c>
      <c r="J324" s="2" t="s">
        <v>1991</v>
      </c>
      <c r="K324" s="2" t="s">
        <v>371</v>
      </c>
      <c r="L324" s="3">
        <v>15.87</v>
      </c>
      <c r="M324" s="3">
        <v>16.66</v>
      </c>
      <c r="N324" s="3">
        <v>34.99</v>
      </c>
      <c r="O324" s="2" t="s">
        <v>196</v>
      </c>
      <c r="P324" s="2" t="s">
        <v>197</v>
      </c>
      <c r="Q324" s="2" t="s">
        <v>198</v>
      </c>
      <c r="R324" s="2" t="s">
        <v>199</v>
      </c>
      <c r="S324" s="2" t="s">
        <v>1992</v>
      </c>
      <c r="T324" s="2" t="s">
        <v>1322</v>
      </c>
      <c r="U324" s="2" t="s">
        <v>199</v>
      </c>
      <c r="V324" s="2" t="s">
        <v>638</v>
      </c>
      <c r="W324" s="2" t="s">
        <v>529</v>
      </c>
      <c r="X324" s="2" t="s">
        <v>199</v>
      </c>
      <c r="Y324" s="2" t="s">
        <v>1993</v>
      </c>
      <c r="Z324" s="4">
        <v>385</v>
      </c>
      <c r="AA324" s="4">
        <f>=ROUNDDOWN(35.6481481481481,0)</f>
      </c>
      <c r="AB324" s="5">
        <v>10.8</v>
      </c>
      <c r="AC324" s="2" t="s">
        <v>1994</v>
      </c>
      <c r="AD324" s="4">
        <v>500</v>
      </c>
      <c r="AE324" s="4">
        <v>500</v>
      </c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199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199</v>
      </c>
      <c r="BD324" s="8" t="s">
        <v>199</v>
      </c>
      <c r="BE324" s="4" t="s">
        <v>199</v>
      </c>
      <c r="BF324" s="8" t="s">
        <v>199</v>
      </c>
      <c r="BG324" s="7" t="s">
        <v>199</v>
      </c>
      <c r="BH324" s="7" t="s">
        <v>199</v>
      </c>
      <c r="BI324" s="7"/>
      <c r="BJ324" s="4">
        <v>895</v>
      </c>
      <c r="BK324" s="8">
        <v>14120.97</v>
      </c>
      <c r="BL324" s="2" t="s">
        <v>1995</v>
      </c>
      <c r="BM324" s="7"/>
      <c r="BN324" s="7"/>
      <c r="BO324" s="4"/>
      <c r="BP324" s="8"/>
      <c r="BQ324" s="4"/>
      <c r="BR324" s="8"/>
      <c r="BS324" s="7"/>
      <c r="BT324" s="7"/>
      <c r="BU324" s="2" t="s">
        <v>1996</v>
      </c>
      <c r="BV324" s="2" t="s">
        <v>199</v>
      </c>
      <c r="BW324" s="2" t="s">
        <v>199</v>
      </c>
      <c r="BX324" s="2" t="s">
        <v>208</v>
      </c>
      <c r="BY324" s="2" t="s">
        <v>209</v>
      </c>
      <c r="BZ324" s="2" t="s">
        <v>196</v>
      </c>
      <c r="CA324" s="2" t="s">
        <v>1997</v>
      </c>
      <c r="CB324" s="2" t="s">
        <v>643</v>
      </c>
      <c r="CC324" s="2" t="s">
        <v>212</v>
      </c>
      <c r="CD324" s="2" t="s">
        <v>199</v>
      </c>
      <c r="CE324" s="4">
        <v>36</v>
      </c>
      <c r="CF324" s="4"/>
      <c r="CG324" s="4"/>
      <c r="CH324" s="4">
        <v>349</v>
      </c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>
        <v>500</v>
      </c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>
        <v>389</v>
      </c>
      <c r="EU324" s="4">
        <v>346</v>
      </c>
      <c r="EV324" s="4">
        <v>807</v>
      </c>
      <c r="EW324" s="4">
        <v>768</v>
      </c>
      <c r="EX324" s="4">
        <v>729</v>
      </c>
      <c r="EY324" s="4">
        <v>690</v>
      </c>
      <c r="EZ324" s="4">
        <v>651</v>
      </c>
      <c r="FA324" s="4">
        <v>612</v>
      </c>
      <c r="FB324" s="4">
        <v>569</v>
      </c>
      <c r="FC324" s="4">
        <v>530</v>
      </c>
      <c r="FD324" s="4">
        <v>519</v>
      </c>
      <c r="FE324" s="4">
        <v>508</v>
      </c>
      <c r="FF324" s="4">
        <v>497</v>
      </c>
      <c r="FG324" s="4">
        <v>486</v>
      </c>
      <c r="FH324" s="4">
        <v>475</v>
      </c>
      <c r="FI324" s="4">
        <v>464</v>
      </c>
      <c r="FJ324" s="4">
        <v>453</v>
      </c>
      <c r="FK324" s="4">
        <v>442</v>
      </c>
      <c r="FL324" s="4">
        <v>431</v>
      </c>
      <c r="FM324" s="4">
        <v>420</v>
      </c>
      <c r="FN324" s="4">
        <v>409</v>
      </c>
      <c r="FO324" s="4">
        <v>398</v>
      </c>
      <c r="FP324" s="4">
        <v>386</v>
      </c>
      <c r="FQ324" s="4">
        <v>375</v>
      </c>
      <c r="FR324" s="4">
        <v>364</v>
      </c>
      <c r="FS324" s="4">
        <v>353</v>
      </c>
      <c r="FT324" s="19">
        <v>9.7</v>
      </c>
      <c r="FU324" s="19">
        <v>8.9</v>
      </c>
      <c r="FV324" s="19">
        <v>20.7</v>
      </c>
      <c r="FW324" s="19">
        <v>19.7</v>
      </c>
      <c r="FX324" s="19">
        <v>18.2</v>
      </c>
      <c r="FY324" s="19">
        <v>17.3</v>
      </c>
      <c r="FZ324" s="19">
        <v>19.7</v>
      </c>
      <c r="GA324" s="19">
        <v>23.5</v>
      </c>
      <c r="GB324" s="19">
        <v>31.6</v>
      </c>
      <c r="GC324" s="19">
        <v>48.2</v>
      </c>
      <c r="GD324" s="19">
        <v>47.2</v>
      </c>
      <c r="GE324" s="19">
        <v>46.2</v>
      </c>
      <c r="GF324" s="19">
        <v>45.2</v>
      </c>
      <c r="GG324" s="19">
        <v>44.2</v>
      </c>
      <c r="GH324" s="19">
        <v>43.2</v>
      </c>
      <c r="GI324" s="19">
        <v>42.2</v>
      </c>
      <c r="GJ324" s="19">
        <v>41.2</v>
      </c>
      <c r="GK324" s="19">
        <v>40.2</v>
      </c>
      <c r="GL324" s="19">
        <v>39.2</v>
      </c>
      <c r="GM324" s="19">
        <v>38.2</v>
      </c>
      <c r="GN324" s="19">
        <v>37.2</v>
      </c>
      <c r="GO324" s="19">
        <v>36.2</v>
      </c>
      <c r="GP324" s="19">
        <v>35.1</v>
      </c>
      <c r="GQ324" s="19">
        <v>34.1</v>
      </c>
      <c r="GR324" s="19">
        <v>33.1</v>
      </c>
      <c r="GS324" s="19">
        <v>32.1</v>
      </c>
    </row>
    <row r="325">
      <c r="A325" s="2" t="s">
        <v>1998</v>
      </c>
      <c r="B325" s="2" t="s">
        <v>1019</v>
      </c>
      <c r="C325" s="2" t="s">
        <v>246</v>
      </c>
      <c r="D325" s="2" t="s">
        <v>1021</v>
      </c>
      <c r="E325" s="2" t="s">
        <v>1022</v>
      </c>
      <c r="F325" s="2" t="s">
        <v>1988</v>
      </c>
      <c r="G325" s="2" t="s">
        <v>1989</v>
      </c>
      <c r="H325" s="2" t="s">
        <v>199</v>
      </c>
      <c r="I325" s="2" t="s">
        <v>1990</v>
      </c>
      <c r="J325" s="2" t="s">
        <v>1991</v>
      </c>
      <c r="K325" s="2" t="s">
        <v>1037</v>
      </c>
      <c r="L325" s="3">
        <v>15.87</v>
      </c>
      <c r="M325" s="3">
        <v>16.66</v>
      </c>
      <c r="N325" s="3">
        <v>34.99</v>
      </c>
      <c r="O325" s="2" t="s">
        <v>196</v>
      </c>
      <c r="P325" s="2" t="s">
        <v>197</v>
      </c>
      <c r="Q325" s="2" t="s">
        <v>198</v>
      </c>
      <c r="R325" s="2" t="s">
        <v>199</v>
      </c>
      <c r="S325" s="2" t="s">
        <v>1999</v>
      </c>
      <c r="T325" s="2" t="s">
        <v>1322</v>
      </c>
      <c r="U325" s="2" t="s">
        <v>199</v>
      </c>
      <c r="V325" s="2" t="s">
        <v>790</v>
      </c>
      <c r="W325" s="2" t="s">
        <v>529</v>
      </c>
      <c r="X325" s="2" t="s">
        <v>199</v>
      </c>
      <c r="Y325" s="2" t="s">
        <v>1993</v>
      </c>
      <c r="Z325" s="4">
        <v>505</v>
      </c>
      <c r="AA325" s="4">
        <f>=ROUNDDOWN(32.3717948717949,0)</f>
      </c>
      <c r="AB325" s="5">
        <v>15.6</v>
      </c>
      <c r="AC325" s="2" t="s">
        <v>205</v>
      </c>
      <c r="AD325" s="4">
        <v>532</v>
      </c>
      <c r="AE325" s="4">
        <v>532</v>
      </c>
      <c r="AF325" s="6">
        <v>64</v>
      </c>
      <c r="AG325" s="6"/>
      <c r="AH325" s="7">
        <v>1</v>
      </c>
      <c r="AI325" s="4"/>
      <c r="AJ325" s="4">
        <f>=ROUNDDOWN({0},0)</f>
      </c>
      <c r="AK325" s="5"/>
      <c r="AL325" s="2" t="s">
        <v>199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199</v>
      </c>
      <c r="BD325" s="8" t="s">
        <v>199</v>
      </c>
      <c r="BE325" s="4" t="s">
        <v>199</v>
      </c>
      <c r="BF325" s="8" t="s">
        <v>199</v>
      </c>
      <c r="BG325" s="7" t="s">
        <v>199</v>
      </c>
      <c r="BH325" s="7" t="s">
        <v>199</v>
      </c>
      <c r="BI325" s="7"/>
      <c r="BJ325" s="4">
        <v>1485</v>
      </c>
      <c r="BK325" s="8">
        <v>23477.85</v>
      </c>
      <c r="BL325" s="2" t="s">
        <v>2000</v>
      </c>
      <c r="BM325" s="7"/>
      <c r="BN325" s="7"/>
      <c r="BO325" s="4"/>
      <c r="BP325" s="8"/>
      <c r="BQ325" s="4"/>
      <c r="BR325" s="8"/>
      <c r="BS325" s="7"/>
      <c r="BT325" s="7"/>
      <c r="BU325" s="2" t="s">
        <v>1996</v>
      </c>
      <c r="BV325" s="2" t="s">
        <v>199</v>
      </c>
      <c r="BW325" s="2" t="s">
        <v>199</v>
      </c>
      <c r="BX325" s="2" t="s">
        <v>208</v>
      </c>
      <c r="BY325" s="2" t="s">
        <v>209</v>
      </c>
      <c r="BZ325" s="2" t="s">
        <v>196</v>
      </c>
      <c r="CA325" s="2" t="s">
        <v>1997</v>
      </c>
      <c r="CB325" s="2" t="s">
        <v>1569</v>
      </c>
      <c r="CC325" s="2" t="s">
        <v>212</v>
      </c>
      <c r="CD325" s="2" t="s">
        <v>199</v>
      </c>
      <c r="CE325" s="4">
        <v>311</v>
      </c>
      <c r="CF325" s="4"/>
      <c r="CG325" s="4"/>
      <c r="CH325" s="4">
        <v>194</v>
      </c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>
        <v>532</v>
      </c>
      <c r="EP325" s="4"/>
      <c r="EQ325" s="4"/>
      <c r="ER325" s="4"/>
      <c r="ES325" s="4"/>
      <c r="ET325" s="4">
        <v>884</v>
      </c>
      <c r="EU325" s="4">
        <v>807</v>
      </c>
      <c r="EV325" s="4">
        <v>751</v>
      </c>
      <c r="EW325" s="4">
        <v>695</v>
      </c>
      <c r="EX325" s="4">
        <v>639</v>
      </c>
      <c r="EY325" s="4">
        <v>583</v>
      </c>
      <c r="EZ325" s="4">
        <v>527</v>
      </c>
      <c r="FA325" s="4">
        <v>471</v>
      </c>
      <c r="FB325" s="4">
        <v>409</v>
      </c>
      <c r="FC325" s="4">
        <v>353</v>
      </c>
      <c r="FD325" s="4">
        <v>337</v>
      </c>
      <c r="FE325" s="4">
        <v>321</v>
      </c>
      <c r="FF325" s="4">
        <v>305</v>
      </c>
      <c r="FG325" s="4">
        <v>289</v>
      </c>
      <c r="FH325" s="4">
        <v>273</v>
      </c>
      <c r="FI325" s="4">
        <v>257</v>
      </c>
      <c r="FJ325" s="4">
        <v>241</v>
      </c>
      <c r="FK325" s="4">
        <v>757</v>
      </c>
      <c r="FL325" s="4">
        <v>741</v>
      </c>
      <c r="FM325" s="4">
        <v>725</v>
      </c>
      <c r="FN325" s="4">
        <v>709</v>
      </c>
      <c r="FO325" s="4">
        <v>693</v>
      </c>
      <c r="FP325" s="4">
        <v>675</v>
      </c>
      <c r="FQ325" s="4">
        <v>659</v>
      </c>
      <c r="FR325" s="4">
        <v>643</v>
      </c>
      <c r="FS325" s="4">
        <v>627</v>
      </c>
      <c r="FT325" s="19">
        <v>14.5</v>
      </c>
      <c r="FU325" s="19">
        <v>14.4</v>
      </c>
      <c r="FV325" s="19">
        <v>13.4</v>
      </c>
      <c r="FW325" s="19">
        <v>12.4</v>
      </c>
      <c r="FX325" s="19">
        <v>11</v>
      </c>
      <c r="FY325" s="19">
        <v>10.1</v>
      </c>
      <c r="FZ325" s="19">
        <v>11</v>
      </c>
      <c r="GA325" s="19">
        <v>12.4</v>
      </c>
      <c r="GB325" s="19">
        <v>15.7</v>
      </c>
      <c r="GC325" s="19">
        <v>22.1</v>
      </c>
      <c r="GD325" s="19">
        <v>21.1</v>
      </c>
      <c r="GE325" s="19">
        <v>20.1</v>
      </c>
      <c r="GF325" s="19">
        <v>19.1</v>
      </c>
      <c r="GG325" s="19">
        <v>18.1</v>
      </c>
      <c r="GH325" s="19">
        <v>17.1</v>
      </c>
      <c r="GI325" s="19">
        <v>16.1</v>
      </c>
      <c r="GJ325" s="19">
        <v>15.1</v>
      </c>
      <c r="GK325" s="19">
        <v>47.3</v>
      </c>
      <c r="GL325" s="19">
        <v>46.3</v>
      </c>
      <c r="GM325" s="19">
        <v>45.3</v>
      </c>
      <c r="GN325" s="19">
        <v>44.3</v>
      </c>
      <c r="GO325" s="19">
        <v>43.3</v>
      </c>
      <c r="GP325" s="19">
        <v>42.2</v>
      </c>
      <c r="GQ325" s="19">
        <v>41.2</v>
      </c>
      <c r="GR325" s="19">
        <v>40.2</v>
      </c>
      <c r="GS325" s="19">
        <v>39.2</v>
      </c>
    </row>
    <row r="326">
      <c r="A326" s="2" t="s">
        <v>2001</v>
      </c>
      <c r="B326" s="2" t="s">
        <v>672</v>
      </c>
      <c r="C326" s="2" t="s">
        <v>246</v>
      </c>
      <c r="D326" s="2" t="s">
        <v>673</v>
      </c>
      <c r="E326" s="2" t="s">
        <v>674</v>
      </c>
      <c r="F326" s="2" t="s">
        <v>2002</v>
      </c>
      <c r="G326" s="2" t="s">
        <v>2003</v>
      </c>
      <c r="H326" s="2" t="s">
        <v>2004</v>
      </c>
      <c r="I326" s="2" t="s">
        <v>2005</v>
      </c>
      <c r="J326" s="2" t="s">
        <v>804</v>
      </c>
      <c r="K326" s="2" t="s">
        <v>405</v>
      </c>
      <c r="L326" s="3">
        <v>21</v>
      </c>
      <c r="M326" s="3">
        <v>22.05</v>
      </c>
      <c r="N326" s="3">
        <v>49.99</v>
      </c>
      <c r="O326" s="2" t="s">
        <v>196</v>
      </c>
      <c r="P326" s="2" t="s">
        <v>197</v>
      </c>
      <c r="Q326" s="2" t="s">
        <v>198</v>
      </c>
      <c r="R326" s="2" t="s">
        <v>199</v>
      </c>
      <c r="S326" s="2" t="s">
        <v>2006</v>
      </c>
      <c r="T326" s="2" t="s">
        <v>199</v>
      </c>
      <c r="U326" s="2" t="s">
        <v>280</v>
      </c>
      <c r="V326" s="2" t="s">
        <v>202</v>
      </c>
      <c r="W326" s="2" t="s">
        <v>623</v>
      </c>
      <c r="X326" s="2" t="s">
        <v>2007</v>
      </c>
      <c r="Y326" s="2" t="s">
        <v>2008</v>
      </c>
      <c r="Z326" s="4">
        <v>153</v>
      </c>
      <c r="AA326" s="4">
        <f>=ROUNDDOWN(30.6,0)</f>
      </c>
      <c r="AB326" s="5">
        <v>5</v>
      </c>
      <c r="AC326" s="2" t="s">
        <v>2009</v>
      </c>
      <c r="AD326" s="4">
        <v>100</v>
      </c>
      <c r="AE326" s="4">
        <v>100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199</v>
      </c>
      <c r="BD326" s="8" t="s">
        <v>199</v>
      </c>
      <c r="BE326" s="4" t="s">
        <v>199</v>
      </c>
      <c r="BF326" s="8" t="s">
        <v>199</v>
      </c>
      <c r="BG326" s="7" t="s">
        <v>199</v>
      </c>
      <c r="BH326" s="7" t="s">
        <v>199</v>
      </c>
      <c r="BI326" s="7"/>
      <c r="BJ326" s="4">
        <v>2</v>
      </c>
      <c r="BK326" s="8">
        <v>33.24</v>
      </c>
      <c r="BL326" s="2" t="s">
        <v>2010</v>
      </c>
      <c r="BM326" s="7"/>
      <c r="BN326" s="7"/>
      <c r="BO326" s="4"/>
      <c r="BP326" s="8"/>
      <c r="BQ326" s="4"/>
      <c r="BR326" s="8"/>
      <c r="BS326" s="7"/>
      <c r="BT326" s="7"/>
      <c r="BU326" s="2" t="s">
        <v>2011</v>
      </c>
      <c r="BV326" s="2" t="s">
        <v>199</v>
      </c>
      <c r="BW326" s="2" t="s">
        <v>199</v>
      </c>
      <c r="BX326" s="2" t="s">
        <v>686</v>
      </c>
      <c r="BY326" s="2" t="s">
        <v>209</v>
      </c>
      <c r="BZ326" s="2" t="s">
        <v>196</v>
      </c>
      <c r="CA326" s="2" t="s">
        <v>2012</v>
      </c>
      <c r="CB326" s="2" t="s">
        <v>283</v>
      </c>
      <c r="CC326" s="2" t="s">
        <v>212</v>
      </c>
      <c r="CD326" s="2" t="s">
        <v>199</v>
      </c>
      <c r="CE326" s="4">
        <v>153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>
        <v>100</v>
      </c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>
        <v>153</v>
      </c>
      <c r="EU326" s="4">
        <v>150</v>
      </c>
      <c r="EV326" s="4">
        <v>145</v>
      </c>
      <c r="EW326" s="4">
        <v>140</v>
      </c>
      <c r="EX326" s="4">
        <v>135</v>
      </c>
      <c r="EY326" s="4">
        <v>130</v>
      </c>
      <c r="EZ326" s="4">
        <v>125</v>
      </c>
      <c r="FA326" s="4">
        <v>120</v>
      </c>
      <c r="FB326" s="4">
        <v>114</v>
      </c>
      <c r="FC326" s="4">
        <v>109</v>
      </c>
      <c r="FD326" s="4">
        <v>204</v>
      </c>
      <c r="FE326" s="4">
        <v>199</v>
      </c>
      <c r="FF326" s="4">
        <v>194</v>
      </c>
      <c r="FG326" s="4">
        <v>189</v>
      </c>
      <c r="FH326" s="4">
        <v>184</v>
      </c>
      <c r="FI326" s="4">
        <v>179</v>
      </c>
      <c r="FJ326" s="4">
        <v>174</v>
      </c>
      <c r="FK326" s="4">
        <v>169</v>
      </c>
      <c r="FL326" s="4">
        <v>164</v>
      </c>
      <c r="FM326" s="4">
        <v>159</v>
      </c>
      <c r="FN326" s="4">
        <v>154</v>
      </c>
      <c r="FO326" s="4">
        <v>149</v>
      </c>
      <c r="FP326" s="4">
        <v>143</v>
      </c>
      <c r="FQ326" s="4">
        <v>138</v>
      </c>
      <c r="FR326" s="4">
        <v>133</v>
      </c>
      <c r="FS326" s="4">
        <v>128</v>
      </c>
      <c r="FT326" s="19">
        <v>38.3</v>
      </c>
      <c r="FU326" s="19">
        <v>30</v>
      </c>
      <c r="FV326" s="19">
        <v>29</v>
      </c>
      <c r="FW326" s="19">
        <v>28</v>
      </c>
      <c r="FX326" s="19">
        <v>27</v>
      </c>
      <c r="FY326" s="19">
        <v>26</v>
      </c>
      <c r="FZ326" s="19">
        <v>25</v>
      </c>
      <c r="GA326" s="19">
        <v>24</v>
      </c>
      <c r="GB326" s="19">
        <v>22.8</v>
      </c>
      <c r="GC326" s="19">
        <v>21.8</v>
      </c>
      <c r="GD326" s="19">
        <v>40.8</v>
      </c>
      <c r="GE326" s="19">
        <v>39.8</v>
      </c>
      <c r="GF326" s="19">
        <v>38.8</v>
      </c>
      <c r="GG326" s="19">
        <v>37.8</v>
      </c>
      <c r="GH326" s="19">
        <v>36.8</v>
      </c>
      <c r="GI326" s="19">
        <v>35.8</v>
      </c>
      <c r="GJ326" s="19">
        <v>34.8</v>
      </c>
      <c r="GK326" s="19">
        <v>33.8</v>
      </c>
      <c r="GL326" s="19">
        <v>32.8</v>
      </c>
      <c r="GM326" s="19">
        <v>31.8</v>
      </c>
      <c r="GN326" s="19">
        <v>30.8</v>
      </c>
      <c r="GO326" s="19">
        <v>29.8</v>
      </c>
      <c r="GP326" s="19">
        <v>28.6</v>
      </c>
      <c r="GQ326" s="19">
        <v>27.6</v>
      </c>
      <c r="GR326" s="19">
        <v>26.6</v>
      </c>
      <c r="GS326" s="19">
        <v>25.6</v>
      </c>
    </row>
    <row r="327">
      <c r="A327" s="2" t="s">
        <v>2013</v>
      </c>
      <c r="B327" s="2" t="s">
        <v>672</v>
      </c>
      <c r="C327" s="2" t="s">
        <v>246</v>
      </c>
      <c r="D327" s="2" t="s">
        <v>673</v>
      </c>
      <c r="E327" s="2" t="s">
        <v>674</v>
      </c>
      <c r="F327" s="2" t="s">
        <v>2002</v>
      </c>
      <c r="G327" s="2" t="s">
        <v>2003</v>
      </c>
      <c r="H327" s="2" t="s">
        <v>2004</v>
      </c>
      <c r="I327" s="2" t="s">
        <v>2005</v>
      </c>
      <c r="J327" s="2" t="s">
        <v>2014</v>
      </c>
      <c r="K327" s="2" t="s">
        <v>2015</v>
      </c>
      <c r="L327" s="3">
        <v>23.1</v>
      </c>
      <c r="M327" s="3">
        <v>24.26</v>
      </c>
      <c r="N327" s="3">
        <v>54.99</v>
      </c>
      <c r="O327" s="2" t="s">
        <v>196</v>
      </c>
      <c r="P327" s="2" t="s">
        <v>197</v>
      </c>
      <c r="Q327" s="2" t="s">
        <v>198</v>
      </c>
      <c r="R327" s="2" t="s">
        <v>199</v>
      </c>
      <c r="S327" s="2" t="s">
        <v>2016</v>
      </c>
      <c r="T327" s="2" t="s">
        <v>199</v>
      </c>
      <c r="U327" s="2" t="s">
        <v>280</v>
      </c>
      <c r="V327" s="2" t="s">
        <v>202</v>
      </c>
      <c r="W327" s="2" t="s">
        <v>623</v>
      </c>
      <c r="X327" s="2" t="s">
        <v>2007</v>
      </c>
      <c r="Y327" s="2" t="s">
        <v>204</v>
      </c>
      <c r="Z327" s="4">
        <v>134</v>
      </c>
      <c r="AA327" s="4">
        <f>=ROUNDDOWN(33.5,0)</f>
      </c>
      <c r="AB327" s="5">
        <v>4</v>
      </c>
      <c r="AC327" s="2" t="s">
        <v>398</v>
      </c>
      <c r="AD327" s="4">
        <v>52</v>
      </c>
      <c r="AE327" s="4">
        <v>52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199</v>
      </c>
      <c r="BD327" s="8" t="s">
        <v>199</v>
      </c>
      <c r="BE327" s="4" t="s">
        <v>199</v>
      </c>
      <c r="BF327" s="8" t="s">
        <v>199</v>
      </c>
      <c r="BG327" s="7" t="s">
        <v>199</v>
      </c>
      <c r="BH327" s="7" t="s">
        <v>199</v>
      </c>
      <c r="BI327" s="7"/>
      <c r="BJ327" s="4">
        <v>7</v>
      </c>
      <c r="BK327" s="8">
        <v>185.61</v>
      </c>
      <c r="BL327" s="2" t="s">
        <v>2017</v>
      </c>
      <c r="BM327" s="7"/>
      <c r="BN327" s="7"/>
      <c r="BO327" s="4"/>
      <c r="BP327" s="8"/>
      <c r="BQ327" s="4"/>
      <c r="BR327" s="8"/>
      <c r="BS327" s="7"/>
      <c r="BT327" s="7"/>
      <c r="BU327" s="2" t="s">
        <v>2011</v>
      </c>
      <c r="BV327" s="2" t="s">
        <v>199</v>
      </c>
      <c r="BW327" s="2" t="s">
        <v>199</v>
      </c>
      <c r="BX327" s="2" t="s">
        <v>686</v>
      </c>
      <c r="BY327" s="2" t="s">
        <v>209</v>
      </c>
      <c r="BZ327" s="2" t="s">
        <v>196</v>
      </c>
      <c r="CA327" s="2" t="s">
        <v>716</v>
      </c>
      <c r="CB327" s="2" t="s">
        <v>2018</v>
      </c>
      <c r="CC327" s="2" t="s">
        <v>212</v>
      </c>
      <c r="CD327" s="2" t="s">
        <v>199</v>
      </c>
      <c r="CE327" s="4">
        <v>134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>
        <v>52</v>
      </c>
      <c r="ER327" s="4"/>
      <c r="ES327" s="4"/>
      <c r="ET327" s="4">
        <v>134</v>
      </c>
      <c r="EU327" s="4">
        <v>132</v>
      </c>
      <c r="EV327" s="4">
        <v>129</v>
      </c>
      <c r="EW327" s="4">
        <v>125</v>
      </c>
      <c r="EX327" s="4">
        <v>121</v>
      </c>
      <c r="EY327" s="4">
        <v>117</v>
      </c>
      <c r="EZ327" s="4">
        <v>113</v>
      </c>
      <c r="FA327" s="4">
        <v>109</v>
      </c>
      <c r="FB327" s="4">
        <v>105</v>
      </c>
      <c r="FC327" s="4">
        <v>101</v>
      </c>
      <c r="FD327" s="4">
        <v>97</v>
      </c>
      <c r="FE327" s="4">
        <v>93</v>
      </c>
      <c r="FF327" s="4">
        <v>89</v>
      </c>
      <c r="FG327" s="4">
        <v>85</v>
      </c>
      <c r="FH327" s="4">
        <v>81</v>
      </c>
      <c r="FI327" s="4">
        <v>77</v>
      </c>
      <c r="FJ327" s="4">
        <v>73</v>
      </c>
      <c r="FK327" s="4">
        <v>69</v>
      </c>
      <c r="FL327" s="4">
        <v>65</v>
      </c>
      <c r="FM327" s="4">
        <v>113</v>
      </c>
      <c r="FN327" s="4">
        <v>109</v>
      </c>
      <c r="FO327" s="4">
        <v>105</v>
      </c>
      <c r="FP327" s="4">
        <v>101</v>
      </c>
      <c r="FQ327" s="4">
        <v>97</v>
      </c>
      <c r="FR327" s="4">
        <v>93</v>
      </c>
      <c r="FS327" s="4">
        <v>89</v>
      </c>
      <c r="FT327" s="19">
        <v>44.7</v>
      </c>
      <c r="FU327" s="19">
        <v>33</v>
      </c>
      <c r="FV327" s="19">
        <v>32.3</v>
      </c>
      <c r="FW327" s="19">
        <v>31.3</v>
      </c>
      <c r="FX327" s="19">
        <v>30.3</v>
      </c>
      <c r="FY327" s="19">
        <v>29.3</v>
      </c>
      <c r="FZ327" s="19">
        <v>28.3</v>
      </c>
      <c r="GA327" s="19">
        <v>27.3</v>
      </c>
      <c r="GB327" s="19">
        <v>26.3</v>
      </c>
      <c r="GC327" s="19">
        <v>25.3</v>
      </c>
      <c r="GD327" s="19">
        <v>24.3</v>
      </c>
      <c r="GE327" s="19">
        <v>23.3</v>
      </c>
      <c r="GF327" s="19">
        <v>22.3</v>
      </c>
      <c r="GG327" s="19">
        <v>21.3</v>
      </c>
      <c r="GH327" s="19">
        <v>20.3</v>
      </c>
      <c r="GI327" s="19">
        <v>19.3</v>
      </c>
      <c r="GJ327" s="19">
        <v>18.3</v>
      </c>
      <c r="GK327" s="19">
        <v>17.3</v>
      </c>
      <c r="GL327" s="19">
        <v>16.3</v>
      </c>
      <c r="GM327" s="19">
        <v>28.3</v>
      </c>
      <c r="GN327" s="19">
        <v>27.3</v>
      </c>
      <c r="GO327" s="19">
        <v>26.3</v>
      </c>
      <c r="GP327" s="19">
        <v>25.3</v>
      </c>
      <c r="GQ327" s="19">
        <v>24.3</v>
      </c>
      <c r="GR327" s="19">
        <v>23.3</v>
      </c>
      <c r="GS327" s="19">
        <v>22.3</v>
      </c>
    </row>
    <row r="328">
      <c r="A328" s="2" t="s">
        <v>2019</v>
      </c>
      <c r="B328" s="2" t="s">
        <v>672</v>
      </c>
      <c r="C328" s="2" t="s">
        <v>246</v>
      </c>
      <c r="D328" s="2" t="s">
        <v>673</v>
      </c>
      <c r="E328" s="2" t="s">
        <v>802</v>
      </c>
      <c r="F328" s="2" t="s">
        <v>2002</v>
      </c>
      <c r="G328" s="2" t="s">
        <v>2003</v>
      </c>
      <c r="H328" s="2" t="s">
        <v>2004</v>
      </c>
      <c r="I328" s="2" t="s">
        <v>2020</v>
      </c>
      <c r="J328" s="2" t="s">
        <v>2021</v>
      </c>
      <c r="K328" s="2" t="s">
        <v>233</v>
      </c>
      <c r="L328" s="3">
        <v>28.5</v>
      </c>
      <c r="M328" s="3">
        <v>29.93</v>
      </c>
      <c r="N328" s="3">
        <v>69.99</v>
      </c>
      <c r="O328" s="2" t="s">
        <v>196</v>
      </c>
      <c r="P328" s="2" t="s">
        <v>197</v>
      </c>
      <c r="Q328" s="2" t="s">
        <v>198</v>
      </c>
      <c r="R328" s="2" t="s">
        <v>199</v>
      </c>
      <c r="S328" s="2" t="s">
        <v>2022</v>
      </c>
      <c r="T328" s="2" t="s">
        <v>199</v>
      </c>
      <c r="U328" s="2" t="s">
        <v>853</v>
      </c>
      <c r="V328" s="2" t="s">
        <v>202</v>
      </c>
      <c r="W328" s="2" t="s">
        <v>623</v>
      </c>
      <c r="X328" s="2" t="s">
        <v>2007</v>
      </c>
      <c r="Y328" s="2" t="s">
        <v>2023</v>
      </c>
      <c r="Z328" s="4">
        <v>440</v>
      </c>
      <c r="AA328" s="4">
        <f>=ROUNDDOWN(44,0)</f>
      </c>
      <c r="AB328" s="5">
        <v>10</v>
      </c>
      <c r="AC328" s="2" t="s">
        <v>377</v>
      </c>
      <c r="AD328" s="4">
        <v>100</v>
      </c>
      <c r="AE328" s="4">
        <v>100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199</v>
      </c>
      <c r="BD328" s="8" t="s">
        <v>199</v>
      </c>
      <c r="BE328" s="4" t="s">
        <v>199</v>
      </c>
      <c r="BF328" s="8" t="s">
        <v>199</v>
      </c>
      <c r="BG328" s="7" t="s">
        <v>199</v>
      </c>
      <c r="BH328" s="7" t="s">
        <v>199</v>
      </c>
      <c r="BI328" s="7"/>
      <c r="BJ328" s="4">
        <v>64</v>
      </c>
      <c r="BK328" s="8">
        <v>1934.21</v>
      </c>
      <c r="BL328" s="2" t="s">
        <v>2024</v>
      </c>
      <c r="BM328" s="7"/>
      <c r="BN328" s="7"/>
      <c r="BO328" s="4"/>
      <c r="BP328" s="8"/>
      <c r="BQ328" s="4"/>
      <c r="BR328" s="8"/>
      <c r="BS328" s="7"/>
      <c r="BT328" s="7"/>
      <c r="BU328" s="2" t="s">
        <v>2025</v>
      </c>
      <c r="BV328" s="2" t="s">
        <v>199</v>
      </c>
      <c r="BW328" s="2" t="s">
        <v>199</v>
      </c>
      <c r="BX328" s="2" t="s">
        <v>686</v>
      </c>
      <c r="BY328" s="2" t="s">
        <v>209</v>
      </c>
      <c r="BZ328" s="2" t="s">
        <v>196</v>
      </c>
      <c r="CA328" s="2" t="s">
        <v>2026</v>
      </c>
      <c r="CB328" s="2" t="s">
        <v>1099</v>
      </c>
      <c r="CC328" s="2" t="s">
        <v>212</v>
      </c>
      <c r="CD328" s="2" t="s">
        <v>199</v>
      </c>
      <c r="CE328" s="4">
        <v>440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>
        <v>100</v>
      </c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>
        <v>440</v>
      </c>
      <c r="EU328" s="4">
        <v>436</v>
      </c>
      <c r="EV328" s="4">
        <v>432</v>
      </c>
      <c r="EW328" s="4">
        <v>428</v>
      </c>
      <c r="EX328" s="4">
        <v>424</v>
      </c>
      <c r="EY328" s="4">
        <v>420</v>
      </c>
      <c r="EZ328" s="4">
        <v>416</v>
      </c>
      <c r="FA328" s="4">
        <v>412</v>
      </c>
      <c r="FB328" s="4">
        <v>507</v>
      </c>
      <c r="FC328" s="4">
        <v>503</v>
      </c>
      <c r="FD328" s="4">
        <v>499</v>
      </c>
      <c r="FE328" s="4">
        <v>495</v>
      </c>
      <c r="FF328" s="4">
        <v>491</v>
      </c>
      <c r="FG328" s="4">
        <v>487</v>
      </c>
      <c r="FH328" s="4">
        <v>483</v>
      </c>
      <c r="FI328" s="4">
        <v>479</v>
      </c>
      <c r="FJ328" s="4">
        <v>475</v>
      </c>
      <c r="FK328" s="4">
        <v>471</v>
      </c>
      <c r="FL328" s="4">
        <v>467</v>
      </c>
      <c r="FM328" s="4">
        <v>463</v>
      </c>
      <c r="FN328" s="4">
        <v>459</v>
      </c>
      <c r="FO328" s="4">
        <v>455</v>
      </c>
      <c r="FP328" s="4">
        <v>450</v>
      </c>
      <c r="FQ328" s="4">
        <v>444</v>
      </c>
      <c r="FR328" s="4">
        <v>434</v>
      </c>
      <c r="FS328" s="4">
        <v>424</v>
      </c>
      <c r="FT328" s="19">
        <v>110</v>
      </c>
      <c r="FU328" s="19">
        <v>109</v>
      </c>
      <c r="FV328" s="19">
        <v>108</v>
      </c>
      <c r="FW328" s="19">
        <v>107</v>
      </c>
      <c r="FX328" s="19">
        <v>106</v>
      </c>
      <c r="FY328" s="19">
        <v>105</v>
      </c>
      <c r="FZ328" s="19">
        <v>104</v>
      </c>
      <c r="GA328" s="19">
        <v>103</v>
      </c>
      <c r="GB328" s="19">
        <v>126.8</v>
      </c>
      <c r="GC328" s="19">
        <v>125.8</v>
      </c>
      <c r="GD328" s="19">
        <v>124.8</v>
      </c>
      <c r="GE328" s="19">
        <v>123.8</v>
      </c>
      <c r="GF328" s="19">
        <v>122.8</v>
      </c>
      <c r="GG328" s="19">
        <v>121.8</v>
      </c>
      <c r="GH328" s="19">
        <v>120.8</v>
      </c>
      <c r="GI328" s="19">
        <v>119.8</v>
      </c>
      <c r="GJ328" s="19">
        <v>118.8</v>
      </c>
      <c r="GK328" s="19">
        <v>117.8</v>
      </c>
      <c r="GL328" s="19">
        <v>116.8</v>
      </c>
      <c r="GM328" s="19">
        <v>92.6</v>
      </c>
      <c r="GN328" s="19">
        <v>76.5</v>
      </c>
      <c r="GO328" s="19">
        <v>56.9</v>
      </c>
      <c r="GP328" s="19">
        <v>50</v>
      </c>
      <c r="GQ328" s="19">
        <v>44.4</v>
      </c>
      <c r="GR328" s="19">
        <v>43.4</v>
      </c>
      <c r="GS328" s="19">
        <v>42.4</v>
      </c>
    </row>
    <row r="329">
      <c r="A329" s="2" t="s">
        <v>2027</v>
      </c>
      <c r="B329" s="2" t="s">
        <v>672</v>
      </c>
      <c r="C329" s="2" t="s">
        <v>246</v>
      </c>
      <c r="D329" s="2" t="s">
        <v>673</v>
      </c>
      <c r="E329" s="2" t="s">
        <v>674</v>
      </c>
      <c r="F329" s="2" t="s">
        <v>2028</v>
      </c>
      <c r="G329" s="2" t="s">
        <v>2029</v>
      </c>
      <c r="H329" s="2" t="s">
        <v>2030</v>
      </c>
      <c r="I329" s="2" t="s">
        <v>2031</v>
      </c>
      <c r="J329" s="2" t="s">
        <v>710</v>
      </c>
      <c r="K329" s="2" t="s">
        <v>918</v>
      </c>
      <c r="L329" s="3">
        <v>13.5</v>
      </c>
      <c r="M329" s="3">
        <v>14.18</v>
      </c>
      <c r="N329" s="3">
        <v>29.99</v>
      </c>
      <c r="O329" s="2" t="s">
        <v>196</v>
      </c>
      <c r="P329" s="2" t="s">
        <v>197</v>
      </c>
      <c r="Q329" s="2" t="s">
        <v>198</v>
      </c>
      <c r="R329" s="2" t="s">
        <v>199</v>
      </c>
      <c r="S329" s="2" t="s">
        <v>2032</v>
      </c>
      <c r="T329" s="2" t="s">
        <v>199</v>
      </c>
      <c r="U329" s="2" t="s">
        <v>280</v>
      </c>
      <c r="V329" s="2" t="s">
        <v>202</v>
      </c>
      <c r="W329" s="2" t="s">
        <v>510</v>
      </c>
      <c r="X329" s="2" t="s">
        <v>682</v>
      </c>
      <c r="Y329" s="2" t="s">
        <v>2033</v>
      </c>
      <c r="Z329" s="4">
        <v>233</v>
      </c>
      <c r="AA329" s="4">
        <f>=ROUNDDOWN(58.25,0)</f>
      </c>
      <c r="AB329" s="5">
        <v>4</v>
      </c>
      <c r="AC329" s="2" t="s">
        <v>199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199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199</v>
      </c>
      <c r="AW329" s="8" t="s">
        <v>199</v>
      </c>
      <c r="AX329" s="4" t="s">
        <v>199</v>
      </c>
      <c r="AY329" s="8" t="s">
        <v>199</v>
      </c>
      <c r="AZ329" s="7" t="s">
        <v>199</v>
      </c>
      <c r="BA329" s="7" t="s">
        <v>199</v>
      </c>
      <c r="BB329" s="7"/>
      <c r="BC329" s="4" t="s">
        <v>199</v>
      </c>
      <c r="BD329" s="8" t="s">
        <v>199</v>
      </c>
      <c r="BE329" s="4" t="s">
        <v>199</v>
      </c>
      <c r="BF329" s="8" t="s">
        <v>199</v>
      </c>
      <c r="BG329" s="7" t="s">
        <v>199</v>
      </c>
      <c r="BH329" s="7" t="s">
        <v>199</v>
      </c>
      <c r="BI329" s="7"/>
      <c r="BJ329" s="4">
        <v>1</v>
      </c>
      <c r="BK329" s="8">
        <v>12.13</v>
      </c>
      <c r="BL329" s="2" t="s">
        <v>2034</v>
      </c>
      <c r="BM329" s="7"/>
      <c r="BN329" s="7"/>
      <c r="BO329" s="4"/>
      <c r="BP329" s="8"/>
      <c r="BQ329" s="4"/>
      <c r="BR329" s="8"/>
      <c r="BS329" s="7"/>
      <c r="BT329" s="7"/>
      <c r="BU329" s="2" t="s">
        <v>2035</v>
      </c>
      <c r="BV329" s="2" t="s">
        <v>199</v>
      </c>
      <c r="BW329" s="2" t="s">
        <v>199</v>
      </c>
      <c r="BX329" s="2" t="s">
        <v>208</v>
      </c>
      <c r="BY329" s="2" t="s">
        <v>209</v>
      </c>
      <c r="BZ329" s="2" t="s">
        <v>196</v>
      </c>
      <c r="CA329" s="2" t="s">
        <v>2036</v>
      </c>
      <c r="CB329" s="2" t="s">
        <v>2037</v>
      </c>
      <c r="CC329" s="2" t="s">
        <v>212</v>
      </c>
      <c r="CD329" s="2" t="s">
        <v>199</v>
      </c>
      <c r="CE329" s="4">
        <v>233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>
        <v>234</v>
      </c>
      <c r="EU329" s="4">
        <v>229</v>
      </c>
      <c r="EV329" s="4">
        <v>225</v>
      </c>
      <c r="EW329" s="4">
        <v>221</v>
      </c>
      <c r="EX329" s="4">
        <v>217</v>
      </c>
      <c r="EY329" s="4">
        <v>213</v>
      </c>
      <c r="EZ329" s="4">
        <v>209</v>
      </c>
      <c r="FA329" s="4">
        <v>205</v>
      </c>
      <c r="FB329" s="4">
        <v>200</v>
      </c>
      <c r="FC329" s="4">
        <v>196</v>
      </c>
      <c r="FD329" s="4">
        <v>192</v>
      </c>
      <c r="FE329" s="4">
        <v>188</v>
      </c>
      <c r="FF329" s="4">
        <v>184</v>
      </c>
      <c r="FG329" s="4">
        <v>180</v>
      </c>
      <c r="FH329" s="4">
        <v>176</v>
      </c>
      <c r="FI329" s="4">
        <v>172</v>
      </c>
      <c r="FJ329" s="4">
        <v>168</v>
      </c>
      <c r="FK329" s="4">
        <v>164</v>
      </c>
      <c r="FL329" s="4">
        <v>160</v>
      </c>
      <c r="FM329" s="4">
        <v>156</v>
      </c>
      <c r="FN329" s="4">
        <v>152</v>
      </c>
      <c r="FO329" s="4">
        <v>148</v>
      </c>
      <c r="FP329" s="4">
        <v>143</v>
      </c>
      <c r="FQ329" s="4">
        <v>139</v>
      </c>
      <c r="FR329" s="4">
        <v>135</v>
      </c>
      <c r="FS329" s="4">
        <v>131</v>
      </c>
      <c r="FT329" s="19">
        <v>58.5</v>
      </c>
      <c r="FU329" s="19">
        <v>57.3</v>
      </c>
      <c r="FV329" s="19">
        <v>56.3</v>
      </c>
      <c r="FW329" s="19">
        <v>55.3</v>
      </c>
      <c r="FX329" s="19">
        <v>54.3</v>
      </c>
      <c r="FY329" s="19">
        <v>53.3</v>
      </c>
      <c r="FZ329" s="19">
        <v>52.3</v>
      </c>
      <c r="GA329" s="19">
        <v>51.3</v>
      </c>
      <c r="GB329" s="9"/>
      <c r="GC329" s="19">
        <v>49</v>
      </c>
      <c r="GD329" s="19">
        <v>48</v>
      </c>
      <c r="GE329" s="19">
        <v>47</v>
      </c>
      <c r="GF329" s="19">
        <v>46</v>
      </c>
      <c r="GG329" s="19">
        <v>45</v>
      </c>
      <c r="GH329" s="19">
        <v>44</v>
      </c>
      <c r="GI329" s="19">
        <v>43</v>
      </c>
      <c r="GJ329" s="19">
        <v>42</v>
      </c>
      <c r="GK329" s="19">
        <v>41</v>
      </c>
      <c r="GL329" s="19">
        <v>40</v>
      </c>
      <c r="GM329" s="19">
        <v>39</v>
      </c>
      <c r="GN329" s="19">
        <v>38</v>
      </c>
      <c r="GO329" s="19">
        <v>37</v>
      </c>
      <c r="GP329" s="19">
        <v>35.8</v>
      </c>
      <c r="GQ329" s="19">
        <v>34.8</v>
      </c>
      <c r="GR329" s="19">
        <v>33.8</v>
      </c>
      <c r="GS329" s="19">
        <v>32.8</v>
      </c>
    </row>
    <row r="330">
      <c r="A330" s="2" t="s">
        <v>2038</v>
      </c>
      <c r="B330" s="2" t="s">
        <v>672</v>
      </c>
      <c r="C330" s="2" t="s">
        <v>246</v>
      </c>
      <c r="D330" s="2" t="s">
        <v>673</v>
      </c>
      <c r="E330" s="2" t="s">
        <v>674</v>
      </c>
      <c r="F330" s="2" t="s">
        <v>2028</v>
      </c>
      <c r="G330" s="2" t="s">
        <v>2029</v>
      </c>
      <c r="H330" s="2" t="s">
        <v>2030</v>
      </c>
      <c r="I330" s="2" t="s">
        <v>2031</v>
      </c>
      <c r="J330" s="2" t="s">
        <v>694</v>
      </c>
      <c r="K330" s="2" t="s">
        <v>918</v>
      </c>
      <c r="L330" s="3">
        <v>17.6</v>
      </c>
      <c r="M330" s="3">
        <v>18.48</v>
      </c>
      <c r="N330" s="3">
        <v>39.99</v>
      </c>
      <c r="O330" s="2" t="s">
        <v>196</v>
      </c>
      <c r="P330" s="2" t="s">
        <v>197</v>
      </c>
      <c r="Q330" s="2" t="s">
        <v>198</v>
      </c>
      <c r="R330" s="2" t="s">
        <v>199</v>
      </c>
      <c r="S330" s="2" t="s">
        <v>2032</v>
      </c>
      <c r="T330" s="2" t="s">
        <v>199</v>
      </c>
      <c r="U330" s="2" t="s">
        <v>280</v>
      </c>
      <c r="V330" s="2" t="s">
        <v>202</v>
      </c>
      <c r="W330" s="2" t="s">
        <v>510</v>
      </c>
      <c r="X330" s="2" t="s">
        <v>682</v>
      </c>
      <c r="Y330" s="2" t="s">
        <v>2033</v>
      </c>
      <c r="Z330" s="4">
        <v>338</v>
      </c>
      <c r="AA330" s="4">
        <f>=ROUNDDOWN(37.5555555555556,0)</f>
      </c>
      <c r="AB330" s="5">
        <v>9</v>
      </c>
      <c r="AC330" s="2" t="s">
        <v>199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199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199</v>
      </c>
      <c r="AW330" s="8" t="s">
        <v>199</v>
      </c>
      <c r="AX330" s="4" t="s">
        <v>199</v>
      </c>
      <c r="AY330" s="8" t="s">
        <v>199</v>
      </c>
      <c r="AZ330" s="7" t="s">
        <v>199</v>
      </c>
      <c r="BA330" s="7" t="s">
        <v>199</v>
      </c>
      <c r="BB330" s="7"/>
      <c r="BC330" s="4" t="s">
        <v>199</v>
      </c>
      <c r="BD330" s="8" t="s">
        <v>199</v>
      </c>
      <c r="BE330" s="4" t="s">
        <v>199</v>
      </c>
      <c r="BF330" s="8" t="s">
        <v>199</v>
      </c>
      <c r="BG330" s="7" t="s">
        <v>199</v>
      </c>
      <c r="BH330" s="7" t="s">
        <v>199</v>
      </c>
      <c r="BI330" s="7"/>
      <c r="BJ330" s="4">
        <v>35</v>
      </c>
      <c r="BK330" s="8">
        <v>1156.06</v>
      </c>
      <c r="BL330" s="2" t="s">
        <v>2039</v>
      </c>
      <c r="BM330" s="7"/>
      <c r="BN330" s="7"/>
      <c r="BO330" s="4"/>
      <c r="BP330" s="8"/>
      <c r="BQ330" s="4"/>
      <c r="BR330" s="8"/>
      <c r="BS330" s="7"/>
      <c r="BT330" s="7"/>
      <c r="BU330" s="2" t="s">
        <v>2035</v>
      </c>
      <c r="BV330" s="2" t="s">
        <v>199</v>
      </c>
      <c r="BW330" s="2" t="s">
        <v>199</v>
      </c>
      <c r="BX330" s="2" t="s">
        <v>208</v>
      </c>
      <c r="BY330" s="2" t="s">
        <v>209</v>
      </c>
      <c r="BZ330" s="2" t="s">
        <v>196</v>
      </c>
      <c r="CA330" s="2" t="s">
        <v>2036</v>
      </c>
      <c r="CB330" s="2" t="s">
        <v>2040</v>
      </c>
      <c r="CC330" s="2" t="s">
        <v>212</v>
      </c>
      <c r="CD330" s="2" t="s">
        <v>199</v>
      </c>
      <c r="CE330" s="4">
        <v>338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>
        <v>338</v>
      </c>
      <c r="EU330" s="4">
        <v>329</v>
      </c>
      <c r="EV330" s="4">
        <v>320</v>
      </c>
      <c r="EW330" s="4">
        <v>311</v>
      </c>
      <c r="EX330" s="4">
        <v>302</v>
      </c>
      <c r="EY330" s="4">
        <v>293</v>
      </c>
      <c r="EZ330" s="4">
        <v>284</v>
      </c>
      <c r="FA330" s="4">
        <v>275</v>
      </c>
      <c r="FB330" s="4">
        <v>264</v>
      </c>
      <c r="FC330" s="4">
        <v>255</v>
      </c>
      <c r="FD330" s="4">
        <v>246</v>
      </c>
      <c r="FE330" s="4">
        <v>237</v>
      </c>
      <c r="FF330" s="4">
        <v>228</v>
      </c>
      <c r="FG330" s="4">
        <v>219</v>
      </c>
      <c r="FH330" s="4">
        <v>210</v>
      </c>
      <c r="FI330" s="4">
        <v>201</v>
      </c>
      <c r="FJ330" s="4">
        <v>192</v>
      </c>
      <c r="FK330" s="4">
        <v>183</v>
      </c>
      <c r="FL330" s="4">
        <v>174</v>
      </c>
      <c r="FM330" s="4">
        <v>165</v>
      </c>
      <c r="FN330" s="4">
        <v>156</v>
      </c>
      <c r="FO330" s="4">
        <v>147</v>
      </c>
      <c r="FP330" s="4">
        <v>136</v>
      </c>
      <c r="FQ330" s="4">
        <v>127</v>
      </c>
      <c r="FR330" s="4">
        <v>118</v>
      </c>
      <c r="FS330" s="4">
        <v>109</v>
      </c>
      <c r="FT330" s="19">
        <v>37.6</v>
      </c>
      <c r="FU330" s="19">
        <v>36.6</v>
      </c>
      <c r="FV330" s="19">
        <v>35.6</v>
      </c>
      <c r="FW330" s="19">
        <v>34.6</v>
      </c>
      <c r="FX330" s="19">
        <v>30.2</v>
      </c>
      <c r="FY330" s="19">
        <v>29.3</v>
      </c>
      <c r="FZ330" s="19">
        <v>28.4</v>
      </c>
      <c r="GA330" s="19">
        <v>27.5</v>
      </c>
      <c r="GB330" s="19">
        <v>29.3</v>
      </c>
      <c r="GC330" s="19">
        <v>28.3</v>
      </c>
      <c r="GD330" s="19">
        <v>27.3</v>
      </c>
      <c r="GE330" s="19">
        <v>26.3</v>
      </c>
      <c r="GF330" s="19">
        <v>25.3</v>
      </c>
      <c r="GG330" s="19">
        <v>24.3</v>
      </c>
      <c r="GH330" s="19">
        <v>23.3</v>
      </c>
      <c r="GI330" s="19">
        <v>22.3</v>
      </c>
      <c r="GJ330" s="19">
        <v>21.3</v>
      </c>
      <c r="GK330" s="19">
        <v>20.3</v>
      </c>
      <c r="GL330" s="19">
        <v>17.4</v>
      </c>
      <c r="GM330" s="19">
        <v>16.5</v>
      </c>
      <c r="GN330" s="19">
        <v>15.6</v>
      </c>
      <c r="GO330" s="19">
        <v>14.7</v>
      </c>
      <c r="GP330" s="19">
        <v>15.1</v>
      </c>
      <c r="GQ330" s="19">
        <v>12.7</v>
      </c>
      <c r="GR330" s="19">
        <v>11.8</v>
      </c>
      <c r="GS330" s="19">
        <v>10.9</v>
      </c>
    </row>
    <row r="331">
      <c r="A331" s="2" t="s">
        <v>2041</v>
      </c>
      <c r="B331" s="2" t="s">
        <v>630</v>
      </c>
      <c r="C331" s="2" t="s">
        <v>227</v>
      </c>
      <c r="D331" s="2" t="s">
        <v>228</v>
      </c>
      <c r="E331" s="2" t="s">
        <v>487</v>
      </c>
      <c r="F331" s="2" t="s">
        <v>2042</v>
      </c>
      <c r="G331" s="2" t="s">
        <v>2042</v>
      </c>
      <c r="H331" s="2" t="s">
        <v>2042</v>
      </c>
      <c r="I331" s="2" t="s">
        <v>2043</v>
      </c>
      <c r="J331" s="2" t="s">
        <v>219</v>
      </c>
      <c r="K331" s="2" t="s">
        <v>195</v>
      </c>
      <c r="L331" s="3">
        <v>165</v>
      </c>
      <c r="M331" s="3">
        <v>173.24</v>
      </c>
      <c r="N331" s="3">
        <v>329.99</v>
      </c>
      <c r="O331" s="2" t="s">
        <v>196</v>
      </c>
      <c r="P331" s="2" t="s">
        <v>621</v>
      </c>
      <c r="Q331" s="2" t="s">
        <v>198</v>
      </c>
      <c r="R331" s="2" t="s">
        <v>199</v>
      </c>
      <c r="S331" s="2" t="s">
        <v>2044</v>
      </c>
      <c r="T331" s="2" t="s">
        <v>726</v>
      </c>
      <c r="U331" s="2" t="s">
        <v>2045</v>
      </c>
      <c r="V331" s="2" t="s">
        <v>301</v>
      </c>
      <c r="W331" s="2" t="s">
        <v>727</v>
      </c>
      <c r="X331" s="2" t="s">
        <v>203</v>
      </c>
      <c r="Y331" s="2" t="s">
        <v>2046</v>
      </c>
      <c r="Z331" s="4">
        <v>228</v>
      </c>
      <c r="AA331" s="4">
        <f>=ROUNDDOWN(10.3636363636364,0)</f>
      </c>
      <c r="AB331" s="5">
        <v>22</v>
      </c>
      <c r="AC331" s="2" t="s">
        <v>5</v>
      </c>
      <c r="AD331" s="4">
        <v>75</v>
      </c>
      <c r="AE331" s="4">
        <v>525</v>
      </c>
      <c r="AF331" s="6">
        <v>67</v>
      </c>
      <c r="AG331" s="6"/>
      <c r="AH331" s="7">
        <v>0.0323</v>
      </c>
      <c r="AI331" s="4"/>
      <c r="AJ331" s="4">
        <f>=ROUNDDOWN({0},0)</f>
      </c>
      <c r="AK331" s="5"/>
      <c r="AL331" s="2" t="s">
        <v>199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199</v>
      </c>
      <c r="AW331" s="8" t="s">
        <v>199</v>
      </c>
      <c r="AX331" s="4" t="s">
        <v>199</v>
      </c>
      <c r="AY331" s="8" t="s">
        <v>199</v>
      </c>
      <c r="AZ331" s="7" t="s">
        <v>199</v>
      </c>
      <c r="BA331" s="7" t="s">
        <v>199</v>
      </c>
      <c r="BB331" s="7"/>
      <c r="BC331" s="4" t="s">
        <v>199</v>
      </c>
      <c r="BD331" s="8" t="s">
        <v>199</v>
      </c>
      <c r="BE331" s="4" t="s">
        <v>199</v>
      </c>
      <c r="BF331" s="8" t="s">
        <v>199</v>
      </c>
      <c r="BG331" s="7" t="s">
        <v>199</v>
      </c>
      <c r="BH331" s="7" t="s">
        <v>199</v>
      </c>
      <c r="BI331" s="7"/>
      <c r="BJ331" s="4">
        <v>13</v>
      </c>
      <c r="BK331" s="8">
        <v>2450.24</v>
      </c>
      <c r="BL331" s="2" t="s">
        <v>902</v>
      </c>
      <c r="BM331" s="7"/>
      <c r="BN331" s="7"/>
      <c r="BO331" s="4"/>
      <c r="BP331" s="8"/>
      <c r="BQ331" s="4"/>
      <c r="BR331" s="8"/>
      <c r="BS331" s="7"/>
      <c r="BT331" s="7"/>
      <c r="BU331" s="2" t="s">
        <v>2047</v>
      </c>
      <c r="BV331" s="2" t="s">
        <v>199</v>
      </c>
      <c r="BW331" s="2" t="s">
        <v>199</v>
      </c>
      <c r="BX331" s="2" t="s">
        <v>686</v>
      </c>
      <c r="BY331" s="2" t="s">
        <v>209</v>
      </c>
      <c r="BZ331" s="2" t="s">
        <v>196</v>
      </c>
      <c r="CA331" s="2" t="s">
        <v>2048</v>
      </c>
      <c r="CB331" s="2" t="s">
        <v>2049</v>
      </c>
      <c r="CC331" s="2" t="s">
        <v>212</v>
      </c>
      <c r="CD331" s="2" t="s">
        <v>199</v>
      </c>
      <c r="CE331" s="4">
        <v>228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>
        <v>75</v>
      </c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>
        <v>450</v>
      </c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>
        <v>254</v>
      </c>
      <c r="EU331" s="4">
        <v>284</v>
      </c>
      <c r="EV331" s="4">
        <v>264</v>
      </c>
      <c r="EW331" s="4">
        <v>244</v>
      </c>
      <c r="EX331" s="4">
        <v>224</v>
      </c>
      <c r="EY331" s="4">
        <v>204</v>
      </c>
      <c r="EZ331" s="4">
        <v>184</v>
      </c>
      <c r="FA331" s="4">
        <v>164</v>
      </c>
      <c r="FB331" s="4">
        <v>592</v>
      </c>
      <c r="FC331" s="4">
        <v>572</v>
      </c>
      <c r="FD331" s="4">
        <v>552</v>
      </c>
      <c r="FE331" s="4">
        <v>530</v>
      </c>
      <c r="FF331" s="4">
        <v>508</v>
      </c>
      <c r="FG331" s="4">
        <v>486</v>
      </c>
      <c r="FH331" s="4">
        <v>464</v>
      </c>
      <c r="FI331" s="4">
        <v>442</v>
      </c>
      <c r="FJ331" s="4">
        <v>420</v>
      </c>
      <c r="FK331" s="4">
        <v>398</v>
      </c>
      <c r="FL331" s="4">
        <v>376</v>
      </c>
      <c r="FM331" s="4">
        <v>354</v>
      </c>
      <c r="FN331" s="4">
        <v>332</v>
      </c>
      <c r="FO331" s="4">
        <v>310</v>
      </c>
      <c r="FP331" s="4">
        <v>286</v>
      </c>
      <c r="FQ331" s="4">
        <v>264</v>
      </c>
      <c r="FR331" s="4">
        <v>242</v>
      </c>
      <c r="FS331" s="4">
        <v>220</v>
      </c>
      <c r="FT331" s="19">
        <v>9.8</v>
      </c>
      <c r="FU331" s="19">
        <v>14.2</v>
      </c>
      <c r="FV331" s="19">
        <v>13.2</v>
      </c>
      <c r="FW331" s="19">
        <v>12.2</v>
      </c>
      <c r="FX331" s="19">
        <v>11.2</v>
      </c>
      <c r="FY331" s="19">
        <v>10.2</v>
      </c>
      <c r="FZ331" s="19">
        <v>9.2</v>
      </c>
      <c r="GA331" s="19">
        <v>7.8</v>
      </c>
      <c r="GB331" s="19">
        <v>28.2</v>
      </c>
      <c r="GC331" s="19">
        <v>26</v>
      </c>
      <c r="GD331" s="19">
        <v>25.1</v>
      </c>
      <c r="GE331" s="19">
        <v>24.1</v>
      </c>
      <c r="GF331" s="19">
        <v>23.1</v>
      </c>
      <c r="GG331" s="19">
        <v>22.1</v>
      </c>
      <c r="GH331" s="19">
        <v>21.1</v>
      </c>
      <c r="GI331" s="19">
        <v>20.1</v>
      </c>
      <c r="GJ331" s="19">
        <v>19.1</v>
      </c>
      <c r="GK331" s="19">
        <v>18.1</v>
      </c>
      <c r="GL331" s="19">
        <v>17.1</v>
      </c>
      <c r="GM331" s="19">
        <v>16.1</v>
      </c>
      <c r="GN331" s="19">
        <v>15.1</v>
      </c>
      <c r="GO331" s="19">
        <v>14.1</v>
      </c>
      <c r="GP331" s="19">
        <v>13</v>
      </c>
      <c r="GQ331" s="19">
        <v>12</v>
      </c>
      <c r="GR331" s="19">
        <v>11</v>
      </c>
      <c r="GS331" s="19">
        <v>10</v>
      </c>
    </row>
    <row r="332">
      <c r="A332" s="2" t="s">
        <v>2050</v>
      </c>
      <c r="B332" s="2" t="s">
        <v>630</v>
      </c>
      <c r="C332" s="2" t="s">
        <v>227</v>
      </c>
      <c r="D332" s="2" t="s">
        <v>228</v>
      </c>
      <c r="E332" s="2" t="s">
        <v>487</v>
      </c>
      <c r="F332" s="2" t="s">
        <v>2042</v>
      </c>
      <c r="G332" s="2" t="s">
        <v>2042</v>
      </c>
      <c r="H332" s="2" t="s">
        <v>2042</v>
      </c>
      <c r="I332" s="2" t="s">
        <v>2043</v>
      </c>
      <c r="J332" s="2" t="s">
        <v>223</v>
      </c>
      <c r="K332" s="2" t="s">
        <v>195</v>
      </c>
      <c r="L332" s="3">
        <v>190</v>
      </c>
      <c r="M332" s="3">
        <v>199.49</v>
      </c>
      <c r="N332" s="3">
        <v>379.99</v>
      </c>
      <c r="O332" s="2" t="s">
        <v>196</v>
      </c>
      <c r="P332" s="2" t="s">
        <v>621</v>
      </c>
      <c r="Q332" s="2" t="s">
        <v>198</v>
      </c>
      <c r="R332" s="2" t="s">
        <v>199</v>
      </c>
      <c r="S332" s="2" t="s">
        <v>2044</v>
      </c>
      <c r="T332" s="2" t="s">
        <v>726</v>
      </c>
      <c r="U332" s="2" t="s">
        <v>1907</v>
      </c>
      <c r="V332" s="2" t="s">
        <v>301</v>
      </c>
      <c r="W332" s="2" t="s">
        <v>727</v>
      </c>
      <c r="X332" s="2" t="s">
        <v>203</v>
      </c>
      <c r="Y332" s="2" t="s">
        <v>2046</v>
      </c>
      <c r="Z332" s="4">
        <v>245</v>
      </c>
      <c r="AA332" s="4">
        <f>=ROUNDDOWN(8.16666666666667,0)</f>
      </c>
      <c r="AB332" s="5">
        <v>30</v>
      </c>
      <c r="AC332" s="2" t="s">
        <v>5</v>
      </c>
      <c r="AD332" s="4">
        <v>270</v>
      </c>
      <c r="AE332" s="4">
        <v>760</v>
      </c>
      <c r="AF332" s="6">
        <v>67</v>
      </c>
      <c r="AG332" s="6"/>
      <c r="AH332" s="7">
        <v>0.0323</v>
      </c>
      <c r="AI332" s="4"/>
      <c r="AJ332" s="4">
        <f>=ROUNDDOWN({0},0)</f>
      </c>
      <c r="AK332" s="5"/>
      <c r="AL332" s="2" t="s">
        <v>199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199</v>
      </c>
      <c r="AW332" s="8" t="s">
        <v>199</v>
      </c>
      <c r="AX332" s="4" t="s">
        <v>199</v>
      </c>
      <c r="AY332" s="8" t="s">
        <v>199</v>
      </c>
      <c r="AZ332" s="7" t="s">
        <v>199</v>
      </c>
      <c r="BA332" s="7" t="s">
        <v>199</v>
      </c>
      <c r="BB332" s="7"/>
      <c r="BC332" s="4" t="s">
        <v>199</v>
      </c>
      <c r="BD332" s="8" t="s">
        <v>199</v>
      </c>
      <c r="BE332" s="4" t="s">
        <v>199</v>
      </c>
      <c r="BF332" s="8" t="s">
        <v>199</v>
      </c>
      <c r="BG332" s="7" t="s">
        <v>199</v>
      </c>
      <c r="BH332" s="7" t="s">
        <v>199</v>
      </c>
      <c r="BI332" s="7"/>
      <c r="BJ332" s="4">
        <v>14</v>
      </c>
      <c r="BK332" s="8">
        <v>3059</v>
      </c>
      <c r="BL332" s="2" t="s">
        <v>684</v>
      </c>
      <c r="BM332" s="7"/>
      <c r="BN332" s="7"/>
      <c r="BO332" s="4"/>
      <c r="BP332" s="8"/>
      <c r="BQ332" s="4"/>
      <c r="BR332" s="8"/>
      <c r="BS332" s="7"/>
      <c r="BT332" s="7"/>
      <c r="BU332" s="2" t="s">
        <v>2047</v>
      </c>
      <c r="BV332" s="2" t="s">
        <v>199</v>
      </c>
      <c r="BW332" s="2" t="s">
        <v>199</v>
      </c>
      <c r="BX332" s="2" t="s">
        <v>686</v>
      </c>
      <c r="BY332" s="2" t="s">
        <v>209</v>
      </c>
      <c r="BZ332" s="2" t="s">
        <v>196</v>
      </c>
      <c r="CA332" s="2" t="s">
        <v>2048</v>
      </c>
      <c r="CB332" s="2" t="s">
        <v>2051</v>
      </c>
      <c r="CC332" s="2" t="s">
        <v>212</v>
      </c>
      <c r="CD332" s="2" t="s">
        <v>199</v>
      </c>
      <c r="CE332" s="4">
        <v>245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>
        <v>270</v>
      </c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>
        <v>490</v>
      </c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>
        <v>296</v>
      </c>
      <c r="EU332" s="4">
        <v>492</v>
      </c>
      <c r="EV332" s="4">
        <v>459</v>
      </c>
      <c r="EW332" s="4">
        <v>426</v>
      </c>
      <c r="EX332" s="4">
        <v>391</v>
      </c>
      <c r="EY332" s="4">
        <v>361</v>
      </c>
      <c r="EZ332" s="4">
        <v>331</v>
      </c>
      <c r="FA332" s="4">
        <v>301</v>
      </c>
      <c r="FB332" s="4">
        <v>758</v>
      </c>
      <c r="FC332" s="4">
        <v>728</v>
      </c>
      <c r="FD332" s="4">
        <v>698</v>
      </c>
      <c r="FE332" s="4">
        <v>668</v>
      </c>
      <c r="FF332" s="4">
        <v>638</v>
      </c>
      <c r="FG332" s="4">
        <v>608</v>
      </c>
      <c r="FH332" s="4">
        <v>578</v>
      </c>
      <c r="FI332" s="4">
        <v>548</v>
      </c>
      <c r="FJ332" s="4">
        <v>518</v>
      </c>
      <c r="FK332" s="4">
        <v>488</v>
      </c>
      <c r="FL332" s="4">
        <v>458</v>
      </c>
      <c r="FM332" s="4">
        <v>428</v>
      </c>
      <c r="FN332" s="4">
        <v>398</v>
      </c>
      <c r="FO332" s="4">
        <v>368</v>
      </c>
      <c r="FP332" s="4">
        <v>335</v>
      </c>
      <c r="FQ332" s="4">
        <v>305</v>
      </c>
      <c r="FR332" s="4">
        <v>275</v>
      </c>
      <c r="FS332" s="4">
        <v>245</v>
      </c>
      <c r="FT332" s="19">
        <v>6.7</v>
      </c>
      <c r="FU332" s="19">
        <v>14.9</v>
      </c>
      <c r="FV332" s="19">
        <v>14.3</v>
      </c>
      <c r="FW332" s="19">
        <v>13.7</v>
      </c>
      <c r="FX332" s="19">
        <v>12.6</v>
      </c>
      <c r="FY332" s="19">
        <v>11.6</v>
      </c>
      <c r="FZ332" s="19">
        <v>10.7</v>
      </c>
      <c r="GA332" s="19">
        <v>9.7</v>
      </c>
      <c r="GB332" s="19">
        <v>25.3</v>
      </c>
      <c r="GC332" s="19">
        <v>24.3</v>
      </c>
      <c r="GD332" s="19">
        <v>23.3</v>
      </c>
      <c r="GE332" s="19">
        <v>22.3</v>
      </c>
      <c r="GF332" s="19">
        <v>21.3</v>
      </c>
      <c r="GG332" s="19">
        <v>20.3</v>
      </c>
      <c r="GH332" s="19">
        <v>19.3</v>
      </c>
      <c r="GI332" s="19">
        <v>18.3</v>
      </c>
      <c r="GJ332" s="19">
        <v>17.3</v>
      </c>
      <c r="GK332" s="19">
        <v>16.3</v>
      </c>
      <c r="GL332" s="19">
        <v>14.8</v>
      </c>
      <c r="GM332" s="19">
        <v>13.8</v>
      </c>
      <c r="GN332" s="19">
        <v>12.8</v>
      </c>
      <c r="GO332" s="19">
        <v>11.9</v>
      </c>
      <c r="GP332" s="19">
        <v>11.2</v>
      </c>
      <c r="GQ332" s="19">
        <v>9.8</v>
      </c>
      <c r="GR332" s="19">
        <v>8.9</v>
      </c>
      <c r="GS332" s="19">
        <v>7.9</v>
      </c>
    </row>
    <row r="333">
      <c r="A333" s="2" t="s">
        <v>2052</v>
      </c>
      <c r="B333" s="2" t="s">
        <v>554</v>
      </c>
      <c r="C333" s="2" t="s">
        <v>246</v>
      </c>
      <c r="D333" s="2" t="s">
        <v>555</v>
      </c>
      <c r="E333" s="2" t="s">
        <v>2053</v>
      </c>
      <c r="F333" s="2" t="s">
        <v>2054</v>
      </c>
      <c r="G333" s="2" t="s">
        <v>2054</v>
      </c>
      <c r="H333" s="2" t="s">
        <v>2054</v>
      </c>
      <c r="I333" s="2" t="s">
        <v>2055</v>
      </c>
      <c r="J333" s="2" t="s">
        <v>559</v>
      </c>
      <c r="K333" s="2" t="s">
        <v>765</v>
      </c>
      <c r="L333" s="3">
        <v>21.31</v>
      </c>
      <c r="M333" s="3">
        <v>22.38</v>
      </c>
      <c r="N333" s="3">
        <v>50.99</v>
      </c>
      <c r="O333" s="2" t="s">
        <v>196</v>
      </c>
      <c r="P333" s="2" t="s">
        <v>197</v>
      </c>
      <c r="Q333" s="2" t="s">
        <v>198</v>
      </c>
      <c r="R333" s="2" t="s">
        <v>199</v>
      </c>
      <c r="S333" s="2" t="s">
        <v>2056</v>
      </c>
      <c r="T333" s="2" t="s">
        <v>199</v>
      </c>
      <c r="U333" s="2" t="s">
        <v>637</v>
      </c>
      <c r="V333" s="2" t="s">
        <v>696</v>
      </c>
      <c r="W333" s="2" t="s">
        <v>203</v>
      </c>
      <c r="X333" s="2" t="s">
        <v>623</v>
      </c>
      <c r="Y333" s="2" t="s">
        <v>2057</v>
      </c>
      <c r="Z333" s="4">
        <v>119</v>
      </c>
      <c r="AA333" s="4">
        <f>=ROUNDDOWN(9.08396946564886,0)</f>
      </c>
      <c r="AB333" s="5">
        <v>13.1</v>
      </c>
      <c r="AC333" s="2" t="s">
        <v>776</v>
      </c>
      <c r="AD333" s="4">
        <v>100</v>
      </c>
      <c r="AE333" s="4">
        <v>100</v>
      </c>
      <c r="AF333" s="6">
        <v>61</v>
      </c>
      <c r="AG333" s="6"/>
      <c r="AH333" s="7">
        <v>1</v>
      </c>
      <c r="AI333" s="4"/>
      <c r="AJ333" s="4">
        <f>=ROUNDDOWN({0},0)</f>
      </c>
      <c r="AK333" s="5"/>
      <c r="AL333" s="2" t="s">
        <v>199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28</v>
      </c>
      <c r="BK333" s="8">
        <v>758.45</v>
      </c>
      <c r="BL333" s="2" t="s">
        <v>2058</v>
      </c>
      <c r="BM333" s="7"/>
      <c r="BN333" s="7"/>
      <c r="BO333" s="4"/>
      <c r="BP333" s="8"/>
      <c r="BQ333" s="4"/>
      <c r="BR333" s="8"/>
      <c r="BS333" s="7"/>
      <c r="BT333" s="7"/>
      <c r="BU333" s="2" t="s">
        <v>2059</v>
      </c>
      <c r="BV333" s="2" t="s">
        <v>199</v>
      </c>
      <c r="BW333" s="2" t="s">
        <v>199</v>
      </c>
      <c r="BX333" s="2" t="s">
        <v>208</v>
      </c>
      <c r="BY333" s="2" t="s">
        <v>209</v>
      </c>
      <c r="BZ333" s="2" t="s">
        <v>196</v>
      </c>
      <c r="CA333" s="2" t="s">
        <v>2060</v>
      </c>
      <c r="CB333" s="2" t="s">
        <v>2061</v>
      </c>
      <c r="CC333" s="2" t="s">
        <v>212</v>
      </c>
      <c r="CD333" s="2" t="s">
        <v>199</v>
      </c>
      <c r="CE333" s="4"/>
      <c r="CF333" s="4">
        <v>119</v>
      </c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>
        <v>100</v>
      </c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>
        <v>130</v>
      </c>
      <c r="EU333" s="4">
        <v>107</v>
      </c>
      <c r="EV333" s="4">
        <v>94</v>
      </c>
      <c r="EW333" s="4">
        <v>81</v>
      </c>
      <c r="EX333" s="4">
        <v>168</v>
      </c>
      <c r="EY333" s="4">
        <v>155</v>
      </c>
      <c r="EZ333" s="4">
        <v>142</v>
      </c>
      <c r="FA333" s="4">
        <v>129</v>
      </c>
      <c r="FB333" s="4">
        <v>113</v>
      </c>
      <c r="FC333" s="4">
        <v>100</v>
      </c>
      <c r="FD333" s="4">
        <v>87</v>
      </c>
      <c r="FE333" s="4">
        <v>74</v>
      </c>
      <c r="FF333" s="4">
        <v>61</v>
      </c>
      <c r="FG333" s="4">
        <v>48</v>
      </c>
      <c r="FH333" s="4">
        <v>35</v>
      </c>
      <c r="FI333" s="4">
        <v>22</v>
      </c>
      <c r="FJ333" s="4">
        <v>9</v>
      </c>
      <c r="FK333" s="4"/>
      <c r="FL333" s="4"/>
      <c r="FM333" s="4">
        <v>111</v>
      </c>
      <c r="FN333" s="4">
        <v>98</v>
      </c>
      <c r="FO333" s="4">
        <v>85</v>
      </c>
      <c r="FP333" s="4">
        <v>69</v>
      </c>
      <c r="FQ333" s="4">
        <v>56</v>
      </c>
      <c r="FR333" s="4">
        <v>94</v>
      </c>
      <c r="FS333" s="4">
        <v>81</v>
      </c>
      <c r="FT333" s="19">
        <v>8.1</v>
      </c>
      <c r="FU333" s="19">
        <v>8.2</v>
      </c>
      <c r="FV333" s="19">
        <v>7.2</v>
      </c>
      <c r="FW333" s="19">
        <v>6.2</v>
      </c>
      <c r="FX333" s="19">
        <v>12</v>
      </c>
      <c r="FY333" s="19">
        <v>11.1</v>
      </c>
      <c r="FZ333" s="19">
        <v>10.1</v>
      </c>
      <c r="GA333" s="19">
        <v>9.2</v>
      </c>
      <c r="GB333" s="19">
        <v>8.7</v>
      </c>
      <c r="GC333" s="19">
        <v>7.7</v>
      </c>
      <c r="GD333" s="19">
        <v>6.7</v>
      </c>
      <c r="GE333" s="19">
        <v>5.7</v>
      </c>
      <c r="GF333" s="19">
        <v>4.7</v>
      </c>
      <c r="GG333" s="19">
        <v>3.7</v>
      </c>
      <c r="GH333" s="19">
        <v>2.7</v>
      </c>
      <c r="GI333" s="19">
        <v>1.7</v>
      </c>
      <c r="GJ333" s="19">
        <v>0.7</v>
      </c>
      <c r="GK333" s="20">
        <v>0</v>
      </c>
      <c r="GL333" s="20">
        <v>0</v>
      </c>
      <c r="GM333" s="19">
        <v>7.9</v>
      </c>
      <c r="GN333" s="19">
        <v>7</v>
      </c>
      <c r="GO333" s="19">
        <v>6.1</v>
      </c>
      <c r="GP333" s="19">
        <v>5.3</v>
      </c>
      <c r="GQ333" s="19">
        <v>4</v>
      </c>
      <c r="GR333" s="19">
        <v>6.7</v>
      </c>
      <c r="GS333" s="19">
        <v>5.8</v>
      </c>
    </row>
    <row r="334">
      <c r="A334" s="2" t="s">
        <v>2062</v>
      </c>
      <c r="B334" s="2" t="s">
        <v>736</v>
      </c>
      <c r="C334" s="2" t="s">
        <v>1007</v>
      </c>
      <c r="D334" s="2" t="s">
        <v>631</v>
      </c>
      <c r="E334" s="2" t="s">
        <v>720</v>
      </c>
      <c r="F334" s="2" t="s">
        <v>2063</v>
      </c>
      <c r="G334" s="2" t="s">
        <v>2064</v>
      </c>
      <c r="H334" s="2" t="s">
        <v>2065</v>
      </c>
      <c r="I334" s="2" t="s">
        <v>2066</v>
      </c>
      <c r="J334" s="2" t="s">
        <v>1011</v>
      </c>
      <c r="K334" s="2" t="s">
        <v>656</v>
      </c>
      <c r="L334" s="3">
        <v>27.6</v>
      </c>
      <c r="M334" s="3">
        <v>28.98</v>
      </c>
      <c r="N334" s="3">
        <v>59.99</v>
      </c>
      <c r="O334" s="2" t="s">
        <v>196</v>
      </c>
      <c r="P334" s="2" t="s">
        <v>197</v>
      </c>
      <c r="Q334" s="2" t="s">
        <v>198</v>
      </c>
      <c r="R334" s="2" t="s">
        <v>199</v>
      </c>
      <c r="S334" s="2" t="s">
        <v>2067</v>
      </c>
      <c r="T334" s="2" t="s">
        <v>2068</v>
      </c>
      <c r="U334" s="2" t="s">
        <v>637</v>
      </c>
      <c r="V334" s="2" t="s">
        <v>202</v>
      </c>
      <c r="W334" s="2" t="s">
        <v>255</v>
      </c>
      <c r="X334" s="2" t="s">
        <v>2069</v>
      </c>
      <c r="Y334" s="2" t="s">
        <v>2070</v>
      </c>
      <c r="Z334" s="4">
        <v>474</v>
      </c>
      <c r="AA334" s="4">
        <f>=ROUNDDOWN(158,0)</f>
      </c>
      <c r="AB334" s="5">
        <v>3</v>
      </c>
      <c r="AC334" s="2" t="s">
        <v>199</v>
      </c>
      <c r="AD334" s="4"/>
      <c r="AE334" s="4"/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199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199</v>
      </c>
      <c r="AW334" s="8" t="s">
        <v>199</v>
      </c>
      <c r="AX334" s="4" t="s">
        <v>199</v>
      </c>
      <c r="AY334" s="8" t="s">
        <v>199</v>
      </c>
      <c r="AZ334" s="7" t="s">
        <v>199</v>
      </c>
      <c r="BA334" s="7" t="s">
        <v>199</v>
      </c>
      <c r="BB334" s="7"/>
      <c r="BC334" s="4" t="s">
        <v>199</v>
      </c>
      <c r="BD334" s="8" t="s">
        <v>199</v>
      </c>
      <c r="BE334" s="4" t="s">
        <v>199</v>
      </c>
      <c r="BF334" s="8" t="s">
        <v>199</v>
      </c>
      <c r="BG334" s="7" t="s">
        <v>199</v>
      </c>
      <c r="BH334" s="7" t="s">
        <v>199</v>
      </c>
      <c r="BI334" s="7"/>
      <c r="BJ334" s="4">
        <v>6</v>
      </c>
      <c r="BK334" s="8">
        <v>167.55</v>
      </c>
      <c r="BL334" s="2" t="s">
        <v>2071</v>
      </c>
      <c r="BM334" s="7"/>
      <c r="BN334" s="7"/>
      <c r="BO334" s="4"/>
      <c r="BP334" s="8"/>
      <c r="BQ334" s="4"/>
      <c r="BR334" s="8"/>
      <c r="BS334" s="7"/>
      <c r="BT334" s="7"/>
      <c r="BU334" s="2" t="s">
        <v>2072</v>
      </c>
      <c r="BV334" s="2" t="s">
        <v>199</v>
      </c>
      <c r="BW334" s="2" t="s">
        <v>199</v>
      </c>
      <c r="BX334" s="2" t="s">
        <v>260</v>
      </c>
      <c r="BY334" s="2" t="s">
        <v>209</v>
      </c>
      <c r="BZ334" s="2" t="s">
        <v>196</v>
      </c>
      <c r="CA334" s="2" t="s">
        <v>2073</v>
      </c>
      <c r="CB334" s="2" t="s">
        <v>2074</v>
      </c>
      <c r="CC334" s="2" t="s">
        <v>212</v>
      </c>
      <c r="CD334" s="2" t="s">
        <v>199</v>
      </c>
      <c r="CE334" s="4">
        <v>364</v>
      </c>
      <c r="CF334" s="4">
        <v>110</v>
      </c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>
        <v>475</v>
      </c>
      <c r="EU334" s="4">
        <v>464</v>
      </c>
      <c r="EV334" s="4">
        <v>461</v>
      </c>
      <c r="EW334" s="4">
        <v>458</v>
      </c>
      <c r="EX334" s="4">
        <v>455</v>
      </c>
      <c r="EY334" s="4">
        <v>452</v>
      </c>
      <c r="EZ334" s="4">
        <v>449</v>
      </c>
      <c r="FA334" s="4">
        <v>446</v>
      </c>
      <c r="FB334" s="4">
        <v>443</v>
      </c>
      <c r="FC334" s="4">
        <v>440</v>
      </c>
      <c r="FD334" s="4">
        <v>437</v>
      </c>
      <c r="FE334" s="4">
        <v>434</v>
      </c>
      <c r="FF334" s="4">
        <v>431</v>
      </c>
      <c r="FG334" s="4">
        <v>428</v>
      </c>
      <c r="FH334" s="4">
        <v>425</v>
      </c>
      <c r="FI334" s="4">
        <v>422</v>
      </c>
      <c r="FJ334" s="4">
        <v>419</v>
      </c>
      <c r="FK334" s="4">
        <v>416</v>
      </c>
      <c r="FL334" s="4">
        <v>413</v>
      </c>
      <c r="FM334" s="4">
        <v>410</v>
      </c>
      <c r="FN334" s="4">
        <v>407</v>
      </c>
      <c r="FO334" s="4">
        <v>404</v>
      </c>
      <c r="FP334" s="4">
        <v>401</v>
      </c>
      <c r="FQ334" s="4">
        <v>397</v>
      </c>
      <c r="FR334" s="4">
        <v>393</v>
      </c>
      <c r="FS334" s="4">
        <v>390</v>
      </c>
      <c r="FT334" s="19">
        <v>95</v>
      </c>
      <c r="FU334" s="19">
        <v>154.7</v>
      </c>
      <c r="FV334" s="19">
        <v>153.7</v>
      </c>
      <c r="FW334" s="19">
        <v>152.7</v>
      </c>
      <c r="FX334" s="19">
        <v>151.7</v>
      </c>
      <c r="FY334" s="19">
        <v>150.7</v>
      </c>
      <c r="FZ334" s="19">
        <v>149.7</v>
      </c>
      <c r="GA334" s="19">
        <v>148.7</v>
      </c>
      <c r="GB334" s="19">
        <v>147.7</v>
      </c>
      <c r="GC334" s="19">
        <v>146.7</v>
      </c>
      <c r="GD334" s="19">
        <v>145.7</v>
      </c>
      <c r="GE334" s="19">
        <v>144.7</v>
      </c>
      <c r="GF334" s="19">
        <v>143.7</v>
      </c>
      <c r="GG334" s="19">
        <v>142.7</v>
      </c>
      <c r="GH334" s="19">
        <v>141.7</v>
      </c>
      <c r="GI334" s="19">
        <v>140.7</v>
      </c>
      <c r="GJ334" s="19">
        <v>139.7</v>
      </c>
      <c r="GK334" s="19">
        <v>138.7</v>
      </c>
      <c r="GL334" s="19">
        <v>137.7</v>
      </c>
      <c r="GM334" s="19">
        <v>136.7</v>
      </c>
      <c r="GN334" s="19">
        <v>101.8</v>
      </c>
      <c r="GO334" s="19">
        <v>101</v>
      </c>
      <c r="GP334" s="19">
        <v>100.3</v>
      </c>
      <c r="GQ334" s="19">
        <v>99.3</v>
      </c>
      <c r="GR334" s="19">
        <v>98.3</v>
      </c>
      <c r="GS334" s="19">
        <v>97.5</v>
      </c>
    </row>
    <row r="335">
      <c r="A335" s="2" t="s">
        <v>2075</v>
      </c>
      <c r="B335" s="2" t="s">
        <v>736</v>
      </c>
      <c r="C335" s="2" t="s">
        <v>1007</v>
      </c>
      <c r="D335" s="2" t="s">
        <v>631</v>
      </c>
      <c r="E335" s="2" t="s">
        <v>720</v>
      </c>
      <c r="F335" s="2" t="s">
        <v>2063</v>
      </c>
      <c r="G335" s="2" t="s">
        <v>2064</v>
      </c>
      <c r="H335" s="2" t="s">
        <v>2065</v>
      </c>
      <c r="I335" s="2" t="s">
        <v>2066</v>
      </c>
      <c r="J335" s="2" t="s">
        <v>232</v>
      </c>
      <c r="K335" s="2" t="s">
        <v>656</v>
      </c>
      <c r="L335" s="3">
        <v>33.6</v>
      </c>
      <c r="M335" s="3">
        <v>35.28</v>
      </c>
      <c r="N335" s="3">
        <v>69.99</v>
      </c>
      <c r="O335" s="2" t="s">
        <v>196</v>
      </c>
      <c r="P335" s="2" t="s">
        <v>197</v>
      </c>
      <c r="Q335" s="2" t="s">
        <v>198</v>
      </c>
      <c r="R335" s="2" t="s">
        <v>199</v>
      </c>
      <c r="S335" s="2" t="s">
        <v>2067</v>
      </c>
      <c r="T335" s="2" t="s">
        <v>2068</v>
      </c>
      <c r="U335" s="2" t="s">
        <v>254</v>
      </c>
      <c r="V335" s="2" t="s">
        <v>202</v>
      </c>
      <c r="W335" s="2" t="s">
        <v>255</v>
      </c>
      <c r="X335" s="2" t="s">
        <v>2069</v>
      </c>
      <c r="Y335" s="2" t="s">
        <v>2070</v>
      </c>
      <c r="Z335" s="4">
        <v>413</v>
      </c>
      <c r="AA335" s="4">
        <f>=ROUNDDOWN(82.6,0)</f>
      </c>
      <c r="AB335" s="5">
        <v>5</v>
      </c>
      <c r="AC335" s="2" t="s">
        <v>199</v>
      </c>
      <c r="AD335" s="4"/>
      <c r="AE335" s="4"/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199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199</v>
      </c>
      <c r="AW335" s="8" t="s">
        <v>199</v>
      </c>
      <c r="AX335" s="4" t="s">
        <v>199</v>
      </c>
      <c r="AY335" s="8" t="s">
        <v>199</v>
      </c>
      <c r="AZ335" s="7" t="s">
        <v>199</v>
      </c>
      <c r="BA335" s="7" t="s">
        <v>199</v>
      </c>
      <c r="BB335" s="7"/>
      <c r="BC335" s="4" t="s">
        <v>199</v>
      </c>
      <c r="BD335" s="8" t="s">
        <v>199</v>
      </c>
      <c r="BE335" s="4" t="s">
        <v>199</v>
      </c>
      <c r="BF335" s="8" t="s">
        <v>199</v>
      </c>
      <c r="BG335" s="7" t="s">
        <v>199</v>
      </c>
      <c r="BH335" s="7" t="s">
        <v>199</v>
      </c>
      <c r="BI335" s="7"/>
      <c r="BJ335" s="4">
        <v>52</v>
      </c>
      <c r="BK335" s="8">
        <v>1876.31</v>
      </c>
      <c r="BL335" s="2" t="s">
        <v>2076</v>
      </c>
      <c r="BM335" s="7"/>
      <c r="BN335" s="7"/>
      <c r="BO335" s="4"/>
      <c r="BP335" s="8"/>
      <c r="BQ335" s="4"/>
      <c r="BR335" s="8"/>
      <c r="BS335" s="7"/>
      <c r="BT335" s="7"/>
      <c r="BU335" s="2" t="s">
        <v>2072</v>
      </c>
      <c r="BV335" s="2" t="s">
        <v>199</v>
      </c>
      <c r="BW335" s="2" t="s">
        <v>199</v>
      </c>
      <c r="BX335" s="2" t="s">
        <v>260</v>
      </c>
      <c r="BY335" s="2" t="s">
        <v>209</v>
      </c>
      <c r="BZ335" s="2" t="s">
        <v>196</v>
      </c>
      <c r="CA335" s="2" t="s">
        <v>2073</v>
      </c>
      <c r="CB335" s="2" t="s">
        <v>1786</v>
      </c>
      <c r="CC335" s="2" t="s">
        <v>212</v>
      </c>
      <c r="CD335" s="2" t="s">
        <v>199</v>
      </c>
      <c r="CE335" s="4">
        <v>413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>
        <v>416</v>
      </c>
      <c r="EU335" s="4">
        <v>410</v>
      </c>
      <c r="EV335" s="4">
        <v>405</v>
      </c>
      <c r="EW335" s="4">
        <v>400</v>
      </c>
      <c r="EX335" s="4">
        <v>395</v>
      </c>
      <c r="EY335" s="4">
        <v>390</v>
      </c>
      <c r="EZ335" s="4">
        <v>385</v>
      </c>
      <c r="FA335" s="4">
        <v>380</v>
      </c>
      <c r="FB335" s="4">
        <v>375</v>
      </c>
      <c r="FC335" s="4">
        <v>370</v>
      </c>
      <c r="FD335" s="4">
        <v>365</v>
      </c>
      <c r="FE335" s="4">
        <v>360</v>
      </c>
      <c r="FF335" s="4">
        <v>355</v>
      </c>
      <c r="FG335" s="4">
        <v>350</v>
      </c>
      <c r="FH335" s="4">
        <v>345</v>
      </c>
      <c r="FI335" s="4">
        <v>340</v>
      </c>
      <c r="FJ335" s="4">
        <v>335</v>
      </c>
      <c r="FK335" s="4">
        <v>330</v>
      </c>
      <c r="FL335" s="4">
        <v>325</v>
      </c>
      <c r="FM335" s="4">
        <v>320</v>
      </c>
      <c r="FN335" s="4">
        <v>315</v>
      </c>
      <c r="FO335" s="4">
        <v>310</v>
      </c>
      <c r="FP335" s="4">
        <v>305</v>
      </c>
      <c r="FQ335" s="4">
        <v>299</v>
      </c>
      <c r="FR335" s="4">
        <v>294</v>
      </c>
      <c r="FS335" s="4">
        <v>288</v>
      </c>
      <c r="FT335" s="19">
        <v>83.2</v>
      </c>
      <c r="FU335" s="19">
        <v>82</v>
      </c>
      <c r="FV335" s="19">
        <v>81</v>
      </c>
      <c r="FW335" s="19">
        <v>80</v>
      </c>
      <c r="FX335" s="19">
        <v>79</v>
      </c>
      <c r="FY335" s="19">
        <v>78</v>
      </c>
      <c r="FZ335" s="19">
        <v>77</v>
      </c>
      <c r="GA335" s="19">
        <v>76</v>
      </c>
      <c r="GB335" s="19">
        <v>75</v>
      </c>
      <c r="GC335" s="19">
        <v>74</v>
      </c>
      <c r="GD335" s="19">
        <v>73</v>
      </c>
      <c r="GE335" s="19">
        <v>72</v>
      </c>
      <c r="GF335" s="19">
        <v>71</v>
      </c>
      <c r="GG335" s="19">
        <v>70</v>
      </c>
      <c r="GH335" s="19">
        <v>69</v>
      </c>
      <c r="GI335" s="19">
        <v>68</v>
      </c>
      <c r="GJ335" s="19">
        <v>67</v>
      </c>
      <c r="GK335" s="19">
        <v>66</v>
      </c>
      <c r="GL335" s="19">
        <v>65</v>
      </c>
      <c r="GM335" s="19">
        <v>64</v>
      </c>
      <c r="GN335" s="19">
        <v>63</v>
      </c>
      <c r="GO335" s="19">
        <v>51.7</v>
      </c>
      <c r="GP335" s="19">
        <v>50.8</v>
      </c>
      <c r="GQ335" s="19">
        <v>49.8</v>
      </c>
      <c r="GR335" s="19">
        <v>49</v>
      </c>
      <c r="GS335" s="19">
        <v>57.6</v>
      </c>
    </row>
    <row r="336">
      <c r="A336" s="2" t="s">
        <v>2077</v>
      </c>
      <c r="B336" s="2" t="s">
        <v>736</v>
      </c>
      <c r="C336" s="2" t="s">
        <v>1007</v>
      </c>
      <c r="D336" s="2" t="s">
        <v>631</v>
      </c>
      <c r="E336" s="2" t="s">
        <v>720</v>
      </c>
      <c r="F336" s="2" t="s">
        <v>2063</v>
      </c>
      <c r="G336" s="2" t="s">
        <v>2064</v>
      </c>
      <c r="H336" s="2" t="s">
        <v>2065</v>
      </c>
      <c r="I336" s="2" t="s">
        <v>2066</v>
      </c>
      <c r="J336" s="2" t="s">
        <v>1011</v>
      </c>
      <c r="K336" s="2" t="s">
        <v>405</v>
      </c>
      <c r="L336" s="3">
        <v>27.6</v>
      </c>
      <c r="M336" s="3">
        <v>28.98</v>
      </c>
      <c r="N336" s="3">
        <v>59.99</v>
      </c>
      <c r="O336" s="2" t="s">
        <v>196</v>
      </c>
      <c r="P336" s="2" t="s">
        <v>621</v>
      </c>
      <c r="Q336" s="2" t="s">
        <v>198</v>
      </c>
      <c r="R336" s="2" t="s">
        <v>199</v>
      </c>
      <c r="S336" s="2" t="s">
        <v>2078</v>
      </c>
      <c r="T336" s="2" t="s">
        <v>2068</v>
      </c>
      <c r="U336" s="2" t="s">
        <v>637</v>
      </c>
      <c r="V336" s="2" t="s">
        <v>202</v>
      </c>
      <c r="W336" s="2" t="s">
        <v>255</v>
      </c>
      <c r="X336" s="2" t="s">
        <v>2069</v>
      </c>
      <c r="Y336" s="2" t="s">
        <v>2079</v>
      </c>
      <c r="Z336" s="4">
        <v>503</v>
      </c>
      <c r="AA336" s="4">
        <f>=ROUNDDOWN(125.75,0)</f>
      </c>
      <c r="AB336" s="5">
        <v>4</v>
      </c>
      <c r="AC336" s="2" t="s">
        <v>1936</v>
      </c>
      <c r="AD336" s="4">
        <v>180</v>
      </c>
      <c r="AE336" s="4">
        <v>180</v>
      </c>
      <c r="AF336" s="6">
        <v>64</v>
      </c>
      <c r="AG336" s="6">
        <v>47</v>
      </c>
      <c r="AH336" s="7">
        <v>1</v>
      </c>
      <c r="AI336" s="4"/>
      <c r="AJ336" s="4">
        <f>=ROUNDDOWN({0},0)</f>
      </c>
      <c r="AK336" s="5"/>
      <c r="AL336" s="2" t="s">
        <v>199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199</v>
      </c>
      <c r="BD336" s="8" t="s">
        <v>199</v>
      </c>
      <c r="BE336" s="4" t="s">
        <v>199</v>
      </c>
      <c r="BF336" s="8" t="s">
        <v>199</v>
      </c>
      <c r="BG336" s="7" t="s">
        <v>199</v>
      </c>
      <c r="BH336" s="7" t="s">
        <v>199</v>
      </c>
      <c r="BI336" s="7"/>
      <c r="BJ336" s="4">
        <v>29</v>
      </c>
      <c r="BK336" s="8">
        <v>855.74</v>
      </c>
      <c r="BL336" s="2" t="s">
        <v>2080</v>
      </c>
      <c r="BM336" s="7"/>
      <c r="BN336" s="7"/>
      <c r="BO336" s="4"/>
      <c r="BP336" s="8"/>
      <c r="BQ336" s="4"/>
      <c r="BR336" s="8"/>
      <c r="BS336" s="7"/>
      <c r="BT336" s="7"/>
      <c r="BU336" s="2" t="s">
        <v>2072</v>
      </c>
      <c r="BV336" s="2" t="s">
        <v>199</v>
      </c>
      <c r="BW336" s="2" t="s">
        <v>199</v>
      </c>
      <c r="BX336" s="2" t="s">
        <v>260</v>
      </c>
      <c r="BY336" s="2" t="s">
        <v>209</v>
      </c>
      <c r="BZ336" s="2" t="s">
        <v>196</v>
      </c>
      <c r="CA336" s="2" t="s">
        <v>2081</v>
      </c>
      <c r="CB336" s="2" t="s">
        <v>1050</v>
      </c>
      <c r="CC336" s="2" t="s">
        <v>212</v>
      </c>
      <c r="CD336" s="2" t="s">
        <v>199</v>
      </c>
      <c r="CE336" s="4">
        <v>213</v>
      </c>
      <c r="CF336" s="4">
        <v>88</v>
      </c>
      <c r="CG336" s="4"/>
      <c r="CH336" s="4">
        <v>202</v>
      </c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>
        <v>180</v>
      </c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>
        <v>503</v>
      </c>
      <c r="EU336" s="4">
        <v>501</v>
      </c>
      <c r="EV336" s="4">
        <v>499</v>
      </c>
      <c r="EW336" s="4">
        <v>497</v>
      </c>
      <c r="EX336" s="4">
        <v>495</v>
      </c>
      <c r="EY336" s="4">
        <v>492</v>
      </c>
      <c r="EZ336" s="4">
        <v>668</v>
      </c>
      <c r="FA336" s="4">
        <v>664</v>
      </c>
      <c r="FB336" s="4">
        <v>660</v>
      </c>
      <c r="FC336" s="4">
        <v>656</v>
      </c>
      <c r="FD336" s="4">
        <v>652</v>
      </c>
      <c r="FE336" s="4">
        <v>648</v>
      </c>
      <c r="FF336" s="4">
        <v>644</v>
      </c>
      <c r="FG336" s="4">
        <v>640</v>
      </c>
      <c r="FH336" s="4">
        <v>636</v>
      </c>
      <c r="FI336" s="4">
        <v>632</v>
      </c>
      <c r="FJ336" s="4">
        <v>628</v>
      </c>
      <c r="FK336" s="4">
        <v>624</v>
      </c>
      <c r="FL336" s="4">
        <v>620</v>
      </c>
      <c r="FM336" s="4">
        <v>616</v>
      </c>
      <c r="FN336" s="4">
        <v>612</v>
      </c>
      <c r="FO336" s="4">
        <v>607</v>
      </c>
      <c r="FP336" s="4">
        <v>602</v>
      </c>
      <c r="FQ336" s="4">
        <v>596</v>
      </c>
      <c r="FR336" s="4">
        <v>591</v>
      </c>
      <c r="FS336" s="4">
        <v>586</v>
      </c>
      <c r="FT336" s="19">
        <v>251.5</v>
      </c>
      <c r="FU336" s="19">
        <v>250.5</v>
      </c>
      <c r="FV336" s="19">
        <v>174.8</v>
      </c>
      <c r="FW336" s="19">
        <v>124.3</v>
      </c>
      <c r="FX336" s="19">
        <v>123.8</v>
      </c>
      <c r="FY336" s="19">
        <v>123</v>
      </c>
      <c r="FZ336" s="19">
        <v>167</v>
      </c>
      <c r="GA336" s="19">
        <v>166</v>
      </c>
      <c r="GB336" s="19">
        <v>165</v>
      </c>
      <c r="GC336" s="19">
        <v>164</v>
      </c>
      <c r="GD336" s="19">
        <v>163</v>
      </c>
      <c r="GE336" s="19">
        <v>162</v>
      </c>
      <c r="GF336" s="19">
        <v>161</v>
      </c>
      <c r="GG336" s="19">
        <v>160</v>
      </c>
      <c r="GH336" s="19">
        <v>159</v>
      </c>
      <c r="GI336" s="19">
        <v>158</v>
      </c>
      <c r="GJ336" s="19">
        <v>157</v>
      </c>
      <c r="GK336" s="19">
        <v>156</v>
      </c>
      <c r="GL336" s="19">
        <v>155</v>
      </c>
      <c r="GM336" s="19">
        <v>116.8</v>
      </c>
      <c r="GN336" s="19">
        <v>115.9</v>
      </c>
      <c r="GO336" s="19">
        <v>114.9</v>
      </c>
      <c r="GP336" s="19">
        <v>95.7</v>
      </c>
      <c r="GQ336" s="19">
        <v>112.8</v>
      </c>
      <c r="GR336" s="19">
        <v>111.8</v>
      </c>
      <c r="GS336" s="19">
        <v>146.5</v>
      </c>
    </row>
    <row r="337">
      <c r="A337" s="2" t="s">
        <v>2082</v>
      </c>
      <c r="B337" s="2" t="s">
        <v>736</v>
      </c>
      <c r="C337" s="2" t="s">
        <v>1007</v>
      </c>
      <c r="D337" s="2" t="s">
        <v>228</v>
      </c>
      <c r="E337" s="2" t="s">
        <v>487</v>
      </c>
      <c r="F337" s="2" t="s">
        <v>2063</v>
      </c>
      <c r="G337" s="2" t="s">
        <v>2064</v>
      </c>
      <c r="H337" s="2" t="s">
        <v>2065</v>
      </c>
      <c r="I337" s="2" t="s">
        <v>2083</v>
      </c>
      <c r="J337" s="2" t="s">
        <v>1011</v>
      </c>
      <c r="K337" s="2" t="s">
        <v>2084</v>
      </c>
      <c r="L337" s="3">
        <v>31.05</v>
      </c>
      <c r="M337" s="3">
        <v>32.6</v>
      </c>
      <c r="N337" s="3">
        <v>59.99</v>
      </c>
      <c r="O337" s="2" t="s">
        <v>196</v>
      </c>
      <c r="P337" s="2" t="s">
        <v>197</v>
      </c>
      <c r="Q337" s="2" t="s">
        <v>198</v>
      </c>
      <c r="R337" s="2" t="s">
        <v>199</v>
      </c>
      <c r="S337" s="2" t="s">
        <v>2085</v>
      </c>
      <c r="T337" s="2" t="s">
        <v>2068</v>
      </c>
      <c r="U337" s="2" t="s">
        <v>637</v>
      </c>
      <c r="V337" s="2" t="s">
        <v>202</v>
      </c>
      <c r="W337" s="2" t="s">
        <v>255</v>
      </c>
      <c r="X337" s="2" t="s">
        <v>2069</v>
      </c>
      <c r="Y337" s="2" t="s">
        <v>2086</v>
      </c>
      <c r="Z337" s="4">
        <v>3</v>
      </c>
      <c r="AA337" s="4">
        <f>=ROUNDDOWN(1,0)</f>
      </c>
      <c r="AB337" s="5">
        <v>3</v>
      </c>
      <c r="AC337" s="2" t="s">
        <v>387</v>
      </c>
      <c r="AD337" s="4">
        <v>75</v>
      </c>
      <c r="AE337" s="4">
        <v>105</v>
      </c>
      <c r="AF337" s="6">
        <v>65</v>
      </c>
      <c r="AG337" s="6"/>
      <c r="AH337" s="7">
        <v>0.5806</v>
      </c>
      <c r="AI337" s="4"/>
      <c r="AJ337" s="4">
        <f>=ROUNDDOWN({0},0)</f>
      </c>
      <c r="AK337" s="5"/>
      <c r="AL337" s="2" t="s">
        <v>199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199</v>
      </c>
      <c r="AW337" s="8" t="s">
        <v>199</v>
      </c>
      <c r="AX337" s="4" t="s">
        <v>199</v>
      </c>
      <c r="AY337" s="8" t="s">
        <v>199</v>
      </c>
      <c r="AZ337" s="7" t="s">
        <v>199</v>
      </c>
      <c r="BA337" s="7" t="s">
        <v>199</v>
      </c>
      <c r="BB337" s="7"/>
      <c r="BC337" s="4" t="s">
        <v>199</v>
      </c>
      <c r="BD337" s="8" t="s">
        <v>199</v>
      </c>
      <c r="BE337" s="4" t="s">
        <v>199</v>
      </c>
      <c r="BF337" s="8" t="s">
        <v>199</v>
      </c>
      <c r="BG337" s="7" t="s">
        <v>199</v>
      </c>
      <c r="BH337" s="7" t="s">
        <v>199</v>
      </c>
      <c r="BI337" s="7"/>
      <c r="BJ337" s="4">
        <v>46</v>
      </c>
      <c r="BK337" s="8">
        <v>1593.03</v>
      </c>
      <c r="BL337" s="2" t="s">
        <v>2087</v>
      </c>
      <c r="BM337" s="7"/>
      <c r="BN337" s="7"/>
      <c r="BO337" s="4"/>
      <c r="BP337" s="8"/>
      <c r="BQ337" s="4"/>
      <c r="BR337" s="8"/>
      <c r="BS337" s="7"/>
      <c r="BT337" s="7"/>
      <c r="BU337" s="2" t="s">
        <v>2088</v>
      </c>
      <c r="BV337" s="2" t="s">
        <v>199</v>
      </c>
      <c r="BW337" s="2" t="s">
        <v>199</v>
      </c>
      <c r="BX337" s="2" t="s">
        <v>260</v>
      </c>
      <c r="BY337" s="2" t="s">
        <v>209</v>
      </c>
      <c r="BZ337" s="2" t="s">
        <v>196</v>
      </c>
      <c r="CA337" s="2" t="s">
        <v>1275</v>
      </c>
      <c r="CB337" s="2" t="s">
        <v>2089</v>
      </c>
      <c r="CC337" s="2" t="s">
        <v>212</v>
      </c>
      <c r="CD337" s="2" t="s">
        <v>199</v>
      </c>
      <c r="CE337" s="4">
        <v>3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>
        <v>75</v>
      </c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>
        <v>30</v>
      </c>
      <c r="EQ337" s="4"/>
      <c r="ER337" s="4"/>
      <c r="ES337" s="4"/>
      <c r="ET337" s="4">
        <v>3</v>
      </c>
      <c r="EU337" s="4">
        <v>1</v>
      </c>
      <c r="EV337" s="4"/>
      <c r="EW337" s="4">
        <v>75</v>
      </c>
      <c r="EX337" s="4">
        <v>73</v>
      </c>
      <c r="EY337" s="4">
        <v>71</v>
      </c>
      <c r="EZ337" s="4">
        <v>69</v>
      </c>
      <c r="FA337" s="4">
        <v>67</v>
      </c>
      <c r="FB337" s="4">
        <v>65</v>
      </c>
      <c r="FC337" s="4">
        <v>63</v>
      </c>
      <c r="FD337" s="4">
        <v>61</v>
      </c>
      <c r="FE337" s="4">
        <v>59</v>
      </c>
      <c r="FF337" s="4">
        <v>57</v>
      </c>
      <c r="FG337" s="4">
        <v>55</v>
      </c>
      <c r="FH337" s="4">
        <v>53</v>
      </c>
      <c r="FI337" s="4">
        <v>51</v>
      </c>
      <c r="FJ337" s="4">
        <v>49</v>
      </c>
      <c r="FK337" s="4">
        <v>47</v>
      </c>
      <c r="FL337" s="4">
        <v>74</v>
      </c>
      <c r="FM337" s="4">
        <v>71</v>
      </c>
      <c r="FN337" s="4">
        <v>68</v>
      </c>
      <c r="FO337" s="4">
        <v>64</v>
      </c>
      <c r="FP337" s="4">
        <v>60</v>
      </c>
      <c r="FQ337" s="4">
        <v>56</v>
      </c>
      <c r="FR337" s="4">
        <v>52</v>
      </c>
      <c r="FS337" s="4">
        <v>48</v>
      </c>
      <c r="FT337" s="19">
        <v>1.5</v>
      </c>
      <c r="FU337" s="19">
        <v>0.5</v>
      </c>
      <c r="FV337" s="20">
        <v>0</v>
      </c>
      <c r="FW337" s="19">
        <v>37.5</v>
      </c>
      <c r="FX337" s="19">
        <v>36.5</v>
      </c>
      <c r="FY337" s="19">
        <v>35.5</v>
      </c>
      <c r="FZ337" s="19">
        <v>34.5</v>
      </c>
      <c r="GA337" s="19">
        <v>33.5</v>
      </c>
      <c r="GB337" s="19">
        <v>32.5</v>
      </c>
      <c r="GC337" s="19">
        <v>31.5</v>
      </c>
      <c r="GD337" s="19">
        <v>30.5</v>
      </c>
      <c r="GE337" s="19">
        <v>29.5</v>
      </c>
      <c r="GF337" s="19">
        <v>28.5</v>
      </c>
      <c r="GG337" s="19">
        <v>27.5</v>
      </c>
      <c r="GH337" s="19">
        <v>26.5</v>
      </c>
      <c r="GI337" s="19">
        <v>25.5</v>
      </c>
      <c r="GJ337" s="19">
        <v>16.3</v>
      </c>
      <c r="GK337" s="19">
        <v>15.7</v>
      </c>
      <c r="GL337" s="19">
        <v>18.5</v>
      </c>
      <c r="GM337" s="19">
        <v>17.8</v>
      </c>
      <c r="GN337" s="19">
        <v>17</v>
      </c>
      <c r="GO337" s="19">
        <v>16</v>
      </c>
      <c r="GP337" s="19">
        <v>15</v>
      </c>
      <c r="GQ337" s="19">
        <v>14</v>
      </c>
      <c r="GR337" s="19">
        <v>13</v>
      </c>
      <c r="GS337" s="19">
        <v>12</v>
      </c>
    </row>
    <row r="338">
      <c r="A338" s="2" t="s">
        <v>2090</v>
      </c>
      <c r="B338" s="2" t="s">
        <v>736</v>
      </c>
      <c r="C338" s="2" t="s">
        <v>1007</v>
      </c>
      <c r="D338" s="2" t="s">
        <v>228</v>
      </c>
      <c r="E338" s="2" t="s">
        <v>487</v>
      </c>
      <c r="F338" s="2" t="s">
        <v>2063</v>
      </c>
      <c r="G338" s="2" t="s">
        <v>2064</v>
      </c>
      <c r="H338" s="2" t="s">
        <v>2065</v>
      </c>
      <c r="I338" s="2" t="s">
        <v>2083</v>
      </c>
      <c r="J338" s="2" t="s">
        <v>241</v>
      </c>
      <c r="K338" s="2" t="s">
        <v>2084</v>
      </c>
      <c r="L338" s="3">
        <v>40.5</v>
      </c>
      <c r="M338" s="3">
        <v>42.52</v>
      </c>
      <c r="N338" s="3">
        <v>79.99</v>
      </c>
      <c r="O338" s="2" t="s">
        <v>196</v>
      </c>
      <c r="P338" s="2" t="s">
        <v>197</v>
      </c>
      <c r="Q338" s="2" t="s">
        <v>198</v>
      </c>
      <c r="R338" s="2" t="s">
        <v>199</v>
      </c>
      <c r="S338" s="2" t="s">
        <v>2085</v>
      </c>
      <c r="T338" s="2" t="s">
        <v>2068</v>
      </c>
      <c r="U338" s="2" t="s">
        <v>254</v>
      </c>
      <c r="V338" s="2" t="s">
        <v>202</v>
      </c>
      <c r="W338" s="2" t="s">
        <v>255</v>
      </c>
      <c r="X338" s="2" t="s">
        <v>2069</v>
      </c>
      <c r="Y338" s="2" t="s">
        <v>2086</v>
      </c>
      <c r="Z338" s="4"/>
      <c r="AA338" s="4">
        <f>=ROUNDDOWN({0},0)</f>
      </c>
      <c r="AB338" s="5">
        <v>15</v>
      </c>
      <c r="AC338" s="2" t="s">
        <v>387</v>
      </c>
      <c r="AD338" s="4">
        <v>100</v>
      </c>
      <c r="AE338" s="4">
        <v>470</v>
      </c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199</v>
      </c>
      <c r="AW338" s="8" t="s">
        <v>199</v>
      </c>
      <c r="AX338" s="4" t="s">
        <v>199</v>
      </c>
      <c r="AY338" s="8" t="s">
        <v>199</v>
      </c>
      <c r="AZ338" s="7" t="s">
        <v>199</v>
      </c>
      <c r="BA338" s="7" t="s">
        <v>199</v>
      </c>
      <c r="BB338" s="7"/>
      <c r="BC338" s="4" t="s">
        <v>199</v>
      </c>
      <c r="BD338" s="8" t="s">
        <v>199</v>
      </c>
      <c r="BE338" s="4" t="s">
        <v>199</v>
      </c>
      <c r="BF338" s="8" t="s">
        <v>199</v>
      </c>
      <c r="BG338" s="7" t="s">
        <v>199</v>
      </c>
      <c r="BH338" s="7" t="s">
        <v>199</v>
      </c>
      <c r="BI338" s="7"/>
      <c r="BJ338" s="4">
        <v>5</v>
      </c>
      <c r="BK338" s="8">
        <v>232.9</v>
      </c>
      <c r="BL338" s="2" t="s">
        <v>684</v>
      </c>
      <c r="BM338" s="7"/>
      <c r="BN338" s="7"/>
      <c r="BO338" s="4"/>
      <c r="BP338" s="8"/>
      <c r="BQ338" s="4"/>
      <c r="BR338" s="8"/>
      <c r="BS338" s="7"/>
      <c r="BT338" s="7"/>
      <c r="BU338" s="2" t="s">
        <v>2088</v>
      </c>
      <c r="BV338" s="2" t="s">
        <v>199</v>
      </c>
      <c r="BW338" s="2" t="s">
        <v>199</v>
      </c>
      <c r="BX338" s="2" t="s">
        <v>260</v>
      </c>
      <c r="BY338" s="2" t="s">
        <v>209</v>
      </c>
      <c r="BZ338" s="2" t="s">
        <v>196</v>
      </c>
      <c r="CA338" s="2" t="s">
        <v>1275</v>
      </c>
      <c r="CB338" s="2" t="s">
        <v>1477</v>
      </c>
      <c r="CC338" s="2" t="s">
        <v>212</v>
      </c>
      <c r="CD338" s="2" t="s">
        <v>199</v>
      </c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>
        <v>100</v>
      </c>
      <c r="DC338" s="4"/>
      <c r="DD338" s="4"/>
      <c r="DE338" s="4">
        <v>60</v>
      </c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>
        <v>310</v>
      </c>
      <c r="EQ338" s="4"/>
      <c r="ER338" s="4"/>
      <c r="ES338" s="4"/>
      <c r="ET338" s="4"/>
      <c r="EU338" s="4"/>
      <c r="EV338" s="4"/>
      <c r="EW338" s="4">
        <v>100</v>
      </c>
      <c r="EX338" s="4">
        <v>138</v>
      </c>
      <c r="EY338" s="4">
        <v>122</v>
      </c>
      <c r="EZ338" s="4">
        <v>107</v>
      </c>
      <c r="FA338" s="4">
        <v>92</v>
      </c>
      <c r="FB338" s="4">
        <v>76</v>
      </c>
      <c r="FC338" s="4">
        <v>61</v>
      </c>
      <c r="FD338" s="4">
        <v>46</v>
      </c>
      <c r="FE338" s="4">
        <v>31</v>
      </c>
      <c r="FF338" s="4">
        <v>16</v>
      </c>
      <c r="FG338" s="4">
        <v>1</v>
      </c>
      <c r="FH338" s="4"/>
      <c r="FI338" s="4"/>
      <c r="FJ338" s="4"/>
      <c r="FK338" s="4"/>
      <c r="FL338" s="4">
        <v>310</v>
      </c>
      <c r="FM338" s="4">
        <v>280</v>
      </c>
      <c r="FN338" s="4">
        <v>266</v>
      </c>
      <c r="FO338" s="4">
        <v>251</v>
      </c>
      <c r="FP338" s="4">
        <v>235</v>
      </c>
      <c r="FQ338" s="4">
        <v>219</v>
      </c>
      <c r="FR338" s="4">
        <v>204</v>
      </c>
      <c r="FS338" s="4">
        <v>188</v>
      </c>
      <c r="FT338" s="20">
        <v>0</v>
      </c>
      <c r="FU338" s="20">
        <v>0</v>
      </c>
      <c r="FV338" s="20">
        <v>0</v>
      </c>
      <c r="FW338" s="19">
        <v>5.9</v>
      </c>
      <c r="FX338" s="19">
        <v>8.6</v>
      </c>
      <c r="FY338" s="19">
        <v>8.1</v>
      </c>
      <c r="FZ338" s="19">
        <v>7.1</v>
      </c>
      <c r="GA338" s="19">
        <v>6.1</v>
      </c>
      <c r="GB338" s="19">
        <v>5.1</v>
      </c>
      <c r="GC338" s="19">
        <v>4.1</v>
      </c>
      <c r="GD338" s="19">
        <v>3.3</v>
      </c>
      <c r="GE338" s="19">
        <v>2.2</v>
      </c>
      <c r="GF338" s="19">
        <v>1.2</v>
      </c>
      <c r="GG338" s="19">
        <v>0.1</v>
      </c>
      <c r="GH338" s="20">
        <v>0</v>
      </c>
      <c r="GI338" s="20">
        <v>0</v>
      </c>
      <c r="GJ338" s="20">
        <v>0</v>
      </c>
      <c r="GK338" s="20">
        <v>0</v>
      </c>
      <c r="GL338" s="19">
        <v>16.3</v>
      </c>
      <c r="GM338" s="19">
        <v>18.7</v>
      </c>
      <c r="GN338" s="19">
        <v>16.6</v>
      </c>
      <c r="GO338" s="19">
        <v>15.7</v>
      </c>
      <c r="GP338" s="19">
        <v>14.7</v>
      </c>
      <c r="GQ338" s="19">
        <v>14.6</v>
      </c>
      <c r="GR338" s="19">
        <v>13.6</v>
      </c>
      <c r="GS338" s="19">
        <v>13.4</v>
      </c>
    </row>
    <row r="339">
      <c r="A339" s="2" t="s">
        <v>2091</v>
      </c>
      <c r="B339" s="2" t="s">
        <v>736</v>
      </c>
      <c r="C339" s="2" t="s">
        <v>1007</v>
      </c>
      <c r="D339" s="2" t="s">
        <v>631</v>
      </c>
      <c r="E339" s="2" t="s">
        <v>720</v>
      </c>
      <c r="F339" s="2" t="s">
        <v>2063</v>
      </c>
      <c r="G339" s="2" t="s">
        <v>2064</v>
      </c>
      <c r="H339" s="2" t="s">
        <v>2065</v>
      </c>
      <c r="I339" s="2" t="s">
        <v>2066</v>
      </c>
      <c r="J339" s="2" t="s">
        <v>1011</v>
      </c>
      <c r="K339" s="2" t="s">
        <v>371</v>
      </c>
      <c r="L339" s="3">
        <v>27.6</v>
      </c>
      <c r="M339" s="3">
        <v>28.98</v>
      </c>
      <c r="N339" s="3">
        <v>59.99</v>
      </c>
      <c r="O339" s="2" t="s">
        <v>196</v>
      </c>
      <c r="P339" s="2" t="s">
        <v>197</v>
      </c>
      <c r="Q339" s="2" t="s">
        <v>198</v>
      </c>
      <c r="R339" s="2" t="s">
        <v>199</v>
      </c>
      <c r="S339" s="2" t="s">
        <v>2092</v>
      </c>
      <c r="T339" s="2" t="s">
        <v>2068</v>
      </c>
      <c r="U339" s="2" t="s">
        <v>637</v>
      </c>
      <c r="V339" s="2" t="s">
        <v>202</v>
      </c>
      <c r="W339" s="2" t="s">
        <v>255</v>
      </c>
      <c r="X339" s="2" t="s">
        <v>2069</v>
      </c>
      <c r="Y339" s="2" t="s">
        <v>2093</v>
      </c>
      <c r="Z339" s="4">
        <v>171</v>
      </c>
      <c r="AA339" s="4">
        <f>=ROUNDDOWN(57,0)</f>
      </c>
      <c r="AB339" s="5">
        <v>3</v>
      </c>
      <c r="AC339" s="2" t="s">
        <v>1936</v>
      </c>
      <c r="AD339" s="4">
        <v>130</v>
      </c>
      <c r="AE339" s="4">
        <v>130</v>
      </c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199</v>
      </c>
      <c r="BD339" s="8" t="s">
        <v>199</v>
      </c>
      <c r="BE339" s="4" t="s">
        <v>199</v>
      </c>
      <c r="BF339" s="8" t="s">
        <v>199</v>
      </c>
      <c r="BG339" s="7" t="s">
        <v>199</v>
      </c>
      <c r="BH339" s="7" t="s">
        <v>199</v>
      </c>
      <c r="BI339" s="7"/>
      <c r="BJ339" s="4">
        <v>12</v>
      </c>
      <c r="BK339" s="8">
        <v>325.34</v>
      </c>
      <c r="BL339" s="2" t="s">
        <v>1346</v>
      </c>
      <c r="BM339" s="7"/>
      <c r="BN339" s="7"/>
      <c r="BO339" s="4"/>
      <c r="BP339" s="8"/>
      <c r="BQ339" s="4"/>
      <c r="BR339" s="8"/>
      <c r="BS339" s="7"/>
      <c r="BT339" s="7"/>
      <c r="BU339" s="2" t="s">
        <v>2072</v>
      </c>
      <c r="BV339" s="2" t="s">
        <v>199</v>
      </c>
      <c r="BW339" s="2" t="s">
        <v>199</v>
      </c>
      <c r="BX339" s="2" t="s">
        <v>260</v>
      </c>
      <c r="BY339" s="2" t="s">
        <v>209</v>
      </c>
      <c r="BZ339" s="2" t="s">
        <v>196</v>
      </c>
      <c r="CA339" s="2" t="s">
        <v>2081</v>
      </c>
      <c r="CB339" s="2" t="s">
        <v>2094</v>
      </c>
      <c r="CC339" s="2" t="s">
        <v>212</v>
      </c>
      <c r="CD339" s="2" t="s">
        <v>199</v>
      </c>
      <c r="CE339" s="4">
        <v>171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>
        <v>130</v>
      </c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>
        <v>171</v>
      </c>
      <c r="EU339" s="4">
        <v>169</v>
      </c>
      <c r="EV339" s="4">
        <v>167</v>
      </c>
      <c r="EW339" s="4">
        <v>165</v>
      </c>
      <c r="EX339" s="4">
        <v>162</v>
      </c>
      <c r="EY339" s="4">
        <v>159</v>
      </c>
      <c r="EZ339" s="4">
        <v>286</v>
      </c>
      <c r="FA339" s="4">
        <v>283</v>
      </c>
      <c r="FB339" s="4">
        <v>280</v>
      </c>
      <c r="FC339" s="4">
        <v>277</v>
      </c>
      <c r="FD339" s="4">
        <v>274</v>
      </c>
      <c r="FE339" s="4">
        <v>271</v>
      </c>
      <c r="FF339" s="4">
        <v>268</v>
      </c>
      <c r="FG339" s="4">
        <v>265</v>
      </c>
      <c r="FH339" s="4">
        <v>262</v>
      </c>
      <c r="FI339" s="4">
        <v>259</v>
      </c>
      <c r="FJ339" s="4">
        <v>256</v>
      </c>
      <c r="FK339" s="4">
        <v>253</v>
      </c>
      <c r="FL339" s="4">
        <v>250</v>
      </c>
      <c r="FM339" s="4">
        <v>247</v>
      </c>
      <c r="FN339" s="4">
        <v>244</v>
      </c>
      <c r="FO339" s="4">
        <v>241</v>
      </c>
      <c r="FP339" s="4">
        <v>238</v>
      </c>
      <c r="FQ339" s="4">
        <v>234</v>
      </c>
      <c r="FR339" s="4">
        <v>230</v>
      </c>
      <c r="FS339" s="4">
        <v>227</v>
      </c>
      <c r="FT339" s="19">
        <v>85.5</v>
      </c>
      <c r="FU339" s="19">
        <v>84.5</v>
      </c>
      <c r="FV339" s="19">
        <v>55.7</v>
      </c>
      <c r="FW339" s="19">
        <v>55</v>
      </c>
      <c r="FX339" s="19">
        <v>54</v>
      </c>
      <c r="FY339" s="19">
        <v>53</v>
      </c>
      <c r="FZ339" s="19">
        <v>95.3</v>
      </c>
      <c r="GA339" s="19">
        <v>94.3</v>
      </c>
      <c r="GB339" s="19">
        <v>93.3</v>
      </c>
      <c r="GC339" s="19">
        <v>92.3</v>
      </c>
      <c r="GD339" s="19">
        <v>91.3</v>
      </c>
      <c r="GE339" s="19">
        <v>90.3</v>
      </c>
      <c r="GF339" s="19">
        <v>89.3</v>
      </c>
      <c r="GG339" s="19">
        <v>88.3</v>
      </c>
      <c r="GH339" s="19">
        <v>87.3</v>
      </c>
      <c r="GI339" s="19">
        <v>86.3</v>
      </c>
      <c r="GJ339" s="19">
        <v>85.3</v>
      </c>
      <c r="GK339" s="19">
        <v>84.3</v>
      </c>
      <c r="GL339" s="19">
        <v>83.3</v>
      </c>
      <c r="GM339" s="19">
        <v>82.3</v>
      </c>
      <c r="GN339" s="19">
        <v>61</v>
      </c>
      <c r="GO339" s="19">
        <v>60.3</v>
      </c>
      <c r="GP339" s="19">
        <v>59.5</v>
      </c>
      <c r="GQ339" s="19">
        <v>58.5</v>
      </c>
      <c r="GR339" s="19">
        <v>57.5</v>
      </c>
      <c r="GS339" s="19">
        <v>56.8</v>
      </c>
    </row>
    <row r="340">
      <c r="A340" s="2" t="s">
        <v>2095</v>
      </c>
      <c r="B340" s="2" t="s">
        <v>736</v>
      </c>
      <c r="C340" s="2" t="s">
        <v>1007</v>
      </c>
      <c r="D340" s="2" t="s">
        <v>228</v>
      </c>
      <c r="E340" s="2" t="s">
        <v>487</v>
      </c>
      <c r="F340" s="2" t="s">
        <v>2063</v>
      </c>
      <c r="G340" s="2" t="s">
        <v>2064</v>
      </c>
      <c r="H340" s="2" t="s">
        <v>2065</v>
      </c>
      <c r="I340" s="2" t="s">
        <v>2083</v>
      </c>
      <c r="J340" s="2" t="s">
        <v>241</v>
      </c>
      <c r="K340" s="2" t="s">
        <v>1223</v>
      </c>
      <c r="L340" s="3">
        <v>40.5</v>
      </c>
      <c r="M340" s="3">
        <v>42.52</v>
      </c>
      <c r="N340" s="3">
        <v>79.99</v>
      </c>
      <c r="O340" s="2" t="s">
        <v>196</v>
      </c>
      <c r="P340" s="2" t="s">
        <v>197</v>
      </c>
      <c r="Q340" s="2" t="s">
        <v>198</v>
      </c>
      <c r="R340" s="2" t="s">
        <v>199</v>
      </c>
      <c r="S340" s="2" t="s">
        <v>2096</v>
      </c>
      <c r="T340" s="2" t="s">
        <v>2068</v>
      </c>
      <c r="U340" s="2" t="s">
        <v>254</v>
      </c>
      <c r="V340" s="2" t="s">
        <v>202</v>
      </c>
      <c r="W340" s="2" t="s">
        <v>255</v>
      </c>
      <c r="X340" s="2" t="s">
        <v>2069</v>
      </c>
      <c r="Y340" s="2" t="s">
        <v>2086</v>
      </c>
      <c r="Z340" s="4">
        <v>3</v>
      </c>
      <c r="AA340" s="4">
        <f>=ROUNDDOWN(0.375,0)</f>
      </c>
      <c r="AB340" s="5">
        <v>8</v>
      </c>
      <c r="AC340" s="2" t="s">
        <v>199</v>
      </c>
      <c r="AD340" s="4"/>
      <c r="AE340" s="4"/>
      <c r="AF340" s="6">
        <v>65</v>
      </c>
      <c r="AG340" s="6"/>
      <c r="AH340" s="7">
        <v>0.0323</v>
      </c>
      <c r="AI340" s="4"/>
      <c r="AJ340" s="4">
        <f>=ROUNDDOWN({0},0)</f>
      </c>
      <c r="AK340" s="5"/>
      <c r="AL340" s="2" t="s">
        <v>199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199</v>
      </c>
      <c r="BD340" s="8" t="s">
        <v>199</v>
      </c>
      <c r="BE340" s="4" t="s">
        <v>199</v>
      </c>
      <c r="BF340" s="8" t="s">
        <v>199</v>
      </c>
      <c r="BG340" s="7" t="s">
        <v>199</v>
      </c>
      <c r="BH340" s="7" t="s">
        <v>199</v>
      </c>
      <c r="BI340" s="7"/>
      <c r="BJ340" s="4">
        <v>3</v>
      </c>
      <c r="BK340" s="8">
        <v>141.85</v>
      </c>
      <c r="BL340" s="2" t="s">
        <v>2097</v>
      </c>
      <c r="BM340" s="7"/>
      <c r="BN340" s="7"/>
      <c r="BO340" s="4"/>
      <c r="BP340" s="8"/>
      <c r="BQ340" s="4"/>
      <c r="BR340" s="8"/>
      <c r="BS340" s="7"/>
      <c r="BT340" s="7"/>
      <c r="BU340" s="2" t="s">
        <v>2088</v>
      </c>
      <c r="BV340" s="2" t="s">
        <v>199</v>
      </c>
      <c r="BW340" s="2" t="s">
        <v>199</v>
      </c>
      <c r="BX340" s="2" t="s">
        <v>260</v>
      </c>
      <c r="BY340" s="2" t="s">
        <v>209</v>
      </c>
      <c r="BZ340" s="2" t="s">
        <v>196</v>
      </c>
      <c r="CA340" s="2" t="s">
        <v>1275</v>
      </c>
      <c r="CB340" s="2" t="s">
        <v>1477</v>
      </c>
      <c r="CC340" s="2" t="s">
        <v>212</v>
      </c>
      <c r="CD340" s="2" t="s">
        <v>199</v>
      </c>
      <c r="CE340" s="4">
        <v>3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>
        <v>4</v>
      </c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>
        <v>133</v>
      </c>
      <c r="FR340" s="4">
        <v>118</v>
      </c>
      <c r="FS340" s="4">
        <v>110</v>
      </c>
      <c r="FT340" s="19">
        <v>0.6</v>
      </c>
      <c r="FU340" s="20">
        <v>0</v>
      </c>
      <c r="FV340" s="20">
        <v>0</v>
      </c>
      <c r="FW340" s="20">
        <v>0</v>
      </c>
      <c r="FX340" s="20">
        <v>0</v>
      </c>
      <c r="FY340" s="20">
        <v>0</v>
      </c>
      <c r="FZ340" s="20">
        <v>0</v>
      </c>
      <c r="GA340" s="20">
        <v>0</v>
      </c>
      <c r="GB340" s="20">
        <v>0</v>
      </c>
      <c r="GC340" s="20">
        <v>0</v>
      </c>
      <c r="GD340" s="20">
        <v>0</v>
      </c>
      <c r="GE340" s="20">
        <v>0</v>
      </c>
      <c r="GF340" s="20">
        <v>0</v>
      </c>
      <c r="GG340" s="20">
        <v>0</v>
      </c>
      <c r="GH340" s="20">
        <v>0</v>
      </c>
      <c r="GI340" s="20">
        <v>0</v>
      </c>
      <c r="GJ340" s="20">
        <v>0</v>
      </c>
      <c r="GK340" s="20">
        <v>0</v>
      </c>
      <c r="GL340" s="20">
        <v>0</v>
      </c>
      <c r="GM340" s="20">
        <v>0</v>
      </c>
      <c r="GN340" s="20">
        <v>0</v>
      </c>
      <c r="GO340" s="20">
        <v>0</v>
      </c>
      <c r="GP340" s="20">
        <v>0</v>
      </c>
      <c r="GQ340" s="19">
        <v>13.3</v>
      </c>
      <c r="GR340" s="19">
        <v>14.8</v>
      </c>
      <c r="GS340" s="19">
        <v>13.8</v>
      </c>
    </row>
    <row r="341">
      <c r="A341" s="2" t="s">
        <v>2098</v>
      </c>
      <c r="B341" s="2" t="s">
        <v>736</v>
      </c>
      <c r="C341" s="2" t="s">
        <v>1007</v>
      </c>
      <c r="D341" s="2" t="s">
        <v>631</v>
      </c>
      <c r="E341" s="2" t="s">
        <v>720</v>
      </c>
      <c r="F341" s="2" t="s">
        <v>2063</v>
      </c>
      <c r="G341" s="2" t="s">
        <v>2064</v>
      </c>
      <c r="H341" s="2" t="s">
        <v>2065</v>
      </c>
      <c r="I341" s="2" t="s">
        <v>2066</v>
      </c>
      <c r="J341" s="2" t="s">
        <v>241</v>
      </c>
      <c r="K341" s="2" t="s">
        <v>544</v>
      </c>
      <c r="L341" s="3">
        <v>36.75</v>
      </c>
      <c r="M341" s="3">
        <v>38.59</v>
      </c>
      <c r="N341" s="3">
        <v>74.99</v>
      </c>
      <c r="O341" s="2" t="s">
        <v>196</v>
      </c>
      <c r="P341" s="2" t="s">
        <v>197</v>
      </c>
      <c r="Q341" s="2" t="s">
        <v>198</v>
      </c>
      <c r="R341" s="2" t="s">
        <v>199</v>
      </c>
      <c r="S341" s="2" t="s">
        <v>2099</v>
      </c>
      <c r="T341" s="2" t="s">
        <v>2068</v>
      </c>
      <c r="U341" s="2" t="s">
        <v>254</v>
      </c>
      <c r="V341" s="2" t="s">
        <v>202</v>
      </c>
      <c r="W341" s="2" t="s">
        <v>255</v>
      </c>
      <c r="X341" s="2" t="s">
        <v>2069</v>
      </c>
      <c r="Y341" s="2" t="s">
        <v>2100</v>
      </c>
      <c r="Z341" s="4">
        <v>105</v>
      </c>
      <c r="AA341" s="4">
        <f>=ROUNDDOWN(35,0)</f>
      </c>
      <c r="AB341" s="5">
        <v>3</v>
      </c>
      <c r="AC341" s="2" t="s">
        <v>2101</v>
      </c>
      <c r="AD341" s="4">
        <v>40</v>
      </c>
      <c r="AE341" s="4">
        <v>40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199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199</v>
      </c>
      <c r="BD341" s="8" t="s">
        <v>199</v>
      </c>
      <c r="BE341" s="4" t="s">
        <v>199</v>
      </c>
      <c r="BF341" s="8" t="s">
        <v>199</v>
      </c>
      <c r="BG341" s="7" t="s">
        <v>199</v>
      </c>
      <c r="BH341" s="7" t="s">
        <v>199</v>
      </c>
      <c r="BI341" s="7"/>
      <c r="BJ341" s="4">
        <v>35</v>
      </c>
      <c r="BK341" s="8">
        <v>1349.43</v>
      </c>
      <c r="BL341" s="2" t="s">
        <v>2102</v>
      </c>
      <c r="BM341" s="7"/>
      <c r="BN341" s="7"/>
      <c r="BO341" s="4"/>
      <c r="BP341" s="8"/>
      <c r="BQ341" s="4"/>
      <c r="BR341" s="8"/>
      <c r="BS341" s="7"/>
      <c r="BT341" s="7"/>
      <c r="BU341" s="2" t="s">
        <v>2072</v>
      </c>
      <c r="BV341" s="2" t="s">
        <v>199</v>
      </c>
      <c r="BW341" s="2" t="s">
        <v>199</v>
      </c>
      <c r="BX341" s="2" t="s">
        <v>260</v>
      </c>
      <c r="BY341" s="2" t="s">
        <v>209</v>
      </c>
      <c r="BZ341" s="2" t="s">
        <v>196</v>
      </c>
      <c r="CA341" s="2" t="s">
        <v>2100</v>
      </c>
      <c r="CB341" s="2" t="s">
        <v>2103</v>
      </c>
      <c r="CC341" s="2" t="s">
        <v>212</v>
      </c>
      <c r="CD341" s="2" t="s">
        <v>199</v>
      </c>
      <c r="CE341" s="4">
        <v>105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>
        <v>40</v>
      </c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>
        <v>107</v>
      </c>
      <c r="EU341" s="4">
        <v>103</v>
      </c>
      <c r="EV341" s="4">
        <v>101</v>
      </c>
      <c r="EW341" s="4">
        <v>99</v>
      </c>
      <c r="EX341" s="4">
        <v>97</v>
      </c>
      <c r="EY341" s="4">
        <v>134</v>
      </c>
      <c r="EZ341" s="4">
        <v>131</v>
      </c>
      <c r="FA341" s="4">
        <v>128</v>
      </c>
      <c r="FB341" s="4">
        <v>125</v>
      </c>
      <c r="FC341" s="4">
        <v>122</v>
      </c>
      <c r="FD341" s="4">
        <v>119</v>
      </c>
      <c r="FE341" s="4">
        <v>116</v>
      </c>
      <c r="FF341" s="4">
        <v>113</v>
      </c>
      <c r="FG341" s="4">
        <v>110</v>
      </c>
      <c r="FH341" s="4">
        <v>107</v>
      </c>
      <c r="FI341" s="4">
        <v>104</v>
      </c>
      <c r="FJ341" s="4">
        <v>101</v>
      </c>
      <c r="FK341" s="4">
        <v>98</v>
      </c>
      <c r="FL341" s="4">
        <v>95</v>
      </c>
      <c r="FM341" s="4">
        <v>92</v>
      </c>
      <c r="FN341" s="4">
        <v>89</v>
      </c>
      <c r="FO341" s="4">
        <v>86</v>
      </c>
      <c r="FP341" s="4">
        <v>83</v>
      </c>
      <c r="FQ341" s="4">
        <v>79</v>
      </c>
      <c r="FR341" s="4">
        <v>76</v>
      </c>
      <c r="FS341" s="4">
        <v>73</v>
      </c>
      <c r="FT341" s="19">
        <v>53.5</v>
      </c>
      <c r="FU341" s="19">
        <v>51.5</v>
      </c>
      <c r="FV341" s="19">
        <v>50.5</v>
      </c>
      <c r="FW341" s="19">
        <v>33</v>
      </c>
      <c r="FX341" s="19">
        <v>32.3</v>
      </c>
      <c r="FY341" s="19">
        <v>44.7</v>
      </c>
      <c r="FZ341" s="19">
        <v>43.7</v>
      </c>
      <c r="GA341" s="19">
        <v>42.7</v>
      </c>
      <c r="GB341" s="19">
        <v>41.7</v>
      </c>
      <c r="GC341" s="19">
        <v>40.7</v>
      </c>
      <c r="GD341" s="19">
        <v>39.7</v>
      </c>
      <c r="GE341" s="19">
        <v>38.7</v>
      </c>
      <c r="GF341" s="19">
        <v>37.7</v>
      </c>
      <c r="GG341" s="19">
        <v>36.7</v>
      </c>
      <c r="GH341" s="19">
        <v>35.7</v>
      </c>
      <c r="GI341" s="19">
        <v>34.7</v>
      </c>
      <c r="GJ341" s="19">
        <v>33.7</v>
      </c>
      <c r="GK341" s="19">
        <v>32.7</v>
      </c>
      <c r="GL341" s="19">
        <v>31.7</v>
      </c>
      <c r="GM341" s="19">
        <v>30.7</v>
      </c>
      <c r="GN341" s="19">
        <v>29.7</v>
      </c>
      <c r="GO341" s="19">
        <v>28.7</v>
      </c>
      <c r="GP341" s="19">
        <v>20.8</v>
      </c>
      <c r="GQ341" s="19">
        <v>26.3</v>
      </c>
      <c r="GR341" s="19">
        <v>25.3</v>
      </c>
      <c r="GS341" s="19">
        <v>24.3</v>
      </c>
    </row>
    <row r="342">
      <c r="A342" s="2" t="s">
        <v>2104</v>
      </c>
      <c r="B342" s="2" t="s">
        <v>613</v>
      </c>
      <c r="C342" s="2" t="s">
        <v>1420</v>
      </c>
      <c r="D342" s="2" t="s">
        <v>1152</v>
      </c>
      <c r="E342" s="2" t="s">
        <v>1153</v>
      </c>
      <c r="F342" s="2" t="s">
        <v>2105</v>
      </c>
      <c r="G342" s="2" t="s">
        <v>2105</v>
      </c>
      <c r="H342" s="2" t="s">
        <v>2105</v>
      </c>
      <c r="I342" s="2" t="s">
        <v>2106</v>
      </c>
      <c r="J342" s="2" t="s">
        <v>559</v>
      </c>
      <c r="K342" s="2" t="s">
        <v>516</v>
      </c>
      <c r="L342" s="3">
        <v>145.35</v>
      </c>
      <c r="M342" s="3">
        <v>152.62</v>
      </c>
      <c r="N342" s="3">
        <v>299</v>
      </c>
      <c r="O342" s="2" t="s">
        <v>196</v>
      </c>
      <c r="P342" s="2" t="s">
        <v>841</v>
      </c>
      <c r="Q342" s="2" t="s">
        <v>198</v>
      </c>
      <c r="R342" s="2" t="s">
        <v>199</v>
      </c>
      <c r="S342" s="2" t="s">
        <v>199</v>
      </c>
      <c r="T342" s="2" t="s">
        <v>199</v>
      </c>
      <c r="U342" s="2" t="s">
        <v>853</v>
      </c>
      <c r="V342" s="2" t="s">
        <v>493</v>
      </c>
      <c r="W342" s="2" t="s">
        <v>817</v>
      </c>
      <c r="X342" s="2" t="s">
        <v>598</v>
      </c>
      <c r="Y342" s="2" t="s">
        <v>2107</v>
      </c>
      <c r="Z342" s="4">
        <v>145</v>
      </c>
      <c r="AA342" s="4">
        <f>=ROUNDDOWN(65.9090909090909,0)</f>
      </c>
      <c r="AB342" s="5">
        <v>2.2</v>
      </c>
      <c r="AC342" s="2" t="s">
        <v>199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199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932</v>
      </c>
      <c r="BM342" s="7"/>
      <c r="BN342" s="7"/>
      <c r="BO342" s="4"/>
      <c r="BP342" s="8"/>
      <c r="BQ342" s="4"/>
      <c r="BR342" s="8"/>
      <c r="BS342" s="7"/>
      <c r="BT342" s="7"/>
      <c r="BU342" s="2" t="s">
        <v>2108</v>
      </c>
      <c r="BV342" s="2" t="s">
        <v>199</v>
      </c>
      <c r="BW342" s="2" t="s">
        <v>199</v>
      </c>
      <c r="BX342" s="2" t="s">
        <v>208</v>
      </c>
      <c r="BY342" s="2" t="s">
        <v>209</v>
      </c>
      <c r="BZ342" s="2" t="s">
        <v>196</v>
      </c>
      <c r="CA342" s="2" t="s">
        <v>2109</v>
      </c>
      <c r="CB342" s="2" t="s">
        <v>2110</v>
      </c>
      <c r="CC342" s="2" t="s">
        <v>212</v>
      </c>
      <c r="CD342" s="2" t="s">
        <v>199</v>
      </c>
      <c r="CE342" s="4"/>
      <c r="CF342" s="4">
        <v>145</v>
      </c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>
        <v>145</v>
      </c>
      <c r="EU342" s="4">
        <v>136</v>
      </c>
      <c r="EV342" s="4">
        <v>134</v>
      </c>
      <c r="EW342" s="4">
        <v>132</v>
      </c>
      <c r="EX342" s="4">
        <v>130</v>
      </c>
      <c r="EY342" s="4">
        <v>128</v>
      </c>
      <c r="EZ342" s="4">
        <v>126</v>
      </c>
      <c r="FA342" s="4">
        <v>124</v>
      </c>
      <c r="FB342" s="4">
        <v>122</v>
      </c>
      <c r="FC342" s="4">
        <v>120</v>
      </c>
      <c r="FD342" s="4">
        <v>118</v>
      </c>
      <c r="FE342" s="4">
        <v>116</v>
      </c>
      <c r="FF342" s="4">
        <v>114</v>
      </c>
      <c r="FG342" s="4">
        <v>112</v>
      </c>
      <c r="FH342" s="4">
        <v>110</v>
      </c>
      <c r="FI342" s="4">
        <v>108</v>
      </c>
      <c r="FJ342" s="4">
        <v>106</v>
      </c>
      <c r="FK342" s="4">
        <v>104</v>
      </c>
      <c r="FL342" s="4">
        <v>102</v>
      </c>
      <c r="FM342" s="4">
        <v>100</v>
      </c>
      <c r="FN342" s="4">
        <v>98</v>
      </c>
      <c r="FO342" s="4">
        <v>96</v>
      </c>
      <c r="FP342" s="4">
        <v>94</v>
      </c>
      <c r="FQ342" s="4">
        <v>92</v>
      </c>
      <c r="FR342" s="4">
        <v>90</v>
      </c>
      <c r="FS342" s="4">
        <v>88</v>
      </c>
      <c r="FT342" s="19">
        <v>36.3</v>
      </c>
      <c r="FU342" s="19">
        <v>68</v>
      </c>
      <c r="FV342" s="19">
        <v>67</v>
      </c>
      <c r="FW342" s="19">
        <v>66</v>
      </c>
      <c r="FX342" s="19">
        <v>65</v>
      </c>
      <c r="FY342" s="19">
        <v>64</v>
      </c>
      <c r="FZ342" s="19">
        <v>63</v>
      </c>
      <c r="GA342" s="19">
        <v>62</v>
      </c>
      <c r="GB342" s="19">
        <v>61</v>
      </c>
      <c r="GC342" s="19">
        <v>60</v>
      </c>
      <c r="GD342" s="19">
        <v>59</v>
      </c>
      <c r="GE342" s="19">
        <v>58</v>
      </c>
      <c r="GF342" s="19">
        <v>57</v>
      </c>
      <c r="GG342" s="19">
        <v>56</v>
      </c>
      <c r="GH342" s="19">
        <v>55</v>
      </c>
      <c r="GI342" s="19">
        <v>54</v>
      </c>
      <c r="GJ342" s="19">
        <v>53</v>
      </c>
      <c r="GK342" s="19">
        <v>52</v>
      </c>
      <c r="GL342" s="19">
        <v>51</v>
      </c>
      <c r="GM342" s="19">
        <v>50</v>
      </c>
      <c r="GN342" s="19">
        <v>49</v>
      </c>
      <c r="GO342" s="19">
        <v>48</v>
      </c>
      <c r="GP342" s="19">
        <v>47</v>
      </c>
      <c r="GQ342" s="19">
        <v>46</v>
      </c>
      <c r="GR342" s="19">
        <v>45</v>
      </c>
      <c r="GS342" s="19">
        <v>44</v>
      </c>
    </row>
    <row r="343">
      <c r="A343" s="2" t="s">
        <v>2111</v>
      </c>
      <c r="B343" s="2" t="s">
        <v>554</v>
      </c>
      <c r="C343" s="2" t="s">
        <v>246</v>
      </c>
      <c r="D343" s="2" t="s">
        <v>861</v>
      </c>
      <c r="E343" s="2" t="s">
        <v>862</v>
      </c>
      <c r="F343" s="2" t="s">
        <v>2112</v>
      </c>
      <c r="G343" s="2" t="s">
        <v>2112</v>
      </c>
      <c r="H343" s="2" t="s">
        <v>2112</v>
      </c>
      <c r="I343" s="2" t="s">
        <v>2113</v>
      </c>
      <c r="J343" s="2" t="s">
        <v>559</v>
      </c>
      <c r="K343" s="2" t="s">
        <v>1379</v>
      </c>
      <c r="L343" s="3">
        <v>49.63</v>
      </c>
      <c r="M343" s="3">
        <v>52.11</v>
      </c>
      <c r="N343" s="3">
        <v>96.04</v>
      </c>
      <c r="O343" s="2" t="s">
        <v>196</v>
      </c>
      <c r="P343" s="2" t="s">
        <v>724</v>
      </c>
      <c r="Q343" s="2" t="s">
        <v>198</v>
      </c>
      <c r="R343" s="2" t="s">
        <v>199</v>
      </c>
      <c r="S343" s="2" t="s">
        <v>2114</v>
      </c>
      <c r="T343" s="2" t="s">
        <v>199</v>
      </c>
      <c r="U343" s="2" t="s">
        <v>637</v>
      </c>
      <c r="V343" s="2" t="s">
        <v>866</v>
      </c>
      <c r="W343" s="2" t="s">
        <v>623</v>
      </c>
      <c r="X343" s="2" t="s">
        <v>199</v>
      </c>
      <c r="Y343" s="2" t="s">
        <v>204</v>
      </c>
      <c r="Z343" s="4">
        <v>314</v>
      </c>
      <c r="AA343" s="4">
        <f>=ROUNDDOWN(13.6521739130435,0)</f>
      </c>
      <c r="AB343" s="5">
        <v>23</v>
      </c>
      <c r="AC343" s="2" t="s">
        <v>776</v>
      </c>
      <c r="AD343" s="4">
        <v>200</v>
      </c>
      <c r="AE343" s="4">
        <v>470</v>
      </c>
      <c r="AF343" s="6">
        <v>61</v>
      </c>
      <c r="AG343" s="6">
        <v>44</v>
      </c>
      <c r="AH343" s="7">
        <v>1</v>
      </c>
      <c r="AI343" s="4"/>
      <c r="AJ343" s="4">
        <f>=ROUNDDOWN({0},0)</f>
      </c>
      <c r="AK343" s="5"/>
      <c r="AL343" s="2" t="s">
        <v>199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46</v>
      </c>
      <c r="BK343" s="8">
        <v>2783.19</v>
      </c>
      <c r="BL343" s="2" t="s">
        <v>2115</v>
      </c>
      <c r="BM343" s="7"/>
      <c r="BN343" s="7"/>
      <c r="BO343" s="4"/>
      <c r="BP343" s="8"/>
      <c r="BQ343" s="4"/>
      <c r="BR343" s="8"/>
      <c r="BS343" s="7"/>
      <c r="BT343" s="7"/>
      <c r="BU343" s="2" t="s">
        <v>2116</v>
      </c>
      <c r="BV343" s="2" t="s">
        <v>199</v>
      </c>
      <c r="BW343" s="2" t="s">
        <v>199</v>
      </c>
      <c r="BX343" s="2" t="s">
        <v>208</v>
      </c>
      <c r="BY343" s="2" t="s">
        <v>209</v>
      </c>
      <c r="BZ343" s="2" t="s">
        <v>196</v>
      </c>
      <c r="CA343" s="2" t="s">
        <v>1143</v>
      </c>
      <c r="CB343" s="2" t="s">
        <v>2117</v>
      </c>
      <c r="CC343" s="2" t="s">
        <v>212</v>
      </c>
      <c r="CD343" s="2" t="s">
        <v>199</v>
      </c>
      <c r="CE343" s="4"/>
      <c r="CF343" s="4">
        <v>169</v>
      </c>
      <c r="CG343" s="4"/>
      <c r="CH343" s="4">
        <v>145</v>
      </c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>
        <v>200</v>
      </c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>
        <v>50</v>
      </c>
      <c r="DT343" s="4"/>
      <c r="DU343" s="4">
        <v>220</v>
      </c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>
        <v>348</v>
      </c>
      <c r="EU343" s="4">
        <v>326</v>
      </c>
      <c r="EV343" s="4">
        <v>303</v>
      </c>
      <c r="EW343" s="4">
        <v>280</v>
      </c>
      <c r="EX343" s="4">
        <v>457</v>
      </c>
      <c r="EY343" s="4">
        <v>434</v>
      </c>
      <c r="EZ343" s="4">
        <v>411</v>
      </c>
      <c r="FA343" s="4">
        <v>388</v>
      </c>
      <c r="FB343" s="4">
        <v>413</v>
      </c>
      <c r="FC343" s="4">
        <v>610</v>
      </c>
      <c r="FD343" s="4">
        <v>587</v>
      </c>
      <c r="FE343" s="4">
        <v>564</v>
      </c>
      <c r="FF343" s="4">
        <v>541</v>
      </c>
      <c r="FG343" s="4">
        <v>518</v>
      </c>
      <c r="FH343" s="4">
        <v>495</v>
      </c>
      <c r="FI343" s="4">
        <v>470</v>
      </c>
      <c r="FJ343" s="4">
        <v>447</v>
      </c>
      <c r="FK343" s="4">
        <v>424</v>
      </c>
      <c r="FL343" s="4">
        <v>401</v>
      </c>
      <c r="FM343" s="4">
        <v>378</v>
      </c>
      <c r="FN343" s="4">
        <v>353</v>
      </c>
      <c r="FO343" s="4">
        <v>330</v>
      </c>
      <c r="FP343" s="4">
        <v>305</v>
      </c>
      <c r="FQ343" s="4">
        <v>282</v>
      </c>
      <c r="FR343" s="4">
        <v>259</v>
      </c>
      <c r="FS343" s="4">
        <v>236</v>
      </c>
      <c r="FT343" s="19">
        <v>31.1</v>
      </c>
      <c r="FU343" s="19">
        <v>30.2</v>
      </c>
      <c r="FV343" s="19">
        <v>29.2</v>
      </c>
      <c r="FW343" s="19">
        <v>28.2</v>
      </c>
      <c r="FX343" s="19">
        <v>32.2</v>
      </c>
      <c r="FY343" s="19">
        <v>31.2</v>
      </c>
      <c r="FZ343" s="19">
        <v>30.2</v>
      </c>
      <c r="GA343" s="19">
        <v>29.2</v>
      </c>
      <c r="GB343" s="19">
        <v>29.4</v>
      </c>
      <c r="GC343" s="19">
        <v>33.9</v>
      </c>
      <c r="GD343" s="19">
        <v>32.9</v>
      </c>
      <c r="GE343" s="19">
        <v>31.9</v>
      </c>
      <c r="GF343" s="19">
        <v>30.9</v>
      </c>
      <c r="GG343" s="19">
        <v>29.9</v>
      </c>
      <c r="GH343" s="19">
        <v>28.9</v>
      </c>
      <c r="GI343" s="19">
        <v>27.6</v>
      </c>
      <c r="GJ343" s="19">
        <v>26.6</v>
      </c>
      <c r="GK343" s="19">
        <v>25.6</v>
      </c>
      <c r="GL343" s="19">
        <v>24.3</v>
      </c>
      <c r="GM343" s="19">
        <v>23.3</v>
      </c>
      <c r="GN343" s="19">
        <v>22.5</v>
      </c>
      <c r="GO343" s="19">
        <v>21.5</v>
      </c>
      <c r="GP343" s="19">
        <v>20.4</v>
      </c>
      <c r="GQ343" s="19">
        <v>19.4</v>
      </c>
      <c r="GR343" s="19">
        <v>18.4</v>
      </c>
      <c r="GS343" s="19">
        <v>17.2</v>
      </c>
    </row>
    <row r="344">
      <c r="A344" s="2" t="s">
        <v>2118</v>
      </c>
      <c r="B344" s="2" t="s">
        <v>1019</v>
      </c>
      <c r="C344" s="2" t="s">
        <v>246</v>
      </c>
      <c r="D344" s="2" t="s">
        <v>1318</v>
      </c>
      <c r="E344" s="2" t="s">
        <v>1319</v>
      </c>
      <c r="F344" s="2" t="s">
        <v>2119</v>
      </c>
      <c r="G344" s="2" t="s">
        <v>2119</v>
      </c>
      <c r="H344" s="2" t="s">
        <v>2119</v>
      </c>
      <c r="I344" s="2" t="s">
        <v>2120</v>
      </c>
      <c r="J344" s="2" t="s">
        <v>232</v>
      </c>
      <c r="K344" s="2" t="s">
        <v>195</v>
      </c>
      <c r="L344" s="3">
        <v>21.27</v>
      </c>
      <c r="M344" s="3">
        <v>22.33</v>
      </c>
      <c r="N344" s="3">
        <v>39.99</v>
      </c>
      <c r="O344" s="2" t="s">
        <v>196</v>
      </c>
      <c r="P344" s="2" t="s">
        <v>197</v>
      </c>
      <c r="Q344" s="2" t="s">
        <v>198</v>
      </c>
      <c r="R344" s="2" t="s">
        <v>199</v>
      </c>
      <c r="S344" s="2" t="s">
        <v>2121</v>
      </c>
      <c r="T344" s="2" t="s">
        <v>300</v>
      </c>
      <c r="U344" s="2" t="s">
        <v>199</v>
      </c>
      <c r="V344" s="2" t="s">
        <v>202</v>
      </c>
      <c r="W344" s="2" t="s">
        <v>203</v>
      </c>
      <c r="X344" s="2" t="s">
        <v>199</v>
      </c>
      <c r="Y344" s="2" t="s">
        <v>204</v>
      </c>
      <c r="Z344" s="4">
        <v>1103</v>
      </c>
      <c r="AA344" s="4">
        <f>=ROUNDDOWN(29.8108108108108,0)</f>
      </c>
      <c r="AB344" s="5">
        <v>37</v>
      </c>
      <c r="AC344" s="2" t="s">
        <v>1936</v>
      </c>
      <c r="AD344" s="4">
        <v>600</v>
      </c>
      <c r="AE344" s="4">
        <v>600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199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199</v>
      </c>
      <c r="BD344" s="8" t="s">
        <v>199</v>
      </c>
      <c r="BE344" s="4" t="s">
        <v>199</v>
      </c>
      <c r="BF344" s="8" t="s">
        <v>199</v>
      </c>
      <c r="BG344" s="7" t="s">
        <v>199</v>
      </c>
      <c r="BH344" s="7" t="s">
        <v>199</v>
      </c>
      <c r="BI344" s="7"/>
      <c r="BJ344" s="4">
        <v>65</v>
      </c>
      <c r="BK344" s="8">
        <v>1205.08</v>
      </c>
      <c r="BL344" s="2" t="s">
        <v>2122</v>
      </c>
      <c r="BM344" s="7"/>
      <c r="BN344" s="7"/>
      <c r="BO344" s="4"/>
      <c r="BP344" s="8"/>
      <c r="BQ344" s="4"/>
      <c r="BR344" s="8"/>
      <c r="BS344" s="7"/>
      <c r="BT344" s="7"/>
      <c r="BU344" s="2" t="s">
        <v>2123</v>
      </c>
      <c r="BV344" s="2" t="s">
        <v>199</v>
      </c>
      <c r="BW344" s="2" t="s">
        <v>199</v>
      </c>
      <c r="BX344" s="2" t="s">
        <v>208</v>
      </c>
      <c r="BY344" s="2" t="s">
        <v>209</v>
      </c>
      <c r="BZ344" s="2" t="s">
        <v>196</v>
      </c>
      <c r="CA344" s="2" t="s">
        <v>2124</v>
      </c>
      <c r="CB344" s="2" t="s">
        <v>2125</v>
      </c>
      <c r="CC344" s="2" t="s">
        <v>212</v>
      </c>
      <c r="CD344" s="2" t="s">
        <v>199</v>
      </c>
      <c r="CE344" s="4">
        <v>951</v>
      </c>
      <c r="CF344" s="4">
        <v>152</v>
      </c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>
        <v>600</v>
      </c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>
        <v>1106</v>
      </c>
      <c r="EU344" s="4">
        <v>1083</v>
      </c>
      <c r="EV344" s="4">
        <v>1063</v>
      </c>
      <c r="EW344" s="4">
        <v>1043</v>
      </c>
      <c r="EX344" s="4">
        <v>1023</v>
      </c>
      <c r="EY344" s="4">
        <v>999</v>
      </c>
      <c r="EZ344" s="4">
        <v>1566</v>
      </c>
      <c r="FA344" s="4">
        <v>1533</v>
      </c>
      <c r="FB344" s="4">
        <v>1498</v>
      </c>
      <c r="FC344" s="4">
        <v>1465</v>
      </c>
      <c r="FD344" s="4">
        <v>1417</v>
      </c>
      <c r="FE344" s="4">
        <v>1372</v>
      </c>
      <c r="FF344" s="4">
        <v>1326</v>
      </c>
      <c r="FG344" s="4">
        <v>1280</v>
      </c>
      <c r="FH344" s="4">
        <v>1225</v>
      </c>
      <c r="FI344" s="4">
        <v>1173</v>
      </c>
      <c r="FJ344" s="4">
        <v>1118</v>
      </c>
      <c r="FK344" s="4">
        <v>1077</v>
      </c>
      <c r="FL344" s="4">
        <v>1038</v>
      </c>
      <c r="FM344" s="4">
        <v>999</v>
      </c>
      <c r="FN344" s="4">
        <v>960</v>
      </c>
      <c r="FO344" s="4">
        <v>921</v>
      </c>
      <c r="FP344" s="4">
        <v>880</v>
      </c>
      <c r="FQ344" s="4">
        <v>839</v>
      </c>
      <c r="FR344" s="4">
        <v>798</v>
      </c>
      <c r="FS344" s="4">
        <v>757</v>
      </c>
      <c r="FT344" s="19">
        <v>52.7</v>
      </c>
      <c r="FU344" s="19">
        <v>51.6</v>
      </c>
      <c r="FV344" s="19">
        <v>44.3</v>
      </c>
      <c r="FW344" s="19">
        <v>37.3</v>
      </c>
      <c r="FX344" s="19">
        <v>33</v>
      </c>
      <c r="FY344" s="19">
        <v>29.4</v>
      </c>
      <c r="FZ344" s="19">
        <v>42.3</v>
      </c>
      <c r="GA344" s="19">
        <v>38.3</v>
      </c>
      <c r="GB344" s="19">
        <v>34.8</v>
      </c>
      <c r="GC344" s="19">
        <v>31.8</v>
      </c>
      <c r="GD344" s="19">
        <v>29.5</v>
      </c>
      <c r="GE344" s="19">
        <v>27.4</v>
      </c>
      <c r="GF344" s="19">
        <v>25.5</v>
      </c>
      <c r="GG344" s="19">
        <v>25.1</v>
      </c>
      <c r="GH344" s="19">
        <v>26.1</v>
      </c>
      <c r="GI344" s="19">
        <v>26.7</v>
      </c>
      <c r="GJ344" s="19">
        <v>28</v>
      </c>
      <c r="GK344" s="19">
        <v>27.6</v>
      </c>
      <c r="GL344" s="19">
        <v>26</v>
      </c>
      <c r="GM344" s="19">
        <v>25</v>
      </c>
      <c r="GN344" s="19">
        <v>24</v>
      </c>
      <c r="GO344" s="19">
        <v>22.5</v>
      </c>
      <c r="GP344" s="19">
        <v>21.5</v>
      </c>
      <c r="GQ344" s="19">
        <v>19.1</v>
      </c>
      <c r="GR344" s="19">
        <v>17.3</v>
      </c>
      <c r="GS344" s="19">
        <v>15.8</v>
      </c>
    </row>
    <row r="345">
      <c r="A345" s="2" t="s">
        <v>2126</v>
      </c>
      <c r="B345" s="2" t="s">
        <v>1019</v>
      </c>
      <c r="C345" s="2" t="s">
        <v>246</v>
      </c>
      <c r="D345" s="2" t="s">
        <v>1318</v>
      </c>
      <c r="E345" s="2" t="s">
        <v>1319</v>
      </c>
      <c r="F345" s="2" t="s">
        <v>2119</v>
      </c>
      <c r="G345" s="2" t="s">
        <v>2119</v>
      </c>
      <c r="H345" s="2" t="s">
        <v>2119</v>
      </c>
      <c r="I345" s="2" t="s">
        <v>2120</v>
      </c>
      <c r="J345" s="2" t="s">
        <v>194</v>
      </c>
      <c r="K345" s="2" t="s">
        <v>438</v>
      </c>
      <c r="L345" s="3">
        <v>18.39</v>
      </c>
      <c r="M345" s="3">
        <v>19.31</v>
      </c>
      <c r="N345" s="3">
        <v>34.99</v>
      </c>
      <c r="O345" s="2" t="s">
        <v>196</v>
      </c>
      <c r="P345" s="2" t="s">
        <v>197</v>
      </c>
      <c r="Q345" s="2" t="s">
        <v>198</v>
      </c>
      <c r="R345" s="2" t="s">
        <v>199</v>
      </c>
      <c r="S345" s="2" t="s">
        <v>2127</v>
      </c>
      <c r="T345" s="2" t="s">
        <v>300</v>
      </c>
      <c r="U345" s="2" t="s">
        <v>199</v>
      </c>
      <c r="V345" s="2" t="s">
        <v>202</v>
      </c>
      <c r="W345" s="2" t="s">
        <v>203</v>
      </c>
      <c r="X345" s="2" t="s">
        <v>199</v>
      </c>
      <c r="Y345" s="2" t="s">
        <v>204</v>
      </c>
      <c r="Z345" s="4">
        <v>492</v>
      </c>
      <c r="AA345" s="4">
        <f>=ROUNDDOWN(49.2,0)</f>
      </c>
      <c r="AB345" s="5">
        <v>10</v>
      </c>
      <c r="AC345" s="2" t="s">
        <v>199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199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199</v>
      </c>
      <c r="AW345" s="8" t="s">
        <v>199</v>
      </c>
      <c r="AX345" s="4" t="s">
        <v>199</v>
      </c>
      <c r="AY345" s="8" t="s">
        <v>199</v>
      </c>
      <c r="AZ345" s="7" t="s">
        <v>199</v>
      </c>
      <c r="BA345" s="7" t="s">
        <v>199</v>
      </c>
      <c r="BB345" s="7"/>
      <c r="BC345" s="4" t="s">
        <v>199</v>
      </c>
      <c r="BD345" s="8" t="s">
        <v>199</v>
      </c>
      <c r="BE345" s="4" t="s">
        <v>199</v>
      </c>
      <c r="BF345" s="8" t="s">
        <v>199</v>
      </c>
      <c r="BG345" s="7" t="s">
        <v>199</v>
      </c>
      <c r="BH345" s="7" t="s">
        <v>199</v>
      </c>
      <c r="BI345" s="7"/>
      <c r="BJ345" s="4">
        <v>41</v>
      </c>
      <c r="BK345" s="8">
        <v>653.95</v>
      </c>
      <c r="BL345" s="2" t="s">
        <v>2128</v>
      </c>
      <c r="BM345" s="7"/>
      <c r="BN345" s="7"/>
      <c r="BO345" s="4"/>
      <c r="BP345" s="8"/>
      <c r="BQ345" s="4"/>
      <c r="BR345" s="8"/>
      <c r="BS345" s="7"/>
      <c r="BT345" s="7"/>
      <c r="BU345" s="2" t="s">
        <v>2123</v>
      </c>
      <c r="BV345" s="2" t="s">
        <v>199</v>
      </c>
      <c r="BW345" s="2" t="s">
        <v>199</v>
      </c>
      <c r="BX345" s="2" t="s">
        <v>208</v>
      </c>
      <c r="BY345" s="2" t="s">
        <v>209</v>
      </c>
      <c r="BZ345" s="2" t="s">
        <v>196</v>
      </c>
      <c r="CA345" s="2" t="s">
        <v>2124</v>
      </c>
      <c r="CB345" s="2" t="s">
        <v>2129</v>
      </c>
      <c r="CC345" s="2" t="s">
        <v>212</v>
      </c>
      <c r="CD345" s="2" t="s">
        <v>199</v>
      </c>
      <c r="CE345" s="4">
        <v>184</v>
      </c>
      <c r="CF345" s="4">
        <v>308</v>
      </c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>
        <v>497</v>
      </c>
      <c r="EU345" s="4">
        <v>486</v>
      </c>
      <c r="EV345" s="4">
        <v>480</v>
      </c>
      <c r="EW345" s="4">
        <v>474</v>
      </c>
      <c r="EX345" s="4">
        <v>468</v>
      </c>
      <c r="EY345" s="4">
        <v>462</v>
      </c>
      <c r="EZ345" s="4">
        <v>453</v>
      </c>
      <c r="FA345" s="4">
        <v>444</v>
      </c>
      <c r="FB345" s="4">
        <v>434</v>
      </c>
      <c r="FC345" s="4">
        <v>425</v>
      </c>
      <c r="FD345" s="4">
        <v>415</v>
      </c>
      <c r="FE345" s="4">
        <v>405</v>
      </c>
      <c r="FF345" s="4">
        <v>395</v>
      </c>
      <c r="FG345" s="4">
        <v>385</v>
      </c>
      <c r="FH345" s="4">
        <v>372</v>
      </c>
      <c r="FI345" s="4">
        <v>360</v>
      </c>
      <c r="FJ345" s="4">
        <v>347</v>
      </c>
      <c r="FK345" s="4">
        <v>336</v>
      </c>
      <c r="FL345" s="4">
        <v>326</v>
      </c>
      <c r="FM345" s="4">
        <v>316</v>
      </c>
      <c r="FN345" s="4">
        <v>306</v>
      </c>
      <c r="FO345" s="4">
        <v>296</v>
      </c>
      <c r="FP345" s="4">
        <v>285</v>
      </c>
      <c r="FQ345" s="4">
        <v>272</v>
      </c>
      <c r="FR345" s="4">
        <v>259</v>
      </c>
      <c r="FS345" s="4">
        <v>246</v>
      </c>
      <c r="FT345" s="19">
        <v>71</v>
      </c>
      <c r="FU345" s="19">
        <v>81</v>
      </c>
      <c r="FV345" s="19">
        <v>68.6</v>
      </c>
      <c r="FW345" s="19">
        <v>59.3</v>
      </c>
      <c r="FX345" s="19">
        <v>58.5</v>
      </c>
      <c r="FY345" s="19">
        <v>51.3</v>
      </c>
      <c r="FZ345" s="19">
        <v>45.3</v>
      </c>
      <c r="GA345" s="19">
        <v>44.4</v>
      </c>
      <c r="GB345" s="19">
        <v>43.4</v>
      </c>
      <c r="GC345" s="19">
        <v>42.5</v>
      </c>
      <c r="GD345" s="19">
        <v>37.7</v>
      </c>
      <c r="GE345" s="19">
        <v>36.8</v>
      </c>
      <c r="GF345" s="19">
        <v>32.9</v>
      </c>
      <c r="GG345" s="19">
        <v>32.1</v>
      </c>
      <c r="GH345" s="19">
        <v>31</v>
      </c>
      <c r="GI345" s="19">
        <v>32.7</v>
      </c>
      <c r="GJ345" s="19">
        <v>34.7</v>
      </c>
      <c r="GK345" s="19">
        <v>33.6</v>
      </c>
      <c r="GL345" s="19">
        <v>32.6</v>
      </c>
      <c r="GM345" s="19">
        <v>28.7</v>
      </c>
      <c r="GN345" s="19">
        <v>25.5</v>
      </c>
      <c r="GO345" s="19">
        <v>24.7</v>
      </c>
      <c r="GP345" s="19">
        <v>21.9</v>
      </c>
      <c r="GQ345" s="19">
        <v>19.4</v>
      </c>
      <c r="GR345" s="19">
        <v>17.3</v>
      </c>
      <c r="GS345" s="19">
        <v>15.4</v>
      </c>
    </row>
    <row r="346">
      <c r="A346" s="2" t="s">
        <v>2130</v>
      </c>
      <c r="B346" s="2" t="s">
        <v>1019</v>
      </c>
      <c r="C346" s="2" t="s">
        <v>246</v>
      </c>
      <c r="D346" s="2" t="s">
        <v>1318</v>
      </c>
      <c r="E346" s="2" t="s">
        <v>1319</v>
      </c>
      <c r="F346" s="2" t="s">
        <v>2119</v>
      </c>
      <c r="G346" s="2" t="s">
        <v>2119</v>
      </c>
      <c r="H346" s="2" t="s">
        <v>2119</v>
      </c>
      <c r="I346" s="2" t="s">
        <v>2120</v>
      </c>
      <c r="J346" s="2" t="s">
        <v>223</v>
      </c>
      <c r="K346" s="2" t="s">
        <v>438</v>
      </c>
      <c r="L346" s="3">
        <v>24.14</v>
      </c>
      <c r="M346" s="3">
        <v>25.35</v>
      </c>
      <c r="N346" s="3">
        <v>44.99</v>
      </c>
      <c r="O346" s="2" t="s">
        <v>196</v>
      </c>
      <c r="P346" s="2" t="s">
        <v>197</v>
      </c>
      <c r="Q346" s="2" t="s">
        <v>198</v>
      </c>
      <c r="R346" s="2" t="s">
        <v>199</v>
      </c>
      <c r="S346" s="2" t="s">
        <v>2127</v>
      </c>
      <c r="T346" s="2" t="s">
        <v>300</v>
      </c>
      <c r="U346" s="2" t="s">
        <v>199</v>
      </c>
      <c r="V346" s="2" t="s">
        <v>202</v>
      </c>
      <c r="W346" s="2" t="s">
        <v>203</v>
      </c>
      <c r="X346" s="2" t="s">
        <v>199</v>
      </c>
      <c r="Y346" s="2" t="s">
        <v>204</v>
      </c>
      <c r="Z346" s="4">
        <v>727</v>
      </c>
      <c r="AA346" s="4">
        <f>=ROUNDDOWN(34.6190476190476,0)</f>
      </c>
      <c r="AB346" s="5">
        <v>21</v>
      </c>
      <c r="AC346" s="2" t="s">
        <v>1936</v>
      </c>
      <c r="AD346" s="4">
        <v>400</v>
      </c>
      <c r="AE346" s="4">
        <v>400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199</v>
      </c>
      <c r="AW346" s="8" t="s">
        <v>199</v>
      </c>
      <c r="AX346" s="4" t="s">
        <v>199</v>
      </c>
      <c r="AY346" s="8" t="s">
        <v>199</v>
      </c>
      <c r="AZ346" s="7" t="s">
        <v>199</v>
      </c>
      <c r="BA346" s="7" t="s">
        <v>199</v>
      </c>
      <c r="BB346" s="7"/>
      <c r="BC346" s="4" t="s">
        <v>199</v>
      </c>
      <c r="BD346" s="8" t="s">
        <v>199</v>
      </c>
      <c r="BE346" s="4" t="s">
        <v>199</v>
      </c>
      <c r="BF346" s="8" t="s">
        <v>199</v>
      </c>
      <c r="BG346" s="7" t="s">
        <v>199</v>
      </c>
      <c r="BH346" s="7" t="s">
        <v>199</v>
      </c>
      <c r="BI346" s="7"/>
      <c r="BJ346" s="4">
        <v>54</v>
      </c>
      <c r="BK346" s="8">
        <v>1143.58</v>
      </c>
      <c r="BL346" s="2" t="s">
        <v>2131</v>
      </c>
      <c r="BM346" s="7"/>
      <c r="BN346" s="7"/>
      <c r="BO346" s="4"/>
      <c r="BP346" s="8"/>
      <c r="BQ346" s="4"/>
      <c r="BR346" s="8"/>
      <c r="BS346" s="7"/>
      <c r="BT346" s="7"/>
      <c r="BU346" s="2" t="s">
        <v>2123</v>
      </c>
      <c r="BV346" s="2" t="s">
        <v>199</v>
      </c>
      <c r="BW346" s="2" t="s">
        <v>199</v>
      </c>
      <c r="BX346" s="2" t="s">
        <v>208</v>
      </c>
      <c r="BY346" s="2" t="s">
        <v>209</v>
      </c>
      <c r="BZ346" s="2" t="s">
        <v>196</v>
      </c>
      <c r="CA346" s="2" t="s">
        <v>2124</v>
      </c>
      <c r="CB346" s="2" t="s">
        <v>2132</v>
      </c>
      <c r="CC346" s="2" t="s">
        <v>212</v>
      </c>
      <c r="CD346" s="2" t="s">
        <v>199</v>
      </c>
      <c r="CE346" s="4">
        <v>432</v>
      </c>
      <c r="CF346" s="4">
        <v>295</v>
      </c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>
        <v>400</v>
      </c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>
        <v>732</v>
      </c>
      <c r="EU346" s="4">
        <v>713</v>
      </c>
      <c r="EV346" s="4">
        <v>699</v>
      </c>
      <c r="EW346" s="4">
        <v>685</v>
      </c>
      <c r="EX346" s="4">
        <v>671</v>
      </c>
      <c r="EY346" s="4">
        <v>656</v>
      </c>
      <c r="EZ346" s="4">
        <v>1037</v>
      </c>
      <c r="FA346" s="4">
        <v>1018</v>
      </c>
      <c r="FB346" s="4">
        <v>997</v>
      </c>
      <c r="FC346" s="4">
        <v>978</v>
      </c>
      <c r="FD346" s="4">
        <v>954</v>
      </c>
      <c r="FE346" s="4">
        <v>931</v>
      </c>
      <c r="FF346" s="4">
        <v>908</v>
      </c>
      <c r="FG346" s="4">
        <v>885</v>
      </c>
      <c r="FH346" s="4">
        <v>857</v>
      </c>
      <c r="FI346" s="4">
        <v>830</v>
      </c>
      <c r="FJ346" s="4">
        <v>802</v>
      </c>
      <c r="FK346" s="4">
        <v>778</v>
      </c>
      <c r="FL346" s="4">
        <v>754</v>
      </c>
      <c r="FM346" s="4">
        <v>730</v>
      </c>
      <c r="FN346" s="4">
        <v>706</v>
      </c>
      <c r="FO346" s="4">
        <v>682</v>
      </c>
      <c r="FP346" s="4">
        <v>656</v>
      </c>
      <c r="FQ346" s="4">
        <v>633</v>
      </c>
      <c r="FR346" s="4">
        <v>610</v>
      </c>
      <c r="FS346" s="4">
        <v>587</v>
      </c>
      <c r="FT346" s="19">
        <v>48.8</v>
      </c>
      <c r="FU346" s="19">
        <v>50.9</v>
      </c>
      <c r="FV346" s="19">
        <v>43.7</v>
      </c>
      <c r="FW346" s="19">
        <v>40.3</v>
      </c>
      <c r="FX346" s="19">
        <v>37.3</v>
      </c>
      <c r="FY346" s="19">
        <v>32.8</v>
      </c>
      <c r="FZ346" s="19">
        <v>49.4</v>
      </c>
      <c r="GA346" s="19">
        <v>46.3</v>
      </c>
      <c r="GB346" s="19">
        <v>45.3</v>
      </c>
      <c r="GC346" s="19">
        <v>42.5</v>
      </c>
      <c r="GD346" s="19">
        <v>39.8</v>
      </c>
      <c r="GE346" s="19">
        <v>37.2</v>
      </c>
      <c r="GF346" s="19">
        <v>34.9</v>
      </c>
      <c r="GG346" s="19">
        <v>32.8</v>
      </c>
      <c r="GH346" s="19">
        <v>33</v>
      </c>
      <c r="GI346" s="19">
        <v>33.2</v>
      </c>
      <c r="GJ346" s="19">
        <v>33.4</v>
      </c>
      <c r="GK346" s="19">
        <v>32.4</v>
      </c>
      <c r="GL346" s="19">
        <v>31.4</v>
      </c>
      <c r="GM346" s="19">
        <v>30.4</v>
      </c>
      <c r="GN346" s="19">
        <v>29.4</v>
      </c>
      <c r="GO346" s="19">
        <v>28.4</v>
      </c>
      <c r="GP346" s="19">
        <v>28.5</v>
      </c>
      <c r="GQ346" s="19">
        <v>25.3</v>
      </c>
      <c r="GR346" s="19">
        <v>23.5</v>
      </c>
      <c r="GS346" s="19">
        <v>22.6</v>
      </c>
    </row>
    <row r="347">
      <c r="A347" s="2" t="s">
        <v>2133</v>
      </c>
      <c r="B347" s="2" t="s">
        <v>1019</v>
      </c>
      <c r="C347" s="2" t="s">
        <v>246</v>
      </c>
      <c r="D347" s="2" t="s">
        <v>1318</v>
      </c>
      <c r="E347" s="2" t="s">
        <v>1319</v>
      </c>
      <c r="F347" s="2" t="s">
        <v>2119</v>
      </c>
      <c r="G347" s="2" t="s">
        <v>2119</v>
      </c>
      <c r="H347" s="2" t="s">
        <v>2119</v>
      </c>
      <c r="I347" s="2" t="s">
        <v>2120</v>
      </c>
      <c r="J347" s="2" t="s">
        <v>194</v>
      </c>
      <c r="K347" s="2" t="s">
        <v>665</v>
      </c>
      <c r="L347" s="3">
        <v>18.39</v>
      </c>
      <c r="M347" s="3">
        <v>19.31</v>
      </c>
      <c r="N347" s="3">
        <v>34.99</v>
      </c>
      <c r="O347" s="2" t="s">
        <v>196</v>
      </c>
      <c r="P347" s="2" t="s">
        <v>197</v>
      </c>
      <c r="Q347" s="2" t="s">
        <v>198</v>
      </c>
      <c r="R347" s="2" t="s">
        <v>199</v>
      </c>
      <c r="S347" s="2" t="s">
        <v>2134</v>
      </c>
      <c r="T347" s="2" t="s">
        <v>300</v>
      </c>
      <c r="U347" s="2" t="s">
        <v>199</v>
      </c>
      <c r="V347" s="2" t="s">
        <v>202</v>
      </c>
      <c r="W347" s="2" t="s">
        <v>203</v>
      </c>
      <c r="X347" s="2" t="s">
        <v>199</v>
      </c>
      <c r="Y347" s="2" t="s">
        <v>204</v>
      </c>
      <c r="Z347" s="4">
        <v>794</v>
      </c>
      <c r="AA347" s="4">
        <f>=ROUNDDOWN(37.8095238095238,0)</f>
      </c>
      <c r="AB347" s="5">
        <v>21</v>
      </c>
      <c r="AC347" s="2" t="s">
        <v>199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199</v>
      </c>
      <c r="BD347" s="8" t="s">
        <v>199</v>
      </c>
      <c r="BE347" s="4" t="s">
        <v>199</v>
      </c>
      <c r="BF347" s="8" t="s">
        <v>199</v>
      </c>
      <c r="BG347" s="7" t="s">
        <v>199</v>
      </c>
      <c r="BH347" s="7" t="s">
        <v>199</v>
      </c>
      <c r="BI347" s="7"/>
      <c r="BJ347" s="4">
        <v>63</v>
      </c>
      <c r="BK347" s="8">
        <v>983.8</v>
      </c>
      <c r="BL347" s="2" t="s">
        <v>2135</v>
      </c>
      <c r="BM347" s="7"/>
      <c r="BN347" s="7"/>
      <c r="BO347" s="4"/>
      <c r="BP347" s="8"/>
      <c r="BQ347" s="4"/>
      <c r="BR347" s="8"/>
      <c r="BS347" s="7"/>
      <c r="BT347" s="7"/>
      <c r="BU347" s="2" t="s">
        <v>2123</v>
      </c>
      <c r="BV347" s="2" t="s">
        <v>199</v>
      </c>
      <c r="BW347" s="2" t="s">
        <v>199</v>
      </c>
      <c r="BX347" s="2" t="s">
        <v>208</v>
      </c>
      <c r="BY347" s="2" t="s">
        <v>209</v>
      </c>
      <c r="BZ347" s="2" t="s">
        <v>196</v>
      </c>
      <c r="CA347" s="2" t="s">
        <v>2124</v>
      </c>
      <c r="CB347" s="2" t="s">
        <v>1572</v>
      </c>
      <c r="CC347" s="2" t="s">
        <v>212</v>
      </c>
      <c r="CD347" s="2" t="s">
        <v>199</v>
      </c>
      <c r="CE347" s="4">
        <v>794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>
        <v>799</v>
      </c>
      <c r="EU347" s="4">
        <v>780</v>
      </c>
      <c r="EV347" s="4">
        <v>766</v>
      </c>
      <c r="EW347" s="4">
        <v>752</v>
      </c>
      <c r="EX347" s="4">
        <v>738</v>
      </c>
      <c r="EY347" s="4">
        <v>724</v>
      </c>
      <c r="EZ347" s="4">
        <v>705</v>
      </c>
      <c r="FA347" s="4">
        <v>686</v>
      </c>
      <c r="FB347" s="4">
        <v>665</v>
      </c>
      <c r="FC347" s="4">
        <v>646</v>
      </c>
      <c r="FD347" s="4">
        <v>625</v>
      </c>
      <c r="FE347" s="4">
        <v>604</v>
      </c>
      <c r="FF347" s="4">
        <v>583</v>
      </c>
      <c r="FG347" s="4">
        <v>562</v>
      </c>
      <c r="FH347" s="4">
        <v>536</v>
      </c>
      <c r="FI347" s="4">
        <v>511</v>
      </c>
      <c r="FJ347" s="4">
        <v>485</v>
      </c>
      <c r="FK347" s="4">
        <v>462</v>
      </c>
      <c r="FL347" s="4">
        <v>441</v>
      </c>
      <c r="FM347" s="4">
        <v>420</v>
      </c>
      <c r="FN347" s="4">
        <v>399</v>
      </c>
      <c r="FO347" s="4">
        <v>378</v>
      </c>
      <c r="FP347" s="4">
        <v>355</v>
      </c>
      <c r="FQ347" s="4">
        <v>327</v>
      </c>
      <c r="FR347" s="4">
        <v>299</v>
      </c>
      <c r="FS347" s="4">
        <v>271</v>
      </c>
      <c r="FT347" s="19">
        <v>53.3</v>
      </c>
      <c r="FU347" s="19">
        <v>55.7</v>
      </c>
      <c r="FV347" s="19">
        <v>51.1</v>
      </c>
      <c r="FW347" s="19">
        <v>47</v>
      </c>
      <c r="FX347" s="19">
        <v>41</v>
      </c>
      <c r="FY347" s="19">
        <v>36.2</v>
      </c>
      <c r="FZ347" s="19">
        <v>35.3</v>
      </c>
      <c r="GA347" s="19">
        <v>34.3</v>
      </c>
      <c r="GB347" s="19">
        <v>33.3</v>
      </c>
      <c r="GC347" s="19">
        <v>30.8</v>
      </c>
      <c r="GD347" s="19">
        <v>28.4</v>
      </c>
      <c r="GE347" s="19">
        <v>26.3</v>
      </c>
      <c r="GF347" s="19">
        <v>24.3</v>
      </c>
      <c r="GG347" s="19">
        <v>22.5</v>
      </c>
      <c r="GH347" s="19">
        <v>22.3</v>
      </c>
      <c r="GI347" s="19">
        <v>22.2</v>
      </c>
      <c r="GJ347" s="19">
        <v>22</v>
      </c>
      <c r="GK347" s="19">
        <v>22</v>
      </c>
      <c r="GL347" s="19">
        <v>20</v>
      </c>
      <c r="GM347" s="19">
        <v>18.3</v>
      </c>
      <c r="GN347" s="19">
        <v>16</v>
      </c>
      <c r="GO347" s="19">
        <v>14</v>
      </c>
      <c r="GP347" s="19">
        <v>12.7</v>
      </c>
      <c r="GQ347" s="19">
        <v>10.9</v>
      </c>
      <c r="GR347" s="19">
        <v>9.3</v>
      </c>
      <c r="GS347" s="19">
        <v>8.2</v>
      </c>
    </row>
    <row r="348">
      <c r="A348" s="2" t="s">
        <v>2136</v>
      </c>
      <c r="B348" s="2" t="s">
        <v>630</v>
      </c>
      <c r="C348" s="2" t="s">
        <v>987</v>
      </c>
      <c r="D348" s="2" t="s">
        <v>228</v>
      </c>
      <c r="E348" s="2" t="s">
        <v>988</v>
      </c>
      <c r="F348" s="2" t="s">
        <v>2137</v>
      </c>
      <c r="G348" s="2" t="s">
        <v>2138</v>
      </c>
      <c r="H348" s="2" t="s">
        <v>2139</v>
      </c>
      <c r="I348" s="2" t="s">
        <v>2140</v>
      </c>
      <c r="J348" s="2" t="s">
        <v>1011</v>
      </c>
      <c r="K348" s="2" t="s">
        <v>1002</v>
      </c>
      <c r="L348" s="3">
        <v>19.04</v>
      </c>
      <c r="M348" s="3">
        <v>19.99</v>
      </c>
      <c r="N348" s="3">
        <v>39.99</v>
      </c>
      <c r="O348" s="2" t="s">
        <v>196</v>
      </c>
      <c r="P348" s="2" t="s">
        <v>951</v>
      </c>
      <c r="Q348" s="2" t="s">
        <v>198</v>
      </c>
      <c r="R348" s="2" t="s">
        <v>199</v>
      </c>
      <c r="S348" s="2" t="s">
        <v>2141</v>
      </c>
      <c r="T348" s="2" t="s">
        <v>2142</v>
      </c>
      <c r="U348" s="2" t="s">
        <v>853</v>
      </c>
      <c r="V348" s="2" t="s">
        <v>1381</v>
      </c>
      <c r="W348" s="2" t="s">
        <v>727</v>
      </c>
      <c r="X348" s="2" t="s">
        <v>203</v>
      </c>
      <c r="Y348" s="2" t="s">
        <v>2143</v>
      </c>
      <c r="Z348" s="4">
        <v>1075</v>
      </c>
      <c r="AA348" s="4">
        <f>=ROUNDDOWN(48.8636363636364,0)</f>
      </c>
      <c r="AB348" s="5">
        <v>22</v>
      </c>
      <c r="AC348" s="2" t="s">
        <v>199</v>
      </c>
      <c r="AD348" s="4"/>
      <c r="AE348" s="4"/>
      <c r="AF348" s="6">
        <v>63</v>
      </c>
      <c r="AG348" s="6">
        <v>46</v>
      </c>
      <c r="AH348" s="7">
        <v>1</v>
      </c>
      <c r="AI348" s="4"/>
      <c r="AJ348" s="4">
        <f>=ROUNDDOWN({0},0)</f>
      </c>
      <c r="AK348" s="5"/>
      <c r="AL348" s="2" t="s">
        <v>199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199</v>
      </c>
      <c r="AW348" s="8" t="s">
        <v>199</v>
      </c>
      <c r="AX348" s="4" t="s">
        <v>199</v>
      </c>
      <c r="AY348" s="8" t="s">
        <v>199</v>
      </c>
      <c r="AZ348" s="7" t="s">
        <v>199</v>
      </c>
      <c r="BA348" s="7" t="s">
        <v>199</v>
      </c>
      <c r="BB348" s="7"/>
      <c r="BC348" s="4" t="s">
        <v>199</v>
      </c>
      <c r="BD348" s="8" t="s">
        <v>199</v>
      </c>
      <c r="BE348" s="4" t="s">
        <v>199</v>
      </c>
      <c r="BF348" s="8" t="s">
        <v>199</v>
      </c>
      <c r="BG348" s="7" t="s">
        <v>199</v>
      </c>
      <c r="BH348" s="7" t="s">
        <v>199</v>
      </c>
      <c r="BI348" s="7"/>
      <c r="BJ348" s="4">
        <v>108</v>
      </c>
      <c r="BK348" s="8">
        <v>2363.92</v>
      </c>
      <c r="BL348" s="2" t="s">
        <v>2144</v>
      </c>
      <c r="BM348" s="7"/>
      <c r="BN348" s="7"/>
      <c r="BO348" s="4"/>
      <c r="BP348" s="8"/>
      <c r="BQ348" s="4"/>
      <c r="BR348" s="8"/>
      <c r="BS348" s="7"/>
      <c r="BT348" s="7"/>
      <c r="BU348" s="2" t="s">
        <v>2145</v>
      </c>
      <c r="BV348" s="2" t="s">
        <v>199</v>
      </c>
      <c r="BW348" s="2" t="s">
        <v>199</v>
      </c>
      <c r="BX348" s="2" t="s">
        <v>998</v>
      </c>
      <c r="BY348" s="2" t="s">
        <v>209</v>
      </c>
      <c r="BZ348" s="2" t="s">
        <v>196</v>
      </c>
      <c r="CA348" s="2" t="s">
        <v>2146</v>
      </c>
      <c r="CB348" s="2" t="s">
        <v>2147</v>
      </c>
      <c r="CC348" s="2" t="s">
        <v>212</v>
      </c>
      <c r="CD348" s="2" t="s">
        <v>199</v>
      </c>
      <c r="CE348" s="4">
        <v>435</v>
      </c>
      <c r="CF348" s="4"/>
      <c r="CG348" s="4"/>
      <c r="CH348" s="4">
        <v>640</v>
      </c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>
        <v>1081</v>
      </c>
      <c r="EU348" s="4">
        <v>1048</v>
      </c>
      <c r="EV348" s="4">
        <v>1022</v>
      </c>
      <c r="EW348" s="4">
        <v>996</v>
      </c>
      <c r="EX348" s="4">
        <v>974</v>
      </c>
      <c r="EY348" s="4">
        <v>948</v>
      </c>
      <c r="EZ348" s="4">
        <v>919</v>
      </c>
      <c r="FA348" s="4">
        <v>890</v>
      </c>
      <c r="FB348" s="4">
        <v>858</v>
      </c>
      <c r="FC348" s="4">
        <v>829</v>
      </c>
      <c r="FD348" s="4">
        <v>794</v>
      </c>
      <c r="FE348" s="4">
        <v>759</v>
      </c>
      <c r="FF348" s="4">
        <v>724</v>
      </c>
      <c r="FG348" s="4">
        <v>689</v>
      </c>
      <c r="FH348" s="4">
        <v>657</v>
      </c>
      <c r="FI348" s="4">
        <v>625</v>
      </c>
      <c r="FJ348" s="4">
        <v>593</v>
      </c>
      <c r="FK348" s="4">
        <v>561</v>
      </c>
      <c r="FL348" s="4">
        <v>529</v>
      </c>
      <c r="FM348" s="4">
        <v>503</v>
      </c>
      <c r="FN348" s="4">
        <v>478</v>
      </c>
      <c r="FO348" s="4">
        <v>675</v>
      </c>
      <c r="FP348" s="4">
        <v>649</v>
      </c>
      <c r="FQ348" s="4">
        <v>627</v>
      </c>
      <c r="FR348" s="4">
        <v>605</v>
      </c>
      <c r="FS348" s="4">
        <v>670</v>
      </c>
      <c r="FT348" s="19">
        <v>56.8</v>
      </c>
      <c r="FU348" s="19">
        <v>56.8</v>
      </c>
      <c r="FV348" s="19">
        <v>55.1</v>
      </c>
      <c r="FW348" s="19">
        <v>53.7</v>
      </c>
      <c r="FX348" s="19">
        <v>52</v>
      </c>
      <c r="FY348" s="19">
        <v>51.1</v>
      </c>
      <c r="FZ348" s="19">
        <v>44.1</v>
      </c>
      <c r="GA348" s="19">
        <v>43.2</v>
      </c>
      <c r="GB348" s="19">
        <v>42</v>
      </c>
      <c r="GC348" s="19">
        <v>36.9</v>
      </c>
      <c r="GD348" s="19">
        <v>35.9</v>
      </c>
      <c r="GE348" s="19">
        <v>39</v>
      </c>
      <c r="GF348" s="19">
        <v>38.1</v>
      </c>
      <c r="GG348" s="19">
        <v>36.9</v>
      </c>
      <c r="GH348" s="19">
        <v>35.9</v>
      </c>
      <c r="GI348" s="19">
        <v>35</v>
      </c>
      <c r="GJ348" s="19">
        <v>27.9</v>
      </c>
      <c r="GK348" s="19">
        <v>20.1</v>
      </c>
      <c r="GL348" s="19">
        <v>19.1</v>
      </c>
      <c r="GM348" s="19">
        <v>19.4</v>
      </c>
      <c r="GN348" s="19">
        <v>21.8</v>
      </c>
      <c r="GO348" s="19">
        <v>44.4</v>
      </c>
      <c r="GP348" s="19">
        <v>43.6</v>
      </c>
      <c r="GQ348" s="19">
        <v>42.6</v>
      </c>
      <c r="GR348" s="19">
        <v>41.3</v>
      </c>
      <c r="GS348" s="19">
        <v>42.5</v>
      </c>
    </row>
    <row r="349">
      <c r="A349" s="2" t="s">
        <v>2148</v>
      </c>
      <c r="B349" s="2" t="s">
        <v>630</v>
      </c>
      <c r="C349" s="2" t="s">
        <v>987</v>
      </c>
      <c r="D349" s="2" t="s">
        <v>228</v>
      </c>
      <c r="E349" s="2" t="s">
        <v>988</v>
      </c>
      <c r="F349" s="2" t="s">
        <v>2137</v>
      </c>
      <c r="G349" s="2" t="s">
        <v>2138</v>
      </c>
      <c r="H349" s="2" t="s">
        <v>2139</v>
      </c>
      <c r="I349" s="2" t="s">
        <v>2140</v>
      </c>
      <c r="J349" s="2" t="s">
        <v>232</v>
      </c>
      <c r="K349" s="2" t="s">
        <v>1002</v>
      </c>
      <c r="L349" s="3">
        <v>23.8</v>
      </c>
      <c r="M349" s="3">
        <v>24.99</v>
      </c>
      <c r="N349" s="3">
        <v>49.99</v>
      </c>
      <c r="O349" s="2" t="s">
        <v>196</v>
      </c>
      <c r="P349" s="2" t="s">
        <v>951</v>
      </c>
      <c r="Q349" s="2" t="s">
        <v>198</v>
      </c>
      <c r="R349" s="2" t="s">
        <v>199</v>
      </c>
      <c r="S349" s="2" t="s">
        <v>2141</v>
      </c>
      <c r="T349" s="2" t="s">
        <v>2142</v>
      </c>
      <c r="U349" s="2" t="s">
        <v>637</v>
      </c>
      <c r="V349" s="2" t="s">
        <v>1381</v>
      </c>
      <c r="W349" s="2" t="s">
        <v>727</v>
      </c>
      <c r="X349" s="2" t="s">
        <v>203</v>
      </c>
      <c r="Y349" s="2" t="s">
        <v>2143</v>
      </c>
      <c r="Z349" s="4">
        <v>1825</v>
      </c>
      <c r="AA349" s="4">
        <f>=ROUNDDOWN(31.4655172413793,0)</f>
      </c>
      <c r="AB349" s="5">
        <v>58</v>
      </c>
      <c r="AC349" s="2" t="s">
        <v>199</v>
      </c>
      <c r="AD349" s="4"/>
      <c r="AE349" s="4"/>
      <c r="AF349" s="6">
        <v>63</v>
      </c>
      <c r="AG349" s="6">
        <v>46</v>
      </c>
      <c r="AH349" s="7">
        <v>1</v>
      </c>
      <c r="AI349" s="4"/>
      <c r="AJ349" s="4">
        <f>=ROUNDDOWN({0},0)</f>
      </c>
      <c r="AK349" s="5"/>
      <c r="AL349" s="2" t="s">
        <v>199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199</v>
      </c>
      <c r="AW349" s="8" t="s">
        <v>199</v>
      </c>
      <c r="AX349" s="4" t="s">
        <v>199</v>
      </c>
      <c r="AY349" s="8" t="s">
        <v>199</v>
      </c>
      <c r="AZ349" s="7" t="s">
        <v>199</v>
      </c>
      <c r="BA349" s="7" t="s">
        <v>199</v>
      </c>
      <c r="BB349" s="7"/>
      <c r="BC349" s="4" t="s">
        <v>199</v>
      </c>
      <c r="BD349" s="8" t="s">
        <v>199</v>
      </c>
      <c r="BE349" s="4" t="s">
        <v>199</v>
      </c>
      <c r="BF349" s="8" t="s">
        <v>199</v>
      </c>
      <c r="BG349" s="7" t="s">
        <v>199</v>
      </c>
      <c r="BH349" s="7" t="s">
        <v>199</v>
      </c>
      <c r="BI349" s="7"/>
      <c r="BJ349" s="4">
        <v>295</v>
      </c>
      <c r="BK349" s="8">
        <v>7649.69</v>
      </c>
      <c r="BL349" s="2" t="s">
        <v>2149</v>
      </c>
      <c r="BM349" s="7"/>
      <c r="BN349" s="7"/>
      <c r="BO349" s="4"/>
      <c r="BP349" s="8"/>
      <c r="BQ349" s="4"/>
      <c r="BR349" s="8"/>
      <c r="BS349" s="7"/>
      <c r="BT349" s="7"/>
      <c r="BU349" s="2" t="s">
        <v>2145</v>
      </c>
      <c r="BV349" s="2" t="s">
        <v>199</v>
      </c>
      <c r="BW349" s="2" t="s">
        <v>199</v>
      </c>
      <c r="BX349" s="2" t="s">
        <v>998</v>
      </c>
      <c r="BY349" s="2" t="s">
        <v>209</v>
      </c>
      <c r="BZ349" s="2" t="s">
        <v>196</v>
      </c>
      <c r="CA349" s="2" t="s">
        <v>2146</v>
      </c>
      <c r="CB349" s="2" t="s">
        <v>1098</v>
      </c>
      <c r="CC349" s="2" t="s">
        <v>212</v>
      </c>
      <c r="CD349" s="2" t="s">
        <v>199</v>
      </c>
      <c r="CE349" s="4">
        <v>1296</v>
      </c>
      <c r="CF349" s="4"/>
      <c r="CG349" s="4"/>
      <c r="CH349" s="4">
        <v>529</v>
      </c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>
        <v>1842</v>
      </c>
      <c r="EU349" s="4">
        <v>1744</v>
      </c>
      <c r="EV349" s="4">
        <v>1662</v>
      </c>
      <c r="EW349" s="4">
        <v>1580</v>
      </c>
      <c r="EX349" s="4">
        <v>1522</v>
      </c>
      <c r="EY349" s="4">
        <v>1440</v>
      </c>
      <c r="EZ349" s="4">
        <v>1342</v>
      </c>
      <c r="FA349" s="4">
        <v>1244</v>
      </c>
      <c r="FB349" s="4">
        <v>1134</v>
      </c>
      <c r="FC349" s="4">
        <v>1036</v>
      </c>
      <c r="FD349" s="4">
        <v>919</v>
      </c>
      <c r="FE349" s="4">
        <v>802</v>
      </c>
      <c r="FF349" s="4">
        <v>685</v>
      </c>
      <c r="FG349" s="4">
        <v>568</v>
      </c>
      <c r="FH349" s="4">
        <v>466</v>
      </c>
      <c r="FI349" s="4">
        <v>366</v>
      </c>
      <c r="FJ349" s="4">
        <v>268</v>
      </c>
      <c r="FK349" s="4">
        <v>170</v>
      </c>
      <c r="FL349" s="4">
        <v>72</v>
      </c>
      <c r="FM349" s="4">
        <v>447</v>
      </c>
      <c r="FN349" s="4">
        <v>380</v>
      </c>
      <c r="FO349" s="4">
        <v>730</v>
      </c>
      <c r="FP349" s="4">
        <v>660</v>
      </c>
      <c r="FQ349" s="4">
        <v>734</v>
      </c>
      <c r="FR349" s="4">
        <v>676</v>
      </c>
      <c r="FS349" s="4">
        <v>724</v>
      </c>
      <c r="FT349" s="19">
        <v>22</v>
      </c>
      <c r="FU349" s="19">
        <v>21.9</v>
      </c>
      <c r="FV349" s="19">
        <v>19.7</v>
      </c>
      <c r="FW349" s="19">
        <v>17.8</v>
      </c>
      <c r="FX349" s="19">
        <v>14.8</v>
      </c>
      <c r="FY349" s="19">
        <v>13.6</v>
      </c>
      <c r="FZ349" s="19">
        <v>11.9</v>
      </c>
      <c r="GA349" s="19">
        <v>10.5</v>
      </c>
      <c r="GB349" s="19">
        <v>9.3</v>
      </c>
      <c r="GC349" s="19">
        <v>8.1</v>
      </c>
      <c r="GD349" s="19">
        <v>7.4</v>
      </c>
      <c r="GE349" s="19">
        <v>6.5</v>
      </c>
      <c r="GF349" s="19">
        <v>5.6</v>
      </c>
      <c r="GG349" s="19">
        <v>4.8</v>
      </c>
      <c r="GH349" s="19">
        <v>3.7</v>
      </c>
      <c r="GI349" s="19">
        <v>2.1</v>
      </c>
      <c r="GJ349" s="19">
        <v>2</v>
      </c>
      <c r="GK349" s="19">
        <v>2</v>
      </c>
      <c r="GL349" s="19">
        <v>1.3</v>
      </c>
      <c r="GM349" s="19">
        <v>4.8</v>
      </c>
      <c r="GN349" s="19">
        <v>4.9</v>
      </c>
      <c r="GO349" s="19">
        <v>11.8</v>
      </c>
      <c r="GP349" s="19">
        <v>11.4</v>
      </c>
      <c r="GQ349" s="19">
        <v>12.7</v>
      </c>
      <c r="GR349" s="19">
        <v>11</v>
      </c>
      <c r="GS349" s="19">
        <v>11.7</v>
      </c>
    </row>
    <row r="350">
      <c r="A350" s="2" t="s">
        <v>2150</v>
      </c>
      <c r="B350" s="2" t="s">
        <v>630</v>
      </c>
      <c r="C350" s="2" t="s">
        <v>987</v>
      </c>
      <c r="D350" s="2" t="s">
        <v>228</v>
      </c>
      <c r="E350" s="2" t="s">
        <v>988</v>
      </c>
      <c r="F350" s="2" t="s">
        <v>2137</v>
      </c>
      <c r="G350" s="2" t="s">
        <v>2138</v>
      </c>
      <c r="H350" s="2" t="s">
        <v>2139</v>
      </c>
      <c r="I350" s="2" t="s">
        <v>2140</v>
      </c>
      <c r="J350" s="2" t="s">
        <v>241</v>
      </c>
      <c r="K350" s="2" t="s">
        <v>1002</v>
      </c>
      <c r="L350" s="3">
        <v>26.19</v>
      </c>
      <c r="M350" s="3">
        <v>27.5</v>
      </c>
      <c r="N350" s="3">
        <v>54.99</v>
      </c>
      <c r="O350" s="2" t="s">
        <v>196</v>
      </c>
      <c r="P350" s="2" t="s">
        <v>951</v>
      </c>
      <c r="Q350" s="2" t="s">
        <v>198</v>
      </c>
      <c r="R350" s="2" t="s">
        <v>199</v>
      </c>
      <c r="S350" s="2" t="s">
        <v>2141</v>
      </c>
      <c r="T350" s="2" t="s">
        <v>2142</v>
      </c>
      <c r="U350" s="2" t="s">
        <v>637</v>
      </c>
      <c r="V350" s="2" t="s">
        <v>1381</v>
      </c>
      <c r="W350" s="2" t="s">
        <v>727</v>
      </c>
      <c r="X350" s="2" t="s">
        <v>203</v>
      </c>
      <c r="Y350" s="2" t="s">
        <v>2151</v>
      </c>
      <c r="Z350" s="4">
        <v>2692</v>
      </c>
      <c r="AA350" s="4">
        <f>=ROUNDDOWN(70.8421052631579,0)</f>
      </c>
      <c r="AB350" s="5">
        <v>38</v>
      </c>
      <c r="AC350" s="2" t="s">
        <v>199</v>
      </c>
      <c r="AD350" s="4"/>
      <c r="AE350" s="4"/>
      <c r="AF350" s="6">
        <v>63</v>
      </c>
      <c r="AG350" s="6">
        <v>46</v>
      </c>
      <c r="AH350" s="7">
        <v>1</v>
      </c>
      <c r="AI350" s="4"/>
      <c r="AJ350" s="4">
        <f>=ROUNDDOWN({0},0)</f>
      </c>
      <c r="AK350" s="5"/>
      <c r="AL350" s="2" t="s">
        <v>199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199</v>
      </c>
      <c r="AW350" s="8" t="s">
        <v>199</v>
      </c>
      <c r="AX350" s="4" t="s">
        <v>199</v>
      </c>
      <c r="AY350" s="8" t="s">
        <v>199</v>
      </c>
      <c r="AZ350" s="7" t="s">
        <v>199</v>
      </c>
      <c r="BA350" s="7" t="s">
        <v>199</v>
      </c>
      <c r="BB350" s="7"/>
      <c r="BC350" s="4" t="s">
        <v>199</v>
      </c>
      <c r="BD350" s="8" t="s">
        <v>199</v>
      </c>
      <c r="BE350" s="4" t="s">
        <v>199</v>
      </c>
      <c r="BF350" s="8" t="s">
        <v>199</v>
      </c>
      <c r="BG350" s="7" t="s">
        <v>199</v>
      </c>
      <c r="BH350" s="7" t="s">
        <v>199</v>
      </c>
      <c r="BI350" s="7"/>
      <c r="BJ350" s="4">
        <v>268</v>
      </c>
      <c r="BK350" s="8">
        <v>7725.73</v>
      </c>
      <c r="BL350" s="2" t="s">
        <v>2152</v>
      </c>
      <c r="BM350" s="7"/>
      <c r="BN350" s="7"/>
      <c r="BO350" s="4"/>
      <c r="BP350" s="8"/>
      <c r="BQ350" s="4"/>
      <c r="BR350" s="8"/>
      <c r="BS350" s="7"/>
      <c r="BT350" s="7"/>
      <c r="BU350" s="2" t="s">
        <v>2145</v>
      </c>
      <c r="BV350" s="2" t="s">
        <v>199</v>
      </c>
      <c r="BW350" s="2" t="s">
        <v>199</v>
      </c>
      <c r="BX350" s="2" t="s">
        <v>998</v>
      </c>
      <c r="BY350" s="2" t="s">
        <v>209</v>
      </c>
      <c r="BZ350" s="2" t="s">
        <v>196</v>
      </c>
      <c r="CA350" s="2" t="s">
        <v>2146</v>
      </c>
      <c r="CB350" s="2" t="s">
        <v>1929</v>
      </c>
      <c r="CC350" s="2" t="s">
        <v>212</v>
      </c>
      <c r="CD350" s="2" t="s">
        <v>199</v>
      </c>
      <c r="CE350" s="4">
        <v>1704</v>
      </c>
      <c r="CF350" s="4"/>
      <c r="CG350" s="4"/>
      <c r="CH350" s="4">
        <v>988</v>
      </c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>
        <v>2708</v>
      </c>
      <c r="EU350" s="4">
        <v>2647</v>
      </c>
      <c r="EV350" s="4">
        <v>2599</v>
      </c>
      <c r="EW350" s="4">
        <v>2551</v>
      </c>
      <c r="EX350" s="4">
        <v>2513</v>
      </c>
      <c r="EY350" s="4">
        <v>2465</v>
      </c>
      <c r="EZ350" s="4">
        <v>2409</v>
      </c>
      <c r="FA350" s="4">
        <v>2353</v>
      </c>
      <c r="FB350" s="4">
        <v>2293</v>
      </c>
      <c r="FC350" s="4">
        <v>2237</v>
      </c>
      <c r="FD350" s="4">
        <v>2172</v>
      </c>
      <c r="FE350" s="4">
        <v>2107</v>
      </c>
      <c r="FF350" s="4">
        <v>2042</v>
      </c>
      <c r="FG350" s="4">
        <v>1977</v>
      </c>
      <c r="FH350" s="4">
        <v>1917</v>
      </c>
      <c r="FI350" s="4">
        <v>1857</v>
      </c>
      <c r="FJ350" s="4">
        <v>1797</v>
      </c>
      <c r="FK350" s="4">
        <v>1737</v>
      </c>
      <c r="FL350" s="4">
        <v>1677</v>
      </c>
      <c r="FM350" s="4">
        <v>1631</v>
      </c>
      <c r="FN350" s="4">
        <v>1585</v>
      </c>
      <c r="FO350" s="4">
        <v>1539</v>
      </c>
      <c r="FP350" s="4">
        <v>1493</v>
      </c>
      <c r="FQ350" s="4">
        <v>1455</v>
      </c>
      <c r="FR350" s="4">
        <v>1417</v>
      </c>
      <c r="FS350" s="4">
        <v>1379</v>
      </c>
      <c r="FT350" s="19">
        <v>54.4</v>
      </c>
      <c r="FU350" s="19">
        <v>58</v>
      </c>
      <c r="FV350" s="19">
        <v>53.3</v>
      </c>
      <c r="FW350" s="19">
        <v>50.2</v>
      </c>
      <c r="FX350" s="19">
        <v>44.9</v>
      </c>
      <c r="FY350" s="19">
        <v>41.7</v>
      </c>
      <c r="FZ350" s="19">
        <v>40</v>
      </c>
      <c r="GA350" s="19">
        <v>37.8</v>
      </c>
      <c r="GB350" s="19">
        <v>35.6</v>
      </c>
      <c r="GC350" s="19">
        <v>33.6</v>
      </c>
      <c r="GD350" s="19">
        <v>33.2</v>
      </c>
      <c r="GE350" s="19">
        <v>32.7</v>
      </c>
      <c r="GF350" s="19">
        <v>32.7</v>
      </c>
      <c r="GG350" s="19">
        <v>32.2</v>
      </c>
      <c r="GH350" s="19">
        <v>31.2</v>
      </c>
      <c r="GI350" s="19">
        <v>32.6</v>
      </c>
      <c r="GJ350" s="19">
        <v>33.4</v>
      </c>
      <c r="GK350" s="19">
        <v>34.3</v>
      </c>
      <c r="GL350" s="19">
        <v>36.5</v>
      </c>
      <c r="GM350" s="19">
        <v>37.1</v>
      </c>
      <c r="GN350" s="19">
        <v>37.7</v>
      </c>
      <c r="GO350" s="19">
        <v>38.5</v>
      </c>
      <c r="GP350" s="19">
        <v>39.3</v>
      </c>
      <c r="GQ350" s="19">
        <v>38.3</v>
      </c>
      <c r="GR350" s="19">
        <v>35.5</v>
      </c>
      <c r="GS350" s="19">
        <v>34.5</v>
      </c>
    </row>
    <row r="351">
      <c r="A351" s="2" t="s">
        <v>2153</v>
      </c>
      <c r="B351" s="2" t="s">
        <v>630</v>
      </c>
      <c r="C351" s="2" t="s">
        <v>987</v>
      </c>
      <c r="D351" s="2" t="s">
        <v>228</v>
      </c>
      <c r="E351" s="2" t="s">
        <v>988</v>
      </c>
      <c r="F351" s="2" t="s">
        <v>2137</v>
      </c>
      <c r="G351" s="2" t="s">
        <v>2138</v>
      </c>
      <c r="H351" s="2" t="s">
        <v>2139</v>
      </c>
      <c r="I351" s="2" t="s">
        <v>2140</v>
      </c>
      <c r="J351" s="2" t="s">
        <v>1011</v>
      </c>
      <c r="K351" s="2" t="s">
        <v>2154</v>
      </c>
      <c r="L351" s="3">
        <v>19.04</v>
      </c>
      <c r="M351" s="3">
        <v>19.99</v>
      </c>
      <c r="N351" s="3">
        <v>39.99</v>
      </c>
      <c r="O351" s="2" t="s">
        <v>196</v>
      </c>
      <c r="P351" s="2" t="s">
        <v>951</v>
      </c>
      <c r="Q351" s="2" t="s">
        <v>198</v>
      </c>
      <c r="R351" s="2" t="s">
        <v>199</v>
      </c>
      <c r="S351" s="2" t="s">
        <v>2155</v>
      </c>
      <c r="T351" s="2" t="s">
        <v>2142</v>
      </c>
      <c r="U351" s="2" t="s">
        <v>853</v>
      </c>
      <c r="V351" s="2" t="s">
        <v>1381</v>
      </c>
      <c r="W351" s="2" t="s">
        <v>727</v>
      </c>
      <c r="X351" s="2" t="s">
        <v>203</v>
      </c>
      <c r="Y351" s="2" t="s">
        <v>2143</v>
      </c>
      <c r="Z351" s="4">
        <v>423</v>
      </c>
      <c r="AA351" s="4">
        <f>=ROUNDDOWN(47,0)</f>
      </c>
      <c r="AB351" s="5">
        <v>9</v>
      </c>
      <c r="AC351" s="2" t="s">
        <v>199</v>
      </c>
      <c r="AD351" s="4"/>
      <c r="AE351" s="4"/>
      <c r="AF351" s="6">
        <v>63</v>
      </c>
      <c r="AG351" s="6">
        <v>46</v>
      </c>
      <c r="AH351" s="7">
        <v>1</v>
      </c>
      <c r="AI351" s="4"/>
      <c r="AJ351" s="4">
        <f>=ROUNDDOWN({0},0)</f>
      </c>
      <c r="AK351" s="5"/>
      <c r="AL351" s="2" t="s">
        <v>199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199</v>
      </c>
      <c r="BD351" s="8" t="s">
        <v>199</v>
      </c>
      <c r="BE351" s="4" t="s">
        <v>199</v>
      </c>
      <c r="BF351" s="8" t="s">
        <v>199</v>
      </c>
      <c r="BG351" s="7" t="s">
        <v>199</v>
      </c>
      <c r="BH351" s="7" t="s">
        <v>199</v>
      </c>
      <c r="BI351" s="7"/>
      <c r="BJ351" s="4">
        <v>53</v>
      </c>
      <c r="BK351" s="8">
        <v>1067.25</v>
      </c>
      <c r="BL351" s="2" t="s">
        <v>1600</v>
      </c>
      <c r="BM351" s="7"/>
      <c r="BN351" s="7"/>
      <c r="BO351" s="4"/>
      <c r="BP351" s="8"/>
      <c r="BQ351" s="4"/>
      <c r="BR351" s="8"/>
      <c r="BS351" s="7"/>
      <c r="BT351" s="7"/>
      <c r="BU351" s="2" t="s">
        <v>2145</v>
      </c>
      <c r="BV351" s="2" t="s">
        <v>199</v>
      </c>
      <c r="BW351" s="2" t="s">
        <v>199</v>
      </c>
      <c r="BX351" s="2" t="s">
        <v>998</v>
      </c>
      <c r="BY351" s="2" t="s">
        <v>209</v>
      </c>
      <c r="BZ351" s="2" t="s">
        <v>196</v>
      </c>
      <c r="CA351" s="2" t="s">
        <v>2146</v>
      </c>
      <c r="CB351" s="2" t="s">
        <v>2156</v>
      </c>
      <c r="CC351" s="2" t="s">
        <v>212</v>
      </c>
      <c r="CD351" s="2" t="s">
        <v>199</v>
      </c>
      <c r="CE351" s="4">
        <v>268</v>
      </c>
      <c r="CF351" s="4"/>
      <c r="CG351" s="4"/>
      <c r="CH351" s="4">
        <v>155</v>
      </c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>
        <v>423</v>
      </c>
      <c r="EU351" s="4">
        <v>411</v>
      </c>
      <c r="EV351" s="4">
        <v>399</v>
      </c>
      <c r="EW351" s="4">
        <v>387</v>
      </c>
      <c r="EX351" s="4">
        <v>378</v>
      </c>
      <c r="EY351" s="4">
        <v>366</v>
      </c>
      <c r="EZ351" s="4">
        <v>352</v>
      </c>
      <c r="FA351" s="4">
        <v>338</v>
      </c>
      <c r="FB351" s="4">
        <v>323</v>
      </c>
      <c r="FC351" s="4">
        <v>309</v>
      </c>
      <c r="FD351" s="4">
        <v>292</v>
      </c>
      <c r="FE351" s="4">
        <v>275</v>
      </c>
      <c r="FF351" s="4">
        <v>258</v>
      </c>
      <c r="FG351" s="4">
        <v>241</v>
      </c>
      <c r="FH351" s="4">
        <v>226</v>
      </c>
      <c r="FI351" s="4">
        <v>211</v>
      </c>
      <c r="FJ351" s="4">
        <v>196</v>
      </c>
      <c r="FK351" s="4">
        <v>181</v>
      </c>
      <c r="FL351" s="4">
        <v>166</v>
      </c>
      <c r="FM351" s="4">
        <v>156</v>
      </c>
      <c r="FN351" s="4">
        <v>146</v>
      </c>
      <c r="FO351" s="4">
        <v>136</v>
      </c>
      <c r="FP351" s="4">
        <v>126</v>
      </c>
      <c r="FQ351" s="4">
        <v>117</v>
      </c>
      <c r="FR351" s="4">
        <v>108</v>
      </c>
      <c r="FS351" s="4">
        <v>99</v>
      </c>
      <c r="FT351" s="19">
        <v>53.7</v>
      </c>
      <c r="FU351" s="19">
        <v>52.6</v>
      </c>
      <c r="FV351" s="19">
        <v>50.2</v>
      </c>
      <c r="FW351" s="19">
        <v>49.2</v>
      </c>
      <c r="FX351" s="19">
        <v>35</v>
      </c>
      <c r="FY351" s="19">
        <v>34.2</v>
      </c>
      <c r="FZ351" s="19">
        <v>32.4</v>
      </c>
      <c r="GA351" s="19">
        <v>30.8</v>
      </c>
      <c r="GB351" s="19">
        <v>29.9</v>
      </c>
      <c r="GC351" s="19">
        <v>28.5</v>
      </c>
      <c r="GD351" s="19">
        <v>27.5</v>
      </c>
      <c r="GE351" s="19">
        <v>26.9</v>
      </c>
      <c r="GF351" s="19">
        <v>26.3</v>
      </c>
      <c r="GG351" s="19">
        <v>25.2</v>
      </c>
      <c r="GH351" s="19">
        <v>24.2</v>
      </c>
      <c r="GI351" s="19">
        <v>23.5</v>
      </c>
      <c r="GJ351" s="19">
        <v>32.2</v>
      </c>
      <c r="GK351" s="19">
        <v>31.3</v>
      </c>
      <c r="GL351" s="19">
        <v>30.3</v>
      </c>
      <c r="GM351" s="19">
        <v>29.3</v>
      </c>
      <c r="GN351" s="19">
        <v>28.3</v>
      </c>
      <c r="GO351" s="19">
        <v>27.6</v>
      </c>
      <c r="GP351" s="19">
        <v>26.5</v>
      </c>
      <c r="GQ351" s="19">
        <v>13.8</v>
      </c>
      <c r="GR351" s="19">
        <v>12.9</v>
      </c>
      <c r="GS351" s="19">
        <v>12.1</v>
      </c>
    </row>
    <row r="352">
      <c r="A352" s="2" t="s">
        <v>2157</v>
      </c>
      <c r="B352" s="2" t="s">
        <v>672</v>
      </c>
      <c r="C352" s="2" t="s">
        <v>246</v>
      </c>
      <c r="D352" s="2" t="s">
        <v>673</v>
      </c>
      <c r="E352" s="2" t="s">
        <v>1499</v>
      </c>
      <c r="F352" s="2" t="s">
        <v>2158</v>
      </c>
      <c r="G352" s="2" t="s">
        <v>2159</v>
      </c>
      <c r="H352" s="2" t="s">
        <v>2160</v>
      </c>
      <c r="I352" s="2" t="s">
        <v>2161</v>
      </c>
      <c r="J352" s="2" t="s">
        <v>1511</v>
      </c>
      <c r="K352" s="2" t="s">
        <v>371</v>
      </c>
      <c r="L352" s="3">
        <v>29.25</v>
      </c>
      <c r="M352" s="3">
        <v>30.71</v>
      </c>
      <c r="N352" s="3">
        <v>64.99</v>
      </c>
      <c r="O352" s="2" t="s">
        <v>196</v>
      </c>
      <c r="P352" s="2" t="s">
        <v>197</v>
      </c>
      <c r="Q352" s="2" t="s">
        <v>198</v>
      </c>
      <c r="R352" s="2" t="s">
        <v>199</v>
      </c>
      <c r="S352" s="2" t="s">
        <v>2162</v>
      </c>
      <c r="T352" s="2" t="s">
        <v>386</v>
      </c>
      <c r="U352" s="2" t="s">
        <v>280</v>
      </c>
      <c r="V352" s="2" t="s">
        <v>202</v>
      </c>
      <c r="W352" s="2" t="s">
        <v>203</v>
      </c>
      <c r="X352" s="2" t="s">
        <v>199</v>
      </c>
      <c r="Y352" s="2" t="s">
        <v>2163</v>
      </c>
      <c r="Z352" s="4">
        <v>594</v>
      </c>
      <c r="AA352" s="4">
        <f>=ROUNDDOWN(49.5,0)</f>
      </c>
      <c r="AB352" s="5">
        <v>12</v>
      </c>
      <c r="AC352" s="2" t="s">
        <v>2164</v>
      </c>
      <c r="AD352" s="4">
        <v>54</v>
      </c>
      <c r="AE352" s="4">
        <v>96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34</v>
      </c>
      <c r="BK352" s="8">
        <v>1019.18</v>
      </c>
      <c r="BL352" s="2" t="s">
        <v>2165</v>
      </c>
      <c r="BM352" s="7"/>
      <c r="BN352" s="7"/>
      <c r="BO352" s="4"/>
      <c r="BP352" s="8"/>
      <c r="BQ352" s="4"/>
      <c r="BR352" s="8"/>
      <c r="BS352" s="7"/>
      <c r="BT352" s="7"/>
      <c r="BU352" s="2" t="s">
        <v>2166</v>
      </c>
      <c r="BV352" s="2" t="s">
        <v>199</v>
      </c>
      <c r="BW352" s="2" t="s">
        <v>199</v>
      </c>
      <c r="BX352" s="2" t="s">
        <v>686</v>
      </c>
      <c r="BY352" s="2" t="s">
        <v>209</v>
      </c>
      <c r="BZ352" s="2" t="s">
        <v>196</v>
      </c>
      <c r="CA352" s="2" t="s">
        <v>2167</v>
      </c>
      <c r="CB352" s="2" t="s">
        <v>894</v>
      </c>
      <c r="CC352" s="2" t="s">
        <v>212</v>
      </c>
      <c r="CD352" s="2" t="s">
        <v>199</v>
      </c>
      <c r="CE352" s="4">
        <v>594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>
        <v>54</v>
      </c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>
        <v>42</v>
      </c>
      <c r="EN352" s="4"/>
      <c r="EO352" s="4"/>
      <c r="EP352" s="4"/>
      <c r="EQ352" s="4"/>
      <c r="ER352" s="4"/>
      <c r="ES352" s="4"/>
      <c r="ET352" s="4">
        <v>603</v>
      </c>
      <c r="EU352" s="4">
        <v>589</v>
      </c>
      <c r="EV352" s="4">
        <v>579</v>
      </c>
      <c r="EW352" s="4">
        <v>565</v>
      </c>
      <c r="EX352" s="4">
        <v>551</v>
      </c>
      <c r="EY352" s="4">
        <v>537</v>
      </c>
      <c r="EZ352" s="4">
        <v>523</v>
      </c>
      <c r="FA352" s="4">
        <v>511</v>
      </c>
      <c r="FB352" s="4">
        <v>498</v>
      </c>
      <c r="FC352" s="4">
        <v>486</v>
      </c>
      <c r="FD352" s="4">
        <v>474</v>
      </c>
      <c r="FE352" s="4">
        <v>516</v>
      </c>
      <c r="FF352" s="4">
        <v>504</v>
      </c>
      <c r="FG352" s="4">
        <v>492</v>
      </c>
      <c r="FH352" s="4">
        <v>480</v>
      </c>
      <c r="FI352" s="4">
        <v>467</v>
      </c>
      <c r="FJ352" s="4">
        <v>497</v>
      </c>
      <c r="FK352" s="4">
        <v>485</v>
      </c>
      <c r="FL352" s="4">
        <v>473</v>
      </c>
      <c r="FM352" s="4">
        <v>461</v>
      </c>
      <c r="FN352" s="4">
        <v>448</v>
      </c>
      <c r="FO352" s="4">
        <v>436</v>
      </c>
      <c r="FP352" s="4">
        <v>423</v>
      </c>
      <c r="FQ352" s="4">
        <v>411</v>
      </c>
      <c r="FR352" s="4">
        <v>399</v>
      </c>
      <c r="FS352" s="4">
        <v>387</v>
      </c>
      <c r="FT352" s="19">
        <v>46.4</v>
      </c>
      <c r="FU352" s="19">
        <v>45.3</v>
      </c>
      <c r="FV352" s="19">
        <v>41.4</v>
      </c>
      <c r="FW352" s="19">
        <v>40.4</v>
      </c>
      <c r="FX352" s="19">
        <v>42.4</v>
      </c>
      <c r="FY352" s="19">
        <v>41.3</v>
      </c>
      <c r="FZ352" s="19">
        <v>43.6</v>
      </c>
      <c r="GA352" s="19">
        <v>42.6</v>
      </c>
      <c r="GB352" s="19">
        <v>41.5</v>
      </c>
      <c r="GC352" s="19">
        <v>40.5</v>
      </c>
      <c r="GD352" s="19">
        <v>39.5</v>
      </c>
      <c r="GE352" s="19">
        <v>43</v>
      </c>
      <c r="GF352" s="19">
        <v>42</v>
      </c>
      <c r="GG352" s="19">
        <v>41</v>
      </c>
      <c r="GH352" s="19">
        <v>40</v>
      </c>
      <c r="GI352" s="19">
        <v>38.9</v>
      </c>
      <c r="GJ352" s="19">
        <v>41.4</v>
      </c>
      <c r="GK352" s="19">
        <v>40.4</v>
      </c>
      <c r="GL352" s="19">
        <v>39.4</v>
      </c>
      <c r="GM352" s="19">
        <v>38.4</v>
      </c>
      <c r="GN352" s="19">
        <v>37.3</v>
      </c>
      <c r="GO352" s="19">
        <v>36.3</v>
      </c>
      <c r="GP352" s="19">
        <v>35.3</v>
      </c>
      <c r="GQ352" s="19">
        <v>34.3</v>
      </c>
      <c r="GR352" s="19">
        <v>33.3</v>
      </c>
      <c r="GS352" s="19">
        <v>32.3</v>
      </c>
    </row>
    <row r="353">
      <c r="A353" s="2" t="s">
        <v>2168</v>
      </c>
      <c r="B353" s="2" t="s">
        <v>1019</v>
      </c>
      <c r="C353" s="2" t="s">
        <v>2169</v>
      </c>
      <c r="D353" s="2" t="s">
        <v>1318</v>
      </c>
      <c r="E353" s="2" t="s">
        <v>1319</v>
      </c>
      <c r="F353" s="2" t="s">
        <v>2170</v>
      </c>
      <c r="G353" s="2" t="s">
        <v>2170</v>
      </c>
      <c r="H353" s="2" t="s">
        <v>2170</v>
      </c>
      <c r="I353" s="2" t="s">
        <v>2171</v>
      </c>
      <c r="J353" s="2" t="s">
        <v>232</v>
      </c>
      <c r="K353" s="2" t="s">
        <v>195</v>
      </c>
      <c r="L353" s="3">
        <v>27.6</v>
      </c>
      <c r="M353" s="3">
        <v>28.98</v>
      </c>
      <c r="N353" s="3">
        <v>59.99</v>
      </c>
      <c r="O353" s="2" t="s">
        <v>196</v>
      </c>
      <c r="P353" s="2" t="s">
        <v>197</v>
      </c>
      <c r="Q353" s="2" t="s">
        <v>198</v>
      </c>
      <c r="R353" s="2" t="s">
        <v>199</v>
      </c>
      <c r="S353" s="2" t="s">
        <v>2172</v>
      </c>
      <c r="T353" s="2" t="s">
        <v>300</v>
      </c>
      <c r="U353" s="2" t="s">
        <v>280</v>
      </c>
      <c r="V353" s="2" t="s">
        <v>202</v>
      </c>
      <c r="W353" s="2" t="s">
        <v>203</v>
      </c>
      <c r="X353" s="2" t="s">
        <v>728</v>
      </c>
      <c r="Y353" s="2" t="s">
        <v>2173</v>
      </c>
      <c r="Z353" s="4">
        <v>393</v>
      </c>
      <c r="AA353" s="4">
        <f>=ROUNDDOWN(58.6567164179105,0)</f>
      </c>
      <c r="AB353" s="5">
        <v>6.7</v>
      </c>
      <c r="AC353" s="2" t="s">
        <v>199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199</v>
      </c>
      <c r="AW353" s="8" t="s">
        <v>199</v>
      </c>
      <c r="AX353" s="4" t="s">
        <v>199</v>
      </c>
      <c r="AY353" s="8" t="s">
        <v>199</v>
      </c>
      <c r="AZ353" s="7" t="s">
        <v>199</v>
      </c>
      <c r="BA353" s="7" t="s">
        <v>199</v>
      </c>
      <c r="BB353" s="7"/>
      <c r="BC353" s="4" t="s">
        <v>199</v>
      </c>
      <c r="BD353" s="8" t="s">
        <v>199</v>
      </c>
      <c r="BE353" s="4" t="s">
        <v>199</v>
      </c>
      <c r="BF353" s="8" t="s">
        <v>199</v>
      </c>
      <c r="BG353" s="7" t="s">
        <v>199</v>
      </c>
      <c r="BH353" s="7" t="s">
        <v>199</v>
      </c>
      <c r="BI353" s="7"/>
      <c r="BJ353" s="4">
        <v>46</v>
      </c>
      <c r="BK353" s="8">
        <v>1408.51</v>
      </c>
      <c r="BL353" s="2" t="s">
        <v>2174</v>
      </c>
      <c r="BM353" s="7"/>
      <c r="BN353" s="7"/>
      <c r="BO353" s="4"/>
      <c r="BP353" s="8"/>
      <c r="BQ353" s="4"/>
      <c r="BR353" s="8"/>
      <c r="BS353" s="7"/>
      <c r="BT353" s="7"/>
      <c r="BU353" s="2" t="s">
        <v>2175</v>
      </c>
      <c r="BV353" s="2" t="s">
        <v>199</v>
      </c>
      <c r="BW353" s="2" t="s">
        <v>199</v>
      </c>
      <c r="BX353" s="2" t="s">
        <v>208</v>
      </c>
      <c r="BY353" s="2" t="s">
        <v>209</v>
      </c>
      <c r="BZ353" s="2" t="s">
        <v>196</v>
      </c>
      <c r="CA353" s="2" t="s">
        <v>2176</v>
      </c>
      <c r="CB353" s="2" t="s">
        <v>2177</v>
      </c>
      <c r="CC353" s="2" t="s">
        <v>212</v>
      </c>
      <c r="CD353" s="2" t="s">
        <v>199</v>
      </c>
      <c r="CE353" s="4">
        <v>393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>
        <v>395</v>
      </c>
      <c r="EU353" s="4">
        <v>366</v>
      </c>
      <c r="EV353" s="4">
        <v>359</v>
      </c>
      <c r="EW353" s="4">
        <v>352</v>
      </c>
      <c r="EX353" s="4">
        <v>345</v>
      </c>
      <c r="EY353" s="4">
        <v>338</v>
      </c>
      <c r="EZ353" s="4">
        <v>329</v>
      </c>
      <c r="FA353" s="4">
        <v>320</v>
      </c>
      <c r="FB353" s="4">
        <v>310</v>
      </c>
      <c r="FC353" s="4">
        <v>301</v>
      </c>
      <c r="FD353" s="4">
        <v>287</v>
      </c>
      <c r="FE353" s="4">
        <v>273</v>
      </c>
      <c r="FF353" s="4">
        <v>259</v>
      </c>
      <c r="FG353" s="4">
        <v>245</v>
      </c>
      <c r="FH353" s="4">
        <v>230</v>
      </c>
      <c r="FI353" s="4">
        <v>216</v>
      </c>
      <c r="FJ353" s="4">
        <v>201</v>
      </c>
      <c r="FK353" s="4">
        <v>189</v>
      </c>
      <c r="FL353" s="4">
        <v>173</v>
      </c>
      <c r="FM353" s="4">
        <v>157</v>
      </c>
      <c r="FN353" s="4">
        <v>141</v>
      </c>
      <c r="FO353" s="4">
        <v>125</v>
      </c>
      <c r="FP353" s="4">
        <v>108</v>
      </c>
      <c r="FQ353" s="4">
        <v>92</v>
      </c>
      <c r="FR353" s="4">
        <v>76</v>
      </c>
      <c r="FS353" s="4">
        <v>153</v>
      </c>
      <c r="FT353" s="19">
        <v>32.9</v>
      </c>
      <c r="FU353" s="19">
        <v>52.3</v>
      </c>
      <c r="FV353" s="19">
        <v>44.9</v>
      </c>
      <c r="FW353" s="19">
        <v>44</v>
      </c>
      <c r="FX353" s="19">
        <v>38.3</v>
      </c>
      <c r="FY353" s="19">
        <v>37.6</v>
      </c>
      <c r="FZ353" s="19">
        <v>32.9</v>
      </c>
      <c r="GA353" s="19">
        <v>26.7</v>
      </c>
      <c r="GB353" s="19">
        <v>23.8</v>
      </c>
      <c r="GC353" s="19">
        <v>21.5</v>
      </c>
      <c r="GD353" s="19">
        <v>20.5</v>
      </c>
      <c r="GE353" s="19">
        <v>19.5</v>
      </c>
      <c r="GF353" s="19">
        <v>18.5</v>
      </c>
      <c r="GG353" s="19">
        <v>17.5</v>
      </c>
      <c r="GH353" s="19">
        <v>16.4</v>
      </c>
      <c r="GI353" s="19">
        <v>14.4</v>
      </c>
      <c r="GJ353" s="19">
        <v>13.4</v>
      </c>
      <c r="GK353" s="19">
        <v>11.8</v>
      </c>
      <c r="GL353" s="19">
        <v>10.8</v>
      </c>
      <c r="GM353" s="19">
        <v>9.8</v>
      </c>
      <c r="GN353" s="19">
        <v>8.8</v>
      </c>
      <c r="GO353" s="19">
        <v>7.8</v>
      </c>
      <c r="GP353" s="19">
        <v>6.8</v>
      </c>
      <c r="GQ353" s="19">
        <v>5.8</v>
      </c>
      <c r="GR353" s="19">
        <v>4.8</v>
      </c>
      <c r="GS353" s="19">
        <v>9.6</v>
      </c>
    </row>
    <row r="354">
      <c r="A354" s="2" t="s">
        <v>2178</v>
      </c>
      <c r="B354" s="2" t="s">
        <v>1019</v>
      </c>
      <c r="C354" s="2" t="s">
        <v>2169</v>
      </c>
      <c r="D354" s="2" t="s">
        <v>1318</v>
      </c>
      <c r="E354" s="2" t="s">
        <v>1319</v>
      </c>
      <c r="F354" s="2" t="s">
        <v>2170</v>
      </c>
      <c r="G354" s="2" t="s">
        <v>2170</v>
      </c>
      <c r="H354" s="2" t="s">
        <v>2170</v>
      </c>
      <c r="I354" s="2" t="s">
        <v>2171</v>
      </c>
      <c r="J354" s="2" t="s">
        <v>223</v>
      </c>
      <c r="K354" s="2" t="s">
        <v>195</v>
      </c>
      <c r="L354" s="3">
        <v>32.9</v>
      </c>
      <c r="M354" s="3">
        <v>34.54</v>
      </c>
      <c r="N354" s="3">
        <v>69.99</v>
      </c>
      <c r="O354" s="2" t="s">
        <v>196</v>
      </c>
      <c r="P354" s="2" t="s">
        <v>197</v>
      </c>
      <c r="Q354" s="2" t="s">
        <v>198</v>
      </c>
      <c r="R354" s="2" t="s">
        <v>199</v>
      </c>
      <c r="S354" s="2" t="s">
        <v>2172</v>
      </c>
      <c r="T354" s="2" t="s">
        <v>300</v>
      </c>
      <c r="U354" s="2" t="s">
        <v>280</v>
      </c>
      <c r="V354" s="2" t="s">
        <v>202</v>
      </c>
      <c r="W354" s="2" t="s">
        <v>203</v>
      </c>
      <c r="X354" s="2" t="s">
        <v>728</v>
      </c>
      <c r="Y354" s="2" t="s">
        <v>2173</v>
      </c>
      <c r="Z354" s="4">
        <v>580</v>
      </c>
      <c r="AA354" s="4">
        <f>=ROUNDDOWN(93.5483870967742,0)</f>
      </c>
      <c r="AB354" s="5">
        <v>6.2</v>
      </c>
      <c r="AC354" s="2" t="s">
        <v>199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199</v>
      </c>
      <c r="AW354" s="8" t="s">
        <v>199</v>
      </c>
      <c r="AX354" s="4" t="s">
        <v>199</v>
      </c>
      <c r="AY354" s="8" t="s">
        <v>199</v>
      </c>
      <c r="AZ354" s="7" t="s">
        <v>199</v>
      </c>
      <c r="BA354" s="7" t="s">
        <v>199</v>
      </c>
      <c r="BB354" s="7"/>
      <c r="BC354" s="4" t="s">
        <v>199</v>
      </c>
      <c r="BD354" s="8" t="s">
        <v>199</v>
      </c>
      <c r="BE354" s="4" t="s">
        <v>199</v>
      </c>
      <c r="BF354" s="8" t="s">
        <v>199</v>
      </c>
      <c r="BG354" s="7" t="s">
        <v>199</v>
      </c>
      <c r="BH354" s="7" t="s">
        <v>199</v>
      </c>
      <c r="BI354" s="7"/>
      <c r="BJ354" s="4">
        <v>47</v>
      </c>
      <c r="BK354" s="8">
        <v>1705.67</v>
      </c>
      <c r="BL354" s="2" t="s">
        <v>2179</v>
      </c>
      <c r="BM354" s="7"/>
      <c r="BN354" s="7"/>
      <c r="BO354" s="4"/>
      <c r="BP354" s="8"/>
      <c r="BQ354" s="4"/>
      <c r="BR354" s="8"/>
      <c r="BS354" s="7"/>
      <c r="BT354" s="7"/>
      <c r="BU354" s="2" t="s">
        <v>2175</v>
      </c>
      <c r="BV354" s="2" t="s">
        <v>199</v>
      </c>
      <c r="BW354" s="2" t="s">
        <v>199</v>
      </c>
      <c r="BX354" s="2" t="s">
        <v>208</v>
      </c>
      <c r="BY354" s="2" t="s">
        <v>209</v>
      </c>
      <c r="BZ354" s="2" t="s">
        <v>196</v>
      </c>
      <c r="CA354" s="2" t="s">
        <v>2176</v>
      </c>
      <c r="CB354" s="2" t="s">
        <v>2177</v>
      </c>
      <c r="CC354" s="2" t="s">
        <v>212</v>
      </c>
      <c r="CD354" s="2" t="s">
        <v>199</v>
      </c>
      <c r="CE354" s="4">
        <v>580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>
        <v>585</v>
      </c>
      <c r="EU354" s="4">
        <v>555</v>
      </c>
      <c r="EV354" s="4">
        <v>549</v>
      </c>
      <c r="EW354" s="4">
        <v>543</v>
      </c>
      <c r="EX354" s="4">
        <v>537</v>
      </c>
      <c r="EY354" s="4">
        <v>531</v>
      </c>
      <c r="EZ354" s="4">
        <v>524</v>
      </c>
      <c r="FA354" s="4">
        <v>517</v>
      </c>
      <c r="FB354" s="4">
        <v>509</v>
      </c>
      <c r="FC354" s="4">
        <v>502</v>
      </c>
      <c r="FD354" s="4">
        <v>491</v>
      </c>
      <c r="FE354" s="4">
        <v>480</v>
      </c>
      <c r="FF354" s="4">
        <v>469</v>
      </c>
      <c r="FG354" s="4">
        <v>458</v>
      </c>
      <c r="FH354" s="4">
        <v>446</v>
      </c>
      <c r="FI354" s="4">
        <v>435</v>
      </c>
      <c r="FJ354" s="4">
        <v>423</v>
      </c>
      <c r="FK354" s="4">
        <v>414</v>
      </c>
      <c r="FL354" s="4">
        <v>402</v>
      </c>
      <c r="FM354" s="4">
        <v>390</v>
      </c>
      <c r="FN354" s="4">
        <v>378</v>
      </c>
      <c r="FO354" s="4">
        <v>366</v>
      </c>
      <c r="FP354" s="4">
        <v>353</v>
      </c>
      <c r="FQ354" s="4">
        <v>341</v>
      </c>
      <c r="FR354" s="4">
        <v>329</v>
      </c>
      <c r="FS354" s="4">
        <v>317</v>
      </c>
      <c r="FT354" s="19">
        <v>48.8</v>
      </c>
      <c r="FU354" s="19">
        <v>92.5</v>
      </c>
      <c r="FV354" s="19">
        <v>91.5</v>
      </c>
      <c r="FW354" s="19">
        <v>90.5</v>
      </c>
      <c r="FX354" s="19">
        <v>76.7</v>
      </c>
      <c r="FY354" s="19">
        <v>75.9</v>
      </c>
      <c r="FZ354" s="19">
        <v>65.5</v>
      </c>
      <c r="GA354" s="19">
        <v>57.4</v>
      </c>
      <c r="GB354" s="19">
        <v>50.9</v>
      </c>
      <c r="GC354" s="19">
        <v>45.6</v>
      </c>
      <c r="GD354" s="19">
        <v>44.6</v>
      </c>
      <c r="GE354" s="19">
        <v>43.6</v>
      </c>
      <c r="GF354" s="19">
        <v>39.1</v>
      </c>
      <c r="GG354" s="19">
        <v>41.6</v>
      </c>
      <c r="GH354" s="19">
        <v>40.5</v>
      </c>
      <c r="GI354" s="19">
        <v>39.5</v>
      </c>
      <c r="GJ354" s="19">
        <v>38.5</v>
      </c>
      <c r="GK354" s="19">
        <v>34.5</v>
      </c>
      <c r="GL354" s="19">
        <v>33.5</v>
      </c>
      <c r="GM354" s="19">
        <v>32.5</v>
      </c>
      <c r="GN354" s="19">
        <v>31.5</v>
      </c>
      <c r="GO354" s="19">
        <v>30.5</v>
      </c>
      <c r="GP354" s="19">
        <v>29.4</v>
      </c>
      <c r="GQ354" s="19">
        <v>28.4</v>
      </c>
      <c r="GR354" s="19">
        <v>27.4</v>
      </c>
      <c r="GS354" s="19">
        <v>26.4</v>
      </c>
    </row>
    <row r="355">
      <c r="A355" s="2" t="s">
        <v>2180</v>
      </c>
      <c r="B355" s="2" t="s">
        <v>1019</v>
      </c>
      <c r="C355" s="2" t="s">
        <v>2169</v>
      </c>
      <c r="D355" s="2" t="s">
        <v>1318</v>
      </c>
      <c r="E355" s="2" t="s">
        <v>1319</v>
      </c>
      <c r="F355" s="2" t="s">
        <v>2170</v>
      </c>
      <c r="G355" s="2" t="s">
        <v>2170</v>
      </c>
      <c r="H355" s="2" t="s">
        <v>2170</v>
      </c>
      <c r="I355" s="2" t="s">
        <v>2171</v>
      </c>
      <c r="J355" s="2" t="s">
        <v>232</v>
      </c>
      <c r="K355" s="2" t="s">
        <v>584</v>
      </c>
      <c r="L355" s="3">
        <v>27.6</v>
      </c>
      <c r="M355" s="3">
        <v>28.98</v>
      </c>
      <c r="N355" s="3">
        <v>59.99</v>
      </c>
      <c r="O355" s="2" t="s">
        <v>196</v>
      </c>
      <c r="P355" s="2" t="s">
        <v>197</v>
      </c>
      <c r="Q355" s="2" t="s">
        <v>198</v>
      </c>
      <c r="R355" s="2" t="s">
        <v>199</v>
      </c>
      <c r="S355" s="2" t="s">
        <v>2181</v>
      </c>
      <c r="T355" s="2" t="s">
        <v>300</v>
      </c>
      <c r="U355" s="2" t="s">
        <v>280</v>
      </c>
      <c r="V355" s="2" t="s">
        <v>202</v>
      </c>
      <c r="W355" s="2" t="s">
        <v>203</v>
      </c>
      <c r="X355" s="2" t="s">
        <v>728</v>
      </c>
      <c r="Y355" s="2" t="s">
        <v>2173</v>
      </c>
      <c r="Z355" s="4">
        <v>288</v>
      </c>
      <c r="AA355" s="4">
        <f>=ROUNDDOWN(48,0)</f>
      </c>
      <c r="AB355" s="5">
        <v>6</v>
      </c>
      <c r="AC355" s="2" t="s">
        <v>199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199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199</v>
      </c>
      <c r="AW355" s="8" t="s">
        <v>199</v>
      </c>
      <c r="AX355" s="4" t="s">
        <v>199</v>
      </c>
      <c r="AY355" s="8" t="s">
        <v>199</v>
      </c>
      <c r="AZ355" s="7" t="s">
        <v>199</v>
      </c>
      <c r="BA355" s="7" t="s">
        <v>199</v>
      </c>
      <c r="BB355" s="7"/>
      <c r="BC355" s="4" t="s">
        <v>199</v>
      </c>
      <c r="BD355" s="8" t="s">
        <v>199</v>
      </c>
      <c r="BE355" s="4" t="s">
        <v>199</v>
      </c>
      <c r="BF355" s="8" t="s">
        <v>199</v>
      </c>
      <c r="BG355" s="7" t="s">
        <v>199</v>
      </c>
      <c r="BH355" s="7" t="s">
        <v>199</v>
      </c>
      <c r="BI355" s="7"/>
      <c r="BJ355" s="4">
        <v>33</v>
      </c>
      <c r="BK355" s="8">
        <v>1011.93</v>
      </c>
      <c r="BL355" s="2" t="s">
        <v>2182</v>
      </c>
      <c r="BM355" s="7"/>
      <c r="BN355" s="7"/>
      <c r="BO355" s="4"/>
      <c r="BP355" s="8"/>
      <c r="BQ355" s="4"/>
      <c r="BR355" s="8"/>
      <c r="BS355" s="7"/>
      <c r="BT355" s="7"/>
      <c r="BU355" s="2" t="s">
        <v>2175</v>
      </c>
      <c r="BV355" s="2" t="s">
        <v>199</v>
      </c>
      <c r="BW355" s="2" t="s">
        <v>199</v>
      </c>
      <c r="BX355" s="2" t="s">
        <v>208</v>
      </c>
      <c r="BY355" s="2" t="s">
        <v>209</v>
      </c>
      <c r="BZ355" s="2" t="s">
        <v>196</v>
      </c>
      <c r="CA355" s="2" t="s">
        <v>2176</v>
      </c>
      <c r="CB355" s="2" t="s">
        <v>2177</v>
      </c>
      <c r="CC355" s="2" t="s">
        <v>212</v>
      </c>
      <c r="CD355" s="2" t="s">
        <v>199</v>
      </c>
      <c r="CE355" s="4">
        <v>288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>
        <v>290</v>
      </c>
      <c r="EU355" s="4">
        <v>269</v>
      </c>
      <c r="EV355" s="4">
        <v>263</v>
      </c>
      <c r="EW355" s="4">
        <v>257</v>
      </c>
      <c r="EX355" s="4">
        <v>251</v>
      </c>
      <c r="EY355" s="4">
        <v>245</v>
      </c>
      <c r="EZ355" s="4">
        <v>237</v>
      </c>
      <c r="FA355" s="4">
        <v>229</v>
      </c>
      <c r="FB355" s="4">
        <v>220</v>
      </c>
      <c r="FC355" s="4">
        <v>212</v>
      </c>
      <c r="FD355" s="4">
        <v>200</v>
      </c>
      <c r="FE355" s="4">
        <v>188</v>
      </c>
      <c r="FF355" s="4">
        <v>176</v>
      </c>
      <c r="FG355" s="4">
        <v>164</v>
      </c>
      <c r="FH355" s="4">
        <v>151</v>
      </c>
      <c r="FI355" s="4">
        <v>139</v>
      </c>
      <c r="FJ355" s="4">
        <v>126</v>
      </c>
      <c r="FK355" s="4">
        <v>115</v>
      </c>
      <c r="FL355" s="4">
        <v>100</v>
      </c>
      <c r="FM355" s="4">
        <v>85</v>
      </c>
      <c r="FN355" s="4">
        <v>70</v>
      </c>
      <c r="FO355" s="4">
        <v>55</v>
      </c>
      <c r="FP355" s="4">
        <v>39</v>
      </c>
      <c r="FQ355" s="4">
        <v>24</v>
      </c>
      <c r="FR355" s="4">
        <v>9</v>
      </c>
      <c r="FS355" s="4">
        <v>142</v>
      </c>
      <c r="FT355" s="19">
        <v>29</v>
      </c>
      <c r="FU355" s="19">
        <v>44.8</v>
      </c>
      <c r="FV355" s="19">
        <v>43.8</v>
      </c>
      <c r="FW355" s="19">
        <v>36.7</v>
      </c>
      <c r="FX355" s="19">
        <v>31.4</v>
      </c>
      <c r="FY355" s="19">
        <v>30.6</v>
      </c>
      <c r="FZ355" s="19">
        <v>26.3</v>
      </c>
      <c r="GA355" s="19">
        <v>22.9</v>
      </c>
      <c r="GB355" s="19">
        <v>20</v>
      </c>
      <c r="GC355" s="19">
        <v>17.7</v>
      </c>
      <c r="GD355" s="19">
        <v>16.7</v>
      </c>
      <c r="GE355" s="19">
        <v>15.7</v>
      </c>
      <c r="GF355" s="19">
        <v>14.7</v>
      </c>
      <c r="GG355" s="19">
        <v>13.7</v>
      </c>
      <c r="GH355" s="19">
        <v>11.6</v>
      </c>
      <c r="GI355" s="19">
        <v>9.9</v>
      </c>
      <c r="GJ355" s="19">
        <v>9</v>
      </c>
      <c r="GK355" s="19">
        <v>7.7</v>
      </c>
      <c r="GL355" s="19">
        <v>6.7</v>
      </c>
      <c r="GM355" s="19">
        <v>5.7</v>
      </c>
      <c r="GN355" s="19">
        <v>4.7</v>
      </c>
      <c r="GO355" s="19">
        <v>3.7</v>
      </c>
      <c r="GP355" s="19">
        <v>2.6</v>
      </c>
      <c r="GQ355" s="19">
        <v>1.6</v>
      </c>
      <c r="GR355" s="19">
        <v>0.6</v>
      </c>
      <c r="GS355" s="19">
        <v>9.5</v>
      </c>
    </row>
    <row r="356">
      <c r="A356" s="2" t="s">
        <v>2183</v>
      </c>
      <c r="B356" s="2" t="s">
        <v>1019</v>
      </c>
      <c r="C356" s="2" t="s">
        <v>2169</v>
      </c>
      <c r="D356" s="2" t="s">
        <v>1318</v>
      </c>
      <c r="E356" s="2" t="s">
        <v>1319</v>
      </c>
      <c r="F356" s="2" t="s">
        <v>2170</v>
      </c>
      <c r="G356" s="2" t="s">
        <v>2170</v>
      </c>
      <c r="H356" s="2" t="s">
        <v>2170</v>
      </c>
      <c r="I356" s="2" t="s">
        <v>2171</v>
      </c>
      <c r="J356" s="2" t="s">
        <v>223</v>
      </c>
      <c r="K356" s="2" t="s">
        <v>584</v>
      </c>
      <c r="L356" s="3">
        <v>32.9</v>
      </c>
      <c r="M356" s="3">
        <v>34.54</v>
      </c>
      <c r="N356" s="3">
        <v>69.99</v>
      </c>
      <c r="O356" s="2" t="s">
        <v>196</v>
      </c>
      <c r="P356" s="2" t="s">
        <v>197</v>
      </c>
      <c r="Q356" s="2" t="s">
        <v>198</v>
      </c>
      <c r="R356" s="2" t="s">
        <v>199</v>
      </c>
      <c r="S356" s="2" t="s">
        <v>2181</v>
      </c>
      <c r="T356" s="2" t="s">
        <v>300</v>
      </c>
      <c r="U356" s="2" t="s">
        <v>280</v>
      </c>
      <c r="V356" s="2" t="s">
        <v>202</v>
      </c>
      <c r="W356" s="2" t="s">
        <v>203</v>
      </c>
      <c r="X356" s="2" t="s">
        <v>728</v>
      </c>
      <c r="Y356" s="2" t="s">
        <v>2173</v>
      </c>
      <c r="Z356" s="4">
        <v>486</v>
      </c>
      <c r="AA356" s="4">
        <f>=ROUNDDOWN(81,0)</f>
      </c>
      <c r="AB356" s="5">
        <v>6</v>
      </c>
      <c r="AC356" s="2" t="s">
        <v>199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199</v>
      </c>
      <c r="AW356" s="8" t="s">
        <v>199</v>
      </c>
      <c r="AX356" s="4" t="s">
        <v>199</v>
      </c>
      <c r="AY356" s="8" t="s">
        <v>199</v>
      </c>
      <c r="AZ356" s="7" t="s">
        <v>199</v>
      </c>
      <c r="BA356" s="7" t="s">
        <v>199</v>
      </c>
      <c r="BB356" s="7"/>
      <c r="BC356" s="4" t="s">
        <v>199</v>
      </c>
      <c r="BD356" s="8" t="s">
        <v>199</v>
      </c>
      <c r="BE356" s="4" t="s">
        <v>199</v>
      </c>
      <c r="BF356" s="8" t="s">
        <v>199</v>
      </c>
      <c r="BG356" s="7" t="s">
        <v>199</v>
      </c>
      <c r="BH356" s="7" t="s">
        <v>199</v>
      </c>
      <c r="BI356" s="7"/>
      <c r="BJ356" s="4">
        <v>40</v>
      </c>
      <c r="BK356" s="8">
        <v>1433.17</v>
      </c>
      <c r="BL356" s="2" t="s">
        <v>2184</v>
      </c>
      <c r="BM356" s="7"/>
      <c r="BN356" s="7"/>
      <c r="BO356" s="4"/>
      <c r="BP356" s="8"/>
      <c r="BQ356" s="4"/>
      <c r="BR356" s="8"/>
      <c r="BS356" s="7"/>
      <c r="BT356" s="7"/>
      <c r="BU356" s="2" t="s">
        <v>2175</v>
      </c>
      <c r="BV356" s="2" t="s">
        <v>199</v>
      </c>
      <c r="BW356" s="2" t="s">
        <v>199</v>
      </c>
      <c r="BX356" s="2" t="s">
        <v>208</v>
      </c>
      <c r="BY356" s="2" t="s">
        <v>209</v>
      </c>
      <c r="BZ356" s="2" t="s">
        <v>196</v>
      </c>
      <c r="CA356" s="2" t="s">
        <v>2176</v>
      </c>
      <c r="CB356" s="2" t="s">
        <v>2185</v>
      </c>
      <c r="CC356" s="2" t="s">
        <v>212</v>
      </c>
      <c r="CD356" s="2" t="s">
        <v>199</v>
      </c>
      <c r="CE356" s="4">
        <v>485</v>
      </c>
      <c r="CF356" s="4"/>
      <c r="CG356" s="4"/>
      <c r="CH356" s="4"/>
      <c r="CI356" s="4"/>
      <c r="CJ356" s="4"/>
      <c r="CK356" s="4"/>
      <c r="CL356" s="4">
        <v>1</v>
      </c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>
        <v>489</v>
      </c>
      <c r="EU356" s="4">
        <v>466</v>
      </c>
      <c r="EV356" s="4">
        <v>460</v>
      </c>
      <c r="EW356" s="4">
        <v>454</v>
      </c>
      <c r="EX356" s="4">
        <v>448</v>
      </c>
      <c r="EY356" s="4">
        <v>442</v>
      </c>
      <c r="EZ356" s="4">
        <v>434</v>
      </c>
      <c r="FA356" s="4">
        <v>426</v>
      </c>
      <c r="FB356" s="4">
        <v>418</v>
      </c>
      <c r="FC356" s="4">
        <v>410</v>
      </c>
      <c r="FD356" s="4">
        <v>399</v>
      </c>
      <c r="FE356" s="4">
        <v>388</v>
      </c>
      <c r="FF356" s="4">
        <v>377</v>
      </c>
      <c r="FG356" s="4">
        <v>366</v>
      </c>
      <c r="FH356" s="4">
        <v>354</v>
      </c>
      <c r="FI356" s="4">
        <v>343</v>
      </c>
      <c r="FJ356" s="4">
        <v>331</v>
      </c>
      <c r="FK356" s="4">
        <v>321</v>
      </c>
      <c r="FL356" s="4">
        <v>307</v>
      </c>
      <c r="FM356" s="4">
        <v>293</v>
      </c>
      <c r="FN356" s="4">
        <v>279</v>
      </c>
      <c r="FO356" s="4">
        <v>265</v>
      </c>
      <c r="FP356" s="4">
        <v>250</v>
      </c>
      <c r="FQ356" s="4">
        <v>236</v>
      </c>
      <c r="FR356" s="4">
        <v>222</v>
      </c>
      <c r="FS356" s="4">
        <v>208</v>
      </c>
      <c r="FT356" s="19">
        <v>48.9</v>
      </c>
      <c r="FU356" s="19">
        <v>77.7</v>
      </c>
      <c r="FV356" s="19">
        <v>76.7</v>
      </c>
      <c r="FW356" s="19">
        <v>64.9</v>
      </c>
      <c r="FX356" s="19">
        <v>56</v>
      </c>
      <c r="FY356" s="19">
        <v>55.3</v>
      </c>
      <c r="FZ356" s="19">
        <v>48.2</v>
      </c>
      <c r="GA356" s="19">
        <v>42.6</v>
      </c>
      <c r="GB356" s="19">
        <v>41.8</v>
      </c>
      <c r="GC356" s="19">
        <v>37.3</v>
      </c>
      <c r="GD356" s="19">
        <v>36.3</v>
      </c>
      <c r="GE356" s="19">
        <v>35.3</v>
      </c>
      <c r="GF356" s="19">
        <v>31.4</v>
      </c>
      <c r="GG356" s="19">
        <v>33.3</v>
      </c>
      <c r="GH356" s="19">
        <v>29.5</v>
      </c>
      <c r="GI356" s="19">
        <v>28.6</v>
      </c>
      <c r="GJ356" s="19">
        <v>25.5</v>
      </c>
      <c r="GK356" s="19">
        <v>22.9</v>
      </c>
      <c r="GL356" s="19">
        <v>21.9</v>
      </c>
      <c r="GM356" s="19">
        <v>20.9</v>
      </c>
      <c r="GN356" s="19">
        <v>19.9</v>
      </c>
      <c r="GO356" s="19">
        <v>18.9</v>
      </c>
      <c r="GP356" s="19">
        <v>17.9</v>
      </c>
      <c r="GQ356" s="19">
        <v>16.9</v>
      </c>
      <c r="GR356" s="19">
        <v>15.9</v>
      </c>
      <c r="GS356" s="19">
        <v>14.9</v>
      </c>
    </row>
    <row r="357">
      <c r="A357" s="2" t="s">
        <v>2186</v>
      </c>
      <c r="B357" s="2" t="s">
        <v>1019</v>
      </c>
      <c r="C357" s="2" t="s">
        <v>2169</v>
      </c>
      <c r="D357" s="2" t="s">
        <v>1318</v>
      </c>
      <c r="E357" s="2" t="s">
        <v>1319</v>
      </c>
      <c r="F357" s="2" t="s">
        <v>2170</v>
      </c>
      <c r="G357" s="2" t="s">
        <v>2170</v>
      </c>
      <c r="H357" s="2" t="s">
        <v>2170</v>
      </c>
      <c r="I357" s="2" t="s">
        <v>2171</v>
      </c>
      <c r="J357" s="2" t="s">
        <v>232</v>
      </c>
      <c r="K357" s="2" t="s">
        <v>1037</v>
      </c>
      <c r="L357" s="3">
        <v>27.6</v>
      </c>
      <c r="M357" s="3">
        <v>28.98</v>
      </c>
      <c r="N357" s="3">
        <v>59.99</v>
      </c>
      <c r="O357" s="2" t="s">
        <v>196</v>
      </c>
      <c r="P357" s="2" t="s">
        <v>197</v>
      </c>
      <c r="Q357" s="2" t="s">
        <v>198</v>
      </c>
      <c r="R357" s="2" t="s">
        <v>199</v>
      </c>
      <c r="S357" s="2" t="s">
        <v>2187</v>
      </c>
      <c r="T357" s="2" t="s">
        <v>300</v>
      </c>
      <c r="U357" s="2" t="s">
        <v>280</v>
      </c>
      <c r="V357" s="2" t="s">
        <v>202</v>
      </c>
      <c r="W357" s="2" t="s">
        <v>203</v>
      </c>
      <c r="X357" s="2" t="s">
        <v>728</v>
      </c>
      <c r="Y357" s="2" t="s">
        <v>2188</v>
      </c>
      <c r="Z357" s="4">
        <v>368</v>
      </c>
      <c r="AA357" s="4">
        <f>=ROUNDDOWN(92,0)</f>
      </c>
      <c r="AB357" s="5">
        <v>4</v>
      </c>
      <c r="AC357" s="2" t="s">
        <v>199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199</v>
      </c>
      <c r="BD357" s="8" t="s">
        <v>199</v>
      </c>
      <c r="BE357" s="4" t="s">
        <v>199</v>
      </c>
      <c r="BF357" s="8" t="s">
        <v>199</v>
      </c>
      <c r="BG357" s="7" t="s">
        <v>199</v>
      </c>
      <c r="BH357" s="7" t="s">
        <v>199</v>
      </c>
      <c r="BI357" s="7"/>
      <c r="BJ357" s="4">
        <v>36</v>
      </c>
      <c r="BK357" s="8">
        <v>1097.73</v>
      </c>
      <c r="BL357" s="2" t="s">
        <v>1346</v>
      </c>
      <c r="BM357" s="7"/>
      <c r="BN357" s="7"/>
      <c r="BO357" s="4"/>
      <c r="BP357" s="8"/>
      <c r="BQ357" s="4"/>
      <c r="BR357" s="8"/>
      <c r="BS357" s="7"/>
      <c r="BT357" s="7"/>
      <c r="BU357" s="2" t="s">
        <v>2175</v>
      </c>
      <c r="BV357" s="2" t="s">
        <v>199</v>
      </c>
      <c r="BW357" s="2" t="s">
        <v>199</v>
      </c>
      <c r="BX357" s="2" t="s">
        <v>208</v>
      </c>
      <c r="BY357" s="2" t="s">
        <v>209</v>
      </c>
      <c r="BZ357" s="2" t="s">
        <v>196</v>
      </c>
      <c r="CA357" s="2" t="s">
        <v>1961</v>
      </c>
      <c r="CB357" s="2" t="s">
        <v>1409</v>
      </c>
      <c r="CC357" s="2" t="s">
        <v>212</v>
      </c>
      <c r="CD357" s="2" t="s">
        <v>199</v>
      </c>
      <c r="CE357" s="4">
        <v>368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>
        <v>370</v>
      </c>
      <c r="EU357" s="4">
        <v>366</v>
      </c>
      <c r="EV357" s="4">
        <v>363</v>
      </c>
      <c r="EW357" s="4">
        <v>360</v>
      </c>
      <c r="EX357" s="4">
        <v>357</v>
      </c>
      <c r="EY357" s="4">
        <v>354</v>
      </c>
      <c r="EZ357" s="4">
        <v>349</v>
      </c>
      <c r="FA357" s="4">
        <v>344</v>
      </c>
      <c r="FB357" s="4">
        <v>339</v>
      </c>
      <c r="FC357" s="4">
        <v>334</v>
      </c>
      <c r="FD357" s="4">
        <v>327</v>
      </c>
      <c r="FE357" s="4">
        <v>319</v>
      </c>
      <c r="FF357" s="4">
        <v>310</v>
      </c>
      <c r="FG357" s="4">
        <v>301</v>
      </c>
      <c r="FH357" s="4">
        <v>292</v>
      </c>
      <c r="FI357" s="4">
        <v>283</v>
      </c>
      <c r="FJ357" s="4">
        <v>274</v>
      </c>
      <c r="FK357" s="4">
        <v>266</v>
      </c>
      <c r="FL357" s="4">
        <v>255</v>
      </c>
      <c r="FM357" s="4">
        <v>244</v>
      </c>
      <c r="FN357" s="4">
        <v>233</v>
      </c>
      <c r="FO357" s="4">
        <v>222</v>
      </c>
      <c r="FP357" s="4">
        <v>210</v>
      </c>
      <c r="FQ357" s="4">
        <v>199</v>
      </c>
      <c r="FR357" s="4">
        <v>188</v>
      </c>
      <c r="FS357" s="4">
        <v>177</v>
      </c>
      <c r="FT357" s="19">
        <v>123.3</v>
      </c>
      <c r="FU357" s="19">
        <v>122</v>
      </c>
      <c r="FV357" s="19">
        <v>90.8</v>
      </c>
      <c r="FW357" s="19">
        <v>90</v>
      </c>
      <c r="FX357" s="19">
        <v>89.3</v>
      </c>
      <c r="FY357" s="19">
        <v>70.8</v>
      </c>
      <c r="FZ357" s="19">
        <v>58.2</v>
      </c>
      <c r="GA357" s="19">
        <v>57.3</v>
      </c>
      <c r="GB357" s="19">
        <v>48.4</v>
      </c>
      <c r="GC357" s="19">
        <v>41.8</v>
      </c>
      <c r="GD357" s="19">
        <v>36.3</v>
      </c>
      <c r="GE357" s="19">
        <v>35.4</v>
      </c>
      <c r="GF357" s="19">
        <v>34.4</v>
      </c>
      <c r="GG357" s="19">
        <v>33.4</v>
      </c>
      <c r="GH357" s="19">
        <v>32.4</v>
      </c>
      <c r="GI357" s="19">
        <v>28.3</v>
      </c>
      <c r="GJ357" s="19">
        <v>27.4</v>
      </c>
      <c r="GK357" s="19">
        <v>24.2</v>
      </c>
      <c r="GL357" s="19">
        <v>23.2</v>
      </c>
      <c r="GM357" s="19">
        <v>22.2</v>
      </c>
      <c r="GN357" s="19">
        <v>21.2</v>
      </c>
      <c r="GO357" s="19">
        <v>20.2</v>
      </c>
      <c r="GP357" s="19">
        <v>19.1</v>
      </c>
      <c r="GQ357" s="19">
        <v>18.1</v>
      </c>
      <c r="GR357" s="19">
        <v>17.1</v>
      </c>
      <c r="GS357" s="19">
        <v>16.1</v>
      </c>
    </row>
    <row r="358">
      <c r="A358" s="2" t="s">
        <v>2189</v>
      </c>
      <c r="B358" s="2" t="s">
        <v>554</v>
      </c>
      <c r="C358" s="2" t="s">
        <v>1165</v>
      </c>
      <c r="D358" s="2" t="s">
        <v>861</v>
      </c>
      <c r="E358" s="2" t="s">
        <v>556</v>
      </c>
      <c r="F358" s="2" t="s">
        <v>2190</v>
      </c>
      <c r="G358" s="2" t="s">
        <v>2190</v>
      </c>
      <c r="H358" s="2" t="s">
        <v>2190</v>
      </c>
      <c r="I358" s="2" t="s">
        <v>2191</v>
      </c>
      <c r="J358" s="2" t="s">
        <v>559</v>
      </c>
      <c r="K358" s="2" t="s">
        <v>2192</v>
      </c>
      <c r="L358" s="3">
        <v>44.05</v>
      </c>
      <c r="M358" s="3">
        <v>46.25</v>
      </c>
      <c r="N358" s="3">
        <v>84.99</v>
      </c>
      <c r="O358" s="2" t="s">
        <v>196</v>
      </c>
      <c r="P358" s="2" t="s">
        <v>841</v>
      </c>
      <c r="Q358" s="2" t="s">
        <v>198</v>
      </c>
      <c r="R358" s="2" t="s">
        <v>199</v>
      </c>
      <c r="S358" s="2" t="s">
        <v>2193</v>
      </c>
      <c r="T358" s="2" t="s">
        <v>199</v>
      </c>
      <c r="U358" s="2" t="s">
        <v>853</v>
      </c>
      <c r="V358" s="2" t="s">
        <v>2194</v>
      </c>
      <c r="W358" s="2" t="s">
        <v>2195</v>
      </c>
      <c r="X358" s="2" t="s">
        <v>199</v>
      </c>
      <c r="Y358" s="2" t="s">
        <v>204</v>
      </c>
      <c r="Z358" s="4"/>
      <c r="AA358" s="4">
        <f>=ROUNDDOWN({0},0)</f>
      </c>
      <c r="AB358" s="5">
        <v>3</v>
      </c>
      <c r="AC358" s="2" t="s">
        <v>776</v>
      </c>
      <c r="AD358" s="4">
        <v>60</v>
      </c>
      <c r="AE358" s="4">
        <v>60</v>
      </c>
      <c r="AF358" s="6">
        <v>61</v>
      </c>
      <c r="AG358" s="6"/>
      <c r="AH358" s="7">
        <v>0.2903</v>
      </c>
      <c r="AI358" s="4"/>
      <c r="AJ358" s="4">
        <f>=ROUNDDOWN({0},0)</f>
      </c>
      <c r="AK358" s="5"/>
      <c r="AL358" s="2" t="s">
        <v>199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7</v>
      </c>
      <c r="BK358" s="8">
        <v>350.21</v>
      </c>
      <c r="BL358" s="2" t="s">
        <v>2196</v>
      </c>
      <c r="BM358" s="7"/>
      <c r="BN358" s="7"/>
      <c r="BO358" s="4"/>
      <c r="BP358" s="8"/>
      <c r="BQ358" s="4"/>
      <c r="BR358" s="8"/>
      <c r="BS358" s="7"/>
      <c r="BT358" s="7"/>
      <c r="BU358" s="2" t="s">
        <v>2197</v>
      </c>
      <c r="BV358" s="2" t="s">
        <v>199</v>
      </c>
      <c r="BW358" s="2" t="s">
        <v>199</v>
      </c>
      <c r="BX358" s="2" t="s">
        <v>208</v>
      </c>
      <c r="BY358" s="2" t="s">
        <v>209</v>
      </c>
      <c r="BZ358" s="2" t="s">
        <v>196</v>
      </c>
      <c r="CA358" s="2" t="s">
        <v>2198</v>
      </c>
      <c r="CB358" s="2" t="s">
        <v>2199</v>
      </c>
      <c r="CC358" s="2" t="s">
        <v>212</v>
      </c>
      <c r="CD358" s="2" t="s">
        <v>199</v>
      </c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>
        <v>60</v>
      </c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>
        <v>60</v>
      </c>
      <c r="EY358" s="4">
        <v>44</v>
      </c>
      <c r="EZ358" s="4">
        <v>41</v>
      </c>
      <c r="FA358" s="4">
        <v>38</v>
      </c>
      <c r="FB358" s="4">
        <v>35</v>
      </c>
      <c r="FC358" s="4">
        <v>32</v>
      </c>
      <c r="FD358" s="4">
        <v>29</v>
      </c>
      <c r="FE358" s="4">
        <v>26</v>
      </c>
      <c r="FF358" s="4">
        <v>23</v>
      </c>
      <c r="FG358" s="4">
        <v>20</v>
      </c>
      <c r="FH358" s="4">
        <v>17</v>
      </c>
      <c r="FI358" s="4">
        <v>14</v>
      </c>
      <c r="FJ358" s="4">
        <v>11</v>
      </c>
      <c r="FK358" s="4">
        <v>8</v>
      </c>
      <c r="FL358" s="4">
        <v>5</v>
      </c>
      <c r="FM358" s="4">
        <v>102</v>
      </c>
      <c r="FN358" s="4">
        <v>99</v>
      </c>
      <c r="FO358" s="4">
        <v>96</v>
      </c>
      <c r="FP358" s="4">
        <v>93</v>
      </c>
      <c r="FQ358" s="4">
        <v>90</v>
      </c>
      <c r="FR358" s="4">
        <v>87</v>
      </c>
      <c r="FS358" s="4">
        <v>84</v>
      </c>
      <c r="FT358" s="20">
        <v>0</v>
      </c>
      <c r="FU358" s="20">
        <v>0</v>
      </c>
      <c r="FV358" s="20">
        <v>0</v>
      </c>
      <c r="FW358" s="20">
        <v>0</v>
      </c>
      <c r="FX358" s="19">
        <v>10</v>
      </c>
      <c r="FY358" s="19">
        <v>14.7</v>
      </c>
      <c r="FZ358" s="19">
        <v>13.7</v>
      </c>
      <c r="GA358" s="19">
        <v>12.7</v>
      </c>
      <c r="GB358" s="19">
        <v>11.7</v>
      </c>
      <c r="GC358" s="19">
        <v>10.7</v>
      </c>
      <c r="GD358" s="19">
        <v>9.7</v>
      </c>
      <c r="GE358" s="19">
        <v>8.7</v>
      </c>
      <c r="GF358" s="19">
        <v>7.7</v>
      </c>
      <c r="GG358" s="19">
        <v>6.7</v>
      </c>
      <c r="GH358" s="19">
        <v>5.7</v>
      </c>
      <c r="GI358" s="19">
        <v>4.7</v>
      </c>
      <c r="GJ358" s="19">
        <v>3.7</v>
      </c>
      <c r="GK358" s="19">
        <v>2.7</v>
      </c>
      <c r="GL358" s="19">
        <v>1.7</v>
      </c>
      <c r="GM358" s="19">
        <v>34</v>
      </c>
      <c r="GN358" s="19">
        <v>33</v>
      </c>
      <c r="GO358" s="19">
        <v>32</v>
      </c>
      <c r="GP358" s="19">
        <v>31</v>
      </c>
      <c r="GQ358" s="19">
        <v>30</v>
      </c>
      <c r="GR358" s="19">
        <v>29</v>
      </c>
      <c r="GS358" s="19">
        <v>28</v>
      </c>
    </row>
    <row r="359">
      <c r="A359" s="2" t="s">
        <v>2200</v>
      </c>
      <c r="B359" s="2" t="s">
        <v>188</v>
      </c>
      <c r="C359" s="2" t="s">
        <v>1625</v>
      </c>
      <c r="D359" s="2" t="s">
        <v>1021</v>
      </c>
      <c r="E359" s="2" t="s">
        <v>1468</v>
      </c>
      <c r="F359" s="2" t="s">
        <v>2201</v>
      </c>
      <c r="G359" s="2" t="s">
        <v>2201</v>
      </c>
      <c r="H359" s="2" t="s">
        <v>2201</v>
      </c>
      <c r="I359" s="2" t="s">
        <v>2202</v>
      </c>
      <c r="J359" s="2" t="s">
        <v>2203</v>
      </c>
      <c r="K359" s="2" t="s">
        <v>865</v>
      </c>
      <c r="L359" s="3">
        <v>25.14</v>
      </c>
      <c r="M359" s="3">
        <v>26.4</v>
      </c>
      <c r="N359" s="3">
        <v>54.99</v>
      </c>
      <c r="O359" s="2" t="s">
        <v>196</v>
      </c>
      <c r="P359" s="2" t="s">
        <v>197</v>
      </c>
      <c r="Q359" s="2" t="s">
        <v>198</v>
      </c>
      <c r="R359" s="2" t="s">
        <v>199</v>
      </c>
      <c r="S359" s="2" t="s">
        <v>2204</v>
      </c>
      <c r="T359" s="2" t="s">
        <v>199</v>
      </c>
      <c r="U359" s="2" t="s">
        <v>199</v>
      </c>
      <c r="V359" s="2" t="s">
        <v>202</v>
      </c>
      <c r="W359" s="2" t="s">
        <v>203</v>
      </c>
      <c r="X359" s="2" t="s">
        <v>199</v>
      </c>
      <c r="Y359" s="2" t="s">
        <v>2205</v>
      </c>
      <c r="Z359" s="4">
        <v>737</v>
      </c>
      <c r="AA359" s="4">
        <f>=ROUNDDOWN(122.833333333333,0)</f>
      </c>
      <c r="AB359" s="5">
        <v>6</v>
      </c>
      <c r="AC359" s="2" t="s">
        <v>199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199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11</v>
      </c>
      <c r="BK359" s="8">
        <v>322.82</v>
      </c>
      <c r="BL359" s="2" t="s">
        <v>2206</v>
      </c>
      <c r="BM359" s="7"/>
      <c r="BN359" s="7"/>
      <c r="BO359" s="4"/>
      <c r="BP359" s="8"/>
      <c r="BQ359" s="4"/>
      <c r="BR359" s="8"/>
      <c r="BS359" s="7"/>
      <c r="BT359" s="7"/>
      <c r="BU359" s="2" t="s">
        <v>2207</v>
      </c>
      <c r="BV359" s="2" t="s">
        <v>199</v>
      </c>
      <c r="BW359" s="2" t="s">
        <v>199</v>
      </c>
      <c r="BX359" s="2" t="s">
        <v>208</v>
      </c>
      <c r="BY359" s="2" t="s">
        <v>209</v>
      </c>
      <c r="BZ359" s="2" t="s">
        <v>196</v>
      </c>
      <c r="CA359" s="2" t="s">
        <v>2208</v>
      </c>
      <c r="CB359" s="2" t="s">
        <v>2209</v>
      </c>
      <c r="CC359" s="2" t="s">
        <v>212</v>
      </c>
      <c r="CD359" s="2" t="s">
        <v>199</v>
      </c>
      <c r="CE359" s="4">
        <v>737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>
        <v>737</v>
      </c>
      <c r="EU359" s="4">
        <v>697</v>
      </c>
      <c r="EV359" s="4">
        <v>692</v>
      </c>
      <c r="EW359" s="4">
        <v>686</v>
      </c>
      <c r="EX359" s="4">
        <v>682</v>
      </c>
      <c r="EY359" s="4">
        <v>678</v>
      </c>
      <c r="EZ359" s="4">
        <v>675</v>
      </c>
      <c r="FA359" s="4">
        <v>672</v>
      </c>
      <c r="FB359" s="4">
        <v>669</v>
      </c>
      <c r="FC359" s="4">
        <v>666</v>
      </c>
      <c r="FD359" s="4">
        <v>663</v>
      </c>
      <c r="FE359" s="4">
        <v>660</v>
      </c>
      <c r="FF359" s="4">
        <v>657</v>
      </c>
      <c r="FG359" s="4">
        <v>654</v>
      </c>
      <c r="FH359" s="4">
        <v>651</v>
      </c>
      <c r="FI359" s="4">
        <v>648</v>
      </c>
      <c r="FJ359" s="4">
        <v>645</v>
      </c>
      <c r="FK359" s="4">
        <v>642</v>
      </c>
      <c r="FL359" s="4">
        <v>639</v>
      </c>
      <c r="FM359" s="4">
        <v>636</v>
      </c>
      <c r="FN359" s="4">
        <v>633</v>
      </c>
      <c r="FO359" s="4">
        <v>630</v>
      </c>
      <c r="FP359" s="4">
        <v>627</v>
      </c>
      <c r="FQ359" s="4">
        <v>624</v>
      </c>
      <c r="FR359" s="4">
        <v>621</v>
      </c>
      <c r="FS359" s="4">
        <v>618</v>
      </c>
      <c r="FT359" s="19">
        <v>52.6</v>
      </c>
      <c r="FU359" s="19">
        <v>139.4</v>
      </c>
      <c r="FV359" s="19">
        <v>173</v>
      </c>
      <c r="FW359" s="19">
        <v>171.5</v>
      </c>
      <c r="FX359" s="19">
        <v>227.3</v>
      </c>
      <c r="FY359" s="19">
        <v>226</v>
      </c>
      <c r="FZ359" s="19">
        <v>225</v>
      </c>
      <c r="GA359" s="19">
        <v>224</v>
      </c>
      <c r="GB359" s="19">
        <v>223</v>
      </c>
      <c r="GC359" s="19">
        <v>222</v>
      </c>
      <c r="GD359" s="19">
        <v>221</v>
      </c>
      <c r="GE359" s="19">
        <v>220</v>
      </c>
      <c r="GF359" s="19">
        <v>219</v>
      </c>
      <c r="GG359" s="19">
        <v>218</v>
      </c>
      <c r="GH359" s="19">
        <v>217</v>
      </c>
      <c r="GI359" s="19">
        <v>216</v>
      </c>
      <c r="GJ359" s="19">
        <v>215</v>
      </c>
      <c r="GK359" s="19">
        <v>214</v>
      </c>
      <c r="GL359" s="19">
        <v>213</v>
      </c>
      <c r="GM359" s="19">
        <v>212</v>
      </c>
      <c r="GN359" s="19">
        <v>211</v>
      </c>
      <c r="GO359" s="19">
        <v>210</v>
      </c>
      <c r="GP359" s="19">
        <v>209</v>
      </c>
      <c r="GQ359" s="19">
        <v>208</v>
      </c>
      <c r="GR359" s="19">
        <v>207</v>
      </c>
      <c r="GS359" s="19">
        <v>206</v>
      </c>
    </row>
    <row r="360">
      <c r="A360" s="2" t="s">
        <v>2210</v>
      </c>
      <c r="B360" s="2" t="s">
        <v>630</v>
      </c>
      <c r="C360" s="2" t="s">
        <v>719</v>
      </c>
      <c r="D360" s="2" t="s">
        <v>228</v>
      </c>
      <c r="E360" s="2" t="s">
        <v>487</v>
      </c>
      <c r="F360" s="2" t="s">
        <v>2211</v>
      </c>
      <c r="G360" s="2" t="s">
        <v>2211</v>
      </c>
      <c r="H360" s="2" t="s">
        <v>2211</v>
      </c>
      <c r="I360" s="2" t="s">
        <v>2212</v>
      </c>
      <c r="J360" s="2" t="s">
        <v>285</v>
      </c>
      <c r="K360" s="2" t="s">
        <v>371</v>
      </c>
      <c r="L360" s="3">
        <v>93.31</v>
      </c>
      <c r="M360" s="3">
        <v>97.98</v>
      </c>
      <c r="N360" s="3">
        <v>204.99</v>
      </c>
      <c r="O360" s="2" t="s">
        <v>196</v>
      </c>
      <c r="P360" s="2" t="s">
        <v>517</v>
      </c>
      <c r="Q360" s="2" t="s">
        <v>198</v>
      </c>
      <c r="R360" s="2" t="s">
        <v>199</v>
      </c>
      <c r="S360" s="2" t="s">
        <v>2213</v>
      </c>
      <c r="T360" s="2" t="s">
        <v>2214</v>
      </c>
      <c r="U360" s="2" t="s">
        <v>546</v>
      </c>
      <c r="V360" s="2" t="s">
        <v>953</v>
      </c>
      <c r="W360" s="2" t="s">
        <v>529</v>
      </c>
      <c r="X360" s="2" t="s">
        <v>712</v>
      </c>
      <c r="Y360" s="2" t="s">
        <v>729</v>
      </c>
      <c r="Z360" s="4">
        <v>147</v>
      </c>
      <c r="AA360" s="4">
        <f>=ROUNDDOWN(294,0)</f>
      </c>
      <c r="AB360" s="5">
        <v>0.5</v>
      </c>
      <c r="AC360" s="2" t="s">
        <v>199</v>
      </c>
      <c r="AD360" s="4"/>
      <c r="AE360" s="4"/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199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4</v>
      </c>
      <c r="BK360" s="8">
        <v>421.1</v>
      </c>
      <c r="BL360" s="2" t="s">
        <v>2215</v>
      </c>
      <c r="BM360" s="7"/>
      <c r="BN360" s="7"/>
      <c r="BO360" s="4"/>
      <c r="BP360" s="8"/>
      <c r="BQ360" s="4"/>
      <c r="BR360" s="8"/>
      <c r="BS360" s="7"/>
      <c r="BT360" s="7"/>
      <c r="BU360" s="2" t="s">
        <v>2216</v>
      </c>
      <c r="BV360" s="2" t="s">
        <v>199</v>
      </c>
      <c r="BW360" s="2" t="s">
        <v>199</v>
      </c>
      <c r="BX360" s="2" t="s">
        <v>208</v>
      </c>
      <c r="BY360" s="2" t="s">
        <v>209</v>
      </c>
      <c r="BZ360" s="2" t="s">
        <v>196</v>
      </c>
      <c r="CA360" s="2" t="s">
        <v>1398</v>
      </c>
      <c r="CB360" s="2" t="s">
        <v>2217</v>
      </c>
      <c r="CC360" s="2" t="s">
        <v>212</v>
      </c>
      <c r="CD360" s="2" t="s">
        <v>199</v>
      </c>
      <c r="CE360" s="4">
        <v>147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>
        <v>148</v>
      </c>
      <c r="EU360" s="4">
        <v>146</v>
      </c>
      <c r="EV360" s="4">
        <v>145</v>
      </c>
      <c r="EW360" s="4">
        <v>144</v>
      </c>
      <c r="EX360" s="4">
        <v>143</v>
      </c>
      <c r="EY360" s="4">
        <v>142</v>
      </c>
      <c r="EZ360" s="4">
        <v>141</v>
      </c>
      <c r="FA360" s="4">
        <v>140</v>
      </c>
      <c r="FB360" s="4">
        <v>139</v>
      </c>
      <c r="FC360" s="4">
        <v>138</v>
      </c>
      <c r="FD360" s="4">
        <v>137</v>
      </c>
      <c r="FE360" s="4">
        <v>136</v>
      </c>
      <c r="FF360" s="4">
        <v>135</v>
      </c>
      <c r="FG360" s="4">
        <v>134</v>
      </c>
      <c r="FH360" s="4">
        <v>133</v>
      </c>
      <c r="FI360" s="4">
        <v>132</v>
      </c>
      <c r="FJ360" s="4">
        <v>131</v>
      </c>
      <c r="FK360" s="4">
        <v>130</v>
      </c>
      <c r="FL360" s="4">
        <v>129</v>
      </c>
      <c r="FM360" s="4">
        <v>128</v>
      </c>
      <c r="FN360" s="4">
        <v>127</v>
      </c>
      <c r="FO360" s="4">
        <v>126</v>
      </c>
      <c r="FP360" s="4">
        <v>125</v>
      </c>
      <c r="FQ360" s="4">
        <v>124</v>
      </c>
      <c r="FR360" s="4">
        <v>123</v>
      </c>
      <c r="FS360" s="4">
        <v>122</v>
      </c>
      <c r="FT360" s="19">
        <v>148</v>
      </c>
      <c r="FU360" s="19">
        <v>146</v>
      </c>
      <c r="FV360" s="19">
        <v>145</v>
      </c>
      <c r="FW360" s="19">
        <v>144</v>
      </c>
      <c r="FX360" s="19">
        <v>143</v>
      </c>
      <c r="FY360" s="19">
        <v>142</v>
      </c>
      <c r="FZ360" s="19">
        <v>141</v>
      </c>
      <c r="GA360" s="19">
        <v>140</v>
      </c>
      <c r="GB360" s="19">
        <v>139</v>
      </c>
      <c r="GC360" s="19">
        <v>138</v>
      </c>
      <c r="GD360" s="19">
        <v>137</v>
      </c>
      <c r="GE360" s="19">
        <v>136</v>
      </c>
      <c r="GF360" s="19">
        <v>135</v>
      </c>
      <c r="GG360" s="19">
        <v>134</v>
      </c>
      <c r="GH360" s="19">
        <v>133</v>
      </c>
      <c r="GI360" s="19">
        <v>132</v>
      </c>
      <c r="GJ360" s="19">
        <v>131</v>
      </c>
      <c r="GK360" s="19">
        <v>130</v>
      </c>
      <c r="GL360" s="19">
        <v>129</v>
      </c>
      <c r="GM360" s="19">
        <v>128</v>
      </c>
      <c r="GN360" s="19">
        <v>127</v>
      </c>
      <c r="GO360" s="19">
        <v>126</v>
      </c>
      <c r="GP360" s="19">
        <v>125</v>
      </c>
      <c r="GQ360" s="19">
        <v>124</v>
      </c>
      <c r="GR360" s="19">
        <v>123</v>
      </c>
      <c r="GS360" s="19">
        <v>122</v>
      </c>
    </row>
    <row r="361">
      <c r="A361" s="2" t="s">
        <v>2218</v>
      </c>
      <c r="B361" s="2" t="s">
        <v>630</v>
      </c>
      <c r="C361" s="2" t="s">
        <v>1377</v>
      </c>
      <c r="D361" s="2" t="s">
        <v>1963</v>
      </c>
      <c r="E361" s="2" t="s">
        <v>1964</v>
      </c>
      <c r="F361" s="2" t="s">
        <v>2219</v>
      </c>
      <c r="G361" s="2" t="s">
        <v>2219</v>
      </c>
      <c r="H361" s="2" t="s">
        <v>2219</v>
      </c>
      <c r="I361" s="2" t="s">
        <v>2220</v>
      </c>
      <c r="J361" s="2" t="s">
        <v>1103</v>
      </c>
      <c r="K361" s="2" t="s">
        <v>371</v>
      </c>
      <c r="L361" s="3">
        <v>18</v>
      </c>
      <c r="M361" s="3">
        <v>18.9</v>
      </c>
      <c r="N361" s="3">
        <v>44.99</v>
      </c>
      <c r="O361" s="2" t="s">
        <v>196</v>
      </c>
      <c r="P361" s="2" t="s">
        <v>621</v>
      </c>
      <c r="Q361" s="2" t="s">
        <v>198</v>
      </c>
      <c r="R361" s="2" t="s">
        <v>199</v>
      </c>
      <c r="S361" s="2" t="s">
        <v>2221</v>
      </c>
      <c r="T361" s="2" t="s">
        <v>300</v>
      </c>
      <c r="U361" s="2" t="s">
        <v>280</v>
      </c>
      <c r="V361" s="2" t="s">
        <v>202</v>
      </c>
      <c r="W361" s="2" t="s">
        <v>623</v>
      </c>
      <c r="X361" s="2" t="s">
        <v>510</v>
      </c>
      <c r="Y361" s="2" t="s">
        <v>2222</v>
      </c>
      <c r="Z361" s="4">
        <v>87</v>
      </c>
      <c r="AA361" s="4">
        <f>=ROUNDDOWN(14.5,0)</f>
      </c>
      <c r="AB361" s="5">
        <v>6</v>
      </c>
      <c r="AC361" s="2" t="s">
        <v>236</v>
      </c>
      <c r="AD361" s="4">
        <v>160</v>
      </c>
      <c r="AE361" s="4">
        <v>160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199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10</v>
      </c>
      <c r="BK361" s="8">
        <v>192.51</v>
      </c>
      <c r="BL361" s="2" t="s">
        <v>2223</v>
      </c>
      <c r="BM361" s="7"/>
      <c r="BN361" s="7"/>
      <c r="BO361" s="4"/>
      <c r="BP361" s="8"/>
      <c r="BQ361" s="4"/>
      <c r="BR361" s="8"/>
      <c r="BS361" s="7"/>
      <c r="BT361" s="7"/>
      <c r="BU361" s="2" t="s">
        <v>2224</v>
      </c>
      <c r="BV361" s="2" t="s">
        <v>199</v>
      </c>
      <c r="BW361" s="2" t="s">
        <v>199</v>
      </c>
      <c r="BX361" s="2" t="s">
        <v>208</v>
      </c>
      <c r="BY361" s="2" t="s">
        <v>209</v>
      </c>
      <c r="BZ361" s="2" t="s">
        <v>196</v>
      </c>
      <c r="CA361" s="2" t="s">
        <v>1888</v>
      </c>
      <c r="CB361" s="2" t="s">
        <v>2225</v>
      </c>
      <c r="CC361" s="2" t="s">
        <v>212</v>
      </c>
      <c r="CD361" s="2" t="s">
        <v>199</v>
      </c>
      <c r="CE361" s="4">
        <v>87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>
        <v>160</v>
      </c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>
        <v>87</v>
      </c>
      <c r="EU361" s="4">
        <v>75</v>
      </c>
      <c r="EV361" s="4">
        <v>69</v>
      </c>
      <c r="EW361" s="4">
        <v>64</v>
      </c>
      <c r="EX361" s="4">
        <v>59</v>
      </c>
      <c r="EY361" s="4">
        <v>53</v>
      </c>
      <c r="EZ361" s="4">
        <v>47</v>
      </c>
      <c r="FA361" s="4">
        <v>41</v>
      </c>
      <c r="FB361" s="4">
        <v>35</v>
      </c>
      <c r="FC361" s="4">
        <v>29</v>
      </c>
      <c r="FD361" s="4">
        <v>183</v>
      </c>
      <c r="FE361" s="4">
        <v>177</v>
      </c>
      <c r="FF361" s="4">
        <v>171</v>
      </c>
      <c r="FG361" s="4">
        <v>165</v>
      </c>
      <c r="FH361" s="4">
        <v>159</v>
      </c>
      <c r="FI361" s="4">
        <v>153</v>
      </c>
      <c r="FJ361" s="4">
        <v>147</v>
      </c>
      <c r="FK361" s="4">
        <v>141</v>
      </c>
      <c r="FL361" s="4">
        <v>135</v>
      </c>
      <c r="FM361" s="4">
        <v>129</v>
      </c>
      <c r="FN361" s="4">
        <v>123</v>
      </c>
      <c r="FO361" s="4">
        <v>117</v>
      </c>
      <c r="FP361" s="4">
        <v>111</v>
      </c>
      <c r="FQ361" s="4">
        <v>106</v>
      </c>
      <c r="FR361" s="4">
        <v>100</v>
      </c>
      <c r="FS361" s="4">
        <v>94</v>
      </c>
      <c r="FT361" s="19">
        <v>12.4</v>
      </c>
      <c r="FU361" s="19">
        <v>12.5</v>
      </c>
      <c r="FV361" s="19">
        <v>11.5</v>
      </c>
      <c r="FW361" s="19">
        <v>10.7</v>
      </c>
      <c r="FX361" s="19">
        <v>9.8</v>
      </c>
      <c r="FY361" s="19">
        <v>8.8</v>
      </c>
      <c r="FZ361" s="19">
        <v>7.8</v>
      </c>
      <c r="GA361" s="19">
        <v>6.8</v>
      </c>
      <c r="GB361" s="19">
        <v>5.8</v>
      </c>
      <c r="GC361" s="19">
        <v>4.8</v>
      </c>
      <c r="GD361" s="19">
        <v>30.5</v>
      </c>
      <c r="GE361" s="19">
        <v>29.5</v>
      </c>
      <c r="GF361" s="19">
        <v>28.5</v>
      </c>
      <c r="GG361" s="19">
        <v>27.5</v>
      </c>
      <c r="GH361" s="19">
        <v>26.5</v>
      </c>
      <c r="GI361" s="19">
        <v>25.5</v>
      </c>
      <c r="GJ361" s="19">
        <v>24.5</v>
      </c>
      <c r="GK361" s="19">
        <v>23.5</v>
      </c>
      <c r="GL361" s="19">
        <v>22.5</v>
      </c>
      <c r="GM361" s="19">
        <v>21.5</v>
      </c>
      <c r="GN361" s="19">
        <v>20.5</v>
      </c>
      <c r="GO361" s="19">
        <v>19.5</v>
      </c>
      <c r="GP361" s="19">
        <v>18.5</v>
      </c>
      <c r="GQ361" s="19">
        <v>17.7</v>
      </c>
      <c r="GR361" s="19">
        <v>16.7</v>
      </c>
      <c r="GS361" s="19">
        <v>15.7</v>
      </c>
    </row>
    <row r="362">
      <c r="A362" s="2" t="s">
        <v>2226</v>
      </c>
      <c r="B362" s="2" t="s">
        <v>672</v>
      </c>
      <c r="C362" s="2" t="s">
        <v>246</v>
      </c>
      <c r="D362" s="2" t="s">
        <v>673</v>
      </c>
      <c r="E362" s="2" t="s">
        <v>2227</v>
      </c>
      <c r="F362" s="2" t="s">
        <v>2228</v>
      </c>
      <c r="G362" s="2" t="s">
        <v>2229</v>
      </c>
      <c r="H362" s="2" t="s">
        <v>2230</v>
      </c>
      <c r="I362" s="2" t="s">
        <v>2231</v>
      </c>
      <c r="J362" s="2" t="s">
        <v>2232</v>
      </c>
      <c r="K362" s="2" t="s">
        <v>371</v>
      </c>
      <c r="L362" s="3">
        <v>20.25</v>
      </c>
      <c r="M362" s="3">
        <v>21.26</v>
      </c>
      <c r="N362" s="3">
        <v>44.99</v>
      </c>
      <c r="O362" s="2" t="s">
        <v>196</v>
      </c>
      <c r="P362" s="2" t="s">
        <v>197</v>
      </c>
      <c r="Q362" s="2" t="s">
        <v>198</v>
      </c>
      <c r="R362" s="2" t="s">
        <v>199</v>
      </c>
      <c r="S362" s="2" t="s">
        <v>2233</v>
      </c>
      <c r="T362" s="2" t="s">
        <v>199</v>
      </c>
      <c r="U362" s="2" t="s">
        <v>199</v>
      </c>
      <c r="V362" s="2" t="s">
        <v>202</v>
      </c>
      <c r="W362" s="2" t="s">
        <v>510</v>
      </c>
      <c r="X362" s="2" t="s">
        <v>873</v>
      </c>
      <c r="Y362" s="2" t="s">
        <v>2234</v>
      </c>
      <c r="Z362" s="4">
        <v>94</v>
      </c>
      <c r="AA362" s="4">
        <f>=ROUNDDOWN(23.5,0)</f>
      </c>
      <c r="AB362" s="5">
        <v>4</v>
      </c>
      <c r="AC362" s="2" t="s">
        <v>892</v>
      </c>
      <c r="AD362" s="4">
        <v>104</v>
      </c>
      <c r="AE362" s="4">
        <v>104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199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199</v>
      </c>
      <c r="AW362" s="8" t="s">
        <v>199</v>
      </c>
      <c r="AX362" s="4" t="s">
        <v>199</v>
      </c>
      <c r="AY362" s="8" t="s">
        <v>199</v>
      </c>
      <c r="AZ362" s="7" t="s">
        <v>199</v>
      </c>
      <c r="BA362" s="7" t="s">
        <v>199</v>
      </c>
      <c r="BB362" s="7"/>
      <c r="BC362" s="4" t="s">
        <v>199</v>
      </c>
      <c r="BD362" s="8" t="s">
        <v>199</v>
      </c>
      <c r="BE362" s="4" t="s">
        <v>199</v>
      </c>
      <c r="BF362" s="8" t="s">
        <v>199</v>
      </c>
      <c r="BG362" s="7" t="s">
        <v>199</v>
      </c>
      <c r="BH362" s="7" t="s">
        <v>199</v>
      </c>
      <c r="BI362" s="7"/>
      <c r="BJ362" s="4">
        <v>10</v>
      </c>
      <c r="BK362" s="8">
        <v>458.2</v>
      </c>
      <c r="BL362" s="2" t="s">
        <v>2235</v>
      </c>
      <c r="BM362" s="7"/>
      <c r="BN362" s="7"/>
      <c r="BO362" s="4"/>
      <c r="BP362" s="8"/>
      <c r="BQ362" s="4"/>
      <c r="BR362" s="8"/>
      <c r="BS362" s="7"/>
      <c r="BT362" s="7"/>
      <c r="BU362" s="2" t="s">
        <v>2236</v>
      </c>
      <c r="BV362" s="2" t="s">
        <v>199</v>
      </c>
      <c r="BW362" s="2" t="s">
        <v>199</v>
      </c>
      <c r="BX362" s="2" t="s">
        <v>260</v>
      </c>
      <c r="BY362" s="2" t="s">
        <v>209</v>
      </c>
      <c r="BZ362" s="2" t="s">
        <v>196</v>
      </c>
      <c r="CA362" s="2" t="s">
        <v>2237</v>
      </c>
      <c r="CB362" s="2" t="s">
        <v>2238</v>
      </c>
      <c r="CC362" s="2" t="s">
        <v>212</v>
      </c>
      <c r="CD362" s="2" t="s">
        <v>199</v>
      </c>
      <c r="CE362" s="4">
        <v>94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>
        <v>104</v>
      </c>
      <c r="EN362" s="4"/>
      <c r="EO362" s="4"/>
      <c r="EP362" s="4"/>
      <c r="EQ362" s="4"/>
      <c r="ER362" s="4"/>
      <c r="ES362" s="4"/>
      <c r="ET362" s="4">
        <v>94</v>
      </c>
      <c r="EU362" s="4">
        <v>91</v>
      </c>
      <c r="EV362" s="4">
        <v>88</v>
      </c>
      <c r="EW362" s="4">
        <v>85</v>
      </c>
      <c r="EX362" s="4">
        <v>82</v>
      </c>
      <c r="EY362" s="4">
        <v>79</v>
      </c>
      <c r="EZ362" s="4">
        <v>76</v>
      </c>
      <c r="FA362" s="4">
        <v>72</v>
      </c>
      <c r="FB362" s="4">
        <v>67</v>
      </c>
      <c r="FC362" s="4">
        <v>63</v>
      </c>
      <c r="FD362" s="4">
        <v>59</v>
      </c>
      <c r="FE362" s="4">
        <v>55</v>
      </c>
      <c r="FF362" s="4">
        <v>51</v>
      </c>
      <c r="FG362" s="4">
        <v>47</v>
      </c>
      <c r="FH362" s="4">
        <v>43</v>
      </c>
      <c r="FI362" s="4">
        <v>39</v>
      </c>
      <c r="FJ362" s="4">
        <v>139</v>
      </c>
      <c r="FK362" s="4">
        <v>135</v>
      </c>
      <c r="FL362" s="4">
        <v>131</v>
      </c>
      <c r="FM362" s="4">
        <v>127</v>
      </c>
      <c r="FN362" s="4">
        <v>123</v>
      </c>
      <c r="FO362" s="4">
        <v>119</v>
      </c>
      <c r="FP362" s="4">
        <v>114</v>
      </c>
      <c r="FQ362" s="4">
        <v>110</v>
      </c>
      <c r="FR362" s="4">
        <v>106</v>
      </c>
      <c r="FS362" s="4">
        <v>102</v>
      </c>
      <c r="FT362" s="19">
        <v>31.3</v>
      </c>
      <c r="FU362" s="19">
        <v>30.3</v>
      </c>
      <c r="FV362" s="19">
        <v>29.3</v>
      </c>
      <c r="FW362" s="19">
        <v>28.3</v>
      </c>
      <c r="FX362" s="19">
        <v>20.5</v>
      </c>
      <c r="FY362" s="19">
        <v>19.8</v>
      </c>
      <c r="FZ362" s="19">
        <v>19</v>
      </c>
      <c r="GA362" s="19">
        <v>18</v>
      </c>
      <c r="GB362" s="19">
        <v>16.8</v>
      </c>
      <c r="GC362" s="19">
        <v>15.8</v>
      </c>
      <c r="GD362" s="19">
        <v>14.8</v>
      </c>
      <c r="GE362" s="19">
        <v>13.8</v>
      </c>
      <c r="GF362" s="19">
        <v>12.8</v>
      </c>
      <c r="GG362" s="19">
        <v>11.8</v>
      </c>
      <c r="GH362" s="19">
        <v>10.8</v>
      </c>
      <c r="GI362" s="19">
        <v>9.8</v>
      </c>
      <c r="GJ362" s="19">
        <v>34.8</v>
      </c>
      <c r="GK362" s="19">
        <v>33.8</v>
      </c>
      <c r="GL362" s="19">
        <v>32.8</v>
      </c>
      <c r="GM362" s="19">
        <v>31.8</v>
      </c>
      <c r="GN362" s="19">
        <v>30.8</v>
      </c>
      <c r="GO362" s="19">
        <v>29.8</v>
      </c>
      <c r="GP362" s="19">
        <v>28.5</v>
      </c>
      <c r="GQ362" s="19">
        <v>27.5</v>
      </c>
      <c r="GR362" s="19">
        <v>26.5</v>
      </c>
      <c r="GS362" s="19">
        <v>25.5</v>
      </c>
    </row>
    <row r="363">
      <c r="A363" s="2" t="s">
        <v>2239</v>
      </c>
      <c r="B363" s="2" t="s">
        <v>883</v>
      </c>
      <c r="C363" s="2" t="s">
        <v>884</v>
      </c>
      <c r="D363" s="2" t="s">
        <v>885</v>
      </c>
      <c r="E363" s="2" t="s">
        <v>886</v>
      </c>
      <c r="F363" s="2" t="s">
        <v>2228</v>
      </c>
      <c r="G363" s="2" t="s">
        <v>2228</v>
      </c>
      <c r="H363" s="2" t="s">
        <v>2228</v>
      </c>
      <c r="I363" s="2" t="s">
        <v>2240</v>
      </c>
      <c r="J363" s="2" t="s">
        <v>2241</v>
      </c>
      <c r="K363" s="2" t="s">
        <v>371</v>
      </c>
      <c r="L363" s="3">
        <v>24</v>
      </c>
      <c r="M363" s="3">
        <v>25.2</v>
      </c>
      <c r="N363" s="3">
        <v>49.99</v>
      </c>
      <c r="O363" s="2" t="s">
        <v>196</v>
      </c>
      <c r="P363" s="2" t="s">
        <v>621</v>
      </c>
      <c r="Q363" s="2" t="s">
        <v>198</v>
      </c>
      <c r="R363" s="2" t="s">
        <v>199</v>
      </c>
      <c r="S363" s="2" t="s">
        <v>199</v>
      </c>
      <c r="T363" s="2" t="s">
        <v>199</v>
      </c>
      <c r="U363" s="2" t="s">
        <v>280</v>
      </c>
      <c r="V363" s="2" t="s">
        <v>493</v>
      </c>
      <c r="W363" s="2" t="s">
        <v>199</v>
      </c>
      <c r="X363" s="2" t="s">
        <v>199</v>
      </c>
      <c r="Y363" s="2" t="s">
        <v>2242</v>
      </c>
      <c r="Z363" s="4">
        <v>31</v>
      </c>
      <c r="AA363" s="4">
        <f>=ROUNDDOWN(1.9375,0)</f>
      </c>
      <c r="AB363" s="5">
        <v>16</v>
      </c>
      <c r="AC363" s="2" t="s">
        <v>199</v>
      </c>
      <c r="AD363" s="4"/>
      <c r="AE363" s="4"/>
      <c r="AF363" s="6">
        <v>64</v>
      </c>
      <c r="AG363" s="6"/>
      <c r="AH363" s="7">
        <v>1</v>
      </c>
      <c r="AI363" s="4"/>
      <c r="AJ363" s="4">
        <f>=ROUNDDOWN({0},0)</f>
      </c>
      <c r="AK363" s="5"/>
      <c r="AL363" s="2" t="s">
        <v>199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199</v>
      </c>
      <c r="AW363" s="8" t="s">
        <v>199</v>
      </c>
      <c r="AX363" s="4" t="s">
        <v>199</v>
      </c>
      <c r="AY363" s="8" t="s">
        <v>199</v>
      </c>
      <c r="AZ363" s="7" t="s">
        <v>199</v>
      </c>
      <c r="BA363" s="7" t="s">
        <v>199</v>
      </c>
      <c r="BB363" s="7"/>
      <c r="BC363" s="4" t="s">
        <v>199</v>
      </c>
      <c r="BD363" s="8" t="s">
        <v>199</v>
      </c>
      <c r="BE363" s="4" t="s">
        <v>199</v>
      </c>
      <c r="BF363" s="8" t="s">
        <v>199</v>
      </c>
      <c r="BG363" s="7" t="s">
        <v>199</v>
      </c>
      <c r="BH363" s="7" t="s">
        <v>199</v>
      </c>
      <c r="BI363" s="7"/>
      <c r="BJ363" s="4">
        <v>136</v>
      </c>
      <c r="BK363" s="8">
        <v>3429.75</v>
      </c>
      <c r="BL363" s="2" t="s">
        <v>2243</v>
      </c>
      <c r="BM363" s="7"/>
      <c r="BN363" s="7"/>
      <c r="BO363" s="4"/>
      <c r="BP363" s="8"/>
      <c r="BQ363" s="4"/>
      <c r="BR363" s="8"/>
      <c r="BS363" s="7"/>
      <c r="BT363" s="7"/>
      <c r="BU363" s="2" t="s">
        <v>2244</v>
      </c>
      <c r="BV363" s="2" t="s">
        <v>199</v>
      </c>
      <c r="BW363" s="2" t="s">
        <v>199</v>
      </c>
      <c r="BX363" s="2" t="s">
        <v>208</v>
      </c>
      <c r="BY363" s="2" t="s">
        <v>209</v>
      </c>
      <c r="BZ363" s="2" t="s">
        <v>196</v>
      </c>
      <c r="CA363" s="2" t="s">
        <v>2245</v>
      </c>
      <c r="CB363" s="2" t="s">
        <v>2246</v>
      </c>
      <c r="CC363" s="2" t="s">
        <v>212</v>
      </c>
      <c r="CD363" s="2" t="s">
        <v>199</v>
      </c>
      <c r="CE363" s="4"/>
      <c r="CF363" s="4">
        <v>31</v>
      </c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>
        <v>52</v>
      </c>
      <c r="EU363" s="4">
        <v>25</v>
      </c>
      <c r="EV363" s="4">
        <v>7</v>
      </c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>
        <v>298</v>
      </c>
      <c r="FQ363" s="4">
        <v>275</v>
      </c>
      <c r="FR363" s="4">
        <v>259</v>
      </c>
      <c r="FS363" s="4">
        <v>243</v>
      </c>
      <c r="FT363" s="19">
        <v>2.6</v>
      </c>
      <c r="FU363" s="19">
        <v>1.4</v>
      </c>
      <c r="FV363" s="19">
        <v>0.4</v>
      </c>
      <c r="FW363" s="20">
        <v>0</v>
      </c>
      <c r="FX363" s="20">
        <v>0</v>
      </c>
      <c r="FY363" s="20">
        <v>0</v>
      </c>
      <c r="FZ363" s="20">
        <v>0</v>
      </c>
      <c r="GA363" s="20">
        <v>0</v>
      </c>
      <c r="GB363" s="20">
        <v>0</v>
      </c>
      <c r="GC363" s="20">
        <v>0</v>
      </c>
      <c r="GD363" s="20">
        <v>0</v>
      </c>
      <c r="GE363" s="20">
        <v>0</v>
      </c>
      <c r="GF363" s="20">
        <v>0</v>
      </c>
      <c r="GG363" s="20">
        <v>0</v>
      </c>
      <c r="GH363" s="20">
        <v>0</v>
      </c>
      <c r="GI363" s="20">
        <v>0</v>
      </c>
      <c r="GJ363" s="20">
        <v>0</v>
      </c>
      <c r="GK363" s="20">
        <v>0</v>
      </c>
      <c r="GL363" s="20">
        <v>0</v>
      </c>
      <c r="GM363" s="20">
        <v>0</v>
      </c>
      <c r="GN363" s="20">
        <v>0</v>
      </c>
      <c r="GO363" s="20">
        <v>0</v>
      </c>
      <c r="GP363" s="19">
        <v>16.6</v>
      </c>
      <c r="GQ363" s="19">
        <v>17.2</v>
      </c>
      <c r="GR363" s="19">
        <v>16.2</v>
      </c>
      <c r="GS363" s="19">
        <v>15.2</v>
      </c>
    </row>
    <row r="364">
      <c r="A364" s="2" t="s">
        <v>2247</v>
      </c>
      <c r="B364" s="2" t="s">
        <v>883</v>
      </c>
      <c r="C364" s="2" t="s">
        <v>884</v>
      </c>
      <c r="D364" s="2" t="s">
        <v>885</v>
      </c>
      <c r="E364" s="2" t="s">
        <v>886</v>
      </c>
      <c r="F364" s="2" t="s">
        <v>2228</v>
      </c>
      <c r="G364" s="2" t="s">
        <v>2228</v>
      </c>
      <c r="H364" s="2" t="s">
        <v>2228</v>
      </c>
      <c r="I364" s="2" t="s">
        <v>2240</v>
      </c>
      <c r="J364" s="2" t="s">
        <v>2248</v>
      </c>
      <c r="K364" s="2" t="s">
        <v>371</v>
      </c>
      <c r="L364" s="3">
        <v>50</v>
      </c>
      <c r="M364" s="3">
        <v>52.5</v>
      </c>
      <c r="N364" s="3">
        <v>104.99</v>
      </c>
      <c r="O364" s="2" t="s">
        <v>196</v>
      </c>
      <c r="P364" s="2" t="s">
        <v>197</v>
      </c>
      <c r="Q364" s="2" t="s">
        <v>198</v>
      </c>
      <c r="R364" s="2" t="s">
        <v>199</v>
      </c>
      <c r="S364" s="2" t="s">
        <v>199</v>
      </c>
      <c r="T364" s="2" t="s">
        <v>199</v>
      </c>
      <c r="U364" s="2" t="s">
        <v>280</v>
      </c>
      <c r="V364" s="2" t="s">
        <v>493</v>
      </c>
      <c r="W364" s="2" t="s">
        <v>199</v>
      </c>
      <c r="X364" s="2" t="s">
        <v>199</v>
      </c>
      <c r="Y364" s="2" t="s">
        <v>2242</v>
      </c>
      <c r="Z364" s="4">
        <v>750</v>
      </c>
      <c r="AA364" s="4">
        <f>=ROUNDDOWN(125,0)</f>
      </c>
      <c r="AB364" s="5">
        <v>6</v>
      </c>
      <c r="AC364" s="2" t="s">
        <v>199</v>
      </c>
      <c r="AD364" s="4"/>
      <c r="AE364" s="4"/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199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199</v>
      </c>
      <c r="AW364" s="8" t="s">
        <v>199</v>
      </c>
      <c r="AX364" s="4" t="s">
        <v>199</v>
      </c>
      <c r="AY364" s="8" t="s">
        <v>199</v>
      </c>
      <c r="AZ364" s="7" t="s">
        <v>199</v>
      </c>
      <c r="BA364" s="7" t="s">
        <v>199</v>
      </c>
      <c r="BB364" s="7"/>
      <c r="BC364" s="4" t="s">
        <v>199</v>
      </c>
      <c r="BD364" s="8" t="s">
        <v>199</v>
      </c>
      <c r="BE364" s="4" t="s">
        <v>199</v>
      </c>
      <c r="BF364" s="8" t="s">
        <v>199</v>
      </c>
      <c r="BG364" s="7" t="s">
        <v>199</v>
      </c>
      <c r="BH364" s="7" t="s">
        <v>199</v>
      </c>
      <c r="BI364" s="7"/>
      <c r="BJ364" s="4">
        <v>39</v>
      </c>
      <c r="BK364" s="8">
        <v>1812.74</v>
      </c>
      <c r="BL364" s="2" t="s">
        <v>2249</v>
      </c>
      <c r="BM364" s="7"/>
      <c r="BN364" s="7"/>
      <c r="BO364" s="4"/>
      <c r="BP364" s="8"/>
      <c r="BQ364" s="4"/>
      <c r="BR364" s="8"/>
      <c r="BS364" s="7"/>
      <c r="BT364" s="7"/>
      <c r="BU364" s="2" t="s">
        <v>2244</v>
      </c>
      <c r="BV364" s="2" t="s">
        <v>199</v>
      </c>
      <c r="BW364" s="2" t="s">
        <v>199</v>
      </c>
      <c r="BX364" s="2" t="s">
        <v>208</v>
      </c>
      <c r="BY364" s="2" t="s">
        <v>209</v>
      </c>
      <c r="BZ364" s="2" t="s">
        <v>196</v>
      </c>
      <c r="CA364" s="2" t="s">
        <v>2245</v>
      </c>
      <c r="CB364" s="2" t="s">
        <v>2250</v>
      </c>
      <c r="CC364" s="2" t="s">
        <v>212</v>
      </c>
      <c r="CD364" s="2" t="s">
        <v>199</v>
      </c>
      <c r="CE364" s="4"/>
      <c r="CF364" s="4">
        <v>750</v>
      </c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>
        <v>753</v>
      </c>
      <c r="EU364" s="4">
        <v>737</v>
      </c>
      <c r="EV364" s="4">
        <v>730</v>
      </c>
      <c r="EW364" s="4">
        <v>723</v>
      </c>
      <c r="EX364" s="4">
        <v>716</v>
      </c>
      <c r="EY364" s="4">
        <v>709</v>
      </c>
      <c r="EZ364" s="4">
        <v>702</v>
      </c>
      <c r="FA364" s="4">
        <v>695</v>
      </c>
      <c r="FB364" s="4">
        <v>688</v>
      </c>
      <c r="FC364" s="4">
        <v>681</v>
      </c>
      <c r="FD364" s="4">
        <v>675</v>
      </c>
      <c r="FE364" s="4">
        <v>669</v>
      </c>
      <c r="FF364" s="4">
        <v>663</v>
      </c>
      <c r="FG364" s="4">
        <v>657</v>
      </c>
      <c r="FH364" s="4">
        <v>651</v>
      </c>
      <c r="FI364" s="4">
        <v>645</v>
      </c>
      <c r="FJ364" s="4">
        <v>639</v>
      </c>
      <c r="FK364" s="4">
        <v>633</v>
      </c>
      <c r="FL364" s="4">
        <v>627</v>
      </c>
      <c r="FM364" s="4">
        <v>621</v>
      </c>
      <c r="FN364" s="4">
        <v>615</v>
      </c>
      <c r="FO364" s="4">
        <v>609</v>
      </c>
      <c r="FP364" s="4">
        <v>602</v>
      </c>
      <c r="FQ364" s="4">
        <v>596</v>
      </c>
      <c r="FR364" s="4">
        <v>590</v>
      </c>
      <c r="FS364" s="4">
        <v>584</v>
      </c>
      <c r="FT364" s="19">
        <v>83.7</v>
      </c>
      <c r="FU364" s="19">
        <v>105.3</v>
      </c>
      <c r="FV364" s="19">
        <v>104.3</v>
      </c>
      <c r="FW364" s="19">
        <v>103.3</v>
      </c>
      <c r="FX364" s="19">
        <v>102.3</v>
      </c>
      <c r="FY364" s="19">
        <v>101.3</v>
      </c>
      <c r="FZ364" s="19">
        <v>100.3</v>
      </c>
      <c r="GA364" s="19">
        <v>115.8</v>
      </c>
      <c r="GB364" s="19">
        <v>114.7</v>
      </c>
      <c r="GC364" s="19">
        <v>113.5</v>
      </c>
      <c r="GD364" s="19">
        <v>112.5</v>
      </c>
      <c r="GE364" s="19">
        <v>111.5</v>
      </c>
      <c r="GF364" s="19">
        <v>110.5</v>
      </c>
      <c r="GG364" s="19">
        <v>109.5</v>
      </c>
      <c r="GH364" s="19">
        <v>108.5</v>
      </c>
      <c r="GI364" s="19">
        <v>107.5</v>
      </c>
      <c r="GJ364" s="19">
        <v>106.5</v>
      </c>
      <c r="GK364" s="19">
        <v>105.5</v>
      </c>
      <c r="GL364" s="19">
        <v>104.5</v>
      </c>
      <c r="GM364" s="19">
        <v>103.5</v>
      </c>
      <c r="GN364" s="19">
        <v>102.5</v>
      </c>
      <c r="GO364" s="19">
        <v>101.5</v>
      </c>
      <c r="GP364" s="19">
        <v>100.3</v>
      </c>
      <c r="GQ364" s="19">
        <v>99.3</v>
      </c>
      <c r="GR364" s="19">
        <v>98.3</v>
      </c>
      <c r="GS364" s="19">
        <v>97.3</v>
      </c>
    </row>
    <row r="365">
      <c r="A365" s="2" t="s">
        <v>2251</v>
      </c>
      <c r="B365" s="2" t="s">
        <v>883</v>
      </c>
      <c r="C365" s="2" t="s">
        <v>884</v>
      </c>
      <c r="D365" s="2" t="s">
        <v>885</v>
      </c>
      <c r="E365" s="2" t="s">
        <v>886</v>
      </c>
      <c r="F365" s="2" t="s">
        <v>2228</v>
      </c>
      <c r="G365" s="2" t="s">
        <v>2228</v>
      </c>
      <c r="H365" s="2" t="s">
        <v>2228</v>
      </c>
      <c r="I365" s="2" t="s">
        <v>2240</v>
      </c>
      <c r="J365" s="2" t="s">
        <v>2252</v>
      </c>
      <c r="K365" s="2" t="s">
        <v>371</v>
      </c>
      <c r="L365" s="3">
        <v>80</v>
      </c>
      <c r="M365" s="3">
        <v>84</v>
      </c>
      <c r="N365" s="3">
        <v>167.99</v>
      </c>
      <c r="O365" s="2" t="s">
        <v>196</v>
      </c>
      <c r="P365" s="2" t="s">
        <v>197</v>
      </c>
      <c r="Q365" s="2" t="s">
        <v>198</v>
      </c>
      <c r="R365" s="2" t="s">
        <v>199</v>
      </c>
      <c r="S365" s="2" t="s">
        <v>199</v>
      </c>
      <c r="T365" s="2" t="s">
        <v>199</v>
      </c>
      <c r="U365" s="2" t="s">
        <v>280</v>
      </c>
      <c r="V365" s="2" t="s">
        <v>493</v>
      </c>
      <c r="W365" s="2" t="s">
        <v>199</v>
      </c>
      <c r="X365" s="2" t="s">
        <v>199</v>
      </c>
      <c r="Y365" s="2" t="s">
        <v>2242</v>
      </c>
      <c r="Z365" s="4">
        <v>325</v>
      </c>
      <c r="AA365" s="4">
        <f>=ROUNDDOWN(325,0)</f>
      </c>
      <c r="AB365" s="5">
        <v>1</v>
      </c>
      <c r="AC365" s="2" t="s">
        <v>199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199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199</v>
      </c>
      <c r="AW365" s="8" t="s">
        <v>199</v>
      </c>
      <c r="AX365" s="4" t="s">
        <v>199</v>
      </c>
      <c r="AY365" s="8" t="s">
        <v>199</v>
      </c>
      <c r="AZ365" s="7" t="s">
        <v>199</v>
      </c>
      <c r="BA365" s="7" t="s">
        <v>199</v>
      </c>
      <c r="BB365" s="7"/>
      <c r="BC365" s="4" t="s">
        <v>199</v>
      </c>
      <c r="BD365" s="8" t="s">
        <v>199</v>
      </c>
      <c r="BE365" s="4" t="s">
        <v>199</v>
      </c>
      <c r="BF365" s="8" t="s">
        <v>199</v>
      </c>
      <c r="BG365" s="7" t="s">
        <v>199</v>
      </c>
      <c r="BH365" s="7" t="s">
        <v>199</v>
      </c>
      <c r="BI365" s="7"/>
      <c r="BJ365" s="4">
        <v>9</v>
      </c>
      <c r="BK365" s="8">
        <v>615.28</v>
      </c>
      <c r="BL365" s="2" t="s">
        <v>2243</v>
      </c>
      <c r="BM365" s="7"/>
      <c r="BN365" s="7"/>
      <c r="BO365" s="4"/>
      <c r="BP365" s="8"/>
      <c r="BQ365" s="4"/>
      <c r="BR365" s="8"/>
      <c r="BS365" s="7"/>
      <c r="BT365" s="7"/>
      <c r="BU365" s="2" t="s">
        <v>2244</v>
      </c>
      <c r="BV365" s="2" t="s">
        <v>199</v>
      </c>
      <c r="BW365" s="2" t="s">
        <v>199</v>
      </c>
      <c r="BX365" s="2" t="s">
        <v>208</v>
      </c>
      <c r="BY365" s="2" t="s">
        <v>209</v>
      </c>
      <c r="BZ365" s="2" t="s">
        <v>196</v>
      </c>
      <c r="CA365" s="2" t="s">
        <v>2245</v>
      </c>
      <c r="CB365" s="2" t="s">
        <v>2253</v>
      </c>
      <c r="CC365" s="2" t="s">
        <v>212</v>
      </c>
      <c r="CD365" s="2" t="s">
        <v>199</v>
      </c>
      <c r="CE365" s="4"/>
      <c r="CF365" s="4">
        <v>325</v>
      </c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>
        <v>325</v>
      </c>
      <c r="EU365" s="4">
        <v>320</v>
      </c>
      <c r="EV365" s="4">
        <v>319</v>
      </c>
      <c r="EW365" s="4">
        <v>318</v>
      </c>
      <c r="EX365" s="4">
        <v>316</v>
      </c>
      <c r="EY365" s="4">
        <v>316</v>
      </c>
      <c r="EZ365" s="4">
        <v>315</v>
      </c>
      <c r="FA365" s="4">
        <v>314</v>
      </c>
      <c r="FB365" s="4">
        <v>313</v>
      </c>
      <c r="FC365" s="4">
        <v>312</v>
      </c>
      <c r="FD365" s="4">
        <v>311</v>
      </c>
      <c r="FE365" s="4">
        <v>310</v>
      </c>
      <c r="FF365" s="4">
        <v>309</v>
      </c>
      <c r="FG365" s="4">
        <v>308</v>
      </c>
      <c r="FH365" s="4">
        <v>307</v>
      </c>
      <c r="FI365" s="4">
        <v>306</v>
      </c>
      <c r="FJ365" s="4">
        <v>305</v>
      </c>
      <c r="FK365" s="4">
        <v>304</v>
      </c>
      <c r="FL365" s="4">
        <v>303</v>
      </c>
      <c r="FM365" s="4">
        <v>302</v>
      </c>
      <c r="FN365" s="4">
        <v>301</v>
      </c>
      <c r="FO365" s="4">
        <v>300</v>
      </c>
      <c r="FP365" s="4">
        <v>299</v>
      </c>
      <c r="FQ365" s="4">
        <v>298</v>
      </c>
      <c r="FR365" s="4">
        <v>297</v>
      </c>
      <c r="FS365" s="4">
        <v>296</v>
      </c>
      <c r="FT365" s="19">
        <v>162.5</v>
      </c>
      <c r="FU365" s="19">
        <v>320</v>
      </c>
      <c r="FV365" s="19">
        <v>319</v>
      </c>
      <c r="FW365" s="19">
        <v>318</v>
      </c>
      <c r="FX365" s="19">
        <v>316</v>
      </c>
      <c r="FY365" s="19">
        <v>316</v>
      </c>
      <c r="FZ365" s="19">
        <v>315</v>
      </c>
      <c r="GA365" s="19">
        <v>314</v>
      </c>
      <c r="GB365" s="19">
        <v>313</v>
      </c>
      <c r="GC365" s="19">
        <v>312</v>
      </c>
      <c r="GD365" s="19">
        <v>311</v>
      </c>
      <c r="GE365" s="19">
        <v>310</v>
      </c>
      <c r="GF365" s="19">
        <v>309</v>
      </c>
      <c r="GG365" s="19">
        <v>308</v>
      </c>
      <c r="GH365" s="19">
        <v>307</v>
      </c>
      <c r="GI365" s="19">
        <v>306</v>
      </c>
      <c r="GJ365" s="19">
        <v>305</v>
      </c>
      <c r="GK365" s="19">
        <v>304</v>
      </c>
      <c r="GL365" s="19">
        <v>303</v>
      </c>
      <c r="GM365" s="19">
        <v>302</v>
      </c>
      <c r="GN365" s="19">
        <v>301</v>
      </c>
      <c r="GO365" s="19">
        <v>300</v>
      </c>
      <c r="GP365" s="19">
        <v>299</v>
      </c>
      <c r="GQ365" s="19">
        <v>298</v>
      </c>
      <c r="GR365" s="19">
        <v>297</v>
      </c>
      <c r="GS365" s="19">
        <v>296</v>
      </c>
    </row>
    <row r="366">
      <c r="A366" s="2" t="s">
        <v>2254</v>
      </c>
      <c r="B366" s="2" t="s">
        <v>591</v>
      </c>
      <c r="C366" s="2" t="s">
        <v>604</v>
      </c>
      <c r="D366" s="2" t="s">
        <v>593</v>
      </c>
      <c r="E366" s="2" t="s">
        <v>594</v>
      </c>
      <c r="F366" s="2" t="s">
        <v>2255</v>
      </c>
      <c r="G366" s="2" t="s">
        <v>2255</v>
      </c>
      <c r="H366" s="2" t="s">
        <v>2255</v>
      </c>
      <c r="I366" s="2" t="s">
        <v>2256</v>
      </c>
      <c r="J366" s="2" t="s">
        <v>559</v>
      </c>
      <c r="K366" s="2" t="s">
        <v>2257</v>
      </c>
      <c r="L366" s="3">
        <v>48.75</v>
      </c>
      <c r="M366" s="3">
        <v>51.19</v>
      </c>
      <c r="N366" s="3">
        <v>99.99</v>
      </c>
      <c r="O366" s="2" t="s">
        <v>196</v>
      </c>
      <c r="P366" s="2" t="s">
        <v>197</v>
      </c>
      <c r="Q366" s="2" t="s">
        <v>198</v>
      </c>
      <c r="R366" s="2" t="s">
        <v>199</v>
      </c>
      <c r="S366" s="2" t="s">
        <v>199</v>
      </c>
      <c r="T366" s="2" t="s">
        <v>199</v>
      </c>
      <c r="U366" s="2" t="s">
        <v>280</v>
      </c>
      <c r="V366" s="2" t="s">
        <v>493</v>
      </c>
      <c r="W366" s="2" t="s">
        <v>510</v>
      </c>
      <c r="X366" s="2" t="s">
        <v>2258</v>
      </c>
      <c r="Y366" s="2" t="s">
        <v>2259</v>
      </c>
      <c r="Z366" s="4">
        <v>99</v>
      </c>
      <c r="AA366" s="4">
        <f>=ROUNDDOWN(49.5,0)</f>
      </c>
      <c r="AB366" s="5">
        <v>2</v>
      </c>
      <c r="AC366" s="2" t="s">
        <v>199</v>
      </c>
      <c r="AD366" s="4"/>
      <c r="AE366" s="4"/>
      <c r="AF366" s="6">
        <v>63</v>
      </c>
      <c r="AG366" s="6"/>
      <c r="AH366" s="7">
        <v>0.4194</v>
      </c>
      <c r="AI366" s="4"/>
      <c r="AJ366" s="4">
        <f>=ROUNDDOWN({0},0)</f>
      </c>
      <c r="AK366" s="5"/>
      <c r="AL366" s="2" t="s">
        <v>199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10</v>
      </c>
      <c r="BK366" s="8">
        <v>561.1</v>
      </c>
      <c r="BL366" s="2" t="s">
        <v>2260</v>
      </c>
      <c r="BM366" s="7"/>
      <c r="BN366" s="7"/>
      <c r="BO366" s="4"/>
      <c r="BP366" s="8"/>
      <c r="BQ366" s="4"/>
      <c r="BR366" s="8"/>
      <c r="BS366" s="7"/>
      <c r="BT366" s="7"/>
      <c r="BU366" s="2" t="s">
        <v>2261</v>
      </c>
      <c r="BV366" s="2" t="s">
        <v>199</v>
      </c>
      <c r="BW366" s="2" t="s">
        <v>199</v>
      </c>
      <c r="BX366" s="2" t="s">
        <v>208</v>
      </c>
      <c r="BY366" s="2" t="s">
        <v>209</v>
      </c>
      <c r="BZ366" s="2" t="s">
        <v>196</v>
      </c>
      <c r="CA366" s="2" t="s">
        <v>2262</v>
      </c>
      <c r="CB366" s="2" t="s">
        <v>2263</v>
      </c>
      <c r="CC366" s="2" t="s">
        <v>212</v>
      </c>
      <c r="CD366" s="2" t="s">
        <v>199</v>
      </c>
      <c r="CE366" s="4"/>
      <c r="CF366" s="4">
        <v>99</v>
      </c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>
        <v>100</v>
      </c>
      <c r="EU366" s="4">
        <v>98</v>
      </c>
      <c r="EV366" s="4">
        <v>97</v>
      </c>
      <c r="EW366" s="4">
        <v>96</v>
      </c>
      <c r="EX366" s="4">
        <v>95</v>
      </c>
      <c r="EY366" s="4">
        <v>93</v>
      </c>
      <c r="EZ366" s="4">
        <v>91</v>
      </c>
      <c r="FA366" s="4">
        <v>89</v>
      </c>
      <c r="FB366" s="4">
        <v>87</v>
      </c>
      <c r="FC366" s="4">
        <v>85</v>
      </c>
      <c r="FD366" s="4">
        <v>83</v>
      </c>
      <c r="FE366" s="4">
        <v>81</v>
      </c>
      <c r="FF366" s="4">
        <v>79</v>
      </c>
      <c r="FG366" s="4">
        <v>77</v>
      </c>
      <c r="FH366" s="4">
        <v>75</v>
      </c>
      <c r="FI366" s="4">
        <v>73</v>
      </c>
      <c r="FJ366" s="4">
        <v>71</v>
      </c>
      <c r="FK366" s="4">
        <v>69</v>
      </c>
      <c r="FL366" s="4">
        <v>67</v>
      </c>
      <c r="FM366" s="4">
        <v>65</v>
      </c>
      <c r="FN366" s="4">
        <v>63</v>
      </c>
      <c r="FO366" s="4">
        <v>61</v>
      </c>
      <c r="FP366" s="4">
        <v>59</v>
      </c>
      <c r="FQ366" s="4">
        <v>57</v>
      </c>
      <c r="FR366" s="4">
        <v>55</v>
      </c>
      <c r="FS366" s="4">
        <v>53</v>
      </c>
      <c r="FT366" s="19">
        <v>100</v>
      </c>
      <c r="FU366" s="19">
        <v>98</v>
      </c>
      <c r="FV366" s="19">
        <v>48.5</v>
      </c>
      <c r="FW366" s="19">
        <v>48</v>
      </c>
      <c r="FX366" s="19">
        <v>47.5</v>
      </c>
      <c r="FY366" s="19">
        <v>46.5</v>
      </c>
      <c r="FZ366" s="19">
        <v>45.5</v>
      </c>
      <c r="GA366" s="19">
        <v>44.5</v>
      </c>
      <c r="GB366" s="19">
        <v>43.5</v>
      </c>
      <c r="GC366" s="19">
        <v>42.5</v>
      </c>
      <c r="GD366" s="19">
        <v>41.5</v>
      </c>
      <c r="GE366" s="19">
        <v>40.5</v>
      </c>
      <c r="GF366" s="19">
        <v>39.5</v>
      </c>
      <c r="GG366" s="19">
        <v>38.5</v>
      </c>
      <c r="GH366" s="19">
        <v>37.5</v>
      </c>
      <c r="GI366" s="19">
        <v>36.5</v>
      </c>
      <c r="GJ366" s="19">
        <v>35.5</v>
      </c>
      <c r="GK366" s="19">
        <v>34.5</v>
      </c>
      <c r="GL366" s="19">
        <v>33.5</v>
      </c>
      <c r="GM366" s="19">
        <v>32.5</v>
      </c>
      <c r="GN366" s="19">
        <v>31.5</v>
      </c>
      <c r="GO366" s="19">
        <v>30.5</v>
      </c>
      <c r="GP366" s="19">
        <v>29.5</v>
      </c>
      <c r="GQ366" s="19">
        <v>28.5</v>
      </c>
      <c r="GR366" s="19">
        <v>27.5</v>
      </c>
      <c r="GS366" s="19">
        <v>26.5</v>
      </c>
    </row>
    <row r="367">
      <c r="A367" s="2" t="s">
        <v>2264</v>
      </c>
      <c r="B367" s="2" t="s">
        <v>188</v>
      </c>
      <c r="C367" s="2" t="s">
        <v>189</v>
      </c>
      <c r="D367" s="2" t="s">
        <v>190</v>
      </c>
      <c r="E367" s="2" t="s">
        <v>2265</v>
      </c>
      <c r="F367" s="2" t="s">
        <v>2266</v>
      </c>
      <c r="G367" s="2" t="s">
        <v>2267</v>
      </c>
      <c r="H367" s="2" t="s">
        <v>2267</v>
      </c>
      <c r="I367" s="2" t="s">
        <v>2268</v>
      </c>
      <c r="J367" s="2" t="s">
        <v>219</v>
      </c>
      <c r="K367" s="2" t="s">
        <v>233</v>
      </c>
      <c r="L367" s="3">
        <v>14.55</v>
      </c>
      <c r="M367" s="3">
        <v>15.28</v>
      </c>
      <c r="N367" s="3">
        <v>27.99</v>
      </c>
      <c r="O367" s="2" t="s">
        <v>196</v>
      </c>
      <c r="P367" s="2" t="s">
        <v>197</v>
      </c>
      <c r="Q367" s="2" t="s">
        <v>198</v>
      </c>
      <c r="R367" s="2" t="s">
        <v>199</v>
      </c>
      <c r="S367" s="2" t="s">
        <v>2269</v>
      </c>
      <c r="T367" s="2" t="s">
        <v>386</v>
      </c>
      <c r="U367" s="2" t="s">
        <v>199</v>
      </c>
      <c r="V367" s="2" t="s">
        <v>202</v>
      </c>
      <c r="W367" s="2" t="s">
        <v>203</v>
      </c>
      <c r="X367" s="2" t="s">
        <v>199</v>
      </c>
      <c r="Y367" s="2" t="s">
        <v>204</v>
      </c>
      <c r="Z367" s="4">
        <v>346</v>
      </c>
      <c r="AA367" s="4">
        <f>=ROUNDDOWN(6.65384615384615,0)</f>
      </c>
      <c r="AB367" s="5">
        <v>52</v>
      </c>
      <c r="AC367" s="2" t="s">
        <v>2270</v>
      </c>
      <c r="AD367" s="4">
        <v>320</v>
      </c>
      <c r="AE367" s="4">
        <v>1280</v>
      </c>
      <c r="AF367" s="6">
        <v>65</v>
      </c>
      <c r="AG367" s="6"/>
      <c r="AH367" s="7">
        <v>0.0323</v>
      </c>
      <c r="AI367" s="4"/>
      <c r="AJ367" s="4">
        <f>=ROUNDDOWN({0},0)</f>
      </c>
      <c r="AK367" s="5"/>
      <c r="AL367" s="2" t="s">
        <v>199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35</v>
      </c>
      <c r="BK367" s="8">
        <v>610.25</v>
      </c>
      <c r="BL367" s="2" t="s">
        <v>2271</v>
      </c>
      <c r="BM367" s="7"/>
      <c r="BN367" s="7"/>
      <c r="BO367" s="4"/>
      <c r="BP367" s="8"/>
      <c r="BQ367" s="4"/>
      <c r="BR367" s="8"/>
      <c r="BS367" s="7"/>
      <c r="BT367" s="7"/>
      <c r="BU367" s="2" t="s">
        <v>2272</v>
      </c>
      <c r="BV367" s="2" t="s">
        <v>199</v>
      </c>
      <c r="BW367" s="2" t="s">
        <v>199</v>
      </c>
      <c r="BX367" s="2" t="s">
        <v>208</v>
      </c>
      <c r="BY367" s="2" t="s">
        <v>209</v>
      </c>
      <c r="BZ367" s="2" t="s">
        <v>196</v>
      </c>
      <c r="CA367" s="2" t="s">
        <v>210</v>
      </c>
      <c r="CB367" s="2" t="s">
        <v>2273</v>
      </c>
      <c r="CC367" s="2" t="s">
        <v>212</v>
      </c>
      <c r="CD367" s="2" t="s">
        <v>199</v>
      </c>
      <c r="CE367" s="4">
        <v>36</v>
      </c>
      <c r="CF367" s="4"/>
      <c r="CG367" s="4"/>
      <c r="CH367" s="4"/>
      <c r="CI367" s="4"/>
      <c r="CJ367" s="4"/>
      <c r="CK367" s="4"/>
      <c r="CL367" s="4">
        <v>310</v>
      </c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>
        <v>320</v>
      </c>
      <c r="DF367" s="4"/>
      <c r="DG367" s="4"/>
      <c r="DH367" s="4"/>
      <c r="DI367" s="4"/>
      <c r="DJ367" s="4"/>
      <c r="DK367" s="4"/>
      <c r="DL367" s="4"/>
      <c r="DM367" s="4">
        <v>170</v>
      </c>
      <c r="DN367" s="4"/>
      <c r="DO367" s="4"/>
      <c r="DP367" s="4"/>
      <c r="DQ367" s="4"/>
      <c r="DR367" s="4"/>
      <c r="DS367" s="4"/>
      <c r="DT367" s="4"/>
      <c r="DU367" s="4">
        <v>290</v>
      </c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>
        <v>500</v>
      </c>
      <c r="EN367" s="4"/>
      <c r="EO367" s="4"/>
      <c r="EP367" s="4"/>
      <c r="EQ367" s="4"/>
      <c r="ER367" s="4"/>
      <c r="ES367" s="4"/>
      <c r="ET367" s="4">
        <v>349</v>
      </c>
      <c r="EU367" s="4">
        <v>299</v>
      </c>
      <c r="EV367" s="4">
        <v>252</v>
      </c>
      <c r="EW367" s="4">
        <v>205</v>
      </c>
      <c r="EX367" s="4">
        <v>478</v>
      </c>
      <c r="EY367" s="4">
        <v>431</v>
      </c>
      <c r="EZ367" s="4">
        <v>549</v>
      </c>
      <c r="FA367" s="4">
        <v>497</v>
      </c>
      <c r="FB367" s="4">
        <v>730</v>
      </c>
      <c r="FC367" s="4">
        <v>678</v>
      </c>
      <c r="FD367" s="4">
        <v>626</v>
      </c>
      <c r="FE367" s="4">
        <v>574</v>
      </c>
      <c r="FF367" s="4">
        <v>522</v>
      </c>
      <c r="FG367" s="4">
        <v>470</v>
      </c>
      <c r="FH367" s="4">
        <v>418</v>
      </c>
      <c r="FI367" s="4">
        <v>366</v>
      </c>
      <c r="FJ367" s="4">
        <v>814</v>
      </c>
      <c r="FK367" s="4">
        <v>762</v>
      </c>
      <c r="FL367" s="4">
        <v>710</v>
      </c>
      <c r="FM367" s="4">
        <v>658</v>
      </c>
      <c r="FN367" s="4">
        <v>606</v>
      </c>
      <c r="FO367" s="4">
        <v>554</v>
      </c>
      <c r="FP367" s="4">
        <v>497</v>
      </c>
      <c r="FQ367" s="4">
        <v>445</v>
      </c>
      <c r="FR367" s="4">
        <v>393</v>
      </c>
      <c r="FS367" s="4">
        <v>341</v>
      </c>
      <c r="FT367" s="19">
        <v>7.3</v>
      </c>
      <c r="FU367" s="19">
        <v>6.4</v>
      </c>
      <c r="FV367" s="19">
        <v>5.3</v>
      </c>
      <c r="FW367" s="19">
        <v>4.1</v>
      </c>
      <c r="FX367" s="19">
        <v>9.2</v>
      </c>
      <c r="FY367" s="19">
        <v>8.1</v>
      </c>
      <c r="FZ367" s="19">
        <v>10.4</v>
      </c>
      <c r="GA367" s="19">
        <v>9.4</v>
      </c>
      <c r="GB367" s="19">
        <v>14</v>
      </c>
      <c r="GC367" s="19">
        <v>13</v>
      </c>
      <c r="GD367" s="19">
        <v>12</v>
      </c>
      <c r="GE367" s="19">
        <v>11</v>
      </c>
      <c r="GF367" s="19">
        <v>10</v>
      </c>
      <c r="GG367" s="19">
        <v>9</v>
      </c>
      <c r="GH367" s="19">
        <v>8</v>
      </c>
      <c r="GI367" s="19">
        <v>7</v>
      </c>
      <c r="GJ367" s="19">
        <v>15.7</v>
      </c>
      <c r="GK367" s="19">
        <v>14.7</v>
      </c>
      <c r="GL367" s="19">
        <v>13.4</v>
      </c>
      <c r="GM367" s="19">
        <v>12.4</v>
      </c>
      <c r="GN367" s="19">
        <v>11.4</v>
      </c>
      <c r="GO367" s="19">
        <v>10.5</v>
      </c>
      <c r="GP367" s="19">
        <v>9.6</v>
      </c>
      <c r="GQ367" s="19">
        <v>8.7</v>
      </c>
      <c r="GR367" s="19">
        <v>7.7</v>
      </c>
      <c r="GS367" s="19">
        <v>6.6</v>
      </c>
    </row>
    <row r="368">
      <c r="A368" s="2" t="s">
        <v>2274</v>
      </c>
      <c r="B368" s="2" t="s">
        <v>2275</v>
      </c>
      <c r="C368" s="2" t="s">
        <v>604</v>
      </c>
      <c r="D368" s="2" t="s">
        <v>2276</v>
      </c>
      <c r="E368" s="2" t="s">
        <v>2277</v>
      </c>
      <c r="F368" s="2" t="s">
        <v>2278</v>
      </c>
      <c r="G368" s="2" t="s">
        <v>2278</v>
      </c>
      <c r="H368" s="2" t="s">
        <v>2278</v>
      </c>
      <c r="I368" s="2" t="s">
        <v>2279</v>
      </c>
      <c r="J368" s="2" t="s">
        <v>2280</v>
      </c>
      <c r="K368" s="2" t="s">
        <v>195</v>
      </c>
      <c r="L368" s="3">
        <v>18.5</v>
      </c>
      <c r="M368" s="3">
        <v>19.42</v>
      </c>
      <c r="N368" s="3">
        <v>39.99</v>
      </c>
      <c r="O368" s="2" t="s">
        <v>196</v>
      </c>
      <c r="P368" s="2" t="s">
        <v>621</v>
      </c>
      <c r="Q368" s="2" t="s">
        <v>198</v>
      </c>
      <c r="R368" s="2" t="s">
        <v>199</v>
      </c>
      <c r="S368" s="2" t="s">
        <v>199</v>
      </c>
      <c r="T368" s="2" t="s">
        <v>199</v>
      </c>
      <c r="U368" s="2" t="s">
        <v>199</v>
      </c>
      <c r="V368" s="2" t="s">
        <v>202</v>
      </c>
      <c r="W368" s="2" t="s">
        <v>199</v>
      </c>
      <c r="X368" s="2" t="s">
        <v>199</v>
      </c>
      <c r="Y368" s="2" t="s">
        <v>2281</v>
      </c>
      <c r="Z368" s="4">
        <v>291</v>
      </c>
      <c r="AA368" s="4">
        <f>=ROUNDDOWN(29.1,0)</f>
      </c>
      <c r="AB368" s="5">
        <v>10</v>
      </c>
      <c r="AC368" s="2" t="s">
        <v>199</v>
      </c>
      <c r="AD368" s="4"/>
      <c r="AE368" s="4"/>
      <c r="AF368" s="6"/>
      <c r="AG368" s="6">
        <v>73</v>
      </c>
      <c r="AH368" s="7">
        <v>1</v>
      </c>
      <c r="AI368" s="4"/>
      <c r="AJ368" s="4">
        <f>=ROUNDDOWN({0},0)</f>
      </c>
      <c r="AK368" s="5"/>
      <c r="AL368" s="2" t="s">
        <v>199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199</v>
      </c>
      <c r="BD368" s="8" t="s">
        <v>199</v>
      </c>
      <c r="BE368" s="4" t="s">
        <v>199</v>
      </c>
      <c r="BF368" s="8" t="s">
        <v>199</v>
      </c>
      <c r="BG368" s="7" t="s">
        <v>199</v>
      </c>
      <c r="BH368" s="7" t="s">
        <v>199</v>
      </c>
      <c r="BI368" s="7"/>
      <c r="BJ368" s="4">
        <v>77</v>
      </c>
      <c r="BK368" s="8">
        <v>1443.94</v>
      </c>
      <c r="BL368" s="2" t="s">
        <v>2282</v>
      </c>
      <c r="BM368" s="7"/>
      <c r="BN368" s="7"/>
      <c r="BO368" s="4"/>
      <c r="BP368" s="8"/>
      <c r="BQ368" s="4"/>
      <c r="BR368" s="8"/>
      <c r="BS368" s="7"/>
      <c r="BT368" s="7"/>
      <c r="BU368" s="2" t="s">
        <v>2283</v>
      </c>
      <c r="BV368" s="2" t="s">
        <v>199</v>
      </c>
      <c r="BW368" s="2" t="s">
        <v>199</v>
      </c>
      <c r="BX368" s="2" t="s">
        <v>208</v>
      </c>
      <c r="BY368" s="2" t="s">
        <v>209</v>
      </c>
      <c r="BZ368" s="2" t="s">
        <v>196</v>
      </c>
      <c r="CA368" s="2" t="s">
        <v>1927</v>
      </c>
      <c r="CB368" s="2" t="s">
        <v>1424</v>
      </c>
      <c r="CC368" s="2" t="s">
        <v>212</v>
      </c>
      <c r="CD368" s="2" t="s">
        <v>199</v>
      </c>
      <c r="CE368" s="4"/>
      <c r="CF368" s="4"/>
      <c r="CG368" s="4"/>
      <c r="CH368" s="4">
        <v>291</v>
      </c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>
        <v>296</v>
      </c>
      <c r="EU368" s="4">
        <v>282</v>
      </c>
      <c r="EV368" s="4">
        <v>272</v>
      </c>
      <c r="EW368" s="4">
        <v>262</v>
      </c>
      <c r="EX368" s="4">
        <v>252</v>
      </c>
      <c r="EY368" s="4">
        <v>242</v>
      </c>
      <c r="EZ368" s="4">
        <v>232</v>
      </c>
      <c r="FA368" s="4">
        <v>222</v>
      </c>
      <c r="FB368" s="4">
        <v>212</v>
      </c>
      <c r="FC368" s="4">
        <v>202</v>
      </c>
      <c r="FD368" s="4">
        <v>192</v>
      </c>
      <c r="FE368" s="4">
        <v>182</v>
      </c>
      <c r="FF368" s="4">
        <v>172</v>
      </c>
      <c r="FG368" s="4">
        <v>162</v>
      </c>
      <c r="FH368" s="4">
        <v>152</v>
      </c>
      <c r="FI368" s="4">
        <v>142</v>
      </c>
      <c r="FJ368" s="4">
        <v>132</v>
      </c>
      <c r="FK368" s="4">
        <v>122</v>
      </c>
      <c r="FL368" s="4">
        <v>112</v>
      </c>
      <c r="FM368" s="4">
        <v>102</v>
      </c>
      <c r="FN368" s="4">
        <v>260</v>
      </c>
      <c r="FO368" s="4">
        <v>250</v>
      </c>
      <c r="FP368" s="4">
        <v>240</v>
      </c>
      <c r="FQ368" s="4">
        <v>230</v>
      </c>
      <c r="FR368" s="4">
        <v>220</v>
      </c>
      <c r="FS368" s="4">
        <v>210</v>
      </c>
      <c r="FT368" s="19">
        <v>26.9</v>
      </c>
      <c r="FU368" s="19">
        <v>28.2</v>
      </c>
      <c r="FV368" s="19">
        <v>27.2</v>
      </c>
      <c r="FW368" s="19">
        <v>26.2</v>
      </c>
      <c r="FX368" s="19">
        <v>25.2</v>
      </c>
      <c r="FY368" s="19">
        <v>24.2</v>
      </c>
      <c r="FZ368" s="19">
        <v>23.2</v>
      </c>
      <c r="GA368" s="19">
        <v>22.2</v>
      </c>
      <c r="GB368" s="19">
        <v>21.2</v>
      </c>
      <c r="GC368" s="19">
        <v>20.2</v>
      </c>
      <c r="GD368" s="19">
        <v>19.2</v>
      </c>
      <c r="GE368" s="19">
        <v>18.2</v>
      </c>
      <c r="GF368" s="19">
        <v>17.2</v>
      </c>
      <c r="GG368" s="19">
        <v>16.2</v>
      </c>
      <c r="GH368" s="19">
        <v>15.2</v>
      </c>
      <c r="GI368" s="19">
        <v>14.2</v>
      </c>
      <c r="GJ368" s="19">
        <v>13.2</v>
      </c>
      <c r="GK368" s="19">
        <v>12.2</v>
      </c>
      <c r="GL368" s="19">
        <v>11.2</v>
      </c>
      <c r="GM368" s="19">
        <v>10.2</v>
      </c>
      <c r="GN368" s="19">
        <v>26</v>
      </c>
      <c r="GO368" s="19">
        <v>25</v>
      </c>
      <c r="GP368" s="19">
        <v>24</v>
      </c>
      <c r="GQ368" s="19">
        <v>23</v>
      </c>
      <c r="GR368" s="19">
        <v>22</v>
      </c>
      <c r="GS368" s="19">
        <v>21</v>
      </c>
    </row>
    <row r="369">
      <c r="A369" s="2" t="s">
        <v>2284</v>
      </c>
      <c r="B369" s="2" t="s">
        <v>2275</v>
      </c>
      <c r="C369" s="2" t="s">
        <v>604</v>
      </c>
      <c r="D369" s="2" t="s">
        <v>2276</v>
      </c>
      <c r="E369" s="2" t="s">
        <v>2277</v>
      </c>
      <c r="F369" s="2" t="s">
        <v>2278</v>
      </c>
      <c r="G369" s="2" t="s">
        <v>199</v>
      </c>
      <c r="H369" s="2" t="s">
        <v>199</v>
      </c>
      <c r="I369" s="2" t="s">
        <v>2285</v>
      </c>
      <c r="J369" s="2" t="s">
        <v>2280</v>
      </c>
      <c r="K369" s="2" t="s">
        <v>2286</v>
      </c>
      <c r="L369" s="3">
        <v>18.5</v>
      </c>
      <c r="M369" s="3">
        <v>19.42</v>
      </c>
      <c r="N369" s="3">
        <v>39.99</v>
      </c>
      <c r="O369" s="2" t="s">
        <v>196</v>
      </c>
      <c r="P369" s="2" t="s">
        <v>621</v>
      </c>
      <c r="Q369" s="2" t="s">
        <v>198</v>
      </c>
      <c r="R369" s="2" t="s">
        <v>199</v>
      </c>
      <c r="S369" s="2" t="s">
        <v>199</v>
      </c>
      <c r="T369" s="2" t="s">
        <v>199</v>
      </c>
      <c r="U369" s="2" t="s">
        <v>199</v>
      </c>
      <c r="V369" s="2" t="s">
        <v>202</v>
      </c>
      <c r="W369" s="2" t="s">
        <v>199</v>
      </c>
      <c r="X369" s="2" t="s">
        <v>199</v>
      </c>
      <c r="Y369" s="2" t="s">
        <v>1634</v>
      </c>
      <c r="Z369" s="4">
        <v>94</v>
      </c>
      <c r="AA369" s="4">
        <f>=ROUNDDOWN(9.4,0)</f>
      </c>
      <c r="AB369" s="5">
        <v>10</v>
      </c>
      <c r="AC369" s="2" t="s">
        <v>199</v>
      </c>
      <c r="AD369" s="4"/>
      <c r="AE369" s="4"/>
      <c r="AF369" s="6"/>
      <c r="AG369" s="6">
        <v>73</v>
      </c>
      <c r="AH369" s="7">
        <v>1</v>
      </c>
      <c r="AI369" s="4"/>
      <c r="AJ369" s="4">
        <f>=ROUNDDOWN({0},0)</f>
      </c>
      <c r="AK369" s="5"/>
      <c r="AL369" s="2" t="s">
        <v>199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199</v>
      </c>
      <c r="AW369" s="8" t="s">
        <v>199</v>
      </c>
      <c r="AX369" s="4" t="s">
        <v>199</v>
      </c>
      <c r="AY369" s="8" t="s">
        <v>199</v>
      </c>
      <c r="AZ369" s="7" t="s">
        <v>199</v>
      </c>
      <c r="BA369" s="7" t="s">
        <v>199</v>
      </c>
      <c r="BB369" s="7"/>
      <c r="BC369" s="4" t="s">
        <v>199</v>
      </c>
      <c r="BD369" s="8" t="s">
        <v>199</v>
      </c>
      <c r="BE369" s="4" t="s">
        <v>199</v>
      </c>
      <c r="BF369" s="8" t="s">
        <v>199</v>
      </c>
      <c r="BG369" s="7" t="s">
        <v>199</v>
      </c>
      <c r="BH369" s="7" t="s">
        <v>199</v>
      </c>
      <c r="BI369" s="7"/>
      <c r="BJ369" s="4">
        <v>102</v>
      </c>
      <c r="BK369" s="8">
        <v>1953.25</v>
      </c>
      <c r="BL369" s="2" t="s">
        <v>2287</v>
      </c>
      <c r="BM369" s="7"/>
      <c r="BN369" s="7"/>
      <c r="BO369" s="4"/>
      <c r="BP369" s="8"/>
      <c r="BQ369" s="4"/>
      <c r="BR369" s="8"/>
      <c r="BS369" s="7"/>
      <c r="BT369" s="7"/>
      <c r="BU369" s="2" t="s">
        <v>2283</v>
      </c>
      <c r="BV369" s="2" t="s">
        <v>199</v>
      </c>
      <c r="BW369" s="2" t="s">
        <v>199</v>
      </c>
      <c r="BX369" s="2" t="s">
        <v>208</v>
      </c>
      <c r="BY369" s="2" t="s">
        <v>209</v>
      </c>
      <c r="BZ369" s="2" t="s">
        <v>196</v>
      </c>
      <c r="CA369" s="2" t="s">
        <v>1927</v>
      </c>
      <c r="CB369" s="2" t="s">
        <v>2288</v>
      </c>
      <c r="CC369" s="2" t="s">
        <v>212</v>
      </c>
      <c r="CD369" s="2" t="s">
        <v>199</v>
      </c>
      <c r="CE369" s="4"/>
      <c r="CF369" s="4"/>
      <c r="CG369" s="4"/>
      <c r="CH369" s="4">
        <v>94</v>
      </c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>
        <v>94</v>
      </c>
      <c r="EU369" s="4">
        <v>85</v>
      </c>
      <c r="EV369" s="4">
        <v>76</v>
      </c>
      <c r="EW369" s="4">
        <v>67</v>
      </c>
      <c r="EX369" s="4">
        <v>58</v>
      </c>
      <c r="EY369" s="4">
        <v>49</v>
      </c>
      <c r="EZ369" s="4">
        <v>40</v>
      </c>
      <c r="FA369" s="4">
        <v>31</v>
      </c>
      <c r="FB369" s="4">
        <v>22</v>
      </c>
      <c r="FC369" s="4">
        <v>13</v>
      </c>
      <c r="FD369" s="4">
        <v>4</v>
      </c>
      <c r="FE369" s="4"/>
      <c r="FF369" s="4"/>
      <c r="FG369" s="4"/>
      <c r="FH369" s="4"/>
      <c r="FI369" s="4"/>
      <c r="FJ369" s="4"/>
      <c r="FK369" s="4"/>
      <c r="FL369" s="4"/>
      <c r="FM369" s="4"/>
      <c r="FN369" s="4">
        <v>277</v>
      </c>
      <c r="FO369" s="4">
        <v>260</v>
      </c>
      <c r="FP369" s="4">
        <v>250</v>
      </c>
      <c r="FQ369" s="4">
        <v>240</v>
      </c>
      <c r="FR369" s="4">
        <v>230</v>
      </c>
      <c r="FS369" s="4">
        <v>220</v>
      </c>
      <c r="FT369" s="19">
        <v>10.4</v>
      </c>
      <c r="FU369" s="19">
        <v>9.4</v>
      </c>
      <c r="FV369" s="19">
        <v>8.4</v>
      </c>
      <c r="FW369" s="19">
        <v>7.4</v>
      </c>
      <c r="FX369" s="19">
        <v>6.4</v>
      </c>
      <c r="FY369" s="19">
        <v>5.4</v>
      </c>
      <c r="FZ369" s="19">
        <v>4.4</v>
      </c>
      <c r="GA369" s="19">
        <v>3.4</v>
      </c>
      <c r="GB369" s="19">
        <v>2.4</v>
      </c>
      <c r="GC369" s="19">
        <v>1.4</v>
      </c>
      <c r="GD369" s="19">
        <v>0.4</v>
      </c>
      <c r="GE369" s="20">
        <v>0</v>
      </c>
      <c r="GF369" s="20">
        <v>0</v>
      </c>
      <c r="GG369" s="20">
        <v>0</v>
      </c>
      <c r="GH369" s="20">
        <v>0</v>
      </c>
      <c r="GI369" s="20">
        <v>0</v>
      </c>
      <c r="GJ369" s="20">
        <v>0</v>
      </c>
      <c r="GK369" s="20">
        <v>0</v>
      </c>
      <c r="GL369" s="20">
        <v>0</v>
      </c>
      <c r="GM369" s="20">
        <v>0</v>
      </c>
      <c r="GN369" s="19">
        <v>23.1</v>
      </c>
      <c r="GO369" s="19">
        <v>26</v>
      </c>
      <c r="GP369" s="19">
        <v>25</v>
      </c>
      <c r="GQ369" s="19">
        <v>24</v>
      </c>
      <c r="GR369" s="19">
        <v>23</v>
      </c>
      <c r="GS369" s="19">
        <v>22</v>
      </c>
    </row>
    <row r="370">
      <c r="A370" s="2" t="s">
        <v>2289</v>
      </c>
      <c r="B370" s="2" t="s">
        <v>2275</v>
      </c>
      <c r="C370" s="2" t="s">
        <v>604</v>
      </c>
      <c r="D370" s="2" t="s">
        <v>2276</v>
      </c>
      <c r="E370" s="2" t="s">
        <v>2277</v>
      </c>
      <c r="F370" s="2" t="s">
        <v>2278</v>
      </c>
      <c r="G370" s="2" t="s">
        <v>199</v>
      </c>
      <c r="H370" s="2" t="s">
        <v>199</v>
      </c>
      <c r="I370" s="2" t="s">
        <v>2285</v>
      </c>
      <c r="J370" s="2" t="s">
        <v>2290</v>
      </c>
      <c r="K370" s="2" t="s">
        <v>2286</v>
      </c>
      <c r="L370" s="3">
        <v>18.5</v>
      </c>
      <c r="M370" s="3">
        <v>19.42</v>
      </c>
      <c r="N370" s="3">
        <v>39.99</v>
      </c>
      <c r="O370" s="2" t="s">
        <v>196</v>
      </c>
      <c r="P370" s="2" t="s">
        <v>621</v>
      </c>
      <c r="Q370" s="2" t="s">
        <v>198</v>
      </c>
      <c r="R370" s="2" t="s">
        <v>199</v>
      </c>
      <c r="S370" s="2" t="s">
        <v>199</v>
      </c>
      <c r="T370" s="2" t="s">
        <v>199</v>
      </c>
      <c r="U370" s="2" t="s">
        <v>199</v>
      </c>
      <c r="V370" s="2" t="s">
        <v>202</v>
      </c>
      <c r="W370" s="2" t="s">
        <v>199</v>
      </c>
      <c r="X370" s="2" t="s">
        <v>199</v>
      </c>
      <c r="Y370" s="2" t="s">
        <v>1634</v>
      </c>
      <c r="Z370" s="4">
        <v>21</v>
      </c>
      <c r="AA370" s="4">
        <f>=ROUNDDOWN(1.90909090909091,0)</f>
      </c>
      <c r="AB370" s="5">
        <v>11</v>
      </c>
      <c r="AC370" s="2" t="s">
        <v>199</v>
      </c>
      <c r="AD370" s="4"/>
      <c r="AE370" s="4"/>
      <c r="AF370" s="6"/>
      <c r="AG370" s="6">
        <v>73</v>
      </c>
      <c r="AH370" s="7">
        <v>1</v>
      </c>
      <c r="AI370" s="4"/>
      <c r="AJ370" s="4">
        <f>=ROUNDDOWN({0},0)</f>
      </c>
      <c r="AK370" s="5"/>
      <c r="AL370" s="2" t="s">
        <v>199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199</v>
      </c>
      <c r="AW370" s="8" t="s">
        <v>199</v>
      </c>
      <c r="AX370" s="4" t="s">
        <v>199</v>
      </c>
      <c r="AY370" s="8" t="s">
        <v>199</v>
      </c>
      <c r="AZ370" s="7" t="s">
        <v>199</v>
      </c>
      <c r="BA370" s="7" t="s">
        <v>199</v>
      </c>
      <c r="BB370" s="7"/>
      <c r="BC370" s="4" t="s">
        <v>199</v>
      </c>
      <c r="BD370" s="8" t="s">
        <v>199</v>
      </c>
      <c r="BE370" s="4" t="s">
        <v>199</v>
      </c>
      <c r="BF370" s="8" t="s">
        <v>199</v>
      </c>
      <c r="BG370" s="7" t="s">
        <v>199</v>
      </c>
      <c r="BH370" s="7" t="s">
        <v>199</v>
      </c>
      <c r="BI370" s="7"/>
      <c r="BJ370" s="4">
        <v>88</v>
      </c>
      <c r="BK370" s="8">
        <v>1689.97</v>
      </c>
      <c r="BL370" s="2" t="s">
        <v>2287</v>
      </c>
      <c r="BM370" s="7"/>
      <c r="BN370" s="7"/>
      <c r="BO370" s="4"/>
      <c r="BP370" s="8"/>
      <c r="BQ370" s="4"/>
      <c r="BR370" s="8"/>
      <c r="BS370" s="7"/>
      <c r="BT370" s="7"/>
      <c r="BU370" s="2" t="s">
        <v>2283</v>
      </c>
      <c r="BV370" s="2" t="s">
        <v>199</v>
      </c>
      <c r="BW370" s="2" t="s">
        <v>199</v>
      </c>
      <c r="BX370" s="2" t="s">
        <v>208</v>
      </c>
      <c r="BY370" s="2" t="s">
        <v>209</v>
      </c>
      <c r="BZ370" s="2" t="s">
        <v>196</v>
      </c>
      <c r="CA370" s="2" t="s">
        <v>1927</v>
      </c>
      <c r="CB370" s="2" t="s">
        <v>199</v>
      </c>
      <c r="CC370" s="2" t="s">
        <v>212</v>
      </c>
      <c r="CD370" s="2" t="s">
        <v>199</v>
      </c>
      <c r="CE370" s="4"/>
      <c r="CF370" s="4"/>
      <c r="CG370" s="4"/>
      <c r="CH370" s="4">
        <v>21</v>
      </c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>
        <v>25</v>
      </c>
      <c r="EU370" s="4">
        <v>11</v>
      </c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>
        <v>297</v>
      </c>
      <c r="FO370" s="4">
        <v>286</v>
      </c>
      <c r="FP370" s="4">
        <v>275</v>
      </c>
      <c r="FQ370" s="4">
        <v>264</v>
      </c>
      <c r="FR370" s="4">
        <v>253</v>
      </c>
      <c r="FS370" s="4">
        <v>242</v>
      </c>
      <c r="FT370" s="19">
        <v>2.1</v>
      </c>
      <c r="FU370" s="19">
        <v>1</v>
      </c>
      <c r="FV370" s="20">
        <v>0</v>
      </c>
      <c r="FW370" s="20">
        <v>0</v>
      </c>
      <c r="FX370" s="20">
        <v>0</v>
      </c>
      <c r="FY370" s="20">
        <v>0</v>
      </c>
      <c r="FZ370" s="20">
        <v>0</v>
      </c>
      <c r="GA370" s="20">
        <v>0</v>
      </c>
      <c r="GB370" s="20">
        <v>0</v>
      </c>
      <c r="GC370" s="20">
        <v>0</v>
      </c>
      <c r="GD370" s="20">
        <v>0</v>
      </c>
      <c r="GE370" s="20">
        <v>0</v>
      </c>
      <c r="GF370" s="20">
        <v>0</v>
      </c>
      <c r="GG370" s="20">
        <v>0</v>
      </c>
      <c r="GH370" s="20">
        <v>0</v>
      </c>
      <c r="GI370" s="20">
        <v>0</v>
      </c>
      <c r="GJ370" s="20">
        <v>0</v>
      </c>
      <c r="GK370" s="20">
        <v>0</v>
      </c>
      <c r="GL370" s="20">
        <v>0</v>
      </c>
      <c r="GM370" s="20">
        <v>0</v>
      </c>
      <c r="GN370" s="19">
        <v>27</v>
      </c>
      <c r="GO370" s="19">
        <v>26</v>
      </c>
      <c r="GP370" s="19">
        <v>25</v>
      </c>
      <c r="GQ370" s="19">
        <v>24</v>
      </c>
      <c r="GR370" s="19">
        <v>23</v>
      </c>
      <c r="GS370" s="19">
        <v>22</v>
      </c>
    </row>
    <row r="371">
      <c r="A371" s="2" t="s">
        <v>2291</v>
      </c>
      <c r="B371" s="2" t="s">
        <v>2275</v>
      </c>
      <c r="C371" s="2" t="s">
        <v>604</v>
      </c>
      <c r="D371" s="2" t="s">
        <v>2276</v>
      </c>
      <c r="E371" s="2" t="s">
        <v>2277</v>
      </c>
      <c r="F371" s="2" t="s">
        <v>2278</v>
      </c>
      <c r="G371" s="2" t="s">
        <v>199</v>
      </c>
      <c r="H371" s="2" t="s">
        <v>199</v>
      </c>
      <c r="I371" s="2" t="s">
        <v>2279</v>
      </c>
      <c r="J371" s="2" t="s">
        <v>2280</v>
      </c>
      <c r="K371" s="2" t="s">
        <v>2292</v>
      </c>
      <c r="L371" s="3">
        <v>18.5</v>
      </c>
      <c r="M371" s="3">
        <v>19.42</v>
      </c>
      <c r="N371" s="3">
        <v>39.99</v>
      </c>
      <c r="O371" s="2" t="s">
        <v>196</v>
      </c>
      <c r="P371" s="2" t="s">
        <v>197</v>
      </c>
      <c r="Q371" s="2" t="s">
        <v>198</v>
      </c>
      <c r="R371" s="2" t="s">
        <v>199</v>
      </c>
      <c r="S371" s="2" t="s">
        <v>199</v>
      </c>
      <c r="T371" s="2" t="s">
        <v>199</v>
      </c>
      <c r="U371" s="2" t="s">
        <v>199</v>
      </c>
      <c r="V371" s="2" t="s">
        <v>202</v>
      </c>
      <c r="W371" s="2" t="s">
        <v>199</v>
      </c>
      <c r="X371" s="2" t="s">
        <v>199</v>
      </c>
      <c r="Y371" s="2" t="s">
        <v>2281</v>
      </c>
      <c r="Z371" s="4">
        <v>236</v>
      </c>
      <c r="AA371" s="4">
        <f>=ROUNDDOWN(45.3846153846154,0)</f>
      </c>
      <c r="AB371" s="5">
        <v>5.2</v>
      </c>
      <c r="AC371" s="2" t="s">
        <v>199</v>
      </c>
      <c r="AD371" s="4"/>
      <c r="AE371" s="4"/>
      <c r="AF371" s="6"/>
      <c r="AG371" s="6">
        <v>73</v>
      </c>
      <c r="AH371" s="7">
        <v>1</v>
      </c>
      <c r="AI371" s="4"/>
      <c r="AJ371" s="4">
        <f>=ROUNDDOWN({0},0)</f>
      </c>
      <c r="AK371" s="5"/>
      <c r="AL371" s="2" t="s">
        <v>199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199</v>
      </c>
      <c r="AW371" s="8" t="s">
        <v>199</v>
      </c>
      <c r="AX371" s="4" t="s">
        <v>199</v>
      </c>
      <c r="AY371" s="8" t="s">
        <v>199</v>
      </c>
      <c r="AZ371" s="7" t="s">
        <v>199</v>
      </c>
      <c r="BA371" s="7" t="s">
        <v>199</v>
      </c>
      <c r="BB371" s="7"/>
      <c r="BC371" s="4" t="s">
        <v>199</v>
      </c>
      <c r="BD371" s="8" t="s">
        <v>199</v>
      </c>
      <c r="BE371" s="4" t="s">
        <v>199</v>
      </c>
      <c r="BF371" s="8" t="s">
        <v>199</v>
      </c>
      <c r="BG371" s="7" t="s">
        <v>199</v>
      </c>
      <c r="BH371" s="7" t="s">
        <v>199</v>
      </c>
      <c r="BI371" s="7"/>
      <c r="BJ371" s="4">
        <v>93</v>
      </c>
      <c r="BK371" s="8">
        <v>1737.51</v>
      </c>
      <c r="BL371" s="2" t="s">
        <v>2282</v>
      </c>
      <c r="BM371" s="7"/>
      <c r="BN371" s="7"/>
      <c r="BO371" s="4"/>
      <c r="BP371" s="8"/>
      <c r="BQ371" s="4"/>
      <c r="BR371" s="8"/>
      <c r="BS371" s="7"/>
      <c r="BT371" s="7"/>
      <c r="BU371" s="2" t="s">
        <v>2283</v>
      </c>
      <c r="BV371" s="2" t="s">
        <v>199</v>
      </c>
      <c r="BW371" s="2" t="s">
        <v>199</v>
      </c>
      <c r="BX371" s="2" t="s">
        <v>208</v>
      </c>
      <c r="BY371" s="2" t="s">
        <v>209</v>
      </c>
      <c r="BZ371" s="2" t="s">
        <v>196</v>
      </c>
      <c r="CA371" s="2" t="s">
        <v>1927</v>
      </c>
      <c r="CB371" s="2" t="s">
        <v>999</v>
      </c>
      <c r="CC371" s="2" t="s">
        <v>212</v>
      </c>
      <c r="CD371" s="2" t="s">
        <v>199</v>
      </c>
      <c r="CE371" s="4">
        <v>75</v>
      </c>
      <c r="CF371" s="4"/>
      <c r="CG371" s="4"/>
      <c r="CH371" s="4">
        <v>161</v>
      </c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>
        <v>238</v>
      </c>
      <c r="EU371" s="4">
        <v>231</v>
      </c>
      <c r="EV371" s="4">
        <v>226</v>
      </c>
      <c r="EW371" s="4">
        <v>221</v>
      </c>
      <c r="EX371" s="4">
        <v>216</v>
      </c>
      <c r="EY371" s="4">
        <v>211</v>
      </c>
      <c r="EZ371" s="4">
        <v>206</v>
      </c>
      <c r="FA371" s="4">
        <v>201</v>
      </c>
      <c r="FB371" s="4">
        <v>196</v>
      </c>
      <c r="FC371" s="4">
        <v>191</v>
      </c>
      <c r="FD371" s="4">
        <v>186</v>
      </c>
      <c r="FE371" s="4">
        <v>181</v>
      </c>
      <c r="FF371" s="4">
        <v>176</v>
      </c>
      <c r="FG371" s="4">
        <v>171</v>
      </c>
      <c r="FH371" s="4">
        <v>166</v>
      </c>
      <c r="FI371" s="4">
        <v>161</v>
      </c>
      <c r="FJ371" s="4">
        <v>156</v>
      </c>
      <c r="FK371" s="4">
        <v>151</v>
      </c>
      <c r="FL371" s="4">
        <v>146</v>
      </c>
      <c r="FM371" s="4">
        <v>141</v>
      </c>
      <c r="FN371" s="4">
        <v>243</v>
      </c>
      <c r="FO371" s="4">
        <v>238</v>
      </c>
      <c r="FP371" s="4">
        <v>233</v>
      </c>
      <c r="FQ371" s="4">
        <v>228</v>
      </c>
      <c r="FR371" s="4">
        <v>223</v>
      </c>
      <c r="FS371" s="4">
        <v>218</v>
      </c>
      <c r="FT371" s="19">
        <v>39.7</v>
      </c>
      <c r="FU371" s="19">
        <v>46.2</v>
      </c>
      <c r="FV371" s="19">
        <v>45.2</v>
      </c>
      <c r="FW371" s="19">
        <v>44.2</v>
      </c>
      <c r="FX371" s="19">
        <v>43.2</v>
      </c>
      <c r="FY371" s="19">
        <v>42.2</v>
      </c>
      <c r="FZ371" s="19">
        <v>41.2</v>
      </c>
      <c r="GA371" s="19">
        <v>40.2</v>
      </c>
      <c r="GB371" s="19">
        <v>39.2</v>
      </c>
      <c r="GC371" s="19">
        <v>38.2</v>
      </c>
      <c r="GD371" s="19">
        <v>37.2</v>
      </c>
      <c r="GE371" s="19">
        <v>36.2</v>
      </c>
      <c r="GF371" s="19">
        <v>35.2</v>
      </c>
      <c r="GG371" s="19">
        <v>34.2</v>
      </c>
      <c r="GH371" s="19">
        <v>33.2</v>
      </c>
      <c r="GI371" s="19">
        <v>32.2</v>
      </c>
      <c r="GJ371" s="19">
        <v>31.2</v>
      </c>
      <c r="GK371" s="19">
        <v>30.2</v>
      </c>
      <c r="GL371" s="19">
        <v>29.2</v>
      </c>
      <c r="GM371" s="19">
        <v>28.2</v>
      </c>
      <c r="GN371" s="19">
        <v>48.6</v>
      </c>
      <c r="GO371" s="19">
        <v>47.6</v>
      </c>
      <c r="GP371" s="19">
        <v>46.6</v>
      </c>
      <c r="GQ371" s="19">
        <v>45.6</v>
      </c>
      <c r="GR371" s="19">
        <v>44.6</v>
      </c>
      <c r="GS371" s="19">
        <v>43.6</v>
      </c>
    </row>
    <row r="372">
      <c r="A372" s="2" t="s">
        <v>2293</v>
      </c>
      <c r="B372" s="2" t="s">
        <v>2275</v>
      </c>
      <c r="C372" s="2" t="s">
        <v>604</v>
      </c>
      <c r="D372" s="2" t="s">
        <v>2276</v>
      </c>
      <c r="E372" s="2" t="s">
        <v>2277</v>
      </c>
      <c r="F372" s="2" t="s">
        <v>2278</v>
      </c>
      <c r="G372" s="2" t="s">
        <v>199</v>
      </c>
      <c r="H372" s="2" t="s">
        <v>199</v>
      </c>
      <c r="I372" s="2" t="s">
        <v>2279</v>
      </c>
      <c r="J372" s="2" t="s">
        <v>2290</v>
      </c>
      <c r="K372" s="2" t="s">
        <v>2292</v>
      </c>
      <c r="L372" s="3">
        <v>18.5</v>
      </c>
      <c r="M372" s="3">
        <v>19.42</v>
      </c>
      <c r="N372" s="3">
        <v>39.99</v>
      </c>
      <c r="O372" s="2" t="s">
        <v>196</v>
      </c>
      <c r="P372" s="2" t="s">
        <v>197</v>
      </c>
      <c r="Q372" s="2" t="s">
        <v>198</v>
      </c>
      <c r="R372" s="2" t="s">
        <v>199</v>
      </c>
      <c r="S372" s="2" t="s">
        <v>199</v>
      </c>
      <c r="T372" s="2" t="s">
        <v>199</v>
      </c>
      <c r="U372" s="2" t="s">
        <v>199</v>
      </c>
      <c r="V372" s="2" t="s">
        <v>202</v>
      </c>
      <c r="W372" s="2" t="s">
        <v>199</v>
      </c>
      <c r="X372" s="2" t="s">
        <v>199</v>
      </c>
      <c r="Y372" s="2" t="s">
        <v>2281</v>
      </c>
      <c r="Z372" s="4">
        <v>143</v>
      </c>
      <c r="AA372" s="4">
        <f>=ROUNDDOWN(19.0666666666667,0)</f>
      </c>
      <c r="AB372" s="5">
        <v>7.5</v>
      </c>
      <c r="AC372" s="2" t="s">
        <v>199</v>
      </c>
      <c r="AD372" s="4"/>
      <c r="AE372" s="4"/>
      <c r="AF372" s="6"/>
      <c r="AG372" s="6">
        <v>73</v>
      </c>
      <c r="AH372" s="7">
        <v>1</v>
      </c>
      <c r="AI372" s="4"/>
      <c r="AJ372" s="4">
        <f>=ROUNDDOWN({0},0)</f>
      </c>
      <c r="AK372" s="5"/>
      <c r="AL372" s="2" t="s">
        <v>199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199</v>
      </c>
      <c r="AW372" s="8" t="s">
        <v>199</v>
      </c>
      <c r="AX372" s="4" t="s">
        <v>199</v>
      </c>
      <c r="AY372" s="8" t="s">
        <v>199</v>
      </c>
      <c r="AZ372" s="7" t="s">
        <v>199</v>
      </c>
      <c r="BA372" s="7" t="s">
        <v>199</v>
      </c>
      <c r="BB372" s="7"/>
      <c r="BC372" s="4" t="s">
        <v>199</v>
      </c>
      <c r="BD372" s="8" t="s">
        <v>199</v>
      </c>
      <c r="BE372" s="4" t="s">
        <v>199</v>
      </c>
      <c r="BF372" s="8" t="s">
        <v>199</v>
      </c>
      <c r="BG372" s="7" t="s">
        <v>199</v>
      </c>
      <c r="BH372" s="7" t="s">
        <v>199</v>
      </c>
      <c r="BI372" s="7"/>
      <c r="BJ372" s="4">
        <v>92</v>
      </c>
      <c r="BK372" s="8">
        <v>1721.9</v>
      </c>
      <c r="BL372" s="2" t="s">
        <v>2294</v>
      </c>
      <c r="BM372" s="7"/>
      <c r="BN372" s="7"/>
      <c r="BO372" s="4"/>
      <c r="BP372" s="8"/>
      <c r="BQ372" s="4"/>
      <c r="BR372" s="8"/>
      <c r="BS372" s="7"/>
      <c r="BT372" s="7"/>
      <c r="BU372" s="2" t="s">
        <v>2283</v>
      </c>
      <c r="BV372" s="2" t="s">
        <v>199</v>
      </c>
      <c r="BW372" s="2" t="s">
        <v>199</v>
      </c>
      <c r="BX372" s="2" t="s">
        <v>208</v>
      </c>
      <c r="BY372" s="2" t="s">
        <v>209</v>
      </c>
      <c r="BZ372" s="2" t="s">
        <v>196</v>
      </c>
      <c r="CA372" s="2" t="s">
        <v>1927</v>
      </c>
      <c r="CB372" s="2" t="s">
        <v>828</v>
      </c>
      <c r="CC372" s="2" t="s">
        <v>212</v>
      </c>
      <c r="CD372" s="2" t="s">
        <v>199</v>
      </c>
      <c r="CE372" s="4"/>
      <c r="CF372" s="4"/>
      <c r="CG372" s="4"/>
      <c r="CH372" s="4">
        <v>143</v>
      </c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>
        <v>145</v>
      </c>
      <c r="EU372" s="4">
        <v>129</v>
      </c>
      <c r="EV372" s="4">
        <v>121</v>
      </c>
      <c r="EW372" s="4">
        <v>113</v>
      </c>
      <c r="EX372" s="4">
        <v>105</v>
      </c>
      <c r="EY372" s="4">
        <v>97</v>
      </c>
      <c r="EZ372" s="4">
        <v>89</v>
      </c>
      <c r="FA372" s="4">
        <v>81</v>
      </c>
      <c r="FB372" s="4">
        <v>73</v>
      </c>
      <c r="FC372" s="4">
        <v>65</v>
      </c>
      <c r="FD372" s="4">
        <v>57</v>
      </c>
      <c r="FE372" s="4">
        <v>49</v>
      </c>
      <c r="FF372" s="4">
        <v>41</v>
      </c>
      <c r="FG372" s="4">
        <v>33</v>
      </c>
      <c r="FH372" s="4">
        <v>25</v>
      </c>
      <c r="FI372" s="4">
        <v>17</v>
      </c>
      <c r="FJ372" s="4">
        <v>9</v>
      </c>
      <c r="FK372" s="4">
        <v>1</v>
      </c>
      <c r="FL372" s="4"/>
      <c r="FM372" s="4"/>
      <c r="FN372" s="4">
        <v>383</v>
      </c>
      <c r="FO372" s="4">
        <v>372</v>
      </c>
      <c r="FP372" s="4">
        <v>364</v>
      </c>
      <c r="FQ372" s="4">
        <v>356</v>
      </c>
      <c r="FR372" s="4">
        <v>348</v>
      </c>
      <c r="FS372" s="4">
        <v>340</v>
      </c>
      <c r="FT372" s="19">
        <v>14.5</v>
      </c>
      <c r="FU372" s="19">
        <v>16.1</v>
      </c>
      <c r="FV372" s="19">
        <v>15.1</v>
      </c>
      <c r="FW372" s="19">
        <v>14.1</v>
      </c>
      <c r="FX372" s="19">
        <v>13.1</v>
      </c>
      <c r="FY372" s="19">
        <v>12.1</v>
      </c>
      <c r="FZ372" s="19">
        <v>11.1</v>
      </c>
      <c r="GA372" s="19">
        <v>10.1</v>
      </c>
      <c r="GB372" s="19">
        <v>9.1</v>
      </c>
      <c r="GC372" s="19">
        <v>8.1</v>
      </c>
      <c r="GD372" s="19">
        <v>7.1</v>
      </c>
      <c r="GE372" s="19">
        <v>6.1</v>
      </c>
      <c r="GF372" s="19">
        <v>5.1</v>
      </c>
      <c r="GG372" s="19">
        <v>4.1</v>
      </c>
      <c r="GH372" s="19">
        <v>3.1</v>
      </c>
      <c r="GI372" s="19">
        <v>2.1</v>
      </c>
      <c r="GJ372" s="19">
        <v>1.3</v>
      </c>
      <c r="GK372" s="19">
        <v>0.1</v>
      </c>
      <c r="GL372" s="20">
        <v>0</v>
      </c>
      <c r="GM372" s="20">
        <v>0</v>
      </c>
      <c r="GN372" s="19">
        <v>42.6</v>
      </c>
      <c r="GO372" s="19">
        <v>46.5</v>
      </c>
      <c r="GP372" s="19">
        <v>45.5</v>
      </c>
      <c r="GQ372" s="19">
        <v>44.5</v>
      </c>
      <c r="GR372" s="19">
        <v>43.5</v>
      </c>
      <c r="GS372" s="19">
        <v>42.5</v>
      </c>
    </row>
    <row r="373">
      <c r="A373" s="2" t="s">
        <v>2295</v>
      </c>
      <c r="B373" s="2" t="s">
        <v>2275</v>
      </c>
      <c r="C373" s="2" t="s">
        <v>604</v>
      </c>
      <c r="D373" s="2" t="s">
        <v>2276</v>
      </c>
      <c r="E373" s="2" t="s">
        <v>2277</v>
      </c>
      <c r="F373" s="2" t="s">
        <v>2278</v>
      </c>
      <c r="G373" s="2" t="s">
        <v>199</v>
      </c>
      <c r="H373" s="2" t="s">
        <v>199</v>
      </c>
      <c r="I373" s="2" t="s">
        <v>2279</v>
      </c>
      <c r="J373" s="2" t="s">
        <v>2280</v>
      </c>
      <c r="K373" s="2" t="s">
        <v>233</v>
      </c>
      <c r="L373" s="3">
        <v>18.5</v>
      </c>
      <c r="M373" s="3">
        <v>19.42</v>
      </c>
      <c r="N373" s="3">
        <v>39.99</v>
      </c>
      <c r="O373" s="2" t="s">
        <v>196</v>
      </c>
      <c r="P373" s="2" t="s">
        <v>621</v>
      </c>
      <c r="Q373" s="2" t="s">
        <v>198</v>
      </c>
      <c r="R373" s="2" t="s">
        <v>199</v>
      </c>
      <c r="S373" s="2" t="s">
        <v>199</v>
      </c>
      <c r="T373" s="2" t="s">
        <v>199</v>
      </c>
      <c r="U373" s="2" t="s">
        <v>199</v>
      </c>
      <c r="V373" s="2" t="s">
        <v>202</v>
      </c>
      <c r="W373" s="2" t="s">
        <v>199</v>
      </c>
      <c r="X373" s="2" t="s">
        <v>199</v>
      </c>
      <c r="Y373" s="2" t="s">
        <v>2281</v>
      </c>
      <c r="Z373" s="4">
        <v>450</v>
      </c>
      <c r="AA373" s="4">
        <f>=ROUNDDOWN(35.7142857142857,0)</f>
      </c>
      <c r="AB373" s="5">
        <v>12.6</v>
      </c>
      <c r="AC373" s="2" t="s">
        <v>199</v>
      </c>
      <c r="AD373" s="4"/>
      <c r="AE373" s="4"/>
      <c r="AF373" s="6"/>
      <c r="AG373" s="6">
        <v>73</v>
      </c>
      <c r="AH373" s="7">
        <v>1</v>
      </c>
      <c r="AI373" s="4"/>
      <c r="AJ373" s="4">
        <f>=ROUNDDOWN({0},0)</f>
      </c>
      <c r="AK373" s="5"/>
      <c r="AL373" s="2" t="s">
        <v>199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199</v>
      </c>
      <c r="AW373" s="8" t="s">
        <v>199</v>
      </c>
      <c r="AX373" s="4" t="s">
        <v>199</v>
      </c>
      <c r="AY373" s="8" t="s">
        <v>199</v>
      </c>
      <c r="AZ373" s="7" t="s">
        <v>199</v>
      </c>
      <c r="BA373" s="7" t="s">
        <v>199</v>
      </c>
      <c r="BB373" s="7"/>
      <c r="BC373" s="4" t="s">
        <v>199</v>
      </c>
      <c r="BD373" s="8" t="s">
        <v>199</v>
      </c>
      <c r="BE373" s="4" t="s">
        <v>199</v>
      </c>
      <c r="BF373" s="8" t="s">
        <v>199</v>
      </c>
      <c r="BG373" s="7" t="s">
        <v>199</v>
      </c>
      <c r="BH373" s="7" t="s">
        <v>199</v>
      </c>
      <c r="BI373" s="7"/>
      <c r="BJ373" s="4">
        <v>41</v>
      </c>
      <c r="BK373" s="8">
        <v>770.29</v>
      </c>
      <c r="BL373" s="2" t="s">
        <v>2282</v>
      </c>
      <c r="BM373" s="7"/>
      <c r="BN373" s="7"/>
      <c r="BO373" s="4"/>
      <c r="BP373" s="8"/>
      <c r="BQ373" s="4"/>
      <c r="BR373" s="8"/>
      <c r="BS373" s="7"/>
      <c r="BT373" s="7"/>
      <c r="BU373" s="2" t="s">
        <v>2283</v>
      </c>
      <c r="BV373" s="2" t="s">
        <v>199</v>
      </c>
      <c r="BW373" s="2" t="s">
        <v>199</v>
      </c>
      <c r="BX373" s="2" t="s">
        <v>208</v>
      </c>
      <c r="BY373" s="2" t="s">
        <v>209</v>
      </c>
      <c r="BZ373" s="2" t="s">
        <v>196</v>
      </c>
      <c r="CA373" s="2" t="s">
        <v>1927</v>
      </c>
      <c r="CB373" s="2" t="s">
        <v>199</v>
      </c>
      <c r="CC373" s="2" t="s">
        <v>212</v>
      </c>
      <c r="CD373" s="2" t="s">
        <v>199</v>
      </c>
      <c r="CE373" s="4"/>
      <c r="CF373" s="4"/>
      <c r="CG373" s="4"/>
      <c r="CH373" s="4">
        <v>450</v>
      </c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>
        <v>452</v>
      </c>
      <c r="EU373" s="4">
        <v>438</v>
      </c>
      <c r="EV373" s="4">
        <v>426</v>
      </c>
      <c r="EW373" s="4">
        <v>414</v>
      </c>
      <c r="EX373" s="4">
        <v>402</v>
      </c>
      <c r="EY373" s="4">
        <v>390</v>
      </c>
      <c r="EZ373" s="4">
        <v>378</v>
      </c>
      <c r="FA373" s="4">
        <v>366</v>
      </c>
      <c r="FB373" s="4">
        <v>354</v>
      </c>
      <c r="FC373" s="4">
        <v>342</v>
      </c>
      <c r="FD373" s="4">
        <v>330</v>
      </c>
      <c r="FE373" s="4">
        <v>318</v>
      </c>
      <c r="FF373" s="4">
        <v>306</v>
      </c>
      <c r="FG373" s="4">
        <v>294</v>
      </c>
      <c r="FH373" s="4">
        <v>282</v>
      </c>
      <c r="FI373" s="4">
        <v>270</v>
      </c>
      <c r="FJ373" s="4">
        <v>258</v>
      </c>
      <c r="FK373" s="4">
        <v>246</v>
      </c>
      <c r="FL373" s="4">
        <v>234</v>
      </c>
      <c r="FM373" s="4">
        <v>222</v>
      </c>
      <c r="FN373" s="4">
        <v>210</v>
      </c>
      <c r="FO373" s="4">
        <v>198</v>
      </c>
      <c r="FP373" s="4">
        <v>186</v>
      </c>
      <c r="FQ373" s="4">
        <v>174</v>
      </c>
      <c r="FR373" s="4">
        <v>162</v>
      </c>
      <c r="FS373" s="4">
        <v>150</v>
      </c>
      <c r="FT373" s="19">
        <v>37.7</v>
      </c>
      <c r="FU373" s="19">
        <v>36.5</v>
      </c>
      <c r="FV373" s="19">
        <v>35.5</v>
      </c>
      <c r="FW373" s="19">
        <v>34.5</v>
      </c>
      <c r="FX373" s="19">
        <v>33.5</v>
      </c>
      <c r="FY373" s="19">
        <v>32.5</v>
      </c>
      <c r="FZ373" s="19">
        <v>31.5</v>
      </c>
      <c r="GA373" s="19">
        <v>30.5</v>
      </c>
      <c r="GB373" s="19">
        <v>29.5</v>
      </c>
      <c r="GC373" s="19">
        <v>28.5</v>
      </c>
      <c r="GD373" s="19">
        <v>27.5</v>
      </c>
      <c r="GE373" s="19">
        <v>26.5</v>
      </c>
      <c r="GF373" s="19">
        <v>25.5</v>
      </c>
      <c r="GG373" s="19">
        <v>24.5</v>
      </c>
      <c r="GH373" s="19">
        <v>23.5</v>
      </c>
      <c r="GI373" s="19">
        <v>22.5</v>
      </c>
      <c r="GJ373" s="19">
        <v>21.5</v>
      </c>
      <c r="GK373" s="19">
        <v>20.5</v>
      </c>
      <c r="GL373" s="19">
        <v>19.5</v>
      </c>
      <c r="GM373" s="19">
        <v>18.5</v>
      </c>
      <c r="GN373" s="19">
        <v>17.5</v>
      </c>
      <c r="GO373" s="19">
        <v>16.5</v>
      </c>
      <c r="GP373" s="19">
        <v>15.5</v>
      </c>
      <c r="GQ373" s="19">
        <v>14.5</v>
      </c>
      <c r="GR373" s="19">
        <v>13.5</v>
      </c>
      <c r="GS373" s="19">
        <v>12.5</v>
      </c>
    </row>
    <row r="374">
      <c r="A374" s="2" t="s">
        <v>2296</v>
      </c>
      <c r="B374" s="2" t="s">
        <v>2275</v>
      </c>
      <c r="C374" s="2" t="s">
        <v>604</v>
      </c>
      <c r="D374" s="2" t="s">
        <v>2276</v>
      </c>
      <c r="E374" s="2" t="s">
        <v>2277</v>
      </c>
      <c r="F374" s="2" t="s">
        <v>2278</v>
      </c>
      <c r="G374" s="2" t="s">
        <v>199</v>
      </c>
      <c r="H374" s="2" t="s">
        <v>199</v>
      </c>
      <c r="I374" s="2" t="s">
        <v>2279</v>
      </c>
      <c r="J374" s="2" t="s">
        <v>2290</v>
      </c>
      <c r="K374" s="2" t="s">
        <v>233</v>
      </c>
      <c r="L374" s="3">
        <v>18.5</v>
      </c>
      <c r="M374" s="3">
        <v>19.42</v>
      </c>
      <c r="N374" s="3">
        <v>39.99</v>
      </c>
      <c r="O374" s="2" t="s">
        <v>196</v>
      </c>
      <c r="P374" s="2" t="s">
        <v>621</v>
      </c>
      <c r="Q374" s="2" t="s">
        <v>198</v>
      </c>
      <c r="R374" s="2" t="s">
        <v>199</v>
      </c>
      <c r="S374" s="2" t="s">
        <v>199</v>
      </c>
      <c r="T374" s="2" t="s">
        <v>199</v>
      </c>
      <c r="U374" s="2" t="s">
        <v>199</v>
      </c>
      <c r="V374" s="2" t="s">
        <v>202</v>
      </c>
      <c r="W374" s="2" t="s">
        <v>199</v>
      </c>
      <c r="X374" s="2" t="s">
        <v>199</v>
      </c>
      <c r="Y374" s="2" t="s">
        <v>2281</v>
      </c>
      <c r="Z374" s="4">
        <v>392</v>
      </c>
      <c r="AA374" s="4">
        <f>=ROUNDDOWN(28,0)</f>
      </c>
      <c r="AB374" s="5">
        <v>14</v>
      </c>
      <c r="AC374" s="2" t="s">
        <v>199</v>
      </c>
      <c r="AD374" s="4"/>
      <c r="AE374" s="4"/>
      <c r="AF374" s="6"/>
      <c r="AG374" s="6">
        <v>73</v>
      </c>
      <c r="AH374" s="7">
        <v>1</v>
      </c>
      <c r="AI374" s="4"/>
      <c r="AJ374" s="4">
        <f>=ROUNDDOWN({0},0)</f>
      </c>
      <c r="AK374" s="5"/>
      <c r="AL374" s="2" t="s">
        <v>199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199</v>
      </c>
      <c r="AW374" s="8" t="s">
        <v>199</v>
      </c>
      <c r="AX374" s="4" t="s">
        <v>199</v>
      </c>
      <c r="AY374" s="8" t="s">
        <v>199</v>
      </c>
      <c r="AZ374" s="7" t="s">
        <v>199</v>
      </c>
      <c r="BA374" s="7" t="s">
        <v>199</v>
      </c>
      <c r="BB374" s="7"/>
      <c r="BC374" s="4" t="s">
        <v>199</v>
      </c>
      <c r="BD374" s="8" t="s">
        <v>199</v>
      </c>
      <c r="BE374" s="4" t="s">
        <v>199</v>
      </c>
      <c r="BF374" s="8" t="s">
        <v>199</v>
      </c>
      <c r="BG374" s="7" t="s">
        <v>199</v>
      </c>
      <c r="BH374" s="7" t="s">
        <v>199</v>
      </c>
      <c r="BI374" s="7"/>
      <c r="BJ374" s="4">
        <v>57</v>
      </c>
      <c r="BK374" s="8">
        <v>1130.36</v>
      </c>
      <c r="BL374" s="2" t="s">
        <v>2294</v>
      </c>
      <c r="BM374" s="7"/>
      <c r="BN374" s="7"/>
      <c r="BO374" s="4"/>
      <c r="BP374" s="8"/>
      <c r="BQ374" s="4"/>
      <c r="BR374" s="8"/>
      <c r="BS374" s="7"/>
      <c r="BT374" s="7"/>
      <c r="BU374" s="2" t="s">
        <v>2283</v>
      </c>
      <c r="BV374" s="2" t="s">
        <v>199</v>
      </c>
      <c r="BW374" s="2" t="s">
        <v>199</v>
      </c>
      <c r="BX374" s="2" t="s">
        <v>208</v>
      </c>
      <c r="BY374" s="2" t="s">
        <v>209</v>
      </c>
      <c r="BZ374" s="2" t="s">
        <v>196</v>
      </c>
      <c r="CA374" s="2" t="s">
        <v>2297</v>
      </c>
      <c r="CB374" s="2" t="s">
        <v>199</v>
      </c>
      <c r="CC374" s="2" t="s">
        <v>212</v>
      </c>
      <c r="CD374" s="2" t="s">
        <v>199</v>
      </c>
      <c r="CE374" s="4"/>
      <c r="CF374" s="4"/>
      <c r="CG374" s="4"/>
      <c r="CH374" s="4">
        <v>392</v>
      </c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>
        <v>393</v>
      </c>
      <c r="EU374" s="4">
        <v>378</v>
      </c>
      <c r="EV374" s="4">
        <v>364</v>
      </c>
      <c r="EW374" s="4">
        <v>350</v>
      </c>
      <c r="EX374" s="4">
        <v>336</v>
      </c>
      <c r="EY374" s="4">
        <v>322</v>
      </c>
      <c r="EZ374" s="4">
        <v>308</v>
      </c>
      <c r="FA374" s="4">
        <v>294</v>
      </c>
      <c r="FB374" s="4">
        <v>280</v>
      </c>
      <c r="FC374" s="4">
        <v>266</v>
      </c>
      <c r="FD374" s="4">
        <v>252</v>
      </c>
      <c r="FE374" s="4">
        <v>238</v>
      </c>
      <c r="FF374" s="4">
        <v>224</v>
      </c>
      <c r="FG374" s="4">
        <v>210</v>
      </c>
      <c r="FH374" s="4">
        <v>196</v>
      </c>
      <c r="FI374" s="4">
        <v>182</v>
      </c>
      <c r="FJ374" s="4">
        <v>168</v>
      </c>
      <c r="FK374" s="4">
        <v>154</v>
      </c>
      <c r="FL374" s="4">
        <v>140</v>
      </c>
      <c r="FM374" s="4">
        <v>126</v>
      </c>
      <c r="FN374" s="4">
        <v>112</v>
      </c>
      <c r="FO374" s="4">
        <v>98</v>
      </c>
      <c r="FP374" s="4">
        <v>84</v>
      </c>
      <c r="FQ374" s="4">
        <v>70</v>
      </c>
      <c r="FR374" s="4">
        <v>126</v>
      </c>
      <c r="FS374" s="4">
        <v>112</v>
      </c>
      <c r="FT374" s="19">
        <v>28.1</v>
      </c>
      <c r="FU374" s="19">
        <v>27</v>
      </c>
      <c r="FV374" s="19">
        <v>26</v>
      </c>
      <c r="FW374" s="19">
        <v>25</v>
      </c>
      <c r="FX374" s="19">
        <v>24</v>
      </c>
      <c r="FY374" s="19">
        <v>23</v>
      </c>
      <c r="FZ374" s="19">
        <v>22</v>
      </c>
      <c r="GA374" s="19">
        <v>21</v>
      </c>
      <c r="GB374" s="19">
        <v>20</v>
      </c>
      <c r="GC374" s="19">
        <v>19</v>
      </c>
      <c r="GD374" s="19">
        <v>18</v>
      </c>
      <c r="GE374" s="19">
        <v>17</v>
      </c>
      <c r="GF374" s="19">
        <v>16</v>
      </c>
      <c r="GG374" s="19">
        <v>15</v>
      </c>
      <c r="GH374" s="19">
        <v>14</v>
      </c>
      <c r="GI374" s="19">
        <v>13</v>
      </c>
      <c r="GJ374" s="19">
        <v>12</v>
      </c>
      <c r="GK374" s="19">
        <v>11</v>
      </c>
      <c r="GL374" s="19">
        <v>10</v>
      </c>
      <c r="GM374" s="19">
        <v>9</v>
      </c>
      <c r="GN374" s="19">
        <v>8</v>
      </c>
      <c r="GO374" s="19">
        <v>7</v>
      </c>
      <c r="GP374" s="19">
        <v>6</v>
      </c>
      <c r="GQ374" s="19">
        <v>5</v>
      </c>
      <c r="GR374" s="19">
        <v>9</v>
      </c>
      <c r="GS374" s="19">
        <v>8</v>
      </c>
    </row>
    <row r="375">
      <c r="A375" s="2" t="s">
        <v>2298</v>
      </c>
      <c r="B375" s="2" t="s">
        <v>2275</v>
      </c>
      <c r="C375" s="2" t="s">
        <v>604</v>
      </c>
      <c r="D375" s="2" t="s">
        <v>2276</v>
      </c>
      <c r="E375" s="2" t="s">
        <v>2277</v>
      </c>
      <c r="F375" s="2" t="s">
        <v>2299</v>
      </c>
      <c r="G375" s="2" t="s">
        <v>199</v>
      </c>
      <c r="H375" s="2" t="s">
        <v>199</v>
      </c>
      <c r="I375" s="2" t="s">
        <v>2300</v>
      </c>
      <c r="J375" s="2" t="s">
        <v>2280</v>
      </c>
      <c r="K375" s="2" t="s">
        <v>2301</v>
      </c>
      <c r="L375" s="3">
        <v>9</v>
      </c>
      <c r="M375" s="3">
        <v>10.5</v>
      </c>
      <c r="N375" s="3">
        <v>19.99</v>
      </c>
      <c r="O375" s="2" t="s">
        <v>196</v>
      </c>
      <c r="P375" s="2" t="s">
        <v>621</v>
      </c>
      <c r="Q375" s="2" t="s">
        <v>198</v>
      </c>
      <c r="R375" s="2" t="s">
        <v>199</v>
      </c>
      <c r="S375" s="2" t="s">
        <v>199</v>
      </c>
      <c r="T375" s="2" t="s">
        <v>199</v>
      </c>
      <c r="U375" s="2" t="s">
        <v>199</v>
      </c>
      <c r="V375" s="2" t="s">
        <v>493</v>
      </c>
      <c r="W375" s="2" t="s">
        <v>199</v>
      </c>
      <c r="X375" s="2" t="s">
        <v>199</v>
      </c>
      <c r="Y375" s="2" t="s">
        <v>2302</v>
      </c>
      <c r="Z375" s="4">
        <v>339</v>
      </c>
      <c r="AA375" s="4">
        <f>=ROUNDDOWN(17.8421052631579,0)</f>
      </c>
      <c r="AB375" s="5">
        <v>19</v>
      </c>
      <c r="AC375" s="2" t="s">
        <v>199</v>
      </c>
      <c r="AD375" s="4"/>
      <c r="AE375" s="4"/>
      <c r="AF375" s="6"/>
      <c r="AG375" s="6">
        <v>48</v>
      </c>
      <c r="AH375" s="7">
        <v>1</v>
      </c>
      <c r="AI375" s="4"/>
      <c r="AJ375" s="4">
        <f>=ROUNDDOWN({0},0)</f>
      </c>
      <c r="AK375" s="5"/>
      <c r="AL375" s="2" t="s">
        <v>199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199</v>
      </c>
      <c r="AW375" s="8" t="s">
        <v>199</v>
      </c>
      <c r="AX375" s="4" t="s">
        <v>199</v>
      </c>
      <c r="AY375" s="8" t="s">
        <v>199</v>
      </c>
      <c r="AZ375" s="7" t="s">
        <v>199</v>
      </c>
      <c r="BA375" s="7" t="s">
        <v>199</v>
      </c>
      <c r="BB375" s="7"/>
      <c r="BC375" s="4" t="s">
        <v>199</v>
      </c>
      <c r="BD375" s="8" t="s">
        <v>199</v>
      </c>
      <c r="BE375" s="4" t="s">
        <v>199</v>
      </c>
      <c r="BF375" s="8" t="s">
        <v>199</v>
      </c>
      <c r="BG375" s="7" t="s">
        <v>199</v>
      </c>
      <c r="BH375" s="7" t="s">
        <v>199</v>
      </c>
      <c r="BI375" s="7"/>
      <c r="BJ375" s="4">
        <v>20</v>
      </c>
      <c r="BK375" s="8">
        <v>331.13</v>
      </c>
      <c r="BL375" s="2" t="s">
        <v>2303</v>
      </c>
      <c r="BM375" s="7"/>
      <c r="BN375" s="7"/>
      <c r="BO375" s="4"/>
      <c r="BP375" s="8"/>
      <c r="BQ375" s="4"/>
      <c r="BR375" s="8"/>
      <c r="BS375" s="7"/>
      <c r="BT375" s="7"/>
      <c r="BU375" s="2" t="s">
        <v>2304</v>
      </c>
      <c r="BV375" s="2" t="s">
        <v>199</v>
      </c>
      <c r="BW375" s="2" t="s">
        <v>199</v>
      </c>
      <c r="BX375" s="2" t="s">
        <v>208</v>
      </c>
      <c r="BY375" s="2" t="s">
        <v>209</v>
      </c>
      <c r="BZ375" s="2" t="s">
        <v>196</v>
      </c>
      <c r="CA375" s="2" t="s">
        <v>1944</v>
      </c>
      <c r="CB375" s="2" t="s">
        <v>199</v>
      </c>
      <c r="CC375" s="2" t="s">
        <v>212</v>
      </c>
      <c r="CD375" s="2" t="s">
        <v>199</v>
      </c>
      <c r="CE375" s="4"/>
      <c r="CF375" s="4"/>
      <c r="CG375" s="4"/>
      <c r="CH375" s="4">
        <v>339</v>
      </c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>
        <v>340</v>
      </c>
      <c r="EU375" s="4">
        <v>321</v>
      </c>
      <c r="EV375" s="4">
        <v>303</v>
      </c>
      <c r="EW375" s="4">
        <v>285</v>
      </c>
      <c r="EX375" s="4">
        <v>267</v>
      </c>
      <c r="EY375" s="4">
        <v>249</v>
      </c>
      <c r="EZ375" s="4">
        <v>231</v>
      </c>
      <c r="FA375" s="4">
        <v>213</v>
      </c>
      <c r="FB375" s="4">
        <v>195</v>
      </c>
      <c r="FC375" s="4">
        <v>177</v>
      </c>
      <c r="FD375" s="4">
        <v>159</v>
      </c>
      <c r="FE375" s="4">
        <v>141</v>
      </c>
      <c r="FF375" s="4">
        <v>123</v>
      </c>
      <c r="FG375" s="4">
        <v>105</v>
      </c>
      <c r="FH375" s="4">
        <v>87</v>
      </c>
      <c r="FI375" s="4">
        <v>69</v>
      </c>
      <c r="FJ375" s="4">
        <v>51</v>
      </c>
      <c r="FK375" s="4">
        <v>33</v>
      </c>
      <c r="FL375" s="4">
        <v>15</v>
      </c>
      <c r="FM375" s="4"/>
      <c r="FN375" s="4"/>
      <c r="FO375" s="4">
        <v>343</v>
      </c>
      <c r="FP375" s="4">
        <v>322</v>
      </c>
      <c r="FQ375" s="4">
        <v>303</v>
      </c>
      <c r="FR375" s="4">
        <v>284</v>
      </c>
      <c r="FS375" s="4">
        <v>265</v>
      </c>
      <c r="FT375" s="19">
        <v>18.9</v>
      </c>
      <c r="FU375" s="19">
        <v>17.8</v>
      </c>
      <c r="FV375" s="19">
        <v>16.8</v>
      </c>
      <c r="FW375" s="19">
        <v>15.8</v>
      </c>
      <c r="FX375" s="19">
        <v>14.8</v>
      </c>
      <c r="FY375" s="19">
        <v>13.8</v>
      </c>
      <c r="FZ375" s="19">
        <v>12.8</v>
      </c>
      <c r="GA375" s="19">
        <v>11.8</v>
      </c>
      <c r="GB375" s="19">
        <v>10.8</v>
      </c>
      <c r="GC375" s="19">
        <v>9.8</v>
      </c>
      <c r="GD375" s="19">
        <v>8.8</v>
      </c>
      <c r="GE375" s="19">
        <v>7.8</v>
      </c>
      <c r="GF375" s="19">
        <v>6.8</v>
      </c>
      <c r="GG375" s="19">
        <v>5.8</v>
      </c>
      <c r="GH375" s="19">
        <v>4.8</v>
      </c>
      <c r="GI375" s="19">
        <v>3.8</v>
      </c>
      <c r="GJ375" s="19">
        <v>2.8</v>
      </c>
      <c r="GK375" s="19">
        <v>1.8</v>
      </c>
      <c r="GL375" s="19">
        <v>0.8</v>
      </c>
      <c r="GM375" s="20">
        <v>0</v>
      </c>
      <c r="GN375" s="20">
        <v>0</v>
      </c>
      <c r="GO375" s="19">
        <v>17.2</v>
      </c>
      <c r="GP375" s="19">
        <v>16.9</v>
      </c>
      <c r="GQ375" s="19">
        <v>15.9</v>
      </c>
      <c r="GR375" s="19">
        <v>14.9</v>
      </c>
      <c r="GS375" s="19">
        <v>13.9</v>
      </c>
    </row>
    <row r="376">
      <c r="A376" s="2" t="s">
        <v>2305</v>
      </c>
      <c r="B376" s="2" t="s">
        <v>2275</v>
      </c>
      <c r="C376" s="2" t="s">
        <v>604</v>
      </c>
      <c r="D376" s="2" t="s">
        <v>2276</v>
      </c>
      <c r="E376" s="2" t="s">
        <v>2277</v>
      </c>
      <c r="F376" s="2" t="s">
        <v>2299</v>
      </c>
      <c r="G376" s="2" t="s">
        <v>199</v>
      </c>
      <c r="H376" s="2" t="s">
        <v>199</v>
      </c>
      <c r="I376" s="2" t="s">
        <v>2300</v>
      </c>
      <c r="J376" s="2" t="s">
        <v>2290</v>
      </c>
      <c r="K376" s="2" t="s">
        <v>2301</v>
      </c>
      <c r="L376" s="3">
        <v>9</v>
      </c>
      <c r="M376" s="3">
        <v>10.5</v>
      </c>
      <c r="N376" s="3">
        <v>19.99</v>
      </c>
      <c r="O376" s="2" t="s">
        <v>196</v>
      </c>
      <c r="P376" s="2" t="s">
        <v>621</v>
      </c>
      <c r="Q376" s="2" t="s">
        <v>198</v>
      </c>
      <c r="R376" s="2" t="s">
        <v>199</v>
      </c>
      <c r="S376" s="2" t="s">
        <v>199</v>
      </c>
      <c r="T376" s="2" t="s">
        <v>199</v>
      </c>
      <c r="U376" s="2" t="s">
        <v>199</v>
      </c>
      <c r="V376" s="2" t="s">
        <v>493</v>
      </c>
      <c r="W376" s="2" t="s">
        <v>199</v>
      </c>
      <c r="X376" s="2" t="s">
        <v>199</v>
      </c>
      <c r="Y376" s="2" t="s">
        <v>2302</v>
      </c>
      <c r="Z376" s="4">
        <v>383</v>
      </c>
      <c r="AA376" s="4">
        <f>=ROUNDDOWN(127.666666666667,0)</f>
      </c>
      <c r="AB376" s="5">
        <v>3</v>
      </c>
      <c r="AC376" s="2" t="s">
        <v>199</v>
      </c>
      <c r="AD376" s="4"/>
      <c r="AE376" s="4"/>
      <c r="AF376" s="6"/>
      <c r="AG376" s="6">
        <v>48</v>
      </c>
      <c r="AH376" s="7">
        <v>1</v>
      </c>
      <c r="AI376" s="4"/>
      <c r="AJ376" s="4">
        <f>=ROUNDDOWN({0},0)</f>
      </c>
      <c r="AK376" s="5"/>
      <c r="AL376" s="2" t="s">
        <v>199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199</v>
      </c>
      <c r="AW376" s="8" t="s">
        <v>199</v>
      </c>
      <c r="AX376" s="4" t="s">
        <v>199</v>
      </c>
      <c r="AY376" s="8" t="s">
        <v>199</v>
      </c>
      <c r="AZ376" s="7" t="s">
        <v>199</v>
      </c>
      <c r="BA376" s="7" t="s">
        <v>199</v>
      </c>
      <c r="BB376" s="7"/>
      <c r="BC376" s="4" t="s">
        <v>199</v>
      </c>
      <c r="BD376" s="8" t="s">
        <v>199</v>
      </c>
      <c r="BE376" s="4" t="s">
        <v>199</v>
      </c>
      <c r="BF376" s="8" t="s">
        <v>199</v>
      </c>
      <c r="BG376" s="7" t="s">
        <v>199</v>
      </c>
      <c r="BH376" s="7" t="s">
        <v>199</v>
      </c>
      <c r="BI376" s="7"/>
      <c r="BJ376" s="4">
        <v>13</v>
      </c>
      <c r="BK376" s="8">
        <v>212.26</v>
      </c>
      <c r="BL376" s="2" t="s">
        <v>2306</v>
      </c>
      <c r="BM376" s="7"/>
      <c r="BN376" s="7"/>
      <c r="BO376" s="4"/>
      <c r="BP376" s="8"/>
      <c r="BQ376" s="4"/>
      <c r="BR376" s="8"/>
      <c r="BS376" s="7"/>
      <c r="BT376" s="7"/>
      <c r="BU376" s="2" t="s">
        <v>2304</v>
      </c>
      <c r="BV376" s="2" t="s">
        <v>199</v>
      </c>
      <c r="BW376" s="2" t="s">
        <v>199</v>
      </c>
      <c r="BX376" s="2" t="s">
        <v>208</v>
      </c>
      <c r="BY376" s="2" t="s">
        <v>209</v>
      </c>
      <c r="BZ376" s="2" t="s">
        <v>196</v>
      </c>
      <c r="CA376" s="2" t="s">
        <v>1944</v>
      </c>
      <c r="CB376" s="2" t="s">
        <v>199</v>
      </c>
      <c r="CC376" s="2" t="s">
        <v>212</v>
      </c>
      <c r="CD376" s="2" t="s">
        <v>199</v>
      </c>
      <c r="CE376" s="4"/>
      <c r="CF376" s="4"/>
      <c r="CG376" s="4"/>
      <c r="CH376" s="4">
        <v>383</v>
      </c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>
        <v>384</v>
      </c>
      <c r="EU376" s="4">
        <v>367</v>
      </c>
      <c r="EV376" s="4">
        <v>364</v>
      </c>
      <c r="EW376" s="4">
        <v>361</v>
      </c>
      <c r="EX376" s="4">
        <v>358</v>
      </c>
      <c r="EY376" s="4">
        <v>355</v>
      </c>
      <c r="EZ376" s="4">
        <v>352</v>
      </c>
      <c r="FA376" s="4">
        <v>349</v>
      </c>
      <c r="FB376" s="4">
        <v>346</v>
      </c>
      <c r="FC376" s="4">
        <v>343</v>
      </c>
      <c r="FD376" s="4">
        <v>340</v>
      </c>
      <c r="FE376" s="4">
        <v>337</v>
      </c>
      <c r="FF376" s="4">
        <v>334</v>
      </c>
      <c r="FG376" s="4">
        <v>331</v>
      </c>
      <c r="FH376" s="4">
        <v>328</v>
      </c>
      <c r="FI376" s="4">
        <v>325</v>
      </c>
      <c r="FJ376" s="4">
        <v>322</v>
      </c>
      <c r="FK376" s="4">
        <v>319</v>
      </c>
      <c r="FL376" s="4">
        <v>316</v>
      </c>
      <c r="FM376" s="4">
        <v>313</v>
      </c>
      <c r="FN376" s="4">
        <v>310</v>
      </c>
      <c r="FO376" s="4">
        <v>307</v>
      </c>
      <c r="FP376" s="4">
        <v>304</v>
      </c>
      <c r="FQ376" s="4">
        <v>301</v>
      </c>
      <c r="FR376" s="4">
        <v>298</v>
      </c>
      <c r="FS376" s="4">
        <v>295</v>
      </c>
      <c r="FT376" s="19">
        <v>64</v>
      </c>
      <c r="FU376" s="19">
        <v>122.3</v>
      </c>
      <c r="FV376" s="19">
        <v>121.3</v>
      </c>
      <c r="FW376" s="19">
        <v>120.3</v>
      </c>
      <c r="FX376" s="19">
        <v>119.3</v>
      </c>
      <c r="FY376" s="19">
        <v>118.3</v>
      </c>
      <c r="FZ376" s="19">
        <v>117.3</v>
      </c>
      <c r="GA376" s="19">
        <v>116.3</v>
      </c>
      <c r="GB376" s="19">
        <v>115.3</v>
      </c>
      <c r="GC376" s="19">
        <v>114.3</v>
      </c>
      <c r="GD376" s="19">
        <v>113.3</v>
      </c>
      <c r="GE376" s="19">
        <v>112.3</v>
      </c>
      <c r="GF376" s="19">
        <v>111.3</v>
      </c>
      <c r="GG376" s="19">
        <v>110.3</v>
      </c>
      <c r="GH376" s="19">
        <v>109.3</v>
      </c>
      <c r="GI376" s="19">
        <v>108.3</v>
      </c>
      <c r="GJ376" s="19">
        <v>107.3</v>
      </c>
      <c r="GK376" s="19">
        <v>106.3</v>
      </c>
      <c r="GL376" s="19">
        <v>105.3</v>
      </c>
      <c r="GM376" s="19">
        <v>104.3</v>
      </c>
      <c r="GN376" s="19">
        <v>103.3</v>
      </c>
      <c r="GO376" s="19">
        <v>102.3</v>
      </c>
      <c r="GP376" s="19">
        <v>101.3</v>
      </c>
      <c r="GQ376" s="19">
        <v>100.3</v>
      </c>
      <c r="GR376" s="19">
        <v>99.3</v>
      </c>
      <c r="GS376" s="19">
        <v>98.3</v>
      </c>
    </row>
    <row r="377">
      <c r="A377" s="2" t="s">
        <v>2307</v>
      </c>
      <c r="B377" s="2" t="s">
        <v>2275</v>
      </c>
      <c r="C377" s="2" t="s">
        <v>604</v>
      </c>
      <c r="D377" s="2" t="s">
        <v>2276</v>
      </c>
      <c r="E377" s="2" t="s">
        <v>2277</v>
      </c>
      <c r="F377" s="2" t="s">
        <v>2299</v>
      </c>
      <c r="G377" s="2" t="s">
        <v>199</v>
      </c>
      <c r="H377" s="2" t="s">
        <v>199</v>
      </c>
      <c r="I377" s="2" t="s">
        <v>2300</v>
      </c>
      <c r="J377" s="2" t="s">
        <v>2280</v>
      </c>
      <c r="K377" s="2" t="s">
        <v>2308</v>
      </c>
      <c r="L377" s="3">
        <v>9</v>
      </c>
      <c r="M377" s="3">
        <v>10.5</v>
      </c>
      <c r="N377" s="3">
        <v>19.99</v>
      </c>
      <c r="O377" s="2" t="s">
        <v>196</v>
      </c>
      <c r="P377" s="2" t="s">
        <v>621</v>
      </c>
      <c r="Q377" s="2" t="s">
        <v>198</v>
      </c>
      <c r="R377" s="2" t="s">
        <v>199</v>
      </c>
      <c r="S377" s="2" t="s">
        <v>199</v>
      </c>
      <c r="T377" s="2" t="s">
        <v>199</v>
      </c>
      <c r="U377" s="2" t="s">
        <v>199</v>
      </c>
      <c r="V377" s="2" t="s">
        <v>493</v>
      </c>
      <c r="W377" s="2" t="s">
        <v>199</v>
      </c>
      <c r="X377" s="2" t="s">
        <v>199</v>
      </c>
      <c r="Y377" s="2" t="s">
        <v>2302</v>
      </c>
      <c r="Z377" s="4">
        <v>339</v>
      </c>
      <c r="AA377" s="4">
        <f>=ROUNDDOWN(84.75,0)</f>
      </c>
      <c r="AB377" s="5">
        <v>4</v>
      </c>
      <c r="AC377" s="2" t="s">
        <v>199</v>
      </c>
      <c r="AD377" s="4"/>
      <c r="AE377" s="4"/>
      <c r="AF377" s="6"/>
      <c r="AG377" s="6">
        <v>48</v>
      </c>
      <c r="AH377" s="7">
        <v>1</v>
      </c>
      <c r="AI377" s="4"/>
      <c r="AJ377" s="4">
        <f>=ROUNDDOWN({0},0)</f>
      </c>
      <c r="AK377" s="5"/>
      <c r="AL377" s="2" t="s">
        <v>199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199</v>
      </c>
      <c r="BD377" s="8" t="s">
        <v>199</v>
      </c>
      <c r="BE377" s="4" t="s">
        <v>199</v>
      </c>
      <c r="BF377" s="8" t="s">
        <v>199</v>
      </c>
      <c r="BG377" s="7" t="s">
        <v>199</v>
      </c>
      <c r="BH377" s="7" t="s">
        <v>199</v>
      </c>
      <c r="BI377" s="7"/>
      <c r="BJ377" s="4">
        <v>19</v>
      </c>
      <c r="BK377" s="8">
        <v>316.26</v>
      </c>
      <c r="BL377" s="2" t="s">
        <v>2303</v>
      </c>
      <c r="BM377" s="7"/>
      <c r="BN377" s="7"/>
      <c r="BO377" s="4"/>
      <c r="BP377" s="8"/>
      <c r="BQ377" s="4"/>
      <c r="BR377" s="8"/>
      <c r="BS377" s="7"/>
      <c r="BT377" s="7"/>
      <c r="BU377" s="2" t="s">
        <v>2304</v>
      </c>
      <c r="BV377" s="2" t="s">
        <v>199</v>
      </c>
      <c r="BW377" s="2" t="s">
        <v>199</v>
      </c>
      <c r="BX377" s="2" t="s">
        <v>208</v>
      </c>
      <c r="BY377" s="2" t="s">
        <v>209</v>
      </c>
      <c r="BZ377" s="2" t="s">
        <v>196</v>
      </c>
      <c r="CA377" s="2" t="s">
        <v>1927</v>
      </c>
      <c r="CB377" s="2" t="s">
        <v>199</v>
      </c>
      <c r="CC377" s="2" t="s">
        <v>212</v>
      </c>
      <c r="CD377" s="2" t="s">
        <v>199</v>
      </c>
      <c r="CE377" s="4"/>
      <c r="CF377" s="4"/>
      <c r="CG377" s="4"/>
      <c r="CH377" s="4">
        <v>339</v>
      </c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>
        <v>339</v>
      </c>
      <c r="EU377" s="4">
        <v>336</v>
      </c>
      <c r="EV377" s="4">
        <v>333</v>
      </c>
      <c r="EW377" s="4">
        <v>330</v>
      </c>
      <c r="EX377" s="4">
        <v>327</v>
      </c>
      <c r="EY377" s="4">
        <v>324</v>
      </c>
      <c r="EZ377" s="4">
        <v>321</v>
      </c>
      <c r="FA377" s="4">
        <v>318</v>
      </c>
      <c r="FB377" s="4">
        <v>315</v>
      </c>
      <c r="FC377" s="4">
        <v>312</v>
      </c>
      <c r="FD377" s="4">
        <v>309</v>
      </c>
      <c r="FE377" s="4">
        <v>306</v>
      </c>
      <c r="FF377" s="4">
        <v>303</v>
      </c>
      <c r="FG377" s="4">
        <v>300</v>
      </c>
      <c r="FH377" s="4">
        <v>297</v>
      </c>
      <c r="FI377" s="4">
        <v>294</v>
      </c>
      <c r="FJ377" s="4">
        <v>291</v>
      </c>
      <c r="FK377" s="4">
        <v>288</v>
      </c>
      <c r="FL377" s="4">
        <v>285</v>
      </c>
      <c r="FM377" s="4">
        <v>282</v>
      </c>
      <c r="FN377" s="4">
        <v>279</v>
      </c>
      <c r="FO377" s="4">
        <v>276</v>
      </c>
      <c r="FP377" s="4">
        <v>273</v>
      </c>
      <c r="FQ377" s="4">
        <v>270</v>
      </c>
      <c r="FR377" s="4">
        <v>267</v>
      </c>
      <c r="FS377" s="4">
        <v>264</v>
      </c>
      <c r="FT377" s="19">
        <v>113</v>
      </c>
      <c r="FU377" s="19">
        <v>112</v>
      </c>
      <c r="FV377" s="19">
        <v>111</v>
      </c>
      <c r="FW377" s="19">
        <v>110</v>
      </c>
      <c r="FX377" s="19">
        <v>109</v>
      </c>
      <c r="FY377" s="19">
        <v>108</v>
      </c>
      <c r="FZ377" s="19">
        <v>107</v>
      </c>
      <c r="GA377" s="19">
        <v>106</v>
      </c>
      <c r="GB377" s="19">
        <v>105</v>
      </c>
      <c r="GC377" s="19">
        <v>104</v>
      </c>
      <c r="GD377" s="19">
        <v>103</v>
      </c>
      <c r="GE377" s="19">
        <v>102</v>
      </c>
      <c r="GF377" s="19">
        <v>101</v>
      </c>
      <c r="GG377" s="19">
        <v>100</v>
      </c>
      <c r="GH377" s="19">
        <v>99</v>
      </c>
      <c r="GI377" s="19">
        <v>98</v>
      </c>
      <c r="GJ377" s="19">
        <v>97</v>
      </c>
      <c r="GK377" s="19">
        <v>96</v>
      </c>
      <c r="GL377" s="19">
        <v>95</v>
      </c>
      <c r="GM377" s="19">
        <v>94</v>
      </c>
      <c r="GN377" s="19">
        <v>93</v>
      </c>
      <c r="GO377" s="19">
        <v>92</v>
      </c>
      <c r="GP377" s="19">
        <v>91</v>
      </c>
      <c r="GQ377" s="19">
        <v>90</v>
      </c>
      <c r="GR377" s="19">
        <v>89</v>
      </c>
      <c r="GS377" s="19">
        <v>88</v>
      </c>
    </row>
    <row r="378">
      <c r="A378" s="2" t="s">
        <v>2309</v>
      </c>
      <c r="B378" s="2" t="s">
        <v>2275</v>
      </c>
      <c r="C378" s="2" t="s">
        <v>604</v>
      </c>
      <c r="D378" s="2" t="s">
        <v>2276</v>
      </c>
      <c r="E378" s="2" t="s">
        <v>2277</v>
      </c>
      <c r="F378" s="2" t="s">
        <v>2310</v>
      </c>
      <c r="G378" s="2" t="s">
        <v>199</v>
      </c>
      <c r="H378" s="2" t="s">
        <v>199</v>
      </c>
      <c r="I378" s="2" t="s">
        <v>2311</v>
      </c>
      <c r="J378" s="2" t="s">
        <v>2312</v>
      </c>
      <c r="K378" s="2" t="s">
        <v>2313</v>
      </c>
      <c r="L378" s="3">
        <v>15</v>
      </c>
      <c r="M378" s="3">
        <v>15.75</v>
      </c>
      <c r="N378" s="3">
        <v>29.99</v>
      </c>
      <c r="O378" s="2" t="s">
        <v>196</v>
      </c>
      <c r="P378" s="2" t="s">
        <v>621</v>
      </c>
      <c r="Q378" s="2" t="s">
        <v>198</v>
      </c>
      <c r="R378" s="2" t="s">
        <v>199</v>
      </c>
      <c r="S378" s="2" t="s">
        <v>199</v>
      </c>
      <c r="T378" s="2" t="s">
        <v>199</v>
      </c>
      <c r="U378" s="2" t="s">
        <v>199</v>
      </c>
      <c r="V378" s="2" t="s">
        <v>493</v>
      </c>
      <c r="W378" s="2" t="s">
        <v>199</v>
      </c>
      <c r="X378" s="2" t="s">
        <v>199</v>
      </c>
      <c r="Y378" s="2" t="s">
        <v>611</v>
      </c>
      <c r="Z378" s="4">
        <v>410</v>
      </c>
      <c r="AA378" s="4">
        <f>=ROUNDDOWN(113.888888888889,0)</f>
      </c>
      <c r="AB378" s="5">
        <v>3.6</v>
      </c>
      <c r="AC378" s="2" t="s">
        <v>199</v>
      </c>
      <c r="AD378" s="4"/>
      <c r="AE378" s="4"/>
      <c r="AF378" s="6"/>
      <c r="AG378" s="6">
        <v>48</v>
      </c>
      <c r="AH378" s="7">
        <v>1</v>
      </c>
      <c r="AI378" s="4"/>
      <c r="AJ378" s="4">
        <f>=ROUNDDOWN({0},0)</f>
      </c>
      <c r="AK378" s="5"/>
      <c r="AL378" s="2" t="s">
        <v>199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199</v>
      </c>
      <c r="AW378" s="8" t="s">
        <v>199</v>
      </c>
      <c r="AX378" s="4" t="s">
        <v>199</v>
      </c>
      <c r="AY378" s="8" t="s">
        <v>199</v>
      </c>
      <c r="AZ378" s="7" t="s">
        <v>199</v>
      </c>
      <c r="BA378" s="7" t="s">
        <v>199</v>
      </c>
      <c r="BB378" s="7"/>
      <c r="BC378" s="4" t="s">
        <v>199</v>
      </c>
      <c r="BD378" s="8" t="s">
        <v>199</v>
      </c>
      <c r="BE378" s="4" t="s">
        <v>199</v>
      </c>
      <c r="BF378" s="8" t="s">
        <v>199</v>
      </c>
      <c r="BG378" s="7" t="s">
        <v>199</v>
      </c>
      <c r="BH378" s="7" t="s">
        <v>199</v>
      </c>
      <c r="BI378" s="7"/>
      <c r="BJ378" s="4">
        <v>8</v>
      </c>
      <c r="BK378" s="8">
        <v>164</v>
      </c>
      <c r="BL378" s="2" t="s">
        <v>2306</v>
      </c>
      <c r="BM378" s="7"/>
      <c r="BN378" s="7"/>
      <c r="BO378" s="4"/>
      <c r="BP378" s="8"/>
      <c r="BQ378" s="4"/>
      <c r="BR378" s="8"/>
      <c r="BS378" s="7"/>
      <c r="BT378" s="7"/>
      <c r="BU378" s="2" t="s">
        <v>2314</v>
      </c>
      <c r="BV378" s="2" t="s">
        <v>199</v>
      </c>
      <c r="BW378" s="2" t="s">
        <v>199</v>
      </c>
      <c r="BX378" s="2" t="s">
        <v>208</v>
      </c>
      <c r="BY378" s="2" t="s">
        <v>209</v>
      </c>
      <c r="BZ378" s="2" t="s">
        <v>196</v>
      </c>
      <c r="CA378" s="2" t="s">
        <v>1927</v>
      </c>
      <c r="CB378" s="2" t="s">
        <v>2315</v>
      </c>
      <c r="CC378" s="2" t="s">
        <v>212</v>
      </c>
      <c r="CD378" s="2" t="s">
        <v>199</v>
      </c>
      <c r="CE378" s="4"/>
      <c r="CF378" s="4"/>
      <c r="CG378" s="4"/>
      <c r="CH378" s="4">
        <v>410</v>
      </c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>
        <v>411</v>
      </c>
      <c r="EU378" s="4">
        <v>400</v>
      </c>
      <c r="EV378" s="4">
        <v>396</v>
      </c>
      <c r="EW378" s="4">
        <v>392</v>
      </c>
      <c r="EX378" s="4">
        <v>388</v>
      </c>
      <c r="EY378" s="4">
        <v>384</v>
      </c>
      <c r="EZ378" s="4">
        <v>380</v>
      </c>
      <c r="FA378" s="4">
        <v>376</v>
      </c>
      <c r="FB378" s="4">
        <v>372</v>
      </c>
      <c r="FC378" s="4">
        <v>368</v>
      </c>
      <c r="FD378" s="4">
        <v>364</v>
      </c>
      <c r="FE378" s="4">
        <v>360</v>
      </c>
      <c r="FF378" s="4">
        <v>356</v>
      </c>
      <c r="FG378" s="4">
        <v>352</v>
      </c>
      <c r="FH378" s="4">
        <v>348</v>
      </c>
      <c r="FI378" s="4">
        <v>344</v>
      </c>
      <c r="FJ378" s="4">
        <v>340</v>
      </c>
      <c r="FK378" s="4">
        <v>336</v>
      </c>
      <c r="FL378" s="4">
        <v>332</v>
      </c>
      <c r="FM378" s="4">
        <v>328</v>
      </c>
      <c r="FN378" s="4">
        <v>324</v>
      </c>
      <c r="FO378" s="4">
        <v>320</v>
      </c>
      <c r="FP378" s="4">
        <v>316</v>
      </c>
      <c r="FQ378" s="4">
        <v>312</v>
      </c>
      <c r="FR378" s="4">
        <v>308</v>
      </c>
      <c r="FS378" s="4">
        <v>304</v>
      </c>
      <c r="FT378" s="19">
        <v>68.5</v>
      </c>
      <c r="FU378" s="19">
        <v>100</v>
      </c>
      <c r="FV378" s="19">
        <v>99</v>
      </c>
      <c r="FW378" s="19">
        <v>98</v>
      </c>
      <c r="FX378" s="19">
        <v>97</v>
      </c>
      <c r="FY378" s="19">
        <v>96</v>
      </c>
      <c r="FZ378" s="19">
        <v>95</v>
      </c>
      <c r="GA378" s="19">
        <v>94</v>
      </c>
      <c r="GB378" s="19">
        <v>93</v>
      </c>
      <c r="GC378" s="19">
        <v>92</v>
      </c>
      <c r="GD378" s="19">
        <v>91</v>
      </c>
      <c r="GE378" s="19">
        <v>90</v>
      </c>
      <c r="GF378" s="19">
        <v>89</v>
      </c>
      <c r="GG378" s="19">
        <v>88</v>
      </c>
      <c r="GH378" s="19">
        <v>87</v>
      </c>
      <c r="GI378" s="19">
        <v>86</v>
      </c>
      <c r="GJ378" s="19">
        <v>85</v>
      </c>
      <c r="GK378" s="19">
        <v>84</v>
      </c>
      <c r="GL378" s="19">
        <v>83</v>
      </c>
      <c r="GM378" s="19">
        <v>82</v>
      </c>
      <c r="GN378" s="19">
        <v>81</v>
      </c>
      <c r="GO378" s="19">
        <v>80</v>
      </c>
      <c r="GP378" s="19">
        <v>79</v>
      </c>
      <c r="GQ378" s="19">
        <v>78</v>
      </c>
      <c r="GR378" s="19">
        <v>77</v>
      </c>
      <c r="GS378" s="19">
        <v>76</v>
      </c>
    </row>
    <row r="379">
      <c r="A379" s="2" t="s">
        <v>2316</v>
      </c>
      <c r="B379" s="2" t="s">
        <v>2275</v>
      </c>
      <c r="C379" s="2" t="s">
        <v>604</v>
      </c>
      <c r="D379" s="2" t="s">
        <v>2276</v>
      </c>
      <c r="E379" s="2" t="s">
        <v>2277</v>
      </c>
      <c r="F379" s="2" t="s">
        <v>2310</v>
      </c>
      <c r="G379" s="2" t="s">
        <v>199</v>
      </c>
      <c r="H379" s="2" t="s">
        <v>199</v>
      </c>
      <c r="I379" s="2" t="s">
        <v>2311</v>
      </c>
      <c r="J379" s="2" t="s">
        <v>2317</v>
      </c>
      <c r="K379" s="2" t="s">
        <v>2313</v>
      </c>
      <c r="L379" s="3">
        <v>15</v>
      </c>
      <c r="M379" s="3">
        <v>15.75</v>
      </c>
      <c r="N379" s="3">
        <v>29.99</v>
      </c>
      <c r="O379" s="2" t="s">
        <v>196</v>
      </c>
      <c r="P379" s="2" t="s">
        <v>621</v>
      </c>
      <c r="Q379" s="2" t="s">
        <v>198</v>
      </c>
      <c r="R379" s="2" t="s">
        <v>199</v>
      </c>
      <c r="S379" s="2" t="s">
        <v>199</v>
      </c>
      <c r="T379" s="2" t="s">
        <v>199</v>
      </c>
      <c r="U379" s="2" t="s">
        <v>199</v>
      </c>
      <c r="V379" s="2" t="s">
        <v>493</v>
      </c>
      <c r="W379" s="2" t="s">
        <v>199</v>
      </c>
      <c r="X379" s="2" t="s">
        <v>199</v>
      </c>
      <c r="Y379" s="2" t="s">
        <v>611</v>
      </c>
      <c r="Z379" s="4">
        <v>331</v>
      </c>
      <c r="AA379" s="4">
        <f>=ROUNDDOWN(122.592592592593,0)</f>
      </c>
      <c r="AB379" s="5">
        <v>2.7</v>
      </c>
      <c r="AC379" s="2" t="s">
        <v>199</v>
      </c>
      <c r="AD379" s="4"/>
      <c r="AE379" s="4"/>
      <c r="AF379" s="6"/>
      <c r="AG379" s="6">
        <v>48</v>
      </c>
      <c r="AH379" s="7">
        <v>1</v>
      </c>
      <c r="AI379" s="4"/>
      <c r="AJ379" s="4">
        <f>=ROUNDDOWN({0},0)</f>
      </c>
      <c r="AK379" s="5"/>
      <c r="AL379" s="2" t="s">
        <v>199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199</v>
      </c>
      <c r="AW379" s="8" t="s">
        <v>199</v>
      </c>
      <c r="AX379" s="4" t="s">
        <v>199</v>
      </c>
      <c r="AY379" s="8" t="s">
        <v>199</v>
      </c>
      <c r="AZ379" s="7" t="s">
        <v>199</v>
      </c>
      <c r="BA379" s="7" t="s">
        <v>199</v>
      </c>
      <c r="BB379" s="7"/>
      <c r="BC379" s="4" t="s">
        <v>199</v>
      </c>
      <c r="BD379" s="8" t="s">
        <v>199</v>
      </c>
      <c r="BE379" s="4" t="s">
        <v>199</v>
      </c>
      <c r="BF379" s="8" t="s">
        <v>199</v>
      </c>
      <c r="BG379" s="7" t="s">
        <v>199</v>
      </c>
      <c r="BH379" s="7" t="s">
        <v>199</v>
      </c>
      <c r="BI379" s="7"/>
      <c r="BJ379" s="4">
        <v>18</v>
      </c>
      <c r="BK379" s="8">
        <v>397.7</v>
      </c>
      <c r="BL379" s="2" t="s">
        <v>2318</v>
      </c>
      <c r="BM379" s="7"/>
      <c r="BN379" s="7"/>
      <c r="BO379" s="4"/>
      <c r="BP379" s="8"/>
      <c r="BQ379" s="4"/>
      <c r="BR379" s="8"/>
      <c r="BS379" s="7"/>
      <c r="BT379" s="7"/>
      <c r="BU379" s="2" t="s">
        <v>2314</v>
      </c>
      <c r="BV379" s="2" t="s">
        <v>199</v>
      </c>
      <c r="BW379" s="2" t="s">
        <v>199</v>
      </c>
      <c r="BX379" s="2" t="s">
        <v>208</v>
      </c>
      <c r="BY379" s="2" t="s">
        <v>209</v>
      </c>
      <c r="BZ379" s="2" t="s">
        <v>196</v>
      </c>
      <c r="CA379" s="2" t="s">
        <v>1944</v>
      </c>
      <c r="CB379" s="2" t="s">
        <v>2319</v>
      </c>
      <c r="CC379" s="2" t="s">
        <v>212</v>
      </c>
      <c r="CD379" s="2" t="s">
        <v>199</v>
      </c>
      <c r="CE379" s="4"/>
      <c r="CF379" s="4"/>
      <c r="CG379" s="4"/>
      <c r="CH379" s="4">
        <v>331</v>
      </c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>
        <v>334</v>
      </c>
      <c r="EU379" s="4">
        <v>322</v>
      </c>
      <c r="EV379" s="4">
        <v>319</v>
      </c>
      <c r="EW379" s="4">
        <v>316</v>
      </c>
      <c r="EX379" s="4">
        <v>313</v>
      </c>
      <c r="EY379" s="4">
        <v>310</v>
      </c>
      <c r="EZ379" s="4">
        <v>307</v>
      </c>
      <c r="FA379" s="4">
        <v>304</v>
      </c>
      <c r="FB379" s="4">
        <v>301</v>
      </c>
      <c r="FC379" s="4">
        <v>298</v>
      </c>
      <c r="FD379" s="4">
        <v>295</v>
      </c>
      <c r="FE379" s="4">
        <v>292</v>
      </c>
      <c r="FF379" s="4">
        <v>289</v>
      </c>
      <c r="FG379" s="4">
        <v>286</v>
      </c>
      <c r="FH379" s="4">
        <v>283</v>
      </c>
      <c r="FI379" s="4">
        <v>280</v>
      </c>
      <c r="FJ379" s="4">
        <v>277</v>
      </c>
      <c r="FK379" s="4">
        <v>274</v>
      </c>
      <c r="FL379" s="4">
        <v>271</v>
      </c>
      <c r="FM379" s="4">
        <v>268</v>
      </c>
      <c r="FN379" s="4">
        <v>265</v>
      </c>
      <c r="FO379" s="4">
        <v>262</v>
      </c>
      <c r="FP379" s="4">
        <v>259</v>
      </c>
      <c r="FQ379" s="4">
        <v>256</v>
      </c>
      <c r="FR379" s="4">
        <v>253</v>
      </c>
      <c r="FS379" s="4">
        <v>250</v>
      </c>
      <c r="FT379" s="19">
        <v>66.8</v>
      </c>
      <c r="FU379" s="19">
        <v>107.3</v>
      </c>
      <c r="FV379" s="19">
        <v>106.3</v>
      </c>
      <c r="FW379" s="19">
        <v>105.3</v>
      </c>
      <c r="FX379" s="19">
        <v>104.3</v>
      </c>
      <c r="FY379" s="19">
        <v>103.3</v>
      </c>
      <c r="FZ379" s="19">
        <v>102.3</v>
      </c>
      <c r="GA379" s="19">
        <v>101.3</v>
      </c>
      <c r="GB379" s="19">
        <v>100.3</v>
      </c>
      <c r="GC379" s="19">
        <v>99.3</v>
      </c>
      <c r="GD379" s="19">
        <v>98.3</v>
      </c>
      <c r="GE379" s="19">
        <v>97.3</v>
      </c>
      <c r="GF379" s="19">
        <v>96.3</v>
      </c>
      <c r="GG379" s="19">
        <v>95.3</v>
      </c>
      <c r="GH379" s="19">
        <v>94.3</v>
      </c>
      <c r="GI379" s="19">
        <v>93.3</v>
      </c>
      <c r="GJ379" s="19">
        <v>92.3</v>
      </c>
      <c r="GK379" s="19">
        <v>91.3</v>
      </c>
      <c r="GL379" s="19">
        <v>90.3</v>
      </c>
      <c r="GM379" s="19">
        <v>89.3</v>
      </c>
      <c r="GN379" s="19">
        <v>88.3</v>
      </c>
      <c r="GO379" s="19">
        <v>87.3</v>
      </c>
      <c r="GP379" s="19">
        <v>86.3</v>
      </c>
      <c r="GQ379" s="19">
        <v>85.3</v>
      </c>
      <c r="GR379" s="19">
        <v>84.3</v>
      </c>
      <c r="GS379" s="19">
        <v>83.3</v>
      </c>
    </row>
    <row r="380">
      <c r="A380" s="2" t="s">
        <v>2320</v>
      </c>
      <c r="B380" s="2" t="s">
        <v>2275</v>
      </c>
      <c r="C380" s="2" t="s">
        <v>604</v>
      </c>
      <c r="D380" s="2" t="s">
        <v>2276</v>
      </c>
      <c r="E380" s="2" t="s">
        <v>2277</v>
      </c>
      <c r="F380" s="2" t="s">
        <v>2310</v>
      </c>
      <c r="G380" s="2" t="s">
        <v>199</v>
      </c>
      <c r="H380" s="2" t="s">
        <v>199</v>
      </c>
      <c r="I380" s="2" t="s">
        <v>2311</v>
      </c>
      <c r="J380" s="2" t="s">
        <v>2321</v>
      </c>
      <c r="K380" s="2" t="s">
        <v>2322</v>
      </c>
      <c r="L380" s="3">
        <v>15</v>
      </c>
      <c r="M380" s="3">
        <v>15.75</v>
      </c>
      <c r="N380" s="3">
        <v>29.99</v>
      </c>
      <c r="O380" s="2" t="s">
        <v>196</v>
      </c>
      <c r="P380" s="2" t="s">
        <v>621</v>
      </c>
      <c r="Q380" s="2" t="s">
        <v>198</v>
      </c>
      <c r="R380" s="2" t="s">
        <v>199</v>
      </c>
      <c r="S380" s="2" t="s">
        <v>199</v>
      </c>
      <c r="T380" s="2" t="s">
        <v>199</v>
      </c>
      <c r="U380" s="2" t="s">
        <v>199</v>
      </c>
      <c r="V380" s="2" t="s">
        <v>493</v>
      </c>
      <c r="W380" s="2" t="s">
        <v>199</v>
      </c>
      <c r="X380" s="2" t="s">
        <v>199</v>
      </c>
      <c r="Y380" s="2" t="s">
        <v>611</v>
      </c>
      <c r="Z380" s="4">
        <v>227</v>
      </c>
      <c r="AA380" s="4">
        <f>=ROUNDDOWN(113.5,0)</f>
      </c>
      <c r="AB380" s="5">
        <v>2</v>
      </c>
      <c r="AC380" s="2" t="s">
        <v>199</v>
      </c>
      <c r="AD380" s="4"/>
      <c r="AE380" s="4"/>
      <c r="AF380" s="6"/>
      <c r="AG380" s="6">
        <v>48</v>
      </c>
      <c r="AH380" s="7">
        <v>1</v>
      </c>
      <c r="AI380" s="4"/>
      <c r="AJ380" s="4">
        <f>=ROUNDDOWN({0},0)</f>
      </c>
      <c r="AK380" s="5"/>
      <c r="AL380" s="2" t="s">
        <v>199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199</v>
      </c>
      <c r="AW380" s="8" t="s">
        <v>199</v>
      </c>
      <c r="AX380" s="4" t="s">
        <v>199</v>
      </c>
      <c r="AY380" s="8" t="s">
        <v>199</v>
      </c>
      <c r="AZ380" s="7" t="s">
        <v>199</v>
      </c>
      <c r="BA380" s="7" t="s">
        <v>199</v>
      </c>
      <c r="BB380" s="7"/>
      <c r="BC380" s="4" t="s">
        <v>199</v>
      </c>
      <c r="BD380" s="8" t="s">
        <v>199</v>
      </c>
      <c r="BE380" s="4" t="s">
        <v>199</v>
      </c>
      <c r="BF380" s="8" t="s">
        <v>199</v>
      </c>
      <c r="BG380" s="7" t="s">
        <v>199</v>
      </c>
      <c r="BH380" s="7" t="s">
        <v>199</v>
      </c>
      <c r="BI380" s="7"/>
      <c r="BJ380" s="4">
        <v>5</v>
      </c>
      <c r="BK380" s="8">
        <v>83.8</v>
      </c>
      <c r="BL380" s="2" t="s">
        <v>2323</v>
      </c>
      <c r="BM380" s="7"/>
      <c r="BN380" s="7"/>
      <c r="BO380" s="4"/>
      <c r="BP380" s="8"/>
      <c r="BQ380" s="4"/>
      <c r="BR380" s="8"/>
      <c r="BS380" s="7"/>
      <c r="BT380" s="7"/>
      <c r="BU380" s="2" t="s">
        <v>2314</v>
      </c>
      <c r="BV380" s="2" t="s">
        <v>199</v>
      </c>
      <c r="BW380" s="2" t="s">
        <v>199</v>
      </c>
      <c r="BX380" s="2" t="s">
        <v>208</v>
      </c>
      <c r="BY380" s="2" t="s">
        <v>209</v>
      </c>
      <c r="BZ380" s="2" t="s">
        <v>196</v>
      </c>
      <c r="CA380" s="2" t="s">
        <v>1927</v>
      </c>
      <c r="CB380" s="2" t="s">
        <v>2324</v>
      </c>
      <c r="CC380" s="2" t="s">
        <v>212</v>
      </c>
      <c r="CD380" s="2" t="s">
        <v>199</v>
      </c>
      <c r="CE380" s="4"/>
      <c r="CF380" s="4"/>
      <c r="CG380" s="4"/>
      <c r="CH380" s="4">
        <v>227</v>
      </c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>
        <v>227</v>
      </c>
      <c r="EU380" s="4">
        <v>211</v>
      </c>
      <c r="EV380" s="4">
        <v>209</v>
      </c>
      <c r="EW380" s="4">
        <v>207</v>
      </c>
      <c r="EX380" s="4">
        <v>205</v>
      </c>
      <c r="EY380" s="4">
        <v>203</v>
      </c>
      <c r="EZ380" s="4">
        <v>201</v>
      </c>
      <c r="FA380" s="4">
        <v>199</v>
      </c>
      <c r="FB380" s="4">
        <v>197</v>
      </c>
      <c r="FC380" s="4">
        <v>195</v>
      </c>
      <c r="FD380" s="4">
        <v>193</v>
      </c>
      <c r="FE380" s="4">
        <v>191</v>
      </c>
      <c r="FF380" s="4">
        <v>189</v>
      </c>
      <c r="FG380" s="4">
        <v>187</v>
      </c>
      <c r="FH380" s="4">
        <v>185</v>
      </c>
      <c r="FI380" s="4">
        <v>183</v>
      </c>
      <c r="FJ380" s="4">
        <v>181</v>
      </c>
      <c r="FK380" s="4">
        <v>179</v>
      </c>
      <c r="FL380" s="4">
        <v>177</v>
      </c>
      <c r="FM380" s="4">
        <v>175</v>
      </c>
      <c r="FN380" s="4">
        <v>173</v>
      </c>
      <c r="FO380" s="4">
        <v>171</v>
      </c>
      <c r="FP380" s="4">
        <v>169</v>
      </c>
      <c r="FQ380" s="4">
        <v>167</v>
      </c>
      <c r="FR380" s="4">
        <v>165</v>
      </c>
      <c r="FS380" s="4">
        <v>163</v>
      </c>
      <c r="FT380" s="19">
        <v>37.8</v>
      </c>
      <c r="FU380" s="19">
        <v>105.5</v>
      </c>
      <c r="FV380" s="19">
        <v>104.5</v>
      </c>
      <c r="FW380" s="19">
        <v>103.5</v>
      </c>
      <c r="FX380" s="19">
        <v>102.5</v>
      </c>
      <c r="FY380" s="19">
        <v>101.5</v>
      </c>
      <c r="FZ380" s="19">
        <v>100.5</v>
      </c>
      <c r="GA380" s="19">
        <v>99.5</v>
      </c>
      <c r="GB380" s="19">
        <v>98.5</v>
      </c>
      <c r="GC380" s="19">
        <v>97.5</v>
      </c>
      <c r="GD380" s="19">
        <v>96.5</v>
      </c>
      <c r="GE380" s="19">
        <v>95.5</v>
      </c>
      <c r="GF380" s="19">
        <v>94.5</v>
      </c>
      <c r="GG380" s="19">
        <v>93.5</v>
      </c>
      <c r="GH380" s="19">
        <v>92.5</v>
      </c>
      <c r="GI380" s="19">
        <v>91.5</v>
      </c>
      <c r="GJ380" s="19">
        <v>90.5</v>
      </c>
      <c r="GK380" s="19">
        <v>89.5</v>
      </c>
      <c r="GL380" s="19">
        <v>88.5</v>
      </c>
      <c r="GM380" s="19">
        <v>87.5</v>
      </c>
      <c r="GN380" s="19">
        <v>86.5</v>
      </c>
      <c r="GO380" s="19">
        <v>85.5</v>
      </c>
      <c r="GP380" s="19">
        <v>84.5</v>
      </c>
      <c r="GQ380" s="19">
        <v>83.5</v>
      </c>
      <c r="GR380" s="19">
        <v>82.5</v>
      </c>
      <c r="GS380" s="19">
        <v>81.5</v>
      </c>
    </row>
    <row r="381">
      <c r="A381" s="2" t="s">
        <v>2325</v>
      </c>
      <c r="B381" s="2" t="s">
        <v>2275</v>
      </c>
      <c r="C381" s="2" t="s">
        <v>604</v>
      </c>
      <c r="D381" s="2" t="s">
        <v>2276</v>
      </c>
      <c r="E381" s="2" t="s">
        <v>2277</v>
      </c>
      <c r="F381" s="2" t="s">
        <v>2310</v>
      </c>
      <c r="G381" s="2" t="s">
        <v>199</v>
      </c>
      <c r="H381" s="2" t="s">
        <v>199</v>
      </c>
      <c r="I381" s="2" t="s">
        <v>2311</v>
      </c>
      <c r="J381" s="2" t="s">
        <v>2326</v>
      </c>
      <c r="K381" s="2" t="s">
        <v>2322</v>
      </c>
      <c r="L381" s="3">
        <v>15</v>
      </c>
      <c r="M381" s="3">
        <v>15.75</v>
      </c>
      <c r="N381" s="3">
        <v>29.99</v>
      </c>
      <c r="O381" s="2" t="s">
        <v>196</v>
      </c>
      <c r="P381" s="2" t="s">
        <v>621</v>
      </c>
      <c r="Q381" s="2" t="s">
        <v>198</v>
      </c>
      <c r="R381" s="2" t="s">
        <v>199</v>
      </c>
      <c r="S381" s="2" t="s">
        <v>199</v>
      </c>
      <c r="T381" s="2" t="s">
        <v>199</v>
      </c>
      <c r="U381" s="2" t="s">
        <v>199</v>
      </c>
      <c r="V381" s="2" t="s">
        <v>493</v>
      </c>
      <c r="W381" s="2" t="s">
        <v>199</v>
      </c>
      <c r="X381" s="2" t="s">
        <v>199</v>
      </c>
      <c r="Y381" s="2" t="s">
        <v>611</v>
      </c>
      <c r="Z381" s="4">
        <v>362</v>
      </c>
      <c r="AA381" s="4">
        <f>=ROUNDDOWN(90.5,0)</f>
      </c>
      <c r="AB381" s="5">
        <v>4</v>
      </c>
      <c r="AC381" s="2" t="s">
        <v>199</v>
      </c>
      <c r="AD381" s="4"/>
      <c r="AE381" s="4"/>
      <c r="AF381" s="6"/>
      <c r="AG381" s="6">
        <v>48</v>
      </c>
      <c r="AH381" s="7">
        <v>1</v>
      </c>
      <c r="AI381" s="4"/>
      <c r="AJ381" s="4">
        <f>=ROUNDDOWN({0},0)</f>
      </c>
      <c r="AK381" s="5"/>
      <c r="AL381" s="2" t="s">
        <v>199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199</v>
      </c>
      <c r="AW381" s="8" t="s">
        <v>199</v>
      </c>
      <c r="AX381" s="4" t="s">
        <v>199</v>
      </c>
      <c r="AY381" s="8" t="s">
        <v>199</v>
      </c>
      <c r="AZ381" s="7" t="s">
        <v>199</v>
      </c>
      <c r="BA381" s="7" t="s">
        <v>199</v>
      </c>
      <c r="BB381" s="7"/>
      <c r="BC381" s="4" t="s">
        <v>199</v>
      </c>
      <c r="BD381" s="8" t="s">
        <v>199</v>
      </c>
      <c r="BE381" s="4" t="s">
        <v>199</v>
      </c>
      <c r="BF381" s="8" t="s">
        <v>199</v>
      </c>
      <c r="BG381" s="7" t="s">
        <v>199</v>
      </c>
      <c r="BH381" s="7" t="s">
        <v>199</v>
      </c>
      <c r="BI381" s="7"/>
      <c r="BJ381" s="4">
        <v>19</v>
      </c>
      <c r="BK381" s="8">
        <v>408.2</v>
      </c>
      <c r="BL381" s="2" t="s">
        <v>2306</v>
      </c>
      <c r="BM381" s="7"/>
      <c r="BN381" s="7"/>
      <c r="BO381" s="4"/>
      <c r="BP381" s="8"/>
      <c r="BQ381" s="4"/>
      <c r="BR381" s="8"/>
      <c r="BS381" s="7"/>
      <c r="BT381" s="7"/>
      <c r="BU381" s="2" t="s">
        <v>2314</v>
      </c>
      <c r="BV381" s="2" t="s">
        <v>199</v>
      </c>
      <c r="BW381" s="2" t="s">
        <v>199</v>
      </c>
      <c r="BX381" s="2" t="s">
        <v>208</v>
      </c>
      <c r="BY381" s="2" t="s">
        <v>209</v>
      </c>
      <c r="BZ381" s="2" t="s">
        <v>196</v>
      </c>
      <c r="CA381" s="2" t="s">
        <v>1927</v>
      </c>
      <c r="CB381" s="2" t="s">
        <v>828</v>
      </c>
      <c r="CC381" s="2" t="s">
        <v>212</v>
      </c>
      <c r="CD381" s="2" t="s">
        <v>199</v>
      </c>
      <c r="CE381" s="4"/>
      <c r="CF381" s="4"/>
      <c r="CG381" s="4"/>
      <c r="CH381" s="4">
        <v>362</v>
      </c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>
        <v>362</v>
      </c>
      <c r="EU381" s="4">
        <v>337</v>
      </c>
      <c r="EV381" s="4">
        <v>333</v>
      </c>
      <c r="EW381" s="4">
        <v>329</v>
      </c>
      <c r="EX381" s="4">
        <v>325</v>
      </c>
      <c r="EY381" s="4">
        <v>321</v>
      </c>
      <c r="EZ381" s="4">
        <v>317</v>
      </c>
      <c r="FA381" s="4">
        <v>313</v>
      </c>
      <c r="FB381" s="4">
        <v>309</v>
      </c>
      <c r="FC381" s="4">
        <v>305</v>
      </c>
      <c r="FD381" s="4">
        <v>301</v>
      </c>
      <c r="FE381" s="4">
        <v>297</v>
      </c>
      <c r="FF381" s="4">
        <v>293</v>
      </c>
      <c r="FG381" s="4">
        <v>289</v>
      </c>
      <c r="FH381" s="4">
        <v>285</v>
      </c>
      <c r="FI381" s="4">
        <v>281</v>
      </c>
      <c r="FJ381" s="4">
        <v>277</v>
      </c>
      <c r="FK381" s="4">
        <v>273</v>
      </c>
      <c r="FL381" s="4">
        <v>269</v>
      </c>
      <c r="FM381" s="4">
        <v>265</v>
      </c>
      <c r="FN381" s="4">
        <v>261</v>
      </c>
      <c r="FO381" s="4">
        <v>257</v>
      </c>
      <c r="FP381" s="4">
        <v>253</v>
      </c>
      <c r="FQ381" s="4">
        <v>249</v>
      </c>
      <c r="FR381" s="4">
        <v>245</v>
      </c>
      <c r="FS381" s="4">
        <v>241</v>
      </c>
      <c r="FT381" s="19">
        <v>40.2</v>
      </c>
      <c r="FU381" s="19">
        <v>84.3</v>
      </c>
      <c r="FV381" s="19">
        <v>83.3</v>
      </c>
      <c r="FW381" s="19">
        <v>82.3</v>
      </c>
      <c r="FX381" s="19">
        <v>81.3</v>
      </c>
      <c r="FY381" s="19">
        <v>80.3</v>
      </c>
      <c r="FZ381" s="19">
        <v>79.3</v>
      </c>
      <c r="GA381" s="19">
        <v>78.3</v>
      </c>
      <c r="GB381" s="19">
        <v>77.3</v>
      </c>
      <c r="GC381" s="19">
        <v>76.3</v>
      </c>
      <c r="GD381" s="19">
        <v>75.3</v>
      </c>
      <c r="GE381" s="19">
        <v>74.3</v>
      </c>
      <c r="GF381" s="19">
        <v>73.3</v>
      </c>
      <c r="GG381" s="19">
        <v>72.3</v>
      </c>
      <c r="GH381" s="19">
        <v>71.3</v>
      </c>
      <c r="GI381" s="19">
        <v>70.3</v>
      </c>
      <c r="GJ381" s="19">
        <v>69.3</v>
      </c>
      <c r="GK381" s="19">
        <v>68.3</v>
      </c>
      <c r="GL381" s="19">
        <v>67.3</v>
      </c>
      <c r="GM381" s="19">
        <v>66.3</v>
      </c>
      <c r="GN381" s="19">
        <v>65.3</v>
      </c>
      <c r="GO381" s="19">
        <v>64.3</v>
      </c>
      <c r="GP381" s="19">
        <v>63.3</v>
      </c>
      <c r="GQ381" s="19">
        <v>62.3</v>
      </c>
      <c r="GR381" s="19">
        <v>61.3</v>
      </c>
      <c r="GS381" s="19">
        <v>60.3</v>
      </c>
    </row>
    <row r="382">
      <c r="A382" s="2" t="s">
        <v>2327</v>
      </c>
      <c r="B382" s="2" t="s">
        <v>2275</v>
      </c>
      <c r="C382" s="2" t="s">
        <v>604</v>
      </c>
      <c r="D382" s="2" t="s">
        <v>2276</v>
      </c>
      <c r="E382" s="2" t="s">
        <v>2277</v>
      </c>
      <c r="F382" s="2" t="s">
        <v>2310</v>
      </c>
      <c r="G382" s="2" t="s">
        <v>199</v>
      </c>
      <c r="H382" s="2" t="s">
        <v>199</v>
      </c>
      <c r="I382" s="2" t="s">
        <v>2311</v>
      </c>
      <c r="J382" s="2" t="s">
        <v>2328</v>
      </c>
      <c r="K382" s="2" t="s">
        <v>2322</v>
      </c>
      <c r="L382" s="3">
        <v>15</v>
      </c>
      <c r="M382" s="3">
        <v>15.75</v>
      </c>
      <c r="N382" s="3">
        <v>29.99</v>
      </c>
      <c r="O382" s="2" t="s">
        <v>196</v>
      </c>
      <c r="P382" s="2" t="s">
        <v>621</v>
      </c>
      <c r="Q382" s="2" t="s">
        <v>198</v>
      </c>
      <c r="R382" s="2" t="s">
        <v>199</v>
      </c>
      <c r="S382" s="2" t="s">
        <v>199</v>
      </c>
      <c r="T382" s="2" t="s">
        <v>199</v>
      </c>
      <c r="U382" s="2" t="s">
        <v>199</v>
      </c>
      <c r="V382" s="2" t="s">
        <v>493</v>
      </c>
      <c r="W382" s="2" t="s">
        <v>199</v>
      </c>
      <c r="X382" s="2" t="s">
        <v>199</v>
      </c>
      <c r="Y382" s="2" t="s">
        <v>611</v>
      </c>
      <c r="Z382" s="4">
        <v>330</v>
      </c>
      <c r="AA382" s="4">
        <f>=ROUNDDOWN(41.25,0)</f>
      </c>
      <c r="AB382" s="5">
        <v>8</v>
      </c>
      <c r="AC382" s="2" t="s">
        <v>199</v>
      </c>
      <c r="AD382" s="4"/>
      <c r="AE382" s="4"/>
      <c r="AF382" s="6"/>
      <c r="AG382" s="6">
        <v>48</v>
      </c>
      <c r="AH382" s="7">
        <v>1</v>
      </c>
      <c r="AI382" s="4"/>
      <c r="AJ382" s="4">
        <f>=ROUNDDOWN({0},0)</f>
      </c>
      <c r="AK382" s="5"/>
      <c r="AL382" s="2" t="s">
        <v>199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199</v>
      </c>
      <c r="AW382" s="8" t="s">
        <v>199</v>
      </c>
      <c r="AX382" s="4" t="s">
        <v>199</v>
      </c>
      <c r="AY382" s="8" t="s">
        <v>199</v>
      </c>
      <c r="AZ382" s="7" t="s">
        <v>199</v>
      </c>
      <c r="BA382" s="7" t="s">
        <v>199</v>
      </c>
      <c r="BB382" s="7"/>
      <c r="BC382" s="4" t="s">
        <v>199</v>
      </c>
      <c r="BD382" s="8" t="s">
        <v>199</v>
      </c>
      <c r="BE382" s="4" t="s">
        <v>199</v>
      </c>
      <c r="BF382" s="8" t="s">
        <v>199</v>
      </c>
      <c r="BG382" s="7" t="s">
        <v>199</v>
      </c>
      <c r="BH382" s="7" t="s">
        <v>199</v>
      </c>
      <c r="BI382" s="7"/>
      <c r="BJ382" s="4">
        <v>21</v>
      </c>
      <c r="BK382" s="8">
        <v>438.2</v>
      </c>
      <c r="BL382" s="2" t="s">
        <v>2306</v>
      </c>
      <c r="BM382" s="7"/>
      <c r="BN382" s="7"/>
      <c r="BO382" s="4"/>
      <c r="BP382" s="8"/>
      <c r="BQ382" s="4"/>
      <c r="BR382" s="8"/>
      <c r="BS382" s="7"/>
      <c r="BT382" s="7"/>
      <c r="BU382" s="2" t="s">
        <v>2314</v>
      </c>
      <c r="BV382" s="2" t="s">
        <v>199</v>
      </c>
      <c r="BW382" s="2" t="s">
        <v>199</v>
      </c>
      <c r="BX382" s="2" t="s">
        <v>208</v>
      </c>
      <c r="BY382" s="2" t="s">
        <v>209</v>
      </c>
      <c r="BZ382" s="2" t="s">
        <v>196</v>
      </c>
      <c r="CA382" s="2" t="s">
        <v>1927</v>
      </c>
      <c r="CB382" s="2" t="s">
        <v>2329</v>
      </c>
      <c r="CC382" s="2" t="s">
        <v>212</v>
      </c>
      <c r="CD382" s="2" t="s">
        <v>199</v>
      </c>
      <c r="CE382" s="4"/>
      <c r="CF382" s="4"/>
      <c r="CG382" s="4"/>
      <c r="CH382" s="4">
        <v>330</v>
      </c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>
        <v>333</v>
      </c>
      <c r="EU382" s="4">
        <v>275</v>
      </c>
      <c r="EV382" s="4">
        <v>267</v>
      </c>
      <c r="EW382" s="4">
        <v>259</v>
      </c>
      <c r="EX382" s="4">
        <v>251</v>
      </c>
      <c r="EY382" s="4">
        <v>243</v>
      </c>
      <c r="EZ382" s="4">
        <v>235</v>
      </c>
      <c r="FA382" s="4">
        <v>227</v>
      </c>
      <c r="FB382" s="4">
        <v>219</v>
      </c>
      <c r="FC382" s="4">
        <v>211</v>
      </c>
      <c r="FD382" s="4">
        <v>203</v>
      </c>
      <c r="FE382" s="4">
        <v>195</v>
      </c>
      <c r="FF382" s="4">
        <v>187</v>
      </c>
      <c r="FG382" s="4">
        <v>179</v>
      </c>
      <c r="FH382" s="4">
        <v>171</v>
      </c>
      <c r="FI382" s="4">
        <v>163</v>
      </c>
      <c r="FJ382" s="4">
        <v>155</v>
      </c>
      <c r="FK382" s="4">
        <v>147</v>
      </c>
      <c r="FL382" s="4">
        <v>139</v>
      </c>
      <c r="FM382" s="4">
        <v>131</v>
      </c>
      <c r="FN382" s="4">
        <v>123</v>
      </c>
      <c r="FO382" s="4">
        <v>312</v>
      </c>
      <c r="FP382" s="4">
        <v>304</v>
      </c>
      <c r="FQ382" s="4">
        <v>296</v>
      </c>
      <c r="FR382" s="4">
        <v>288</v>
      </c>
      <c r="FS382" s="4">
        <v>280</v>
      </c>
      <c r="FT382" s="19">
        <v>16.7</v>
      </c>
      <c r="FU382" s="19">
        <v>34.4</v>
      </c>
      <c r="FV382" s="19">
        <v>33.4</v>
      </c>
      <c r="FW382" s="19">
        <v>32.4</v>
      </c>
      <c r="FX382" s="19">
        <v>31.4</v>
      </c>
      <c r="FY382" s="19">
        <v>30.4</v>
      </c>
      <c r="FZ382" s="19">
        <v>29.4</v>
      </c>
      <c r="GA382" s="19">
        <v>28.4</v>
      </c>
      <c r="GB382" s="19">
        <v>27.4</v>
      </c>
      <c r="GC382" s="19">
        <v>26.4</v>
      </c>
      <c r="GD382" s="19">
        <v>25.4</v>
      </c>
      <c r="GE382" s="19">
        <v>24.4</v>
      </c>
      <c r="GF382" s="19">
        <v>23.4</v>
      </c>
      <c r="GG382" s="19">
        <v>22.4</v>
      </c>
      <c r="GH382" s="19">
        <v>21.4</v>
      </c>
      <c r="GI382" s="19">
        <v>20.4</v>
      </c>
      <c r="GJ382" s="19">
        <v>19.4</v>
      </c>
      <c r="GK382" s="19">
        <v>18.4</v>
      </c>
      <c r="GL382" s="19">
        <v>17.4</v>
      </c>
      <c r="GM382" s="19">
        <v>16.4</v>
      </c>
      <c r="GN382" s="19">
        <v>15.4</v>
      </c>
      <c r="GO382" s="19">
        <v>39</v>
      </c>
      <c r="GP382" s="19">
        <v>38</v>
      </c>
      <c r="GQ382" s="19">
        <v>37</v>
      </c>
      <c r="GR382" s="19">
        <v>36</v>
      </c>
      <c r="GS382" s="19">
        <v>35</v>
      </c>
    </row>
    <row r="383">
      <c r="A383" s="2" t="s">
        <v>2330</v>
      </c>
      <c r="B383" s="2" t="s">
        <v>2275</v>
      </c>
      <c r="C383" s="2" t="s">
        <v>604</v>
      </c>
      <c r="D383" s="2" t="s">
        <v>2276</v>
      </c>
      <c r="E383" s="2" t="s">
        <v>2277</v>
      </c>
      <c r="F383" s="2" t="s">
        <v>2310</v>
      </c>
      <c r="G383" s="2" t="s">
        <v>199</v>
      </c>
      <c r="H383" s="2" t="s">
        <v>199</v>
      </c>
      <c r="I383" s="2" t="s">
        <v>2311</v>
      </c>
      <c r="J383" s="2" t="s">
        <v>2331</v>
      </c>
      <c r="K383" s="2" t="s">
        <v>2322</v>
      </c>
      <c r="L383" s="3">
        <v>15</v>
      </c>
      <c r="M383" s="3">
        <v>15.75</v>
      </c>
      <c r="N383" s="3">
        <v>29.99</v>
      </c>
      <c r="O383" s="2" t="s">
        <v>196</v>
      </c>
      <c r="P383" s="2" t="s">
        <v>621</v>
      </c>
      <c r="Q383" s="2" t="s">
        <v>198</v>
      </c>
      <c r="R383" s="2" t="s">
        <v>199</v>
      </c>
      <c r="S383" s="2" t="s">
        <v>199</v>
      </c>
      <c r="T383" s="2" t="s">
        <v>199</v>
      </c>
      <c r="U383" s="2" t="s">
        <v>199</v>
      </c>
      <c r="V383" s="2" t="s">
        <v>493</v>
      </c>
      <c r="W383" s="2" t="s">
        <v>199</v>
      </c>
      <c r="X383" s="2" t="s">
        <v>199</v>
      </c>
      <c r="Y383" s="2" t="s">
        <v>611</v>
      </c>
      <c r="Z383" s="4">
        <v>89</v>
      </c>
      <c r="AA383" s="4">
        <f>=ROUNDDOWN(29.6666666666667,0)</f>
      </c>
      <c r="AB383" s="5">
        <v>3</v>
      </c>
      <c r="AC383" s="2" t="s">
        <v>199</v>
      </c>
      <c r="AD383" s="4"/>
      <c r="AE383" s="4"/>
      <c r="AF383" s="6"/>
      <c r="AG383" s="6">
        <v>48</v>
      </c>
      <c r="AH383" s="7">
        <v>1</v>
      </c>
      <c r="AI383" s="4"/>
      <c r="AJ383" s="4">
        <f>=ROUNDDOWN({0},0)</f>
      </c>
      <c r="AK383" s="5"/>
      <c r="AL383" s="2" t="s">
        <v>199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199</v>
      </c>
      <c r="AW383" s="8" t="s">
        <v>199</v>
      </c>
      <c r="AX383" s="4" t="s">
        <v>199</v>
      </c>
      <c r="AY383" s="8" t="s">
        <v>199</v>
      </c>
      <c r="AZ383" s="7" t="s">
        <v>199</v>
      </c>
      <c r="BA383" s="7" t="s">
        <v>199</v>
      </c>
      <c r="BB383" s="7"/>
      <c r="BC383" s="4" t="s">
        <v>199</v>
      </c>
      <c r="BD383" s="8" t="s">
        <v>199</v>
      </c>
      <c r="BE383" s="4" t="s">
        <v>199</v>
      </c>
      <c r="BF383" s="8" t="s">
        <v>199</v>
      </c>
      <c r="BG383" s="7" t="s">
        <v>199</v>
      </c>
      <c r="BH383" s="7" t="s">
        <v>199</v>
      </c>
      <c r="BI383" s="7"/>
      <c r="BJ383" s="4">
        <v>7</v>
      </c>
      <c r="BK383" s="8">
        <v>166.6</v>
      </c>
      <c r="BL383" s="2" t="s">
        <v>2332</v>
      </c>
      <c r="BM383" s="7"/>
      <c r="BN383" s="7"/>
      <c r="BO383" s="4"/>
      <c r="BP383" s="8"/>
      <c r="BQ383" s="4"/>
      <c r="BR383" s="8"/>
      <c r="BS383" s="7"/>
      <c r="BT383" s="7"/>
      <c r="BU383" s="2" t="s">
        <v>2314</v>
      </c>
      <c r="BV383" s="2" t="s">
        <v>199</v>
      </c>
      <c r="BW383" s="2" t="s">
        <v>199</v>
      </c>
      <c r="BX383" s="2" t="s">
        <v>208</v>
      </c>
      <c r="BY383" s="2" t="s">
        <v>209</v>
      </c>
      <c r="BZ383" s="2" t="s">
        <v>196</v>
      </c>
      <c r="CA383" s="2" t="s">
        <v>1927</v>
      </c>
      <c r="CB383" s="2" t="s">
        <v>199</v>
      </c>
      <c r="CC383" s="2" t="s">
        <v>212</v>
      </c>
      <c r="CD383" s="2" t="s">
        <v>199</v>
      </c>
      <c r="CE383" s="4"/>
      <c r="CF383" s="4"/>
      <c r="CG383" s="4"/>
      <c r="CH383" s="4">
        <v>89</v>
      </c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>
        <v>89</v>
      </c>
      <c r="EU383" s="4">
        <v>72</v>
      </c>
      <c r="EV383" s="4">
        <v>69</v>
      </c>
      <c r="EW383" s="4">
        <v>66</v>
      </c>
      <c r="EX383" s="4">
        <v>63</v>
      </c>
      <c r="EY383" s="4">
        <v>60</v>
      </c>
      <c r="EZ383" s="4">
        <v>57</v>
      </c>
      <c r="FA383" s="4">
        <v>54</v>
      </c>
      <c r="FB383" s="4">
        <v>51</v>
      </c>
      <c r="FC383" s="4">
        <v>48</v>
      </c>
      <c r="FD383" s="4">
        <v>45</v>
      </c>
      <c r="FE383" s="4">
        <v>42</v>
      </c>
      <c r="FF383" s="4">
        <v>39</v>
      </c>
      <c r="FG383" s="4">
        <v>36</v>
      </c>
      <c r="FH383" s="4">
        <v>33</v>
      </c>
      <c r="FI383" s="4">
        <v>30</v>
      </c>
      <c r="FJ383" s="4">
        <v>27</v>
      </c>
      <c r="FK383" s="4">
        <v>24</v>
      </c>
      <c r="FL383" s="4">
        <v>21</v>
      </c>
      <c r="FM383" s="4">
        <v>18</v>
      </c>
      <c r="FN383" s="4">
        <v>15</v>
      </c>
      <c r="FO383" s="4">
        <v>121</v>
      </c>
      <c r="FP383" s="4">
        <v>118</v>
      </c>
      <c r="FQ383" s="4">
        <v>115</v>
      </c>
      <c r="FR383" s="4">
        <v>112</v>
      </c>
      <c r="FS383" s="4">
        <v>109</v>
      </c>
      <c r="FT383" s="19">
        <v>14.8</v>
      </c>
      <c r="FU383" s="19">
        <v>24</v>
      </c>
      <c r="FV383" s="19">
        <v>23</v>
      </c>
      <c r="FW383" s="19">
        <v>22</v>
      </c>
      <c r="FX383" s="19">
        <v>21</v>
      </c>
      <c r="FY383" s="19">
        <v>20</v>
      </c>
      <c r="FZ383" s="19">
        <v>19</v>
      </c>
      <c r="GA383" s="19">
        <v>18</v>
      </c>
      <c r="GB383" s="19">
        <v>17</v>
      </c>
      <c r="GC383" s="19">
        <v>16</v>
      </c>
      <c r="GD383" s="19">
        <v>15</v>
      </c>
      <c r="GE383" s="19">
        <v>14</v>
      </c>
      <c r="GF383" s="19">
        <v>13</v>
      </c>
      <c r="GG383" s="19">
        <v>12</v>
      </c>
      <c r="GH383" s="19">
        <v>11</v>
      </c>
      <c r="GI383" s="19">
        <v>10</v>
      </c>
      <c r="GJ383" s="19">
        <v>9</v>
      </c>
      <c r="GK383" s="19">
        <v>8</v>
      </c>
      <c r="GL383" s="19">
        <v>7</v>
      </c>
      <c r="GM383" s="19">
        <v>6</v>
      </c>
      <c r="GN383" s="19">
        <v>5</v>
      </c>
      <c r="GO383" s="19">
        <v>40.3</v>
      </c>
      <c r="GP383" s="19">
        <v>39.3</v>
      </c>
      <c r="GQ383" s="19">
        <v>38.3</v>
      </c>
      <c r="GR383" s="19">
        <v>37.3</v>
      </c>
      <c r="GS383" s="19">
        <v>36.3</v>
      </c>
    </row>
    <row r="384">
      <c r="A384" s="2" t="s">
        <v>2333</v>
      </c>
      <c r="B384" s="2" t="s">
        <v>2275</v>
      </c>
      <c r="C384" s="2" t="s">
        <v>604</v>
      </c>
      <c r="D384" s="2" t="s">
        <v>2276</v>
      </c>
      <c r="E384" s="2" t="s">
        <v>2277</v>
      </c>
      <c r="F384" s="2" t="s">
        <v>2310</v>
      </c>
      <c r="G384" s="2" t="s">
        <v>199</v>
      </c>
      <c r="H384" s="2" t="s">
        <v>199</v>
      </c>
      <c r="I384" s="2" t="s">
        <v>2311</v>
      </c>
      <c r="J384" s="2" t="s">
        <v>2321</v>
      </c>
      <c r="K384" s="2" t="s">
        <v>2334</v>
      </c>
      <c r="L384" s="3">
        <v>15</v>
      </c>
      <c r="M384" s="3">
        <v>15.75</v>
      </c>
      <c r="N384" s="3">
        <v>29.99</v>
      </c>
      <c r="O384" s="2" t="s">
        <v>196</v>
      </c>
      <c r="P384" s="2" t="s">
        <v>621</v>
      </c>
      <c r="Q384" s="2" t="s">
        <v>198</v>
      </c>
      <c r="R384" s="2" t="s">
        <v>199</v>
      </c>
      <c r="S384" s="2" t="s">
        <v>199</v>
      </c>
      <c r="T384" s="2" t="s">
        <v>199</v>
      </c>
      <c r="U384" s="2" t="s">
        <v>199</v>
      </c>
      <c r="V384" s="2" t="s">
        <v>493</v>
      </c>
      <c r="W384" s="2" t="s">
        <v>199</v>
      </c>
      <c r="X384" s="2" t="s">
        <v>199</v>
      </c>
      <c r="Y384" s="2" t="s">
        <v>611</v>
      </c>
      <c r="Z384" s="4">
        <v>212</v>
      </c>
      <c r="AA384" s="4">
        <f>=ROUNDDOWN(111.578947368421,0)</f>
      </c>
      <c r="AB384" s="5">
        <v>1.9</v>
      </c>
      <c r="AC384" s="2" t="s">
        <v>199</v>
      </c>
      <c r="AD384" s="4"/>
      <c r="AE384" s="4"/>
      <c r="AF384" s="6"/>
      <c r="AG384" s="6">
        <v>48</v>
      </c>
      <c r="AH384" s="7">
        <v>1</v>
      </c>
      <c r="AI384" s="4"/>
      <c r="AJ384" s="4">
        <f>=ROUNDDOWN({0},0)</f>
      </c>
      <c r="AK384" s="5"/>
      <c r="AL384" s="2" t="s">
        <v>199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199</v>
      </c>
      <c r="BD384" s="8" t="s">
        <v>199</v>
      </c>
      <c r="BE384" s="4" t="s">
        <v>199</v>
      </c>
      <c r="BF384" s="8" t="s">
        <v>199</v>
      </c>
      <c r="BG384" s="7" t="s">
        <v>199</v>
      </c>
      <c r="BH384" s="7" t="s">
        <v>199</v>
      </c>
      <c r="BI384" s="7"/>
      <c r="BJ384" s="4">
        <v>6</v>
      </c>
      <c r="BK384" s="8">
        <v>98.8</v>
      </c>
      <c r="BL384" s="2" t="s">
        <v>2323</v>
      </c>
      <c r="BM384" s="7"/>
      <c r="BN384" s="7"/>
      <c r="BO384" s="4"/>
      <c r="BP384" s="8"/>
      <c r="BQ384" s="4"/>
      <c r="BR384" s="8"/>
      <c r="BS384" s="7"/>
      <c r="BT384" s="7"/>
      <c r="BU384" s="2" t="s">
        <v>2314</v>
      </c>
      <c r="BV384" s="2" t="s">
        <v>199</v>
      </c>
      <c r="BW384" s="2" t="s">
        <v>199</v>
      </c>
      <c r="BX384" s="2" t="s">
        <v>208</v>
      </c>
      <c r="BY384" s="2" t="s">
        <v>209</v>
      </c>
      <c r="BZ384" s="2" t="s">
        <v>196</v>
      </c>
      <c r="CA384" s="2" t="s">
        <v>1927</v>
      </c>
      <c r="CB384" s="2" t="s">
        <v>2319</v>
      </c>
      <c r="CC384" s="2" t="s">
        <v>212</v>
      </c>
      <c r="CD384" s="2" t="s">
        <v>199</v>
      </c>
      <c r="CE384" s="4"/>
      <c r="CF384" s="4"/>
      <c r="CG384" s="4"/>
      <c r="CH384" s="4">
        <v>212</v>
      </c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>
        <v>213</v>
      </c>
      <c r="EU384" s="4">
        <v>203</v>
      </c>
      <c r="EV384" s="4">
        <v>201</v>
      </c>
      <c r="EW384" s="4">
        <v>199</v>
      </c>
      <c r="EX384" s="4">
        <v>197</v>
      </c>
      <c r="EY384" s="4">
        <v>195</v>
      </c>
      <c r="EZ384" s="4">
        <v>193</v>
      </c>
      <c r="FA384" s="4">
        <v>191</v>
      </c>
      <c r="FB384" s="4">
        <v>189</v>
      </c>
      <c r="FC384" s="4">
        <v>187</v>
      </c>
      <c r="FD384" s="4">
        <v>185</v>
      </c>
      <c r="FE384" s="4">
        <v>183</v>
      </c>
      <c r="FF384" s="4">
        <v>181</v>
      </c>
      <c r="FG384" s="4">
        <v>179</v>
      </c>
      <c r="FH384" s="4">
        <v>177</v>
      </c>
      <c r="FI384" s="4">
        <v>175</v>
      </c>
      <c r="FJ384" s="4">
        <v>173</v>
      </c>
      <c r="FK384" s="4">
        <v>171</v>
      </c>
      <c r="FL384" s="4">
        <v>169</v>
      </c>
      <c r="FM384" s="4">
        <v>167</v>
      </c>
      <c r="FN384" s="4">
        <v>165</v>
      </c>
      <c r="FO384" s="4">
        <v>163</v>
      </c>
      <c r="FP384" s="4">
        <v>161</v>
      </c>
      <c r="FQ384" s="4">
        <v>159</v>
      </c>
      <c r="FR384" s="4">
        <v>157</v>
      </c>
      <c r="FS384" s="4">
        <v>155</v>
      </c>
      <c r="FT384" s="19">
        <v>53.3</v>
      </c>
      <c r="FU384" s="19">
        <v>101.5</v>
      </c>
      <c r="FV384" s="19">
        <v>100.5</v>
      </c>
      <c r="FW384" s="19">
        <v>99.5</v>
      </c>
      <c r="FX384" s="19">
        <v>98.5</v>
      </c>
      <c r="FY384" s="19">
        <v>97.5</v>
      </c>
      <c r="FZ384" s="19">
        <v>96.5</v>
      </c>
      <c r="GA384" s="19">
        <v>95.5</v>
      </c>
      <c r="GB384" s="19">
        <v>94.5</v>
      </c>
      <c r="GC384" s="19">
        <v>93.5</v>
      </c>
      <c r="GD384" s="19">
        <v>92.5</v>
      </c>
      <c r="GE384" s="19">
        <v>91.5</v>
      </c>
      <c r="GF384" s="19">
        <v>90.5</v>
      </c>
      <c r="GG384" s="19">
        <v>89.5</v>
      </c>
      <c r="GH384" s="19">
        <v>88.5</v>
      </c>
      <c r="GI384" s="19">
        <v>87.5</v>
      </c>
      <c r="GJ384" s="19">
        <v>86.5</v>
      </c>
      <c r="GK384" s="19">
        <v>85.5</v>
      </c>
      <c r="GL384" s="19">
        <v>84.5</v>
      </c>
      <c r="GM384" s="19">
        <v>83.5</v>
      </c>
      <c r="GN384" s="19">
        <v>82.5</v>
      </c>
      <c r="GO384" s="19">
        <v>81.5</v>
      </c>
      <c r="GP384" s="19">
        <v>80.5</v>
      </c>
      <c r="GQ384" s="19">
        <v>79.5</v>
      </c>
      <c r="GR384" s="19">
        <v>78.5</v>
      </c>
      <c r="GS384" s="19">
        <v>77.5</v>
      </c>
    </row>
    <row r="385">
      <c r="A385" s="2" t="s">
        <v>2335</v>
      </c>
      <c r="B385" s="2" t="s">
        <v>2275</v>
      </c>
      <c r="C385" s="2" t="s">
        <v>604</v>
      </c>
      <c r="D385" s="2" t="s">
        <v>2276</v>
      </c>
      <c r="E385" s="2" t="s">
        <v>2277</v>
      </c>
      <c r="F385" s="2" t="s">
        <v>2336</v>
      </c>
      <c r="G385" s="2" t="s">
        <v>2336</v>
      </c>
      <c r="H385" s="2" t="s">
        <v>2336</v>
      </c>
      <c r="I385" s="2" t="s">
        <v>2337</v>
      </c>
      <c r="J385" s="2" t="s">
        <v>2338</v>
      </c>
      <c r="K385" s="2" t="s">
        <v>2339</v>
      </c>
      <c r="L385" s="3">
        <v>20</v>
      </c>
      <c r="M385" s="3">
        <v>21</v>
      </c>
      <c r="N385" s="3">
        <v>41.99</v>
      </c>
      <c r="O385" s="2" t="s">
        <v>196</v>
      </c>
      <c r="P385" s="2" t="s">
        <v>621</v>
      </c>
      <c r="Q385" s="2" t="s">
        <v>198</v>
      </c>
      <c r="R385" s="2" t="s">
        <v>199</v>
      </c>
      <c r="S385" s="2" t="s">
        <v>199</v>
      </c>
      <c r="T385" s="2" t="s">
        <v>199</v>
      </c>
      <c r="U385" s="2" t="s">
        <v>280</v>
      </c>
      <c r="V385" s="2" t="s">
        <v>493</v>
      </c>
      <c r="W385" s="2" t="s">
        <v>199</v>
      </c>
      <c r="X385" s="2" t="s">
        <v>199</v>
      </c>
      <c r="Y385" s="2" t="s">
        <v>909</v>
      </c>
      <c r="Z385" s="4">
        <v>113</v>
      </c>
      <c r="AA385" s="4">
        <f>=ROUNDDOWN(113,0)</f>
      </c>
      <c r="AB385" s="5">
        <v>1</v>
      </c>
      <c r="AC385" s="2" t="s">
        <v>199</v>
      </c>
      <c r="AD385" s="4"/>
      <c r="AE385" s="4"/>
      <c r="AF385" s="6"/>
      <c r="AG385" s="6">
        <v>73</v>
      </c>
      <c r="AH385" s="7">
        <v>1</v>
      </c>
      <c r="AI385" s="4"/>
      <c r="AJ385" s="4">
        <f>=ROUNDDOWN({0},0)</f>
      </c>
      <c r="AK385" s="5"/>
      <c r="AL385" s="2" t="s">
        <v>199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199</v>
      </c>
      <c r="AW385" s="8" t="s">
        <v>199</v>
      </c>
      <c r="AX385" s="4" t="s">
        <v>199</v>
      </c>
      <c r="AY385" s="8" t="s">
        <v>199</v>
      </c>
      <c r="AZ385" s="7" t="s">
        <v>199</v>
      </c>
      <c r="BA385" s="7" t="s">
        <v>199</v>
      </c>
      <c r="BB385" s="7"/>
      <c r="BC385" s="4" t="s">
        <v>199</v>
      </c>
      <c r="BD385" s="8" t="s">
        <v>199</v>
      </c>
      <c r="BE385" s="4" t="s">
        <v>199</v>
      </c>
      <c r="BF385" s="8" t="s">
        <v>199</v>
      </c>
      <c r="BG385" s="7" t="s">
        <v>199</v>
      </c>
      <c r="BH385" s="7" t="s">
        <v>199</v>
      </c>
      <c r="BI385" s="7"/>
      <c r="BJ385" s="4">
        <v>29</v>
      </c>
      <c r="BK385" s="8">
        <v>687.54</v>
      </c>
      <c r="BL385" s="2" t="s">
        <v>996</v>
      </c>
      <c r="BM385" s="7"/>
      <c r="BN385" s="7"/>
      <c r="BO385" s="4"/>
      <c r="BP385" s="8"/>
      <c r="BQ385" s="4"/>
      <c r="BR385" s="8"/>
      <c r="BS385" s="7"/>
      <c r="BT385" s="7"/>
      <c r="BU385" s="2" t="s">
        <v>2340</v>
      </c>
      <c r="BV385" s="2" t="s">
        <v>199</v>
      </c>
      <c r="BW385" s="2" t="s">
        <v>199</v>
      </c>
      <c r="BX385" s="2" t="s">
        <v>208</v>
      </c>
      <c r="BY385" s="2" t="s">
        <v>209</v>
      </c>
      <c r="BZ385" s="2" t="s">
        <v>196</v>
      </c>
      <c r="CA385" s="2" t="s">
        <v>1927</v>
      </c>
      <c r="CB385" s="2" t="s">
        <v>199</v>
      </c>
      <c r="CC385" s="2" t="s">
        <v>212</v>
      </c>
      <c r="CD385" s="2" t="s">
        <v>199</v>
      </c>
      <c r="CE385" s="4"/>
      <c r="CF385" s="4"/>
      <c r="CG385" s="4"/>
      <c r="CH385" s="4">
        <v>113</v>
      </c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>
        <v>113</v>
      </c>
      <c r="EU385" s="4">
        <v>112</v>
      </c>
      <c r="EV385" s="4">
        <v>111</v>
      </c>
      <c r="EW385" s="4">
        <v>110</v>
      </c>
      <c r="EX385" s="4">
        <v>109</v>
      </c>
      <c r="EY385" s="4">
        <v>108</v>
      </c>
      <c r="EZ385" s="4">
        <v>107</v>
      </c>
      <c r="FA385" s="4">
        <v>106</v>
      </c>
      <c r="FB385" s="4">
        <v>105</v>
      </c>
      <c r="FC385" s="4">
        <v>104</v>
      </c>
      <c r="FD385" s="4">
        <v>103</v>
      </c>
      <c r="FE385" s="4">
        <v>102</v>
      </c>
      <c r="FF385" s="4">
        <v>101</v>
      </c>
      <c r="FG385" s="4">
        <v>100</v>
      </c>
      <c r="FH385" s="4">
        <v>99</v>
      </c>
      <c r="FI385" s="4">
        <v>98</v>
      </c>
      <c r="FJ385" s="4">
        <v>97</v>
      </c>
      <c r="FK385" s="4">
        <v>96</v>
      </c>
      <c r="FL385" s="4">
        <v>95</v>
      </c>
      <c r="FM385" s="4">
        <v>94</v>
      </c>
      <c r="FN385" s="4">
        <v>93</v>
      </c>
      <c r="FO385" s="4">
        <v>92</v>
      </c>
      <c r="FP385" s="4">
        <v>91</v>
      </c>
      <c r="FQ385" s="4">
        <v>90</v>
      </c>
      <c r="FR385" s="4">
        <v>89</v>
      </c>
      <c r="FS385" s="4">
        <v>88</v>
      </c>
      <c r="FT385" s="19">
        <v>113</v>
      </c>
      <c r="FU385" s="19">
        <v>112</v>
      </c>
      <c r="FV385" s="19">
        <v>111</v>
      </c>
      <c r="FW385" s="19">
        <v>110</v>
      </c>
      <c r="FX385" s="19">
        <v>109</v>
      </c>
      <c r="FY385" s="19">
        <v>108</v>
      </c>
      <c r="FZ385" s="19">
        <v>107</v>
      </c>
      <c r="GA385" s="19">
        <v>106</v>
      </c>
      <c r="GB385" s="19">
        <v>105</v>
      </c>
      <c r="GC385" s="19">
        <v>104</v>
      </c>
      <c r="GD385" s="19">
        <v>103</v>
      </c>
      <c r="GE385" s="19">
        <v>102</v>
      </c>
      <c r="GF385" s="19">
        <v>101</v>
      </c>
      <c r="GG385" s="19">
        <v>100</v>
      </c>
      <c r="GH385" s="19">
        <v>99</v>
      </c>
      <c r="GI385" s="19">
        <v>98</v>
      </c>
      <c r="GJ385" s="19">
        <v>97</v>
      </c>
      <c r="GK385" s="19">
        <v>96</v>
      </c>
      <c r="GL385" s="19">
        <v>95</v>
      </c>
      <c r="GM385" s="19">
        <v>94</v>
      </c>
      <c r="GN385" s="19">
        <v>93</v>
      </c>
      <c r="GO385" s="19">
        <v>92</v>
      </c>
      <c r="GP385" s="19">
        <v>91</v>
      </c>
      <c r="GQ385" s="19">
        <v>90</v>
      </c>
      <c r="GR385" s="19">
        <v>89</v>
      </c>
      <c r="GS385" s="19">
        <v>88</v>
      </c>
    </row>
    <row r="386">
      <c r="A386" s="2" t="s">
        <v>2341</v>
      </c>
      <c r="B386" s="2" t="s">
        <v>2275</v>
      </c>
      <c r="C386" s="2" t="s">
        <v>604</v>
      </c>
      <c r="D386" s="2" t="s">
        <v>2276</v>
      </c>
      <c r="E386" s="2" t="s">
        <v>2277</v>
      </c>
      <c r="F386" s="2" t="s">
        <v>2336</v>
      </c>
      <c r="G386" s="2" t="s">
        <v>2336</v>
      </c>
      <c r="H386" s="2" t="s">
        <v>2336</v>
      </c>
      <c r="I386" s="2" t="s">
        <v>2342</v>
      </c>
      <c r="J386" s="2" t="s">
        <v>2343</v>
      </c>
      <c r="K386" s="2" t="s">
        <v>2339</v>
      </c>
      <c r="L386" s="3">
        <v>20</v>
      </c>
      <c r="M386" s="3">
        <v>21</v>
      </c>
      <c r="N386" s="3">
        <v>41.99</v>
      </c>
      <c r="O386" s="2" t="s">
        <v>196</v>
      </c>
      <c r="P386" s="2" t="s">
        <v>621</v>
      </c>
      <c r="Q386" s="2" t="s">
        <v>198</v>
      </c>
      <c r="R386" s="2" t="s">
        <v>199</v>
      </c>
      <c r="S386" s="2" t="s">
        <v>199</v>
      </c>
      <c r="T386" s="2" t="s">
        <v>199</v>
      </c>
      <c r="U386" s="2" t="s">
        <v>280</v>
      </c>
      <c r="V386" s="2" t="s">
        <v>493</v>
      </c>
      <c r="W386" s="2" t="s">
        <v>199</v>
      </c>
      <c r="X386" s="2" t="s">
        <v>199</v>
      </c>
      <c r="Y386" s="2" t="s">
        <v>909</v>
      </c>
      <c r="Z386" s="4">
        <v>3</v>
      </c>
      <c r="AA386" s="4">
        <f>=ROUNDDOWN(0.526315789473684,0)</f>
      </c>
      <c r="AB386" s="5">
        <v>5.7</v>
      </c>
      <c r="AC386" s="2" t="s">
        <v>199</v>
      </c>
      <c r="AD386" s="4"/>
      <c r="AE386" s="4"/>
      <c r="AF386" s="6"/>
      <c r="AG386" s="6">
        <v>73</v>
      </c>
      <c r="AH386" s="7">
        <v>0.2903</v>
      </c>
      <c r="AI386" s="4"/>
      <c r="AJ386" s="4">
        <f>=ROUNDDOWN({0},0)</f>
      </c>
      <c r="AK386" s="5"/>
      <c r="AL386" s="2" t="s">
        <v>199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199</v>
      </c>
      <c r="AW386" s="8" t="s">
        <v>199</v>
      </c>
      <c r="AX386" s="4" t="s">
        <v>199</v>
      </c>
      <c r="AY386" s="8" t="s">
        <v>199</v>
      </c>
      <c r="AZ386" s="7" t="s">
        <v>199</v>
      </c>
      <c r="BA386" s="7" t="s">
        <v>199</v>
      </c>
      <c r="BB386" s="7"/>
      <c r="BC386" s="4" t="s">
        <v>199</v>
      </c>
      <c r="BD386" s="8" t="s">
        <v>199</v>
      </c>
      <c r="BE386" s="4" t="s">
        <v>199</v>
      </c>
      <c r="BF386" s="8" t="s">
        <v>199</v>
      </c>
      <c r="BG386" s="7" t="s">
        <v>199</v>
      </c>
      <c r="BH386" s="7" t="s">
        <v>199</v>
      </c>
      <c r="BI386" s="7"/>
      <c r="BJ386" s="4">
        <v>119</v>
      </c>
      <c r="BK386" s="8">
        <v>2775.78</v>
      </c>
      <c r="BL386" s="2" t="s">
        <v>996</v>
      </c>
      <c r="BM386" s="7"/>
      <c r="BN386" s="7"/>
      <c r="BO386" s="4"/>
      <c r="BP386" s="8"/>
      <c r="BQ386" s="4"/>
      <c r="BR386" s="8"/>
      <c r="BS386" s="7"/>
      <c r="BT386" s="7"/>
      <c r="BU386" s="2" t="s">
        <v>2340</v>
      </c>
      <c r="BV386" s="2" t="s">
        <v>199</v>
      </c>
      <c r="BW386" s="2" t="s">
        <v>199</v>
      </c>
      <c r="BX386" s="2" t="s">
        <v>208</v>
      </c>
      <c r="BY386" s="2" t="s">
        <v>209</v>
      </c>
      <c r="BZ386" s="2" t="s">
        <v>196</v>
      </c>
      <c r="CA386" s="2" t="s">
        <v>1927</v>
      </c>
      <c r="CB386" s="2" t="s">
        <v>199</v>
      </c>
      <c r="CC386" s="2" t="s">
        <v>212</v>
      </c>
      <c r="CD386" s="2" t="s">
        <v>199</v>
      </c>
      <c r="CE386" s="4"/>
      <c r="CF386" s="4"/>
      <c r="CG386" s="4"/>
      <c r="CH386" s="4">
        <v>3</v>
      </c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>
        <v>3</v>
      </c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>
        <v>288</v>
      </c>
      <c r="FO386" s="4">
        <v>275</v>
      </c>
      <c r="FP386" s="4">
        <v>269</v>
      </c>
      <c r="FQ386" s="4">
        <v>263</v>
      </c>
      <c r="FR386" s="4">
        <v>257</v>
      </c>
      <c r="FS386" s="4">
        <v>251</v>
      </c>
      <c r="FT386" s="19">
        <v>0.6</v>
      </c>
      <c r="FU386" s="20">
        <v>0</v>
      </c>
      <c r="FV386" s="20">
        <v>0</v>
      </c>
      <c r="FW386" s="20">
        <v>0</v>
      </c>
      <c r="FX386" s="20">
        <v>0</v>
      </c>
      <c r="FY386" s="20">
        <v>0</v>
      </c>
      <c r="FZ386" s="20">
        <v>0</v>
      </c>
      <c r="GA386" s="20">
        <v>0</v>
      </c>
      <c r="GB386" s="20">
        <v>0</v>
      </c>
      <c r="GC386" s="20">
        <v>0</v>
      </c>
      <c r="GD386" s="20">
        <v>0</v>
      </c>
      <c r="GE386" s="20">
        <v>0</v>
      </c>
      <c r="GF386" s="20">
        <v>0</v>
      </c>
      <c r="GG386" s="20">
        <v>0</v>
      </c>
      <c r="GH386" s="20">
        <v>0</v>
      </c>
      <c r="GI386" s="20">
        <v>0</v>
      </c>
      <c r="GJ386" s="20">
        <v>0</v>
      </c>
      <c r="GK386" s="20">
        <v>0</v>
      </c>
      <c r="GL386" s="20">
        <v>0</v>
      </c>
      <c r="GM386" s="20">
        <v>0</v>
      </c>
      <c r="GN386" s="19">
        <v>36</v>
      </c>
      <c r="GO386" s="19">
        <v>45.8</v>
      </c>
      <c r="GP386" s="19">
        <v>44.8</v>
      </c>
      <c r="GQ386" s="19">
        <v>43.8</v>
      </c>
      <c r="GR386" s="19">
        <v>42.8</v>
      </c>
      <c r="GS386" s="19">
        <v>41.8</v>
      </c>
    </row>
    <row r="387">
      <c r="A387" s="2" t="s">
        <v>2344</v>
      </c>
      <c r="B387" s="2" t="s">
        <v>2275</v>
      </c>
      <c r="C387" s="2" t="s">
        <v>604</v>
      </c>
      <c r="D387" s="2" t="s">
        <v>2276</v>
      </c>
      <c r="E387" s="2" t="s">
        <v>2277</v>
      </c>
      <c r="F387" s="2" t="s">
        <v>2336</v>
      </c>
      <c r="G387" s="2" t="s">
        <v>2336</v>
      </c>
      <c r="H387" s="2" t="s">
        <v>2336</v>
      </c>
      <c r="I387" s="2" t="s">
        <v>2345</v>
      </c>
      <c r="J387" s="2" t="s">
        <v>2338</v>
      </c>
      <c r="K387" s="2" t="s">
        <v>2346</v>
      </c>
      <c r="L387" s="3">
        <v>20</v>
      </c>
      <c r="M387" s="3">
        <v>21</v>
      </c>
      <c r="N387" s="3">
        <v>41.99</v>
      </c>
      <c r="O387" s="2" t="s">
        <v>196</v>
      </c>
      <c r="P387" s="2" t="s">
        <v>621</v>
      </c>
      <c r="Q387" s="2" t="s">
        <v>198</v>
      </c>
      <c r="R387" s="2" t="s">
        <v>199</v>
      </c>
      <c r="S387" s="2" t="s">
        <v>199</v>
      </c>
      <c r="T387" s="2" t="s">
        <v>199</v>
      </c>
      <c r="U387" s="2" t="s">
        <v>280</v>
      </c>
      <c r="V387" s="2" t="s">
        <v>493</v>
      </c>
      <c r="W387" s="2" t="s">
        <v>199</v>
      </c>
      <c r="X387" s="2" t="s">
        <v>199</v>
      </c>
      <c r="Y387" s="2" t="s">
        <v>2347</v>
      </c>
      <c r="Z387" s="4">
        <v>88</v>
      </c>
      <c r="AA387" s="4">
        <f>=ROUNDDOWN(46.3157894736842,0)</f>
      </c>
      <c r="AB387" s="5">
        <v>1.9</v>
      </c>
      <c r="AC387" s="2" t="s">
        <v>199</v>
      </c>
      <c r="AD387" s="4"/>
      <c r="AE387" s="4"/>
      <c r="AF387" s="6"/>
      <c r="AG387" s="6">
        <v>73</v>
      </c>
      <c r="AH387" s="7">
        <v>1</v>
      </c>
      <c r="AI387" s="4"/>
      <c r="AJ387" s="4">
        <f>=ROUNDDOWN({0},0)</f>
      </c>
      <c r="AK387" s="5"/>
      <c r="AL387" s="2" t="s">
        <v>199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199</v>
      </c>
      <c r="AW387" s="8" t="s">
        <v>199</v>
      </c>
      <c r="AX387" s="4" t="s">
        <v>199</v>
      </c>
      <c r="AY387" s="8" t="s">
        <v>199</v>
      </c>
      <c r="AZ387" s="7" t="s">
        <v>199</v>
      </c>
      <c r="BA387" s="7" t="s">
        <v>199</v>
      </c>
      <c r="BB387" s="7"/>
      <c r="BC387" s="4" t="s">
        <v>199</v>
      </c>
      <c r="BD387" s="8" t="s">
        <v>199</v>
      </c>
      <c r="BE387" s="4" t="s">
        <v>199</v>
      </c>
      <c r="BF387" s="8" t="s">
        <v>199</v>
      </c>
      <c r="BG387" s="7" t="s">
        <v>199</v>
      </c>
      <c r="BH387" s="7" t="s">
        <v>199</v>
      </c>
      <c r="BI387" s="7"/>
      <c r="BJ387" s="4">
        <v>24</v>
      </c>
      <c r="BK387" s="8">
        <v>556.71</v>
      </c>
      <c r="BL387" s="2" t="s">
        <v>2348</v>
      </c>
      <c r="BM387" s="7"/>
      <c r="BN387" s="7"/>
      <c r="BO387" s="4"/>
      <c r="BP387" s="8"/>
      <c r="BQ387" s="4"/>
      <c r="BR387" s="8"/>
      <c r="BS387" s="7"/>
      <c r="BT387" s="7"/>
      <c r="BU387" s="2" t="s">
        <v>2340</v>
      </c>
      <c r="BV387" s="2" t="s">
        <v>199</v>
      </c>
      <c r="BW387" s="2" t="s">
        <v>199</v>
      </c>
      <c r="BX387" s="2" t="s">
        <v>208</v>
      </c>
      <c r="BY387" s="2" t="s">
        <v>209</v>
      </c>
      <c r="BZ387" s="2" t="s">
        <v>196</v>
      </c>
      <c r="CA387" s="2" t="s">
        <v>1927</v>
      </c>
      <c r="CB387" s="2" t="s">
        <v>199</v>
      </c>
      <c r="CC387" s="2" t="s">
        <v>212</v>
      </c>
      <c r="CD387" s="2" t="s">
        <v>199</v>
      </c>
      <c r="CE387" s="4"/>
      <c r="CF387" s="4"/>
      <c r="CG387" s="4"/>
      <c r="CH387" s="4">
        <v>88</v>
      </c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>
        <v>89</v>
      </c>
      <c r="EU387" s="4">
        <v>80</v>
      </c>
      <c r="EV387" s="4">
        <v>78</v>
      </c>
      <c r="EW387" s="4">
        <v>76</v>
      </c>
      <c r="EX387" s="4">
        <v>74</v>
      </c>
      <c r="EY387" s="4">
        <v>72</v>
      </c>
      <c r="EZ387" s="4">
        <v>70</v>
      </c>
      <c r="FA387" s="4">
        <v>68</v>
      </c>
      <c r="FB387" s="4">
        <v>66</v>
      </c>
      <c r="FC387" s="4">
        <v>64</v>
      </c>
      <c r="FD387" s="4">
        <v>62</v>
      </c>
      <c r="FE387" s="4">
        <v>60</v>
      </c>
      <c r="FF387" s="4">
        <v>58</v>
      </c>
      <c r="FG387" s="4">
        <v>56</v>
      </c>
      <c r="FH387" s="4">
        <v>54</v>
      </c>
      <c r="FI387" s="4">
        <v>52</v>
      </c>
      <c r="FJ387" s="4">
        <v>50</v>
      </c>
      <c r="FK387" s="4">
        <v>48</v>
      </c>
      <c r="FL387" s="4">
        <v>46</v>
      </c>
      <c r="FM387" s="4">
        <v>44</v>
      </c>
      <c r="FN387" s="4">
        <v>42</v>
      </c>
      <c r="FO387" s="4">
        <v>40</v>
      </c>
      <c r="FP387" s="4">
        <v>38</v>
      </c>
      <c r="FQ387" s="4">
        <v>36</v>
      </c>
      <c r="FR387" s="4">
        <v>34</v>
      </c>
      <c r="FS387" s="4">
        <v>32</v>
      </c>
      <c r="FT387" s="19">
        <v>22.3</v>
      </c>
      <c r="FU387" s="19">
        <v>40</v>
      </c>
      <c r="FV387" s="19">
        <v>39</v>
      </c>
      <c r="FW387" s="19">
        <v>38</v>
      </c>
      <c r="FX387" s="19">
        <v>37</v>
      </c>
      <c r="FY387" s="19">
        <v>36</v>
      </c>
      <c r="FZ387" s="19">
        <v>35</v>
      </c>
      <c r="GA387" s="19">
        <v>34</v>
      </c>
      <c r="GB387" s="19">
        <v>33</v>
      </c>
      <c r="GC387" s="19">
        <v>32</v>
      </c>
      <c r="GD387" s="19">
        <v>31</v>
      </c>
      <c r="GE387" s="19">
        <v>30</v>
      </c>
      <c r="GF387" s="19">
        <v>29</v>
      </c>
      <c r="GG387" s="19">
        <v>28</v>
      </c>
      <c r="GH387" s="19">
        <v>27</v>
      </c>
      <c r="GI387" s="19">
        <v>26</v>
      </c>
      <c r="GJ387" s="19">
        <v>25</v>
      </c>
      <c r="GK387" s="19">
        <v>24</v>
      </c>
      <c r="GL387" s="19">
        <v>23</v>
      </c>
      <c r="GM387" s="19">
        <v>22</v>
      </c>
      <c r="GN387" s="19">
        <v>21</v>
      </c>
      <c r="GO387" s="19">
        <v>20</v>
      </c>
      <c r="GP387" s="19">
        <v>19</v>
      </c>
      <c r="GQ387" s="19">
        <v>18</v>
      </c>
      <c r="GR387" s="19">
        <v>17</v>
      </c>
      <c r="GS387" s="19">
        <v>16</v>
      </c>
    </row>
    <row r="388">
      <c r="A388" s="2" t="s">
        <v>2349</v>
      </c>
      <c r="B388" s="2" t="s">
        <v>2275</v>
      </c>
      <c r="C388" s="2" t="s">
        <v>604</v>
      </c>
      <c r="D388" s="2" t="s">
        <v>2276</v>
      </c>
      <c r="E388" s="2" t="s">
        <v>2277</v>
      </c>
      <c r="F388" s="2" t="s">
        <v>2336</v>
      </c>
      <c r="G388" s="2" t="s">
        <v>2336</v>
      </c>
      <c r="H388" s="2" t="s">
        <v>2336</v>
      </c>
      <c r="I388" s="2" t="s">
        <v>2345</v>
      </c>
      <c r="J388" s="2" t="s">
        <v>2350</v>
      </c>
      <c r="K388" s="2" t="s">
        <v>2346</v>
      </c>
      <c r="L388" s="3">
        <v>20</v>
      </c>
      <c r="M388" s="3">
        <v>21</v>
      </c>
      <c r="N388" s="3">
        <v>41.99</v>
      </c>
      <c r="O388" s="2" t="s">
        <v>196</v>
      </c>
      <c r="P388" s="2" t="s">
        <v>621</v>
      </c>
      <c r="Q388" s="2" t="s">
        <v>198</v>
      </c>
      <c r="R388" s="2" t="s">
        <v>199</v>
      </c>
      <c r="S388" s="2" t="s">
        <v>199</v>
      </c>
      <c r="T388" s="2" t="s">
        <v>199</v>
      </c>
      <c r="U388" s="2" t="s">
        <v>280</v>
      </c>
      <c r="V388" s="2" t="s">
        <v>493</v>
      </c>
      <c r="W388" s="2" t="s">
        <v>199</v>
      </c>
      <c r="X388" s="2" t="s">
        <v>199</v>
      </c>
      <c r="Y388" s="2" t="s">
        <v>2347</v>
      </c>
      <c r="Z388" s="4">
        <v>179</v>
      </c>
      <c r="AA388" s="4">
        <f>=ROUNDDOWN(51.1428571428571,0)</f>
      </c>
      <c r="AB388" s="5">
        <v>3.5</v>
      </c>
      <c r="AC388" s="2" t="s">
        <v>199</v>
      </c>
      <c r="AD388" s="4"/>
      <c r="AE388" s="4"/>
      <c r="AF388" s="6"/>
      <c r="AG388" s="6">
        <v>73</v>
      </c>
      <c r="AH388" s="7">
        <v>1</v>
      </c>
      <c r="AI388" s="4"/>
      <c r="AJ388" s="4">
        <f>=ROUNDDOWN({0},0)</f>
      </c>
      <c r="AK388" s="5"/>
      <c r="AL388" s="2" t="s">
        <v>199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199</v>
      </c>
      <c r="AW388" s="8" t="s">
        <v>199</v>
      </c>
      <c r="AX388" s="4" t="s">
        <v>199</v>
      </c>
      <c r="AY388" s="8" t="s">
        <v>199</v>
      </c>
      <c r="AZ388" s="7" t="s">
        <v>199</v>
      </c>
      <c r="BA388" s="7" t="s">
        <v>199</v>
      </c>
      <c r="BB388" s="7"/>
      <c r="BC388" s="4" t="s">
        <v>199</v>
      </c>
      <c r="BD388" s="8" t="s">
        <v>199</v>
      </c>
      <c r="BE388" s="4" t="s">
        <v>199</v>
      </c>
      <c r="BF388" s="8" t="s">
        <v>199</v>
      </c>
      <c r="BG388" s="7" t="s">
        <v>199</v>
      </c>
      <c r="BH388" s="7" t="s">
        <v>199</v>
      </c>
      <c r="BI388" s="7"/>
      <c r="BJ388" s="4">
        <v>99</v>
      </c>
      <c r="BK388" s="8">
        <v>2316.3</v>
      </c>
      <c r="BL388" s="2" t="s">
        <v>2351</v>
      </c>
      <c r="BM388" s="7"/>
      <c r="BN388" s="7"/>
      <c r="BO388" s="4"/>
      <c r="BP388" s="8"/>
      <c r="BQ388" s="4"/>
      <c r="BR388" s="8"/>
      <c r="BS388" s="7"/>
      <c r="BT388" s="7"/>
      <c r="BU388" s="2" t="s">
        <v>2340</v>
      </c>
      <c r="BV388" s="2" t="s">
        <v>199</v>
      </c>
      <c r="BW388" s="2" t="s">
        <v>199</v>
      </c>
      <c r="BX388" s="2" t="s">
        <v>208</v>
      </c>
      <c r="BY388" s="2" t="s">
        <v>209</v>
      </c>
      <c r="BZ388" s="2" t="s">
        <v>196</v>
      </c>
      <c r="CA388" s="2" t="s">
        <v>1927</v>
      </c>
      <c r="CB388" s="2" t="s">
        <v>199</v>
      </c>
      <c r="CC388" s="2" t="s">
        <v>212</v>
      </c>
      <c r="CD388" s="2" t="s">
        <v>199</v>
      </c>
      <c r="CE388" s="4"/>
      <c r="CF388" s="4"/>
      <c r="CG388" s="4"/>
      <c r="CH388" s="4">
        <v>179</v>
      </c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>
        <v>181</v>
      </c>
      <c r="EU388" s="4">
        <v>168</v>
      </c>
      <c r="EV388" s="4">
        <v>164</v>
      </c>
      <c r="EW388" s="4">
        <v>160</v>
      </c>
      <c r="EX388" s="4">
        <v>156</v>
      </c>
      <c r="EY388" s="4">
        <v>152</v>
      </c>
      <c r="EZ388" s="4">
        <v>148</v>
      </c>
      <c r="FA388" s="4">
        <v>144</v>
      </c>
      <c r="FB388" s="4">
        <v>140</v>
      </c>
      <c r="FC388" s="4">
        <v>136</v>
      </c>
      <c r="FD388" s="4">
        <v>132</v>
      </c>
      <c r="FE388" s="4">
        <v>128</v>
      </c>
      <c r="FF388" s="4">
        <v>124</v>
      </c>
      <c r="FG388" s="4">
        <v>120</v>
      </c>
      <c r="FH388" s="4">
        <v>116</v>
      </c>
      <c r="FI388" s="4">
        <v>112</v>
      </c>
      <c r="FJ388" s="4">
        <v>108</v>
      </c>
      <c r="FK388" s="4">
        <v>104</v>
      </c>
      <c r="FL388" s="4">
        <v>100</v>
      </c>
      <c r="FM388" s="4">
        <v>96</v>
      </c>
      <c r="FN388" s="4">
        <v>92</v>
      </c>
      <c r="FO388" s="4">
        <v>88</v>
      </c>
      <c r="FP388" s="4">
        <v>84</v>
      </c>
      <c r="FQ388" s="4">
        <v>80</v>
      </c>
      <c r="FR388" s="4">
        <v>76</v>
      </c>
      <c r="FS388" s="4">
        <v>72</v>
      </c>
      <c r="FT388" s="19">
        <v>30.2</v>
      </c>
      <c r="FU388" s="19">
        <v>42</v>
      </c>
      <c r="FV388" s="19">
        <v>41</v>
      </c>
      <c r="FW388" s="19">
        <v>40</v>
      </c>
      <c r="FX388" s="19">
        <v>39</v>
      </c>
      <c r="FY388" s="19">
        <v>38</v>
      </c>
      <c r="FZ388" s="19">
        <v>37</v>
      </c>
      <c r="GA388" s="19">
        <v>36</v>
      </c>
      <c r="GB388" s="19">
        <v>35</v>
      </c>
      <c r="GC388" s="19">
        <v>34</v>
      </c>
      <c r="GD388" s="19">
        <v>33</v>
      </c>
      <c r="GE388" s="19">
        <v>32</v>
      </c>
      <c r="GF388" s="19">
        <v>31</v>
      </c>
      <c r="GG388" s="19">
        <v>30</v>
      </c>
      <c r="GH388" s="19">
        <v>29</v>
      </c>
      <c r="GI388" s="19">
        <v>28</v>
      </c>
      <c r="GJ388" s="19">
        <v>27</v>
      </c>
      <c r="GK388" s="19">
        <v>26</v>
      </c>
      <c r="GL388" s="19">
        <v>25</v>
      </c>
      <c r="GM388" s="19">
        <v>24</v>
      </c>
      <c r="GN388" s="19">
        <v>23</v>
      </c>
      <c r="GO388" s="19">
        <v>22</v>
      </c>
      <c r="GP388" s="19">
        <v>21</v>
      </c>
      <c r="GQ388" s="19">
        <v>20</v>
      </c>
      <c r="GR388" s="19">
        <v>19</v>
      </c>
      <c r="GS388" s="19">
        <v>18</v>
      </c>
    </row>
    <row r="389">
      <c r="A389" s="2" t="s">
        <v>2352</v>
      </c>
      <c r="B389" s="2" t="s">
        <v>2275</v>
      </c>
      <c r="C389" s="2" t="s">
        <v>604</v>
      </c>
      <c r="D389" s="2" t="s">
        <v>2276</v>
      </c>
      <c r="E389" s="2" t="s">
        <v>2277</v>
      </c>
      <c r="F389" s="2" t="s">
        <v>2336</v>
      </c>
      <c r="G389" s="2" t="s">
        <v>2336</v>
      </c>
      <c r="H389" s="2" t="s">
        <v>2336</v>
      </c>
      <c r="I389" s="2" t="s">
        <v>2345</v>
      </c>
      <c r="J389" s="2" t="s">
        <v>2338</v>
      </c>
      <c r="K389" s="2" t="s">
        <v>2353</v>
      </c>
      <c r="L389" s="3">
        <v>20</v>
      </c>
      <c r="M389" s="3">
        <v>21</v>
      </c>
      <c r="N389" s="3">
        <v>41.99</v>
      </c>
      <c r="O389" s="2" t="s">
        <v>196</v>
      </c>
      <c r="P389" s="2" t="s">
        <v>621</v>
      </c>
      <c r="Q389" s="2" t="s">
        <v>198</v>
      </c>
      <c r="R389" s="2" t="s">
        <v>199</v>
      </c>
      <c r="S389" s="2" t="s">
        <v>199</v>
      </c>
      <c r="T389" s="2" t="s">
        <v>199</v>
      </c>
      <c r="U389" s="2" t="s">
        <v>280</v>
      </c>
      <c r="V389" s="2" t="s">
        <v>493</v>
      </c>
      <c r="W389" s="2" t="s">
        <v>199</v>
      </c>
      <c r="X389" s="2" t="s">
        <v>199</v>
      </c>
      <c r="Y389" s="2" t="s">
        <v>2347</v>
      </c>
      <c r="Z389" s="4">
        <v>32</v>
      </c>
      <c r="AA389" s="4">
        <f>=ROUNDDOWN(15.2380952380952,0)</f>
      </c>
      <c r="AB389" s="5">
        <v>2.1</v>
      </c>
      <c r="AC389" s="2" t="s">
        <v>199</v>
      </c>
      <c r="AD389" s="4"/>
      <c r="AE389" s="4"/>
      <c r="AF389" s="6"/>
      <c r="AG389" s="6">
        <v>73</v>
      </c>
      <c r="AH389" s="7">
        <v>1</v>
      </c>
      <c r="AI389" s="4"/>
      <c r="AJ389" s="4">
        <f>=ROUNDDOWN({0},0)</f>
      </c>
      <c r="AK389" s="5"/>
      <c r="AL389" s="2" t="s">
        <v>199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199</v>
      </c>
      <c r="AW389" s="8" t="s">
        <v>199</v>
      </c>
      <c r="AX389" s="4" t="s">
        <v>199</v>
      </c>
      <c r="AY389" s="8" t="s">
        <v>199</v>
      </c>
      <c r="AZ389" s="7" t="s">
        <v>199</v>
      </c>
      <c r="BA389" s="7" t="s">
        <v>199</v>
      </c>
      <c r="BB389" s="7"/>
      <c r="BC389" s="4" t="s">
        <v>199</v>
      </c>
      <c r="BD389" s="8" t="s">
        <v>199</v>
      </c>
      <c r="BE389" s="4" t="s">
        <v>199</v>
      </c>
      <c r="BF389" s="8" t="s">
        <v>199</v>
      </c>
      <c r="BG389" s="7" t="s">
        <v>199</v>
      </c>
      <c r="BH389" s="7" t="s">
        <v>199</v>
      </c>
      <c r="BI389" s="7"/>
      <c r="BJ389" s="4">
        <v>24</v>
      </c>
      <c r="BK389" s="8">
        <v>553.98</v>
      </c>
      <c r="BL389" s="2" t="s">
        <v>282</v>
      </c>
      <c r="BM389" s="7"/>
      <c r="BN389" s="7"/>
      <c r="BO389" s="4"/>
      <c r="BP389" s="8"/>
      <c r="BQ389" s="4"/>
      <c r="BR389" s="8"/>
      <c r="BS389" s="7"/>
      <c r="BT389" s="7"/>
      <c r="BU389" s="2" t="s">
        <v>2340</v>
      </c>
      <c r="BV389" s="2" t="s">
        <v>199</v>
      </c>
      <c r="BW389" s="2" t="s">
        <v>199</v>
      </c>
      <c r="BX389" s="2" t="s">
        <v>208</v>
      </c>
      <c r="BY389" s="2" t="s">
        <v>209</v>
      </c>
      <c r="BZ389" s="2" t="s">
        <v>196</v>
      </c>
      <c r="CA389" s="2" t="s">
        <v>1927</v>
      </c>
      <c r="CB389" s="2" t="s">
        <v>199</v>
      </c>
      <c r="CC389" s="2" t="s">
        <v>212</v>
      </c>
      <c r="CD389" s="2" t="s">
        <v>199</v>
      </c>
      <c r="CE389" s="4"/>
      <c r="CF389" s="4"/>
      <c r="CG389" s="4"/>
      <c r="CH389" s="4">
        <v>32</v>
      </c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>
        <v>32</v>
      </c>
      <c r="EU389" s="4">
        <v>22</v>
      </c>
      <c r="EV389" s="4">
        <v>19</v>
      </c>
      <c r="EW389" s="4">
        <v>16</v>
      </c>
      <c r="EX389" s="4">
        <v>13</v>
      </c>
      <c r="EY389" s="4">
        <v>10</v>
      </c>
      <c r="EZ389" s="4">
        <v>7</v>
      </c>
      <c r="FA389" s="4">
        <v>4</v>
      </c>
      <c r="FB389" s="4">
        <v>1</v>
      </c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>
        <v>60</v>
      </c>
      <c r="FO389" s="4">
        <v>50</v>
      </c>
      <c r="FP389" s="4">
        <v>47</v>
      </c>
      <c r="FQ389" s="4">
        <v>44</v>
      </c>
      <c r="FR389" s="4">
        <v>41</v>
      </c>
      <c r="FS389" s="4">
        <v>38</v>
      </c>
      <c r="FT389" s="19">
        <v>6.4</v>
      </c>
      <c r="FU389" s="19">
        <v>7.3</v>
      </c>
      <c r="FV389" s="19">
        <v>6.3</v>
      </c>
      <c r="FW389" s="19">
        <v>5.3</v>
      </c>
      <c r="FX389" s="19">
        <v>4.3</v>
      </c>
      <c r="FY389" s="19">
        <v>3.3</v>
      </c>
      <c r="FZ389" s="19">
        <v>3.5</v>
      </c>
      <c r="GA389" s="19">
        <v>2</v>
      </c>
      <c r="GB389" s="19">
        <v>0.5</v>
      </c>
      <c r="GC389" s="20">
        <v>0</v>
      </c>
      <c r="GD389" s="20">
        <v>0</v>
      </c>
      <c r="GE389" s="20">
        <v>0</v>
      </c>
      <c r="GF389" s="20">
        <v>0</v>
      </c>
      <c r="GG389" s="20">
        <v>0</v>
      </c>
      <c r="GH389" s="20">
        <v>0</v>
      </c>
      <c r="GI389" s="20">
        <v>0</v>
      </c>
      <c r="GJ389" s="20">
        <v>0</v>
      </c>
      <c r="GK389" s="20">
        <v>0</v>
      </c>
      <c r="GL389" s="20">
        <v>0</v>
      </c>
      <c r="GM389" s="20">
        <v>0</v>
      </c>
      <c r="GN389" s="19">
        <v>12</v>
      </c>
      <c r="GO389" s="19">
        <v>16.7</v>
      </c>
      <c r="GP389" s="19">
        <v>15.7</v>
      </c>
      <c r="GQ389" s="19">
        <v>14.7</v>
      </c>
      <c r="GR389" s="19">
        <v>13.7</v>
      </c>
      <c r="GS389" s="19">
        <v>12.7</v>
      </c>
    </row>
    <row r="390">
      <c r="A390" s="2" t="s">
        <v>2354</v>
      </c>
      <c r="B390" s="2" t="s">
        <v>2275</v>
      </c>
      <c r="C390" s="2" t="s">
        <v>604</v>
      </c>
      <c r="D390" s="2" t="s">
        <v>2276</v>
      </c>
      <c r="E390" s="2" t="s">
        <v>2277</v>
      </c>
      <c r="F390" s="2" t="s">
        <v>2336</v>
      </c>
      <c r="G390" s="2" t="s">
        <v>2336</v>
      </c>
      <c r="H390" s="2" t="s">
        <v>2336</v>
      </c>
      <c r="I390" s="2" t="s">
        <v>2345</v>
      </c>
      <c r="J390" s="2" t="s">
        <v>2350</v>
      </c>
      <c r="K390" s="2" t="s">
        <v>2353</v>
      </c>
      <c r="L390" s="3">
        <v>20</v>
      </c>
      <c r="M390" s="3">
        <v>21</v>
      </c>
      <c r="N390" s="3">
        <v>41.99</v>
      </c>
      <c r="O390" s="2" t="s">
        <v>196</v>
      </c>
      <c r="P390" s="2" t="s">
        <v>621</v>
      </c>
      <c r="Q390" s="2" t="s">
        <v>198</v>
      </c>
      <c r="R390" s="2" t="s">
        <v>199</v>
      </c>
      <c r="S390" s="2" t="s">
        <v>199</v>
      </c>
      <c r="T390" s="2" t="s">
        <v>199</v>
      </c>
      <c r="U390" s="2" t="s">
        <v>280</v>
      </c>
      <c r="V390" s="2" t="s">
        <v>493</v>
      </c>
      <c r="W390" s="2" t="s">
        <v>199</v>
      </c>
      <c r="X390" s="2" t="s">
        <v>199</v>
      </c>
      <c r="Y390" s="2" t="s">
        <v>2347</v>
      </c>
      <c r="Z390" s="4">
        <v>63</v>
      </c>
      <c r="AA390" s="4">
        <f>=ROUNDDOWN(7.68292682926829,0)</f>
      </c>
      <c r="AB390" s="5">
        <v>8.2</v>
      </c>
      <c r="AC390" s="2" t="s">
        <v>199</v>
      </c>
      <c r="AD390" s="4"/>
      <c r="AE390" s="4"/>
      <c r="AF390" s="6"/>
      <c r="AG390" s="6">
        <v>73</v>
      </c>
      <c r="AH390" s="7">
        <v>1</v>
      </c>
      <c r="AI390" s="4"/>
      <c r="AJ390" s="4">
        <f>=ROUNDDOWN({0},0)</f>
      </c>
      <c r="AK390" s="5"/>
      <c r="AL390" s="2" t="s">
        <v>199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199</v>
      </c>
      <c r="AW390" s="8" t="s">
        <v>199</v>
      </c>
      <c r="AX390" s="4" t="s">
        <v>199</v>
      </c>
      <c r="AY390" s="8" t="s">
        <v>199</v>
      </c>
      <c r="AZ390" s="7" t="s">
        <v>199</v>
      </c>
      <c r="BA390" s="7" t="s">
        <v>199</v>
      </c>
      <c r="BB390" s="7"/>
      <c r="BC390" s="4" t="s">
        <v>199</v>
      </c>
      <c r="BD390" s="8" t="s">
        <v>199</v>
      </c>
      <c r="BE390" s="4" t="s">
        <v>199</v>
      </c>
      <c r="BF390" s="8" t="s">
        <v>199</v>
      </c>
      <c r="BG390" s="7" t="s">
        <v>199</v>
      </c>
      <c r="BH390" s="7" t="s">
        <v>199</v>
      </c>
      <c r="BI390" s="7"/>
      <c r="BJ390" s="4">
        <v>154</v>
      </c>
      <c r="BK390" s="8">
        <v>3520.86</v>
      </c>
      <c r="BL390" s="2" t="s">
        <v>2355</v>
      </c>
      <c r="BM390" s="7"/>
      <c r="BN390" s="7"/>
      <c r="BO390" s="4"/>
      <c r="BP390" s="8"/>
      <c r="BQ390" s="4"/>
      <c r="BR390" s="8"/>
      <c r="BS390" s="7"/>
      <c r="BT390" s="7"/>
      <c r="BU390" s="2" t="s">
        <v>2340</v>
      </c>
      <c r="BV390" s="2" t="s">
        <v>199</v>
      </c>
      <c r="BW390" s="2" t="s">
        <v>199</v>
      </c>
      <c r="BX390" s="2" t="s">
        <v>208</v>
      </c>
      <c r="BY390" s="2" t="s">
        <v>209</v>
      </c>
      <c r="BZ390" s="2" t="s">
        <v>196</v>
      </c>
      <c r="CA390" s="2" t="s">
        <v>1927</v>
      </c>
      <c r="CB390" s="2" t="s">
        <v>199</v>
      </c>
      <c r="CC390" s="2" t="s">
        <v>212</v>
      </c>
      <c r="CD390" s="2" t="s">
        <v>199</v>
      </c>
      <c r="CE390" s="4"/>
      <c r="CF390" s="4"/>
      <c r="CG390" s="4"/>
      <c r="CH390" s="4">
        <v>63</v>
      </c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>
        <v>64</v>
      </c>
      <c r="EU390" s="4">
        <v>55</v>
      </c>
      <c r="EV390" s="4">
        <v>47</v>
      </c>
      <c r="EW390" s="4">
        <v>39</v>
      </c>
      <c r="EX390" s="4">
        <v>31</v>
      </c>
      <c r="EY390" s="4">
        <v>23</v>
      </c>
      <c r="EZ390" s="4">
        <v>15</v>
      </c>
      <c r="FA390" s="4">
        <v>7</v>
      </c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>
        <v>144</v>
      </c>
      <c r="FO390" s="4">
        <v>136</v>
      </c>
      <c r="FP390" s="4">
        <v>128</v>
      </c>
      <c r="FQ390" s="4">
        <v>120</v>
      </c>
      <c r="FR390" s="4">
        <v>112</v>
      </c>
      <c r="FS390" s="4">
        <v>104</v>
      </c>
      <c r="FT390" s="19">
        <v>8</v>
      </c>
      <c r="FU390" s="19">
        <v>6.9</v>
      </c>
      <c r="FV390" s="19">
        <v>5.9</v>
      </c>
      <c r="FW390" s="19">
        <v>4.9</v>
      </c>
      <c r="FX390" s="19">
        <v>3.9</v>
      </c>
      <c r="FY390" s="19">
        <v>2.9</v>
      </c>
      <c r="FZ390" s="19">
        <v>1.9</v>
      </c>
      <c r="GA390" s="19">
        <v>0.9</v>
      </c>
      <c r="GB390" s="20">
        <v>0</v>
      </c>
      <c r="GC390" s="20">
        <v>0</v>
      </c>
      <c r="GD390" s="20">
        <v>0</v>
      </c>
      <c r="GE390" s="20">
        <v>0</v>
      </c>
      <c r="GF390" s="20">
        <v>0</v>
      </c>
      <c r="GG390" s="20">
        <v>0</v>
      </c>
      <c r="GH390" s="20">
        <v>0</v>
      </c>
      <c r="GI390" s="20">
        <v>0</v>
      </c>
      <c r="GJ390" s="20">
        <v>0</v>
      </c>
      <c r="GK390" s="20">
        <v>0</v>
      </c>
      <c r="GL390" s="20">
        <v>0</v>
      </c>
      <c r="GM390" s="20">
        <v>0</v>
      </c>
      <c r="GN390" s="19">
        <v>18</v>
      </c>
      <c r="GO390" s="19">
        <v>17</v>
      </c>
      <c r="GP390" s="19">
        <v>16</v>
      </c>
      <c r="GQ390" s="19">
        <v>15</v>
      </c>
      <c r="GR390" s="19">
        <v>14</v>
      </c>
      <c r="GS390" s="19">
        <v>13</v>
      </c>
    </row>
    <row r="391">
      <c r="A391" s="2" t="s">
        <v>2356</v>
      </c>
      <c r="B391" s="2" t="s">
        <v>2275</v>
      </c>
      <c r="C391" s="2" t="s">
        <v>604</v>
      </c>
      <c r="D391" s="2" t="s">
        <v>2276</v>
      </c>
      <c r="E391" s="2" t="s">
        <v>2277</v>
      </c>
      <c r="F391" s="2" t="s">
        <v>2336</v>
      </c>
      <c r="G391" s="2" t="s">
        <v>2336</v>
      </c>
      <c r="H391" s="2" t="s">
        <v>2336</v>
      </c>
      <c r="I391" s="2" t="s">
        <v>2345</v>
      </c>
      <c r="J391" s="2" t="s">
        <v>2343</v>
      </c>
      <c r="K391" s="2" t="s">
        <v>2353</v>
      </c>
      <c r="L391" s="3">
        <v>20</v>
      </c>
      <c r="M391" s="3">
        <v>21</v>
      </c>
      <c r="N391" s="3">
        <v>41.99</v>
      </c>
      <c r="O391" s="2" t="s">
        <v>196</v>
      </c>
      <c r="P391" s="2" t="s">
        <v>621</v>
      </c>
      <c r="Q391" s="2" t="s">
        <v>198</v>
      </c>
      <c r="R391" s="2" t="s">
        <v>199</v>
      </c>
      <c r="S391" s="2" t="s">
        <v>199</v>
      </c>
      <c r="T391" s="2" t="s">
        <v>199</v>
      </c>
      <c r="U391" s="2" t="s">
        <v>280</v>
      </c>
      <c r="V391" s="2" t="s">
        <v>493</v>
      </c>
      <c r="W391" s="2" t="s">
        <v>199</v>
      </c>
      <c r="X391" s="2" t="s">
        <v>199</v>
      </c>
      <c r="Y391" s="2" t="s">
        <v>2347</v>
      </c>
      <c r="Z391" s="4">
        <v>26</v>
      </c>
      <c r="AA391" s="4">
        <f>=ROUNDDOWN(2.26086956521739,0)</f>
      </c>
      <c r="AB391" s="5">
        <v>11.5</v>
      </c>
      <c r="AC391" s="2" t="s">
        <v>199</v>
      </c>
      <c r="AD391" s="4"/>
      <c r="AE391" s="4"/>
      <c r="AF391" s="6"/>
      <c r="AG391" s="6">
        <v>73</v>
      </c>
      <c r="AH391" s="7">
        <v>1</v>
      </c>
      <c r="AI391" s="4"/>
      <c r="AJ391" s="4">
        <f>=ROUNDDOWN({0},0)</f>
      </c>
      <c r="AK391" s="5"/>
      <c r="AL391" s="2" t="s">
        <v>199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199</v>
      </c>
      <c r="AW391" s="8" t="s">
        <v>199</v>
      </c>
      <c r="AX391" s="4" t="s">
        <v>199</v>
      </c>
      <c r="AY391" s="8" t="s">
        <v>199</v>
      </c>
      <c r="AZ391" s="7" t="s">
        <v>199</v>
      </c>
      <c r="BA391" s="7" t="s">
        <v>199</v>
      </c>
      <c r="BB391" s="7"/>
      <c r="BC391" s="4" t="s">
        <v>199</v>
      </c>
      <c r="BD391" s="8" t="s">
        <v>199</v>
      </c>
      <c r="BE391" s="4" t="s">
        <v>199</v>
      </c>
      <c r="BF391" s="8" t="s">
        <v>199</v>
      </c>
      <c r="BG391" s="7" t="s">
        <v>199</v>
      </c>
      <c r="BH391" s="7" t="s">
        <v>199</v>
      </c>
      <c r="BI391" s="7"/>
      <c r="BJ391" s="4">
        <v>150</v>
      </c>
      <c r="BK391" s="8">
        <v>3474.45</v>
      </c>
      <c r="BL391" s="2" t="s">
        <v>2357</v>
      </c>
      <c r="BM391" s="7"/>
      <c r="BN391" s="7"/>
      <c r="BO391" s="4"/>
      <c r="BP391" s="8"/>
      <c r="BQ391" s="4"/>
      <c r="BR391" s="8"/>
      <c r="BS391" s="7"/>
      <c r="BT391" s="7"/>
      <c r="BU391" s="2" t="s">
        <v>2340</v>
      </c>
      <c r="BV391" s="2" t="s">
        <v>199</v>
      </c>
      <c r="BW391" s="2" t="s">
        <v>199</v>
      </c>
      <c r="BX391" s="2" t="s">
        <v>208</v>
      </c>
      <c r="BY391" s="2" t="s">
        <v>209</v>
      </c>
      <c r="BZ391" s="2" t="s">
        <v>196</v>
      </c>
      <c r="CA391" s="2" t="s">
        <v>1927</v>
      </c>
      <c r="CB391" s="2" t="s">
        <v>1341</v>
      </c>
      <c r="CC391" s="2" t="s">
        <v>212</v>
      </c>
      <c r="CD391" s="2" t="s">
        <v>199</v>
      </c>
      <c r="CE391" s="4"/>
      <c r="CF391" s="4"/>
      <c r="CG391" s="4"/>
      <c r="CH391" s="4">
        <v>26</v>
      </c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>
        <v>29</v>
      </c>
      <c r="EU391" s="4">
        <v>8</v>
      </c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>
        <v>222</v>
      </c>
      <c r="FO391" s="4">
        <v>203</v>
      </c>
      <c r="FP391" s="4">
        <v>191</v>
      </c>
      <c r="FQ391" s="4">
        <v>179</v>
      </c>
      <c r="FR391" s="4">
        <v>167</v>
      </c>
      <c r="FS391" s="4">
        <v>155</v>
      </c>
      <c r="FT391" s="19">
        <v>2.1</v>
      </c>
      <c r="FU391" s="19">
        <v>0.7</v>
      </c>
      <c r="FV391" s="20">
        <v>0</v>
      </c>
      <c r="FW391" s="20">
        <v>0</v>
      </c>
      <c r="FX391" s="20">
        <v>0</v>
      </c>
      <c r="FY391" s="20">
        <v>0</v>
      </c>
      <c r="FZ391" s="20">
        <v>0</v>
      </c>
      <c r="GA391" s="20">
        <v>0</v>
      </c>
      <c r="GB391" s="20">
        <v>0</v>
      </c>
      <c r="GC391" s="20">
        <v>0</v>
      </c>
      <c r="GD391" s="20">
        <v>0</v>
      </c>
      <c r="GE391" s="20">
        <v>0</v>
      </c>
      <c r="GF391" s="20">
        <v>0</v>
      </c>
      <c r="GG391" s="20">
        <v>0</v>
      </c>
      <c r="GH391" s="20">
        <v>0</v>
      </c>
      <c r="GI391" s="20">
        <v>0</v>
      </c>
      <c r="GJ391" s="20">
        <v>0</v>
      </c>
      <c r="GK391" s="20">
        <v>0</v>
      </c>
      <c r="GL391" s="20">
        <v>0</v>
      </c>
      <c r="GM391" s="20">
        <v>0</v>
      </c>
      <c r="GN391" s="19">
        <v>15.9</v>
      </c>
      <c r="GO391" s="19">
        <v>16.9</v>
      </c>
      <c r="GP391" s="19">
        <v>15.9</v>
      </c>
      <c r="GQ391" s="19">
        <v>14.9</v>
      </c>
      <c r="GR391" s="19">
        <v>13.9</v>
      </c>
      <c r="GS391" s="19">
        <v>12.9</v>
      </c>
    </row>
    <row r="392">
      <c r="A392" s="2" t="s">
        <v>2358</v>
      </c>
      <c r="B392" s="2" t="s">
        <v>2275</v>
      </c>
      <c r="C392" s="2" t="s">
        <v>604</v>
      </c>
      <c r="D392" s="2" t="s">
        <v>2276</v>
      </c>
      <c r="E392" s="2" t="s">
        <v>2277</v>
      </c>
      <c r="F392" s="2" t="s">
        <v>2336</v>
      </c>
      <c r="G392" s="2" t="s">
        <v>2336</v>
      </c>
      <c r="H392" s="2" t="s">
        <v>2336</v>
      </c>
      <c r="I392" s="2" t="s">
        <v>2345</v>
      </c>
      <c r="J392" s="2" t="s">
        <v>2350</v>
      </c>
      <c r="K392" s="2" t="s">
        <v>2359</v>
      </c>
      <c r="L392" s="3">
        <v>20</v>
      </c>
      <c r="M392" s="3">
        <v>21</v>
      </c>
      <c r="N392" s="3">
        <v>41.99</v>
      </c>
      <c r="O392" s="2" t="s">
        <v>196</v>
      </c>
      <c r="P392" s="2" t="s">
        <v>621</v>
      </c>
      <c r="Q392" s="2" t="s">
        <v>198</v>
      </c>
      <c r="R392" s="2" t="s">
        <v>199</v>
      </c>
      <c r="S392" s="2" t="s">
        <v>199</v>
      </c>
      <c r="T392" s="2" t="s">
        <v>199</v>
      </c>
      <c r="U392" s="2" t="s">
        <v>280</v>
      </c>
      <c r="V392" s="2" t="s">
        <v>493</v>
      </c>
      <c r="W392" s="2" t="s">
        <v>199</v>
      </c>
      <c r="X392" s="2" t="s">
        <v>199</v>
      </c>
      <c r="Y392" s="2" t="s">
        <v>2347</v>
      </c>
      <c r="Z392" s="4">
        <v>9</v>
      </c>
      <c r="AA392" s="4">
        <f>=ROUNDDOWN(0.708661417322835,0)</f>
      </c>
      <c r="AB392" s="5">
        <v>12.7</v>
      </c>
      <c r="AC392" s="2" t="s">
        <v>199</v>
      </c>
      <c r="AD392" s="4"/>
      <c r="AE392" s="4"/>
      <c r="AF392" s="6"/>
      <c r="AG392" s="6">
        <v>73</v>
      </c>
      <c r="AH392" s="7">
        <v>1</v>
      </c>
      <c r="AI392" s="4"/>
      <c r="AJ392" s="4">
        <f>=ROUNDDOWN({0},0)</f>
      </c>
      <c r="AK392" s="5"/>
      <c r="AL392" s="2" t="s">
        <v>199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199</v>
      </c>
      <c r="BD392" s="8" t="s">
        <v>199</v>
      </c>
      <c r="BE392" s="4" t="s">
        <v>199</v>
      </c>
      <c r="BF392" s="8" t="s">
        <v>199</v>
      </c>
      <c r="BG392" s="7" t="s">
        <v>199</v>
      </c>
      <c r="BH392" s="7" t="s">
        <v>199</v>
      </c>
      <c r="BI392" s="7"/>
      <c r="BJ392" s="4">
        <v>418</v>
      </c>
      <c r="BK392" s="8">
        <v>9665.25</v>
      </c>
      <c r="BL392" s="2" t="s">
        <v>2357</v>
      </c>
      <c r="BM392" s="7"/>
      <c r="BN392" s="7"/>
      <c r="BO392" s="4"/>
      <c r="BP392" s="8"/>
      <c r="BQ392" s="4"/>
      <c r="BR392" s="8"/>
      <c r="BS392" s="7"/>
      <c r="BT392" s="7"/>
      <c r="BU392" s="2" t="s">
        <v>2340</v>
      </c>
      <c r="BV392" s="2" t="s">
        <v>199</v>
      </c>
      <c r="BW392" s="2" t="s">
        <v>199</v>
      </c>
      <c r="BX392" s="2" t="s">
        <v>208</v>
      </c>
      <c r="BY392" s="2" t="s">
        <v>209</v>
      </c>
      <c r="BZ392" s="2" t="s">
        <v>196</v>
      </c>
      <c r="CA392" s="2" t="s">
        <v>1927</v>
      </c>
      <c r="CB392" s="2" t="s">
        <v>199</v>
      </c>
      <c r="CC392" s="2" t="s">
        <v>212</v>
      </c>
      <c r="CD392" s="2" t="s">
        <v>199</v>
      </c>
      <c r="CE392" s="4"/>
      <c r="CF392" s="4"/>
      <c r="CG392" s="4"/>
      <c r="CH392" s="4">
        <v>9</v>
      </c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>
        <v>15</v>
      </c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>
        <v>234</v>
      </c>
      <c r="FO392" s="4">
        <v>221</v>
      </c>
      <c r="FP392" s="4">
        <v>208</v>
      </c>
      <c r="FQ392" s="4">
        <v>195</v>
      </c>
      <c r="FR392" s="4">
        <v>182</v>
      </c>
      <c r="FS392" s="4">
        <v>169</v>
      </c>
      <c r="FT392" s="19">
        <v>1.1</v>
      </c>
      <c r="FU392" s="20">
        <v>0</v>
      </c>
      <c r="FV392" s="20">
        <v>0</v>
      </c>
      <c r="FW392" s="20">
        <v>0</v>
      </c>
      <c r="FX392" s="20">
        <v>0</v>
      </c>
      <c r="FY392" s="20">
        <v>0</v>
      </c>
      <c r="FZ392" s="20">
        <v>0</v>
      </c>
      <c r="GA392" s="20">
        <v>0</v>
      </c>
      <c r="GB392" s="20">
        <v>0</v>
      </c>
      <c r="GC392" s="20">
        <v>0</v>
      </c>
      <c r="GD392" s="20">
        <v>0</v>
      </c>
      <c r="GE392" s="20">
        <v>0</v>
      </c>
      <c r="GF392" s="20">
        <v>0</v>
      </c>
      <c r="GG392" s="20">
        <v>0</v>
      </c>
      <c r="GH392" s="20">
        <v>0</v>
      </c>
      <c r="GI392" s="20">
        <v>0</v>
      </c>
      <c r="GJ392" s="20">
        <v>0</v>
      </c>
      <c r="GK392" s="20">
        <v>0</v>
      </c>
      <c r="GL392" s="20">
        <v>0</v>
      </c>
      <c r="GM392" s="20">
        <v>0</v>
      </c>
      <c r="GN392" s="19">
        <v>18</v>
      </c>
      <c r="GO392" s="19">
        <v>17</v>
      </c>
      <c r="GP392" s="19">
        <v>16</v>
      </c>
      <c r="GQ392" s="19">
        <v>15</v>
      </c>
      <c r="GR392" s="19">
        <v>14</v>
      </c>
      <c r="GS392" s="19">
        <v>13</v>
      </c>
    </row>
    <row r="393">
      <c r="A393" s="2" t="s">
        <v>2360</v>
      </c>
      <c r="B393" s="2" t="s">
        <v>2275</v>
      </c>
      <c r="C393" s="2" t="s">
        <v>604</v>
      </c>
      <c r="D393" s="2" t="s">
        <v>2276</v>
      </c>
      <c r="E393" s="2" t="s">
        <v>2277</v>
      </c>
      <c r="F393" s="2" t="s">
        <v>2336</v>
      </c>
      <c r="G393" s="2" t="s">
        <v>2336</v>
      </c>
      <c r="H393" s="2" t="s">
        <v>2336</v>
      </c>
      <c r="I393" s="2" t="s">
        <v>2345</v>
      </c>
      <c r="J393" s="2" t="s">
        <v>2338</v>
      </c>
      <c r="K393" s="2" t="s">
        <v>2361</v>
      </c>
      <c r="L393" s="3">
        <v>20</v>
      </c>
      <c r="M393" s="3">
        <v>21</v>
      </c>
      <c r="N393" s="3">
        <v>41.99</v>
      </c>
      <c r="O393" s="2" t="s">
        <v>196</v>
      </c>
      <c r="P393" s="2" t="s">
        <v>621</v>
      </c>
      <c r="Q393" s="2" t="s">
        <v>198</v>
      </c>
      <c r="R393" s="2" t="s">
        <v>199</v>
      </c>
      <c r="S393" s="2" t="s">
        <v>199</v>
      </c>
      <c r="T393" s="2" t="s">
        <v>199</v>
      </c>
      <c r="U393" s="2" t="s">
        <v>280</v>
      </c>
      <c r="V393" s="2" t="s">
        <v>493</v>
      </c>
      <c r="W393" s="2" t="s">
        <v>199</v>
      </c>
      <c r="X393" s="2" t="s">
        <v>199</v>
      </c>
      <c r="Y393" s="2" t="s">
        <v>2347</v>
      </c>
      <c r="Z393" s="4">
        <v>66</v>
      </c>
      <c r="AA393" s="4">
        <f>=ROUNDDOWN(66,0)</f>
      </c>
      <c r="AB393" s="5">
        <v>1</v>
      </c>
      <c r="AC393" s="2" t="s">
        <v>199</v>
      </c>
      <c r="AD393" s="4"/>
      <c r="AE393" s="4"/>
      <c r="AF393" s="6"/>
      <c r="AG393" s="6">
        <v>73</v>
      </c>
      <c r="AH393" s="7">
        <v>1</v>
      </c>
      <c r="AI393" s="4"/>
      <c r="AJ393" s="4">
        <f>=ROUNDDOWN({0},0)</f>
      </c>
      <c r="AK393" s="5"/>
      <c r="AL393" s="2" t="s">
        <v>199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199</v>
      </c>
      <c r="BD393" s="8" t="s">
        <v>199</v>
      </c>
      <c r="BE393" s="4" t="s">
        <v>199</v>
      </c>
      <c r="BF393" s="8" t="s">
        <v>199</v>
      </c>
      <c r="BG393" s="7" t="s">
        <v>199</v>
      </c>
      <c r="BH393" s="7" t="s">
        <v>199</v>
      </c>
      <c r="BI393" s="7"/>
      <c r="BJ393" s="4">
        <v>27</v>
      </c>
      <c r="BK393" s="8">
        <v>614.67</v>
      </c>
      <c r="BL393" s="2" t="s">
        <v>282</v>
      </c>
      <c r="BM393" s="7"/>
      <c r="BN393" s="7"/>
      <c r="BO393" s="4"/>
      <c r="BP393" s="8"/>
      <c r="BQ393" s="4"/>
      <c r="BR393" s="8"/>
      <c r="BS393" s="7"/>
      <c r="BT393" s="7"/>
      <c r="BU393" s="2" t="s">
        <v>2340</v>
      </c>
      <c r="BV393" s="2" t="s">
        <v>199</v>
      </c>
      <c r="BW393" s="2" t="s">
        <v>199</v>
      </c>
      <c r="BX393" s="2" t="s">
        <v>208</v>
      </c>
      <c r="BY393" s="2" t="s">
        <v>209</v>
      </c>
      <c r="BZ393" s="2" t="s">
        <v>196</v>
      </c>
      <c r="CA393" s="2" t="s">
        <v>1927</v>
      </c>
      <c r="CB393" s="2" t="s">
        <v>199</v>
      </c>
      <c r="CC393" s="2" t="s">
        <v>212</v>
      </c>
      <c r="CD393" s="2" t="s">
        <v>199</v>
      </c>
      <c r="CE393" s="4"/>
      <c r="CF393" s="4"/>
      <c r="CG393" s="4"/>
      <c r="CH393" s="4">
        <v>66</v>
      </c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>
        <v>66</v>
      </c>
      <c r="EU393" s="4">
        <v>65</v>
      </c>
      <c r="EV393" s="4">
        <v>64</v>
      </c>
      <c r="EW393" s="4">
        <v>63</v>
      </c>
      <c r="EX393" s="4">
        <v>62</v>
      </c>
      <c r="EY393" s="4">
        <v>61</v>
      </c>
      <c r="EZ393" s="4">
        <v>60</v>
      </c>
      <c r="FA393" s="4">
        <v>59</v>
      </c>
      <c r="FB393" s="4">
        <v>58</v>
      </c>
      <c r="FC393" s="4">
        <v>57</v>
      </c>
      <c r="FD393" s="4">
        <v>56</v>
      </c>
      <c r="FE393" s="4">
        <v>55</v>
      </c>
      <c r="FF393" s="4">
        <v>54</v>
      </c>
      <c r="FG393" s="4">
        <v>53</v>
      </c>
      <c r="FH393" s="4">
        <v>52</v>
      </c>
      <c r="FI393" s="4">
        <v>51</v>
      </c>
      <c r="FJ393" s="4">
        <v>50</v>
      </c>
      <c r="FK393" s="4">
        <v>49</v>
      </c>
      <c r="FL393" s="4">
        <v>48</v>
      </c>
      <c r="FM393" s="4">
        <v>47</v>
      </c>
      <c r="FN393" s="4">
        <v>48</v>
      </c>
      <c r="FO393" s="4">
        <v>47</v>
      </c>
      <c r="FP393" s="4">
        <v>46</v>
      </c>
      <c r="FQ393" s="4">
        <v>45</v>
      </c>
      <c r="FR393" s="4">
        <v>44</v>
      </c>
      <c r="FS393" s="4">
        <v>43</v>
      </c>
      <c r="FT393" s="19">
        <v>66</v>
      </c>
      <c r="FU393" s="19">
        <v>65</v>
      </c>
      <c r="FV393" s="19">
        <v>64</v>
      </c>
      <c r="FW393" s="19">
        <v>63</v>
      </c>
      <c r="FX393" s="19">
        <v>62</v>
      </c>
      <c r="FY393" s="19">
        <v>61</v>
      </c>
      <c r="FZ393" s="19">
        <v>60</v>
      </c>
      <c r="GA393" s="19">
        <v>59</v>
      </c>
      <c r="GB393" s="19">
        <v>58</v>
      </c>
      <c r="GC393" s="19">
        <v>57</v>
      </c>
      <c r="GD393" s="19">
        <v>56</v>
      </c>
      <c r="GE393" s="19">
        <v>55</v>
      </c>
      <c r="GF393" s="19">
        <v>54</v>
      </c>
      <c r="GG393" s="19">
        <v>53</v>
      </c>
      <c r="GH393" s="19">
        <v>52</v>
      </c>
      <c r="GI393" s="19">
        <v>51</v>
      </c>
      <c r="GJ393" s="19">
        <v>50</v>
      </c>
      <c r="GK393" s="19">
        <v>49</v>
      </c>
      <c r="GL393" s="19">
        <v>48</v>
      </c>
      <c r="GM393" s="19">
        <v>47</v>
      </c>
      <c r="GN393" s="19">
        <v>48</v>
      </c>
      <c r="GO393" s="19">
        <v>47</v>
      </c>
      <c r="GP393" s="19">
        <v>46</v>
      </c>
      <c r="GQ393" s="19">
        <v>45</v>
      </c>
      <c r="GR393" s="19">
        <v>44</v>
      </c>
      <c r="GS393" s="19">
        <v>43</v>
      </c>
    </row>
    <row r="394">
      <c r="A394" s="2" t="s">
        <v>2362</v>
      </c>
      <c r="B394" s="2" t="s">
        <v>2275</v>
      </c>
      <c r="C394" s="2" t="s">
        <v>604</v>
      </c>
      <c r="D394" s="2" t="s">
        <v>2276</v>
      </c>
      <c r="E394" s="2" t="s">
        <v>2277</v>
      </c>
      <c r="F394" s="2" t="s">
        <v>2336</v>
      </c>
      <c r="G394" s="2" t="s">
        <v>2336</v>
      </c>
      <c r="H394" s="2" t="s">
        <v>2336</v>
      </c>
      <c r="I394" s="2" t="s">
        <v>2345</v>
      </c>
      <c r="J394" s="2" t="s">
        <v>2343</v>
      </c>
      <c r="K394" s="2" t="s">
        <v>2363</v>
      </c>
      <c r="L394" s="3">
        <v>20</v>
      </c>
      <c r="M394" s="3">
        <v>21</v>
      </c>
      <c r="N394" s="3">
        <v>41.99</v>
      </c>
      <c r="O394" s="2" t="s">
        <v>196</v>
      </c>
      <c r="P394" s="2" t="s">
        <v>621</v>
      </c>
      <c r="Q394" s="2" t="s">
        <v>198</v>
      </c>
      <c r="R394" s="2" t="s">
        <v>199</v>
      </c>
      <c r="S394" s="2" t="s">
        <v>199</v>
      </c>
      <c r="T394" s="2" t="s">
        <v>199</v>
      </c>
      <c r="U394" s="2" t="s">
        <v>280</v>
      </c>
      <c r="V394" s="2" t="s">
        <v>493</v>
      </c>
      <c r="W394" s="2" t="s">
        <v>199</v>
      </c>
      <c r="X394" s="2" t="s">
        <v>199</v>
      </c>
      <c r="Y394" s="2" t="s">
        <v>2347</v>
      </c>
      <c r="Z394" s="4">
        <v>2</v>
      </c>
      <c r="AA394" s="4">
        <f>=ROUNDDOWN(0.666666666666667,0)</f>
      </c>
      <c r="AB394" s="5">
        <v>3</v>
      </c>
      <c r="AC394" s="2" t="s">
        <v>199</v>
      </c>
      <c r="AD394" s="4"/>
      <c r="AE394" s="4"/>
      <c r="AF394" s="6"/>
      <c r="AG394" s="6">
        <v>73</v>
      </c>
      <c r="AH394" s="7">
        <v>0.5484</v>
      </c>
      <c r="AI394" s="4"/>
      <c r="AJ394" s="4">
        <f>=ROUNDDOWN({0},0)</f>
      </c>
      <c r="AK394" s="5"/>
      <c r="AL394" s="2" t="s">
        <v>199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199</v>
      </c>
      <c r="BD394" s="8" t="s">
        <v>199</v>
      </c>
      <c r="BE394" s="4" t="s">
        <v>199</v>
      </c>
      <c r="BF394" s="8" t="s">
        <v>199</v>
      </c>
      <c r="BG394" s="7" t="s">
        <v>199</v>
      </c>
      <c r="BH394" s="7" t="s">
        <v>199</v>
      </c>
      <c r="BI394" s="7"/>
      <c r="BJ394" s="4">
        <v>81</v>
      </c>
      <c r="BK394" s="8">
        <v>1860.18</v>
      </c>
      <c r="BL394" s="2" t="s">
        <v>2355</v>
      </c>
      <c r="BM394" s="7"/>
      <c r="BN394" s="7"/>
      <c r="BO394" s="4"/>
      <c r="BP394" s="8"/>
      <c r="BQ394" s="4"/>
      <c r="BR394" s="8"/>
      <c r="BS394" s="7"/>
      <c r="BT394" s="7"/>
      <c r="BU394" s="2" t="s">
        <v>2340</v>
      </c>
      <c r="BV394" s="2" t="s">
        <v>199</v>
      </c>
      <c r="BW394" s="2" t="s">
        <v>199</v>
      </c>
      <c r="BX394" s="2" t="s">
        <v>208</v>
      </c>
      <c r="BY394" s="2" t="s">
        <v>209</v>
      </c>
      <c r="BZ394" s="2" t="s">
        <v>196</v>
      </c>
      <c r="CA394" s="2" t="s">
        <v>1927</v>
      </c>
      <c r="CB394" s="2" t="s">
        <v>2364</v>
      </c>
      <c r="CC394" s="2" t="s">
        <v>212</v>
      </c>
      <c r="CD394" s="2" t="s">
        <v>199</v>
      </c>
      <c r="CE394" s="4"/>
      <c r="CF394" s="4"/>
      <c r="CG394" s="4"/>
      <c r="CH394" s="4">
        <v>2</v>
      </c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>
        <v>2</v>
      </c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>
        <v>142</v>
      </c>
      <c r="FO394" s="4">
        <v>132</v>
      </c>
      <c r="FP394" s="4">
        <v>129</v>
      </c>
      <c r="FQ394" s="4">
        <v>126</v>
      </c>
      <c r="FR394" s="4">
        <v>123</v>
      </c>
      <c r="FS394" s="4">
        <v>120</v>
      </c>
      <c r="FT394" s="19">
        <v>1</v>
      </c>
      <c r="FU394" s="20">
        <v>0</v>
      </c>
      <c r="FV394" s="20">
        <v>0</v>
      </c>
      <c r="FW394" s="20">
        <v>0</v>
      </c>
      <c r="FX394" s="20">
        <v>0</v>
      </c>
      <c r="FY394" s="20">
        <v>0</v>
      </c>
      <c r="FZ394" s="20">
        <v>0</v>
      </c>
      <c r="GA394" s="20">
        <v>0</v>
      </c>
      <c r="GB394" s="20">
        <v>0</v>
      </c>
      <c r="GC394" s="20">
        <v>0</v>
      </c>
      <c r="GD394" s="20">
        <v>0</v>
      </c>
      <c r="GE394" s="20">
        <v>0</v>
      </c>
      <c r="GF394" s="20">
        <v>0</v>
      </c>
      <c r="GG394" s="20">
        <v>0</v>
      </c>
      <c r="GH394" s="20">
        <v>0</v>
      </c>
      <c r="GI394" s="20">
        <v>0</v>
      </c>
      <c r="GJ394" s="20">
        <v>0</v>
      </c>
      <c r="GK394" s="20">
        <v>0</v>
      </c>
      <c r="GL394" s="20">
        <v>0</v>
      </c>
      <c r="GM394" s="20">
        <v>0</v>
      </c>
      <c r="GN394" s="19">
        <v>28.4</v>
      </c>
      <c r="GO394" s="19">
        <v>44</v>
      </c>
      <c r="GP394" s="19">
        <v>43</v>
      </c>
      <c r="GQ394" s="19">
        <v>42</v>
      </c>
      <c r="GR394" s="19">
        <v>41</v>
      </c>
      <c r="GS394" s="19">
        <v>40</v>
      </c>
    </row>
    <row r="395">
      <c r="A395" s="2" t="s">
        <v>2365</v>
      </c>
      <c r="B395" s="2" t="s">
        <v>672</v>
      </c>
      <c r="C395" s="2" t="s">
        <v>246</v>
      </c>
      <c r="D395" s="2" t="s">
        <v>673</v>
      </c>
      <c r="E395" s="2" t="s">
        <v>873</v>
      </c>
      <c r="F395" s="2" t="s">
        <v>2366</v>
      </c>
      <c r="G395" s="2" t="s">
        <v>2367</v>
      </c>
      <c r="H395" s="2" t="s">
        <v>2368</v>
      </c>
      <c r="I395" s="2" t="s">
        <v>2369</v>
      </c>
      <c r="J395" s="2" t="s">
        <v>679</v>
      </c>
      <c r="K395" s="2" t="s">
        <v>371</v>
      </c>
      <c r="L395" s="3">
        <v>14.1</v>
      </c>
      <c r="M395" s="3">
        <v>14.8</v>
      </c>
      <c r="N395" s="3">
        <v>29.99</v>
      </c>
      <c r="O395" s="2" t="s">
        <v>196</v>
      </c>
      <c r="P395" s="2" t="s">
        <v>197</v>
      </c>
      <c r="Q395" s="2" t="s">
        <v>198</v>
      </c>
      <c r="R395" s="2" t="s">
        <v>199</v>
      </c>
      <c r="S395" s="2" t="s">
        <v>2370</v>
      </c>
      <c r="T395" s="2" t="s">
        <v>199</v>
      </c>
      <c r="U395" s="2" t="s">
        <v>199</v>
      </c>
      <c r="V395" s="2" t="s">
        <v>638</v>
      </c>
      <c r="W395" s="2" t="s">
        <v>623</v>
      </c>
      <c r="X395" s="2" t="s">
        <v>873</v>
      </c>
      <c r="Y395" s="2" t="s">
        <v>204</v>
      </c>
      <c r="Z395" s="4">
        <v>234</v>
      </c>
      <c r="AA395" s="4">
        <f>=ROUNDDOWN(39,0)</f>
      </c>
      <c r="AB395" s="5">
        <v>6</v>
      </c>
      <c r="AC395" s="2" t="s">
        <v>199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199</v>
      </c>
      <c r="BD395" s="8" t="s">
        <v>199</v>
      </c>
      <c r="BE395" s="4" t="s">
        <v>199</v>
      </c>
      <c r="BF395" s="8" t="s">
        <v>199</v>
      </c>
      <c r="BG395" s="7" t="s">
        <v>199</v>
      </c>
      <c r="BH395" s="7" t="s">
        <v>199</v>
      </c>
      <c r="BI395" s="7"/>
      <c r="BJ395" s="4">
        <v>21</v>
      </c>
      <c r="BK395" s="8">
        <v>394.04</v>
      </c>
      <c r="BL395" s="2" t="s">
        <v>2371</v>
      </c>
      <c r="BM395" s="7"/>
      <c r="BN395" s="7"/>
      <c r="BO395" s="4"/>
      <c r="BP395" s="8"/>
      <c r="BQ395" s="4"/>
      <c r="BR395" s="8"/>
      <c r="BS395" s="7"/>
      <c r="BT395" s="7"/>
      <c r="BU395" s="2" t="s">
        <v>2372</v>
      </c>
      <c r="BV395" s="2" t="s">
        <v>199</v>
      </c>
      <c r="BW395" s="2" t="s">
        <v>199</v>
      </c>
      <c r="BX395" s="2" t="s">
        <v>208</v>
      </c>
      <c r="BY395" s="2" t="s">
        <v>209</v>
      </c>
      <c r="BZ395" s="2" t="s">
        <v>196</v>
      </c>
      <c r="CA395" s="2" t="s">
        <v>210</v>
      </c>
      <c r="CB395" s="2" t="s">
        <v>2373</v>
      </c>
      <c r="CC395" s="2" t="s">
        <v>212</v>
      </c>
      <c r="CD395" s="2" t="s">
        <v>199</v>
      </c>
      <c r="CE395" s="4">
        <v>234</v>
      </c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>
        <v>234</v>
      </c>
      <c r="EU395" s="4">
        <v>230</v>
      </c>
      <c r="EV395" s="4">
        <v>226</v>
      </c>
      <c r="EW395" s="4">
        <v>222</v>
      </c>
      <c r="EX395" s="4">
        <v>218</v>
      </c>
      <c r="EY395" s="4">
        <v>214</v>
      </c>
      <c r="EZ395" s="4">
        <v>210</v>
      </c>
      <c r="FA395" s="4">
        <v>205</v>
      </c>
      <c r="FB395" s="4">
        <v>198</v>
      </c>
      <c r="FC395" s="4">
        <v>192</v>
      </c>
      <c r="FD395" s="4">
        <v>186</v>
      </c>
      <c r="FE395" s="4">
        <v>180</v>
      </c>
      <c r="FF395" s="4">
        <v>174</v>
      </c>
      <c r="FG395" s="4">
        <v>168</v>
      </c>
      <c r="FH395" s="4">
        <v>162</v>
      </c>
      <c r="FI395" s="4">
        <v>156</v>
      </c>
      <c r="FJ395" s="4">
        <v>150</v>
      </c>
      <c r="FK395" s="4">
        <v>144</v>
      </c>
      <c r="FL395" s="4">
        <v>138</v>
      </c>
      <c r="FM395" s="4">
        <v>132</v>
      </c>
      <c r="FN395" s="4">
        <v>126</v>
      </c>
      <c r="FO395" s="4">
        <v>120</v>
      </c>
      <c r="FP395" s="4">
        <v>113</v>
      </c>
      <c r="FQ395" s="4">
        <v>107</v>
      </c>
      <c r="FR395" s="4">
        <v>101</v>
      </c>
      <c r="FS395" s="4">
        <v>95</v>
      </c>
      <c r="FT395" s="19">
        <v>58.5</v>
      </c>
      <c r="FU395" s="19">
        <v>57.5</v>
      </c>
      <c r="FV395" s="19">
        <v>56.5</v>
      </c>
      <c r="FW395" s="19">
        <v>55.5</v>
      </c>
      <c r="FX395" s="19">
        <v>43.6</v>
      </c>
      <c r="FY395" s="19">
        <v>35.7</v>
      </c>
      <c r="FZ395" s="19">
        <v>35</v>
      </c>
      <c r="GA395" s="19">
        <v>34.2</v>
      </c>
      <c r="GB395" s="19">
        <v>33</v>
      </c>
      <c r="GC395" s="19">
        <v>32</v>
      </c>
      <c r="GD395" s="19">
        <v>31</v>
      </c>
      <c r="GE395" s="19">
        <v>30</v>
      </c>
      <c r="GF395" s="19">
        <v>29</v>
      </c>
      <c r="GG395" s="19">
        <v>28</v>
      </c>
      <c r="GH395" s="19">
        <v>27</v>
      </c>
      <c r="GI395" s="19">
        <v>26</v>
      </c>
      <c r="GJ395" s="19">
        <v>25</v>
      </c>
      <c r="GK395" s="19">
        <v>24</v>
      </c>
      <c r="GL395" s="19">
        <v>23</v>
      </c>
      <c r="GM395" s="19">
        <v>22</v>
      </c>
      <c r="GN395" s="19">
        <v>21</v>
      </c>
      <c r="GO395" s="19">
        <v>20</v>
      </c>
      <c r="GP395" s="19">
        <v>18.8</v>
      </c>
      <c r="GQ395" s="19">
        <v>17.8</v>
      </c>
      <c r="GR395" s="19">
        <v>16.8</v>
      </c>
      <c r="GS395" s="19">
        <v>15.8</v>
      </c>
    </row>
    <row r="396">
      <c r="A396" s="2" t="s">
        <v>2374</v>
      </c>
      <c r="B396" s="2" t="s">
        <v>672</v>
      </c>
      <c r="C396" s="2" t="s">
        <v>246</v>
      </c>
      <c r="D396" s="2" t="s">
        <v>673</v>
      </c>
      <c r="E396" s="2" t="s">
        <v>873</v>
      </c>
      <c r="F396" s="2" t="s">
        <v>2366</v>
      </c>
      <c r="G396" s="2" t="s">
        <v>2367</v>
      </c>
      <c r="H396" s="2" t="s">
        <v>2368</v>
      </c>
      <c r="I396" s="2" t="s">
        <v>2369</v>
      </c>
      <c r="J396" s="2" t="s">
        <v>694</v>
      </c>
      <c r="K396" s="2" t="s">
        <v>233</v>
      </c>
      <c r="L396" s="3">
        <v>16.45</v>
      </c>
      <c r="M396" s="3">
        <v>17.27</v>
      </c>
      <c r="N396" s="3">
        <v>34.99</v>
      </c>
      <c r="O396" s="2" t="s">
        <v>196</v>
      </c>
      <c r="P396" s="2" t="s">
        <v>197</v>
      </c>
      <c r="Q396" s="2" t="s">
        <v>198</v>
      </c>
      <c r="R396" s="2" t="s">
        <v>199</v>
      </c>
      <c r="S396" s="2" t="s">
        <v>2375</v>
      </c>
      <c r="T396" s="2" t="s">
        <v>199</v>
      </c>
      <c r="U396" s="2" t="s">
        <v>199</v>
      </c>
      <c r="V396" s="2" t="s">
        <v>638</v>
      </c>
      <c r="W396" s="2" t="s">
        <v>623</v>
      </c>
      <c r="X396" s="2" t="s">
        <v>873</v>
      </c>
      <c r="Y396" s="2" t="s">
        <v>204</v>
      </c>
      <c r="Z396" s="4">
        <v>120</v>
      </c>
      <c r="AA396" s="4">
        <f>=ROUNDDOWN(24,0)</f>
      </c>
      <c r="AB396" s="5">
        <v>5</v>
      </c>
      <c r="AC396" s="2" t="s">
        <v>697</v>
      </c>
      <c r="AD396" s="4">
        <v>112</v>
      </c>
      <c r="AE396" s="4">
        <v>112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199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199</v>
      </c>
      <c r="BD396" s="8" t="s">
        <v>199</v>
      </c>
      <c r="BE396" s="4" t="s">
        <v>199</v>
      </c>
      <c r="BF396" s="8" t="s">
        <v>199</v>
      </c>
      <c r="BG396" s="7" t="s">
        <v>199</v>
      </c>
      <c r="BH396" s="7" t="s">
        <v>199</v>
      </c>
      <c r="BI396" s="7"/>
      <c r="BJ396" s="4">
        <v>4</v>
      </c>
      <c r="BK396" s="8">
        <v>72.56</v>
      </c>
      <c r="BL396" s="2" t="s">
        <v>2376</v>
      </c>
      <c r="BM396" s="7"/>
      <c r="BN396" s="7"/>
      <c r="BO396" s="4"/>
      <c r="BP396" s="8"/>
      <c r="BQ396" s="4"/>
      <c r="BR396" s="8"/>
      <c r="BS396" s="7"/>
      <c r="BT396" s="7"/>
      <c r="BU396" s="2" t="s">
        <v>2372</v>
      </c>
      <c r="BV396" s="2" t="s">
        <v>199</v>
      </c>
      <c r="BW396" s="2" t="s">
        <v>199</v>
      </c>
      <c r="BX396" s="2" t="s">
        <v>208</v>
      </c>
      <c r="BY396" s="2" t="s">
        <v>209</v>
      </c>
      <c r="BZ396" s="2" t="s">
        <v>196</v>
      </c>
      <c r="CA396" s="2" t="s">
        <v>210</v>
      </c>
      <c r="CB396" s="2" t="s">
        <v>2377</v>
      </c>
      <c r="CC396" s="2" t="s">
        <v>212</v>
      </c>
      <c r="CD396" s="2" t="s">
        <v>199</v>
      </c>
      <c r="CE396" s="4">
        <v>120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>
        <v>112</v>
      </c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>
        <v>120</v>
      </c>
      <c r="EU396" s="4">
        <v>116</v>
      </c>
      <c r="EV396" s="4">
        <v>111</v>
      </c>
      <c r="EW396" s="4">
        <v>106</v>
      </c>
      <c r="EX396" s="4">
        <v>213</v>
      </c>
      <c r="EY396" s="4">
        <v>208</v>
      </c>
      <c r="EZ396" s="4">
        <v>203</v>
      </c>
      <c r="FA396" s="4">
        <v>198</v>
      </c>
      <c r="FB396" s="4">
        <v>192</v>
      </c>
      <c r="FC396" s="4">
        <v>187</v>
      </c>
      <c r="FD396" s="4">
        <v>182</v>
      </c>
      <c r="FE396" s="4">
        <v>177</v>
      </c>
      <c r="FF396" s="4">
        <v>172</v>
      </c>
      <c r="FG396" s="4">
        <v>167</v>
      </c>
      <c r="FH396" s="4">
        <v>162</v>
      </c>
      <c r="FI396" s="4">
        <v>157</v>
      </c>
      <c r="FJ396" s="4">
        <v>152</v>
      </c>
      <c r="FK396" s="4">
        <v>147</v>
      </c>
      <c r="FL396" s="4">
        <v>142</v>
      </c>
      <c r="FM396" s="4">
        <v>137</v>
      </c>
      <c r="FN396" s="4">
        <v>132</v>
      </c>
      <c r="FO396" s="4">
        <v>127</v>
      </c>
      <c r="FP396" s="4">
        <v>121</v>
      </c>
      <c r="FQ396" s="4">
        <v>116</v>
      </c>
      <c r="FR396" s="4">
        <v>111</v>
      </c>
      <c r="FS396" s="4">
        <v>106</v>
      </c>
      <c r="FT396" s="19">
        <v>24</v>
      </c>
      <c r="FU396" s="19">
        <v>23.2</v>
      </c>
      <c r="FV396" s="19">
        <v>22.2</v>
      </c>
      <c r="FW396" s="19">
        <v>21.2</v>
      </c>
      <c r="FX396" s="19">
        <v>42.6</v>
      </c>
      <c r="FY396" s="19">
        <v>41.6</v>
      </c>
      <c r="FZ396" s="19">
        <v>40.6</v>
      </c>
      <c r="GA396" s="19">
        <v>39.6</v>
      </c>
      <c r="GB396" s="19">
        <v>38.4</v>
      </c>
      <c r="GC396" s="19">
        <v>37.4</v>
      </c>
      <c r="GD396" s="19">
        <v>36.4</v>
      </c>
      <c r="GE396" s="19">
        <v>35.4</v>
      </c>
      <c r="GF396" s="19">
        <v>34.4</v>
      </c>
      <c r="GG396" s="19">
        <v>33.4</v>
      </c>
      <c r="GH396" s="19">
        <v>32.4</v>
      </c>
      <c r="GI396" s="19">
        <v>31.4</v>
      </c>
      <c r="GJ396" s="19">
        <v>30.4</v>
      </c>
      <c r="GK396" s="19">
        <v>29.4</v>
      </c>
      <c r="GL396" s="19">
        <v>28.4</v>
      </c>
      <c r="GM396" s="19">
        <v>27.4</v>
      </c>
      <c r="GN396" s="19">
        <v>26.4</v>
      </c>
      <c r="GO396" s="19">
        <v>25.4</v>
      </c>
      <c r="GP396" s="19">
        <v>24.2</v>
      </c>
      <c r="GQ396" s="19">
        <v>23.2</v>
      </c>
      <c r="GR396" s="19">
        <v>22.2</v>
      </c>
      <c r="GS396" s="19">
        <v>21.2</v>
      </c>
    </row>
    <row r="397">
      <c r="A397" s="2" t="s">
        <v>2378</v>
      </c>
      <c r="B397" s="2" t="s">
        <v>672</v>
      </c>
      <c r="C397" s="2" t="s">
        <v>246</v>
      </c>
      <c r="D397" s="2" t="s">
        <v>673</v>
      </c>
      <c r="E397" s="2" t="s">
        <v>873</v>
      </c>
      <c r="F397" s="2" t="s">
        <v>2366</v>
      </c>
      <c r="G397" s="2" t="s">
        <v>2367</v>
      </c>
      <c r="H397" s="2" t="s">
        <v>2368</v>
      </c>
      <c r="I397" s="2" t="s">
        <v>2369</v>
      </c>
      <c r="J397" s="2" t="s">
        <v>694</v>
      </c>
      <c r="K397" s="2" t="s">
        <v>490</v>
      </c>
      <c r="L397" s="3">
        <v>16.45</v>
      </c>
      <c r="M397" s="3">
        <v>17.27</v>
      </c>
      <c r="N397" s="3">
        <v>34.99</v>
      </c>
      <c r="O397" s="2" t="s">
        <v>196</v>
      </c>
      <c r="P397" s="2" t="s">
        <v>197</v>
      </c>
      <c r="Q397" s="2" t="s">
        <v>198</v>
      </c>
      <c r="R397" s="2" t="s">
        <v>199</v>
      </c>
      <c r="S397" s="2" t="s">
        <v>2379</v>
      </c>
      <c r="T397" s="2" t="s">
        <v>199</v>
      </c>
      <c r="U397" s="2" t="s">
        <v>199</v>
      </c>
      <c r="V397" s="2" t="s">
        <v>638</v>
      </c>
      <c r="W397" s="2" t="s">
        <v>623</v>
      </c>
      <c r="X397" s="2" t="s">
        <v>873</v>
      </c>
      <c r="Y397" s="2" t="s">
        <v>204</v>
      </c>
      <c r="Z397" s="4">
        <v>154</v>
      </c>
      <c r="AA397" s="4">
        <f>=ROUNDDOWN(38.5,0)</f>
      </c>
      <c r="AB397" s="5">
        <v>4</v>
      </c>
      <c r="AC397" s="2" t="s">
        <v>199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199</v>
      </c>
      <c r="AW397" s="8" t="s">
        <v>199</v>
      </c>
      <c r="AX397" s="4" t="s">
        <v>199</v>
      </c>
      <c r="AY397" s="8" t="s">
        <v>199</v>
      </c>
      <c r="AZ397" s="7" t="s">
        <v>199</v>
      </c>
      <c r="BA397" s="7" t="s">
        <v>199</v>
      </c>
      <c r="BB397" s="7"/>
      <c r="BC397" s="4" t="s">
        <v>199</v>
      </c>
      <c r="BD397" s="8" t="s">
        <v>199</v>
      </c>
      <c r="BE397" s="4" t="s">
        <v>199</v>
      </c>
      <c r="BF397" s="8" t="s">
        <v>199</v>
      </c>
      <c r="BG397" s="7" t="s">
        <v>199</v>
      </c>
      <c r="BH397" s="7" t="s">
        <v>199</v>
      </c>
      <c r="BI397" s="7"/>
      <c r="BJ397" s="4">
        <v>2</v>
      </c>
      <c r="BK397" s="8">
        <v>34.22</v>
      </c>
      <c r="BL397" s="2" t="s">
        <v>2380</v>
      </c>
      <c r="BM397" s="7"/>
      <c r="BN397" s="7"/>
      <c r="BO397" s="4"/>
      <c r="BP397" s="8"/>
      <c r="BQ397" s="4"/>
      <c r="BR397" s="8"/>
      <c r="BS397" s="7"/>
      <c r="BT397" s="7"/>
      <c r="BU397" s="2" t="s">
        <v>2372</v>
      </c>
      <c r="BV397" s="2" t="s">
        <v>199</v>
      </c>
      <c r="BW397" s="2" t="s">
        <v>199</v>
      </c>
      <c r="BX397" s="2" t="s">
        <v>208</v>
      </c>
      <c r="BY397" s="2" t="s">
        <v>209</v>
      </c>
      <c r="BZ397" s="2" t="s">
        <v>196</v>
      </c>
      <c r="CA397" s="2" t="s">
        <v>210</v>
      </c>
      <c r="CB397" s="2" t="s">
        <v>2381</v>
      </c>
      <c r="CC397" s="2" t="s">
        <v>212</v>
      </c>
      <c r="CD397" s="2" t="s">
        <v>199</v>
      </c>
      <c r="CE397" s="4">
        <v>154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>
        <v>154</v>
      </c>
      <c r="EU397" s="4">
        <v>151</v>
      </c>
      <c r="EV397" s="4">
        <v>148</v>
      </c>
      <c r="EW397" s="4">
        <v>145</v>
      </c>
      <c r="EX397" s="4">
        <v>142</v>
      </c>
      <c r="EY397" s="4">
        <v>139</v>
      </c>
      <c r="EZ397" s="4">
        <v>136</v>
      </c>
      <c r="FA397" s="4">
        <v>133</v>
      </c>
      <c r="FB397" s="4">
        <v>128</v>
      </c>
      <c r="FC397" s="4">
        <v>124</v>
      </c>
      <c r="FD397" s="4">
        <v>120</v>
      </c>
      <c r="FE397" s="4">
        <v>116</v>
      </c>
      <c r="FF397" s="4">
        <v>112</v>
      </c>
      <c r="FG397" s="4">
        <v>108</v>
      </c>
      <c r="FH397" s="4">
        <v>104</v>
      </c>
      <c r="FI397" s="4">
        <v>100</v>
      </c>
      <c r="FJ397" s="4">
        <v>96</v>
      </c>
      <c r="FK397" s="4">
        <v>92</v>
      </c>
      <c r="FL397" s="4">
        <v>88</v>
      </c>
      <c r="FM397" s="4">
        <v>84</v>
      </c>
      <c r="FN397" s="4">
        <v>80</v>
      </c>
      <c r="FO397" s="4">
        <v>76</v>
      </c>
      <c r="FP397" s="4">
        <v>71</v>
      </c>
      <c r="FQ397" s="4">
        <v>67</v>
      </c>
      <c r="FR397" s="4">
        <v>63</v>
      </c>
      <c r="FS397" s="4">
        <v>59</v>
      </c>
      <c r="FT397" s="19">
        <v>51.3</v>
      </c>
      <c r="FU397" s="19">
        <v>50.3</v>
      </c>
      <c r="FV397" s="19">
        <v>49.3</v>
      </c>
      <c r="FW397" s="19">
        <v>48.3</v>
      </c>
      <c r="FX397" s="19">
        <v>35.5</v>
      </c>
      <c r="FY397" s="19">
        <v>34.8</v>
      </c>
      <c r="FZ397" s="19">
        <v>34</v>
      </c>
      <c r="GA397" s="19">
        <v>33.3</v>
      </c>
      <c r="GB397" s="19">
        <v>32</v>
      </c>
      <c r="GC397" s="19">
        <v>31</v>
      </c>
      <c r="GD397" s="19">
        <v>30</v>
      </c>
      <c r="GE397" s="19">
        <v>29</v>
      </c>
      <c r="GF397" s="19">
        <v>28</v>
      </c>
      <c r="GG397" s="19">
        <v>27</v>
      </c>
      <c r="GH397" s="19">
        <v>26</v>
      </c>
      <c r="GI397" s="19">
        <v>25</v>
      </c>
      <c r="GJ397" s="19">
        <v>24</v>
      </c>
      <c r="GK397" s="19">
        <v>23</v>
      </c>
      <c r="GL397" s="19">
        <v>22</v>
      </c>
      <c r="GM397" s="19">
        <v>21</v>
      </c>
      <c r="GN397" s="19">
        <v>20</v>
      </c>
      <c r="GO397" s="19">
        <v>19</v>
      </c>
      <c r="GP397" s="19">
        <v>17.8</v>
      </c>
      <c r="GQ397" s="19">
        <v>16.8</v>
      </c>
      <c r="GR397" s="19">
        <v>15.8</v>
      </c>
      <c r="GS397" s="19">
        <v>14.8</v>
      </c>
    </row>
    <row r="398">
      <c r="A398" s="2" t="s">
        <v>2382</v>
      </c>
      <c r="B398" s="2" t="s">
        <v>672</v>
      </c>
      <c r="C398" s="2" t="s">
        <v>246</v>
      </c>
      <c r="D398" s="2" t="s">
        <v>673</v>
      </c>
      <c r="E398" s="2" t="s">
        <v>2383</v>
      </c>
      <c r="F398" s="2" t="s">
        <v>2366</v>
      </c>
      <c r="G398" s="2" t="s">
        <v>2367</v>
      </c>
      <c r="H398" s="2" t="s">
        <v>2368</v>
      </c>
      <c r="I398" s="2" t="s">
        <v>2384</v>
      </c>
      <c r="J398" s="2" t="s">
        <v>2385</v>
      </c>
      <c r="K398" s="2" t="s">
        <v>490</v>
      </c>
      <c r="L398" s="3">
        <v>21.15</v>
      </c>
      <c r="M398" s="3">
        <v>22.21</v>
      </c>
      <c r="N398" s="3">
        <v>44.99</v>
      </c>
      <c r="O398" s="2" t="s">
        <v>196</v>
      </c>
      <c r="P398" s="2" t="s">
        <v>197</v>
      </c>
      <c r="Q398" s="2" t="s">
        <v>198</v>
      </c>
      <c r="R398" s="2" t="s">
        <v>199</v>
      </c>
      <c r="S398" s="2" t="s">
        <v>2379</v>
      </c>
      <c r="T398" s="2" t="s">
        <v>199</v>
      </c>
      <c r="U398" s="2" t="s">
        <v>199</v>
      </c>
      <c r="V398" s="2" t="s">
        <v>638</v>
      </c>
      <c r="W398" s="2" t="s">
        <v>623</v>
      </c>
      <c r="X398" s="2" t="s">
        <v>199</v>
      </c>
      <c r="Y398" s="2" t="s">
        <v>2386</v>
      </c>
      <c r="Z398" s="4">
        <v>189</v>
      </c>
      <c r="AA398" s="4">
        <f>=ROUNDDOWN(31.5,0)</f>
      </c>
      <c r="AB398" s="5">
        <v>6</v>
      </c>
      <c r="AC398" s="2" t="s">
        <v>199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199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199</v>
      </c>
      <c r="AW398" s="8" t="s">
        <v>199</v>
      </c>
      <c r="AX398" s="4" t="s">
        <v>199</v>
      </c>
      <c r="AY398" s="8" t="s">
        <v>199</v>
      </c>
      <c r="AZ398" s="7" t="s">
        <v>199</v>
      </c>
      <c r="BA398" s="7" t="s">
        <v>199</v>
      </c>
      <c r="BB398" s="7"/>
      <c r="BC398" s="4" t="s">
        <v>199</v>
      </c>
      <c r="BD398" s="8" t="s">
        <v>199</v>
      </c>
      <c r="BE398" s="4" t="s">
        <v>199</v>
      </c>
      <c r="BF398" s="8" t="s">
        <v>199</v>
      </c>
      <c r="BG398" s="7" t="s">
        <v>199</v>
      </c>
      <c r="BH398" s="7" t="s">
        <v>199</v>
      </c>
      <c r="BI398" s="7"/>
      <c r="BJ398" s="4">
        <v>3</v>
      </c>
      <c r="BK398" s="8">
        <v>68.84</v>
      </c>
      <c r="BL398" s="2" t="s">
        <v>2387</v>
      </c>
      <c r="BM398" s="7"/>
      <c r="BN398" s="7"/>
      <c r="BO398" s="4"/>
      <c r="BP398" s="8"/>
      <c r="BQ398" s="4"/>
      <c r="BR398" s="8"/>
      <c r="BS398" s="7"/>
      <c r="BT398" s="7"/>
      <c r="BU398" s="2" t="s">
        <v>2388</v>
      </c>
      <c r="BV398" s="2" t="s">
        <v>199</v>
      </c>
      <c r="BW398" s="2" t="s">
        <v>199</v>
      </c>
      <c r="BX398" s="2" t="s">
        <v>208</v>
      </c>
      <c r="BY398" s="2" t="s">
        <v>209</v>
      </c>
      <c r="BZ398" s="2" t="s">
        <v>196</v>
      </c>
      <c r="CA398" s="2" t="s">
        <v>2389</v>
      </c>
      <c r="CB398" s="2" t="s">
        <v>2390</v>
      </c>
      <c r="CC398" s="2" t="s">
        <v>212</v>
      </c>
      <c r="CD398" s="2" t="s">
        <v>199</v>
      </c>
      <c r="CE398" s="4">
        <v>189</v>
      </c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>
        <v>189</v>
      </c>
      <c r="EU398" s="4">
        <v>187</v>
      </c>
      <c r="EV398" s="4">
        <v>185</v>
      </c>
      <c r="EW398" s="4">
        <v>183</v>
      </c>
      <c r="EX398" s="4">
        <v>181</v>
      </c>
      <c r="EY398" s="4">
        <v>179</v>
      </c>
      <c r="EZ398" s="4">
        <v>177</v>
      </c>
      <c r="FA398" s="4">
        <v>175</v>
      </c>
      <c r="FB398" s="4">
        <v>173</v>
      </c>
      <c r="FC398" s="4">
        <v>171</v>
      </c>
      <c r="FD398" s="4">
        <v>169</v>
      </c>
      <c r="FE398" s="4">
        <v>164</v>
      </c>
      <c r="FF398" s="4">
        <v>158</v>
      </c>
      <c r="FG398" s="4">
        <v>152</v>
      </c>
      <c r="FH398" s="4">
        <v>146</v>
      </c>
      <c r="FI398" s="4">
        <v>139</v>
      </c>
      <c r="FJ398" s="4">
        <v>133</v>
      </c>
      <c r="FK398" s="4">
        <v>127</v>
      </c>
      <c r="FL398" s="4">
        <v>121</v>
      </c>
      <c r="FM398" s="4">
        <v>115</v>
      </c>
      <c r="FN398" s="4">
        <v>108</v>
      </c>
      <c r="FO398" s="4">
        <v>102</v>
      </c>
      <c r="FP398" s="4">
        <v>96</v>
      </c>
      <c r="FQ398" s="4">
        <v>90</v>
      </c>
      <c r="FR398" s="4">
        <v>84</v>
      </c>
      <c r="FS398" s="4">
        <v>78</v>
      </c>
      <c r="FT398" s="19">
        <v>94.5</v>
      </c>
      <c r="FU398" s="19">
        <v>93.5</v>
      </c>
      <c r="FV398" s="19">
        <v>92.5</v>
      </c>
      <c r="FW398" s="19">
        <v>91.5</v>
      </c>
      <c r="FX398" s="19">
        <v>90.5</v>
      </c>
      <c r="FY398" s="19">
        <v>89.5</v>
      </c>
      <c r="FZ398" s="19">
        <v>88.5</v>
      </c>
      <c r="GA398" s="19">
        <v>58.3</v>
      </c>
      <c r="GB398" s="19">
        <v>43.3</v>
      </c>
      <c r="GC398" s="19">
        <v>34.2</v>
      </c>
      <c r="GD398" s="19">
        <v>28.2</v>
      </c>
      <c r="GE398" s="19">
        <v>27.3</v>
      </c>
      <c r="GF398" s="19">
        <v>26.3</v>
      </c>
      <c r="GG398" s="19">
        <v>25.3</v>
      </c>
      <c r="GH398" s="19">
        <v>24.3</v>
      </c>
      <c r="GI398" s="19">
        <v>23.2</v>
      </c>
      <c r="GJ398" s="19">
        <v>22.2</v>
      </c>
      <c r="GK398" s="19">
        <v>21.2</v>
      </c>
      <c r="GL398" s="19">
        <v>20.2</v>
      </c>
      <c r="GM398" s="19">
        <v>19.2</v>
      </c>
      <c r="GN398" s="19">
        <v>18</v>
      </c>
      <c r="GO398" s="19">
        <v>17</v>
      </c>
      <c r="GP398" s="19">
        <v>16</v>
      </c>
      <c r="GQ398" s="19">
        <v>15</v>
      </c>
      <c r="GR398" s="19">
        <v>14</v>
      </c>
      <c r="GS398" s="19">
        <v>13</v>
      </c>
    </row>
    <row r="399">
      <c r="A399" s="2" t="s">
        <v>2391</v>
      </c>
      <c r="B399" s="2" t="s">
        <v>613</v>
      </c>
      <c r="C399" s="2" t="s">
        <v>604</v>
      </c>
      <c r="D399" s="2" t="s">
        <v>2392</v>
      </c>
      <c r="E399" s="2" t="s">
        <v>2393</v>
      </c>
      <c r="F399" s="2" t="s">
        <v>2394</v>
      </c>
      <c r="G399" s="2" t="s">
        <v>2394</v>
      </c>
      <c r="H399" s="2" t="s">
        <v>2394</v>
      </c>
      <c r="I399" s="2" t="s">
        <v>2395</v>
      </c>
      <c r="J399" s="2" t="s">
        <v>559</v>
      </c>
      <c r="K399" s="2" t="s">
        <v>918</v>
      </c>
      <c r="L399" s="3">
        <v>145</v>
      </c>
      <c r="M399" s="3">
        <v>152.25</v>
      </c>
      <c r="N399" s="3">
        <v>299</v>
      </c>
      <c r="O399" s="2" t="s">
        <v>196</v>
      </c>
      <c r="P399" s="2" t="s">
        <v>197</v>
      </c>
      <c r="Q399" s="2" t="s">
        <v>198</v>
      </c>
      <c r="R399" s="2" t="s">
        <v>199</v>
      </c>
      <c r="S399" s="2" t="s">
        <v>199</v>
      </c>
      <c r="T399" s="2" t="s">
        <v>199</v>
      </c>
      <c r="U399" s="2" t="s">
        <v>199</v>
      </c>
      <c r="V399" s="2" t="s">
        <v>493</v>
      </c>
      <c r="W399" s="2" t="s">
        <v>1261</v>
      </c>
      <c r="X399" s="2" t="s">
        <v>510</v>
      </c>
      <c r="Y399" s="2" t="s">
        <v>2396</v>
      </c>
      <c r="Z399" s="4">
        <v>76</v>
      </c>
      <c r="AA399" s="4">
        <f>=ROUNDDOWN(19,0)</f>
      </c>
      <c r="AB399" s="5">
        <v>4</v>
      </c>
      <c r="AC399" s="2" t="s">
        <v>2397</v>
      </c>
      <c r="AD399" s="4">
        <v>150</v>
      </c>
      <c r="AE399" s="4">
        <v>300</v>
      </c>
      <c r="AF399" s="6">
        <v>74</v>
      </c>
      <c r="AG399" s="6"/>
      <c r="AH399" s="7">
        <v>1</v>
      </c>
      <c r="AI399" s="4"/>
      <c r="AJ399" s="4">
        <f>=ROUNDDOWN({0},0)</f>
      </c>
      <c r="AK399" s="5"/>
      <c r="AL399" s="2" t="s">
        <v>199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13</v>
      </c>
      <c r="BK399" s="8">
        <v>2208.14</v>
      </c>
      <c r="BL399" s="2" t="s">
        <v>2398</v>
      </c>
      <c r="BM399" s="7"/>
      <c r="BN399" s="7"/>
      <c r="BO399" s="4"/>
      <c r="BP399" s="8"/>
      <c r="BQ399" s="4"/>
      <c r="BR399" s="8"/>
      <c r="BS399" s="7"/>
      <c r="BT399" s="7"/>
      <c r="BU399" s="2" t="s">
        <v>2399</v>
      </c>
      <c r="BV399" s="2" t="s">
        <v>199</v>
      </c>
      <c r="BW399" s="2" t="s">
        <v>199</v>
      </c>
      <c r="BX399" s="2" t="s">
        <v>208</v>
      </c>
      <c r="BY399" s="2" t="s">
        <v>209</v>
      </c>
      <c r="BZ399" s="2" t="s">
        <v>196</v>
      </c>
      <c r="CA399" s="2" t="s">
        <v>2400</v>
      </c>
      <c r="CB399" s="2" t="s">
        <v>2401</v>
      </c>
      <c r="CC399" s="2" t="s">
        <v>212</v>
      </c>
      <c r="CD399" s="2" t="s">
        <v>199</v>
      </c>
      <c r="CE399" s="4"/>
      <c r="CF399" s="4">
        <v>76</v>
      </c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>
        <v>150</v>
      </c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>
        <v>150</v>
      </c>
      <c r="ET399" s="4">
        <v>77</v>
      </c>
      <c r="EU399" s="4">
        <v>67</v>
      </c>
      <c r="EV399" s="4">
        <v>63</v>
      </c>
      <c r="EW399" s="4">
        <v>209</v>
      </c>
      <c r="EX399" s="4">
        <v>205</v>
      </c>
      <c r="EY399" s="4">
        <v>202</v>
      </c>
      <c r="EZ399" s="4">
        <v>199</v>
      </c>
      <c r="FA399" s="4">
        <v>196</v>
      </c>
      <c r="FB399" s="4">
        <v>192</v>
      </c>
      <c r="FC399" s="4">
        <v>189</v>
      </c>
      <c r="FD399" s="4">
        <v>185</v>
      </c>
      <c r="FE399" s="4">
        <v>181</v>
      </c>
      <c r="FF399" s="4">
        <v>177</v>
      </c>
      <c r="FG399" s="4">
        <v>173</v>
      </c>
      <c r="FH399" s="4">
        <v>170</v>
      </c>
      <c r="FI399" s="4">
        <v>167</v>
      </c>
      <c r="FJ399" s="4">
        <v>164</v>
      </c>
      <c r="FK399" s="4">
        <v>161</v>
      </c>
      <c r="FL399" s="4">
        <v>158</v>
      </c>
      <c r="FM399" s="4">
        <v>155</v>
      </c>
      <c r="FN399" s="4">
        <v>302</v>
      </c>
      <c r="FO399" s="4">
        <v>299</v>
      </c>
      <c r="FP399" s="4">
        <v>294</v>
      </c>
      <c r="FQ399" s="4">
        <v>290</v>
      </c>
      <c r="FR399" s="4">
        <v>285</v>
      </c>
      <c r="FS399" s="4">
        <v>280</v>
      </c>
      <c r="FT399" s="19">
        <v>12.8</v>
      </c>
      <c r="FU399" s="19">
        <v>16.8</v>
      </c>
      <c r="FV399" s="19">
        <v>15.8</v>
      </c>
      <c r="FW399" s="19">
        <v>69.7</v>
      </c>
      <c r="FX399" s="19">
        <v>68.3</v>
      </c>
      <c r="FY399" s="19">
        <v>67.3</v>
      </c>
      <c r="FZ399" s="19">
        <v>49.8</v>
      </c>
      <c r="GA399" s="19">
        <v>49</v>
      </c>
      <c r="GB399" s="19">
        <v>48</v>
      </c>
      <c r="GC399" s="19">
        <v>47.3</v>
      </c>
      <c r="GD399" s="19">
        <v>46.3</v>
      </c>
      <c r="GE399" s="19">
        <v>45.3</v>
      </c>
      <c r="GF399" s="19">
        <v>59</v>
      </c>
      <c r="GG399" s="19">
        <v>57.7</v>
      </c>
      <c r="GH399" s="19">
        <v>56.7</v>
      </c>
      <c r="GI399" s="19">
        <v>55.7</v>
      </c>
      <c r="GJ399" s="19">
        <v>54.7</v>
      </c>
      <c r="GK399" s="19">
        <v>53.7</v>
      </c>
      <c r="GL399" s="19">
        <v>39.5</v>
      </c>
      <c r="GM399" s="19">
        <v>38.8</v>
      </c>
      <c r="GN399" s="19">
        <v>75.5</v>
      </c>
      <c r="GO399" s="19">
        <v>59.8</v>
      </c>
      <c r="GP399" s="19">
        <v>58.8</v>
      </c>
      <c r="GQ399" s="19">
        <v>58</v>
      </c>
      <c r="GR399" s="19">
        <v>57</v>
      </c>
      <c r="GS399" s="19">
        <v>56</v>
      </c>
    </row>
    <row r="400">
      <c r="A400" s="2" t="s">
        <v>2402</v>
      </c>
      <c r="B400" s="2" t="s">
        <v>591</v>
      </c>
      <c r="C400" s="2" t="s">
        <v>604</v>
      </c>
      <c r="D400" s="2" t="s">
        <v>593</v>
      </c>
      <c r="E400" s="2" t="s">
        <v>594</v>
      </c>
      <c r="F400" s="2" t="s">
        <v>2403</v>
      </c>
      <c r="G400" s="2" t="s">
        <v>2403</v>
      </c>
      <c r="H400" s="2" t="s">
        <v>2403</v>
      </c>
      <c r="I400" s="2" t="s">
        <v>2404</v>
      </c>
      <c r="J400" s="2" t="s">
        <v>559</v>
      </c>
      <c r="K400" s="2" t="s">
        <v>195</v>
      </c>
      <c r="L400" s="3">
        <v>40.38</v>
      </c>
      <c r="M400" s="3">
        <v>42.4</v>
      </c>
      <c r="N400" s="3">
        <v>89.99</v>
      </c>
      <c r="O400" s="2" t="s">
        <v>196</v>
      </c>
      <c r="P400" s="2" t="s">
        <v>197</v>
      </c>
      <c r="Q400" s="2" t="s">
        <v>198</v>
      </c>
      <c r="R400" s="2" t="s">
        <v>199</v>
      </c>
      <c r="S400" s="2" t="s">
        <v>199</v>
      </c>
      <c r="T400" s="2" t="s">
        <v>199</v>
      </c>
      <c r="U400" s="2" t="s">
        <v>280</v>
      </c>
      <c r="V400" s="2" t="s">
        <v>493</v>
      </c>
      <c r="W400" s="2" t="s">
        <v>510</v>
      </c>
      <c r="X400" s="2" t="s">
        <v>199</v>
      </c>
      <c r="Y400" s="2" t="s">
        <v>2405</v>
      </c>
      <c r="Z400" s="4">
        <v>24</v>
      </c>
      <c r="AA400" s="4">
        <f>=ROUNDDOWN(8,0)</f>
      </c>
      <c r="AB400" s="5">
        <v>3</v>
      </c>
      <c r="AC400" s="2" t="s">
        <v>199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199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9</v>
      </c>
      <c r="BK400" s="8">
        <v>411.31</v>
      </c>
      <c r="BL400" s="2" t="s">
        <v>292</v>
      </c>
      <c r="BM400" s="7"/>
      <c r="BN400" s="7"/>
      <c r="BO400" s="4"/>
      <c r="BP400" s="8"/>
      <c r="BQ400" s="4"/>
      <c r="BR400" s="8"/>
      <c r="BS400" s="7"/>
      <c r="BT400" s="7"/>
      <c r="BU400" s="2" t="s">
        <v>2406</v>
      </c>
      <c r="BV400" s="2" t="s">
        <v>199</v>
      </c>
      <c r="BW400" s="2" t="s">
        <v>199</v>
      </c>
      <c r="BX400" s="2" t="s">
        <v>208</v>
      </c>
      <c r="BY400" s="2" t="s">
        <v>209</v>
      </c>
      <c r="BZ400" s="2" t="s">
        <v>196</v>
      </c>
      <c r="CA400" s="2" t="s">
        <v>610</v>
      </c>
      <c r="CB400" s="2" t="s">
        <v>2407</v>
      </c>
      <c r="CC400" s="2" t="s">
        <v>212</v>
      </c>
      <c r="CD400" s="2" t="s">
        <v>199</v>
      </c>
      <c r="CE400" s="4"/>
      <c r="CF400" s="4">
        <v>24</v>
      </c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>
        <v>29</v>
      </c>
      <c r="EU400" s="4">
        <v>18</v>
      </c>
      <c r="EV400" s="4">
        <v>15</v>
      </c>
      <c r="EW400" s="4">
        <v>12</v>
      </c>
      <c r="EX400" s="4">
        <v>9</v>
      </c>
      <c r="EY400" s="4">
        <v>6</v>
      </c>
      <c r="EZ400" s="4">
        <v>3</v>
      </c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>
        <v>101</v>
      </c>
      <c r="FR400" s="4">
        <v>98</v>
      </c>
      <c r="FS400" s="4">
        <v>95</v>
      </c>
      <c r="FT400" s="19">
        <v>5.8</v>
      </c>
      <c r="FU400" s="19">
        <v>6</v>
      </c>
      <c r="FV400" s="19">
        <v>5</v>
      </c>
      <c r="FW400" s="19">
        <v>4</v>
      </c>
      <c r="FX400" s="19">
        <v>3</v>
      </c>
      <c r="FY400" s="19">
        <v>2</v>
      </c>
      <c r="FZ400" s="19">
        <v>1</v>
      </c>
      <c r="GA400" s="20">
        <v>0</v>
      </c>
      <c r="GB400" s="20">
        <v>0</v>
      </c>
      <c r="GC400" s="20">
        <v>0</v>
      </c>
      <c r="GD400" s="20">
        <v>0</v>
      </c>
      <c r="GE400" s="20">
        <v>0</v>
      </c>
      <c r="GF400" s="20">
        <v>0</v>
      </c>
      <c r="GG400" s="20">
        <v>0</v>
      </c>
      <c r="GH400" s="20">
        <v>0</v>
      </c>
      <c r="GI400" s="20">
        <v>0</v>
      </c>
      <c r="GJ400" s="20">
        <v>0</v>
      </c>
      <c r="GK400" s="20">
        <v>0</v>
      </c>
      <c r="GL400" s="20">
        <v>0</v>
      </c>
      <c r="GM400" s="20">
        <v>0</v>
      </c>
      <c r="GN400" s="20">
        <v>0</v>
      </c>
      <c r="GO400" s="20">
        <v>0</v>
      </c>
      <c r="GP400" s="20">
        <v>0</v>
      </c>
      <c r="GQ400" s="19">
        <v>33.7</v>
      </c>
      <c r="GR400" s="19">
        <v>32.7</v>
      </c>
      <c r="GS400" s="19">
        <v>31.7</v>
      </c>
    </row>
    <row r="401">
      <c r="A401" s="2" t="s">
        <v>2408</v>
      </c>
      <c r="B401" s="2" t="s">
        <v>630</v>
      </c>
      <c r="C401" s="2" t="s">
        <v>246</v>
      </c>
      <c r="D401" s="2" t="s">
        <v>228</v>
      </c>
      <c r="E401" s="2" t="s">
        <v>487</v>
      </c>
      <c r="F401" s="2" t="s">
        <v>2409</v>
      </c>
      <c r="G401" s="2" t="s">
        <v>2410</v>
      </c>
      <c r="H401" s="2" t="s">
        <v>2411</v>
      </c>
      <c r="I401" s="2" t="s">
        <v>2412</v>
      </c>
      <c r="J401" s="2" t="s">
        <v>219</v>
      </c>
      <c r="K401" s="2" t="s">
        <v>195</v>
      </c>
      <c r="L401" s="3">
        <v>45.71</v>
      </c>
      <c r="M401" s="3">
        <v>48</v>
      </c>
      <c r="N401" s="3">
        <v>99.99</v>
      </c>
      <c r="O401" s="2" t="s">
        <v>196</v>
      </c>
      <c r="P401" s="2" t="s">
        <v>197</v>
      </c>
      <c r="Q401" s="2" t="s">
        <v>198</v>
      </c>
      <c r="R401" s="2" t="s">
        <v>199</v>
      </c>
      <c r="S401" s="2" t="s">
        <v>2413</v>
      </c>
      <c r="T401" s="2" t="s">
        <v>386</v>
      </c>
      <c r="U401" s="2" t="s">
        <v>509</v>
      </c>
      <c r="V401" s="2" t="s">
        <v>301</v>
      </c>
      <c r="W401" s="2" t="s">
        <v>768</v>
      </c>
      <c r="X401" s="2" t="s">
        <v>623</v>
      </c>
      <c r="Y401" s="2" t="s">
        <v>2414</v>
      </c>
      <c r="Z401" s="4">
        <v>400</v>
      </c>
      <c r="AA401" s="4">
        <f>=ROUNDDOWN(18.1818181818182,0)</f>
      </c>
      <c r="AB401" s="5">
        <v>22</v>
      </c>
      <c r="AC401" s="2" t="s">
        <v>2101</v>
      </c>
      <c r="AD401" s="4">
        <v>200</v>
      </c>
      <c r="AE401" s="4">
        <v>400</v>
      </c>
      <c r="AF401" s="6">
        <v>69</v>
      </c>
      <c r="AG401" s="6"/>
      <c r="AH401" s="7">
        <v>0.4516</v>
      </c>
      <c r="AI401" s="4"/>
      <c r="AJ401" s="4">
        <f>=ROUNDDOWN({0},0)</f>
      </c>
      <c r="AK401" s="5"/>
      <c r="AL401" s="2" t="s">
        <v>199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199</v>
      </c>
      <c r="AW401" s="8" t="s">
        <v>199</v>
      </c>
      <c r="AX401" s="4" t="s">
        <v>199</v>
      </c>
      <c r="AY401" s="8" t="s">
        <v>199</v>
      </c>
      <c r="AZ401" s="7" t="s">
        <v>199</v>
      </c>
      <c r="BA401" s="7" t="s">
        <v>199</v>
      </c>
      <c r="BB401" s="7"/>
      <c r="BC401" s="4" t="s">
        <v>199</v>
      </c>
      <c r="BD401" s="8" t="s">
        <v>199</v>
      </c>
      <c r="BE401" s="4" t="s">
        <v>199</v>
      </c>
      <c r="BF401" s="8" t="s">
        <v>199</v>
      </c>
      <c r="BG401" s="7" t="s">
        <v>199</v>
      </c>
      <c r="BH401" s="7" t="s">
        <v>199</v>
      </c>
      <c r="BI401" s="7"/>
      <c r="BJ401" s="4">
        <v>6</v>
      </c>
      <c r="BK401" s="8">
        <v>314.86</v>
      </c>
      <c r="BL401" s="2" t="s">
        <v>2223</v>
      </c>
      <c r="BM401" s="7"/>
      <c r="BN401" s="7"/>
      <c r="BO401" s="4"/>
      <c r="BP401" s="8"/>
      <c r="BQ401" s="4"/>
      <c r="BR401" s="8"/>
      <c r="BS401" s="7"/>
      <c r="BT401" s="7"/>
      <c r="BU401" s="2" t="s">
        <v>2415</v>
      </c>
      <c r="BV401" s="2" t="s">
        <v>199</v>
      </c>
      <c r="BW401" s="2" t="s">
        <v>199</v>
      </c>
      <c r="BX401" s="2" t="s">
        <v>260</v>
      </c>
      <c r="BY401" s="2" t="s">
        <v>209</v>
      </c>
      <c r="BZ401" s="2" t="s">
        <v>196</v>
      </c>
      <c r="CA401" s="2" t="s">
        <v>2416</v>
      </c>
      <c r="CB401" s="2" t="s">
        <v>1691</v>
      </c>
      <c r="CC401" s="2" t="s">
        <v>212</v>
      </c>
      <c r="CD401" s="2" t="s">
        <v>199</v>
      </c>
      <c r="CE401" s="4">
        <v>400</v>
      </c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>
        <v>200</v>
      </c>
      <c r="DJ401" s="4"/>
      <c r="DK401" s="4"/>
      <c r="DL401" s="4"/>
      <c r="DM401" s="4"/>
      <c r="DN401" s="4"/>
      <c r="DO401" s="4"/>
      <c r="DP401" s="4"/>
      <c r="DQ401" s="4"/>
      <c r="DR401" s="4"/>
      <c r="DS401" s="4">
        <v>200</v>
      </c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>
        <v>403</v>
      </c>
      <c r="EU401" s="4">
        <v>378</v>
      </c>
      <c r="EV401" s="4">
        <v>356</v>
      </c>
      <c r="EW401" s="4">
        <v>334</v>
      </c>
      <c r="EX401" s="4">
        <v>312</v>
      </c>
      <c r="EY401" s="4">
        <v>490</v>
      </c>
      <c r="EZ401" s="4">
        <v>468</v>
      </c>
      <c r="FA401" s="4">
        <v>446</v>
      </c>
      <c r="FB401" s="4">
        <v>622</v>
      </c>
      <c r="FC401" s="4">
        <v>600</v>
      </c>
      <c r="FD401" s="4">
        <v>578</v>
      </c>
      <c r="FE401" s="4">
        <v>556</v>
      </c>
      <c r="FF401" s="4">
        <v>534</v>
      </c>
      <c r="FG401" s="4">
        <v>512</v>
      </c>
      <c r="FH401" s="4">
        <v>490</v>
      </c>
      <c r="FI401" s="4">
        <v>468</v>
      </c>
      <c r="FJ401" s="4">
        <v>446</v>
      </c>
      <c r="FK401" s="4">
        <v>424</v>
      </c>
      <c r="FL401" s="4">
        <v>402</v>
      </c>
      <c r="FM401" s="4">
        <v>380</v>
      </c>
      <c r="FN401" s="4">
        <v>358</v>
      </c>
      <c r="FO401" s="4">
        <v>336</v>
      </c>
      <c r="FP401" s="4">
        <v>312</v>
      </c>
      <c r="FQ401" s="4">
        <v>290</v>
      </c>
      <c r="FR401" s="4">
        <v>268</v>
      </c>
      <c r="FS401" s="4">
        <v>246</v>
      </c>
      <c r="FT401" s="19">
        <v>17.5</v>
      </c>
      <c r="FU401" s="19">
        <v>17.2</v>
      </c>
      <c r="FV401" s="19">
        <v>16.2</v>
      </c>
      <c r="FW401" s="19">
        <v>15.2</v>
      </c>
      <c r="FX401" s="19">
        <v>14.2</v>
      </c>
      <c r="FY401" s="19">
        <v>22.3</v>
      </c>
      <c r="FZ401" s="19">
        <v>21.3</v>
      </c>
      <c r="GA401" s="19">
        <v>20.3</v>
      </c>
      <c r="GB401" s="19">
        <v>28.3</v>
      </c>
      <c r="GC401" s="19">
        <v>27.3</v>
      </c>
      <c r="GD401" s="19">
        <v>26.3</v>
      </c>
      <c r="GE401" s="19">
        <v>25.3</v>
      </c>
      <c r="GF401" s="19">
        <v>24.3</v>
      </c>
      <c r="GG401" s="19">
        <v>23.3</v>
      </c>
      <c r="GH401" s="19">
        <v>22.3</v>
      </c>
      <c r="GI401" s="19">
        <v>21.3</v>
      </c>
      <c r="GJ401" s="19">
        <v>20.3</v>
      </c>
      <c r="GK401" s="19">
        <v>19.3</v>
      </c>
      <c r="GL401" s="19">
        <v>18.3</v>
      </c>
      <c r="GM401" s="19">
        <v>17.3</v>
      </c>
      <c r="GN401" s="19">
        <v>16.3</v>
      </c>
      <c r="GO401" s="19">
        <v>15.3</v>
      </c>
      <c r="GP401" s="19">
        <v>14.2</v>
      </c>
      <c r="GQ401" s="19">
        <v>13.2</v>
      </c>
      <c r="GR401" s="19">
        <v>12.2</v>
      </c>
      <c r="GS401" s="19">
        <v>11.2</v>
      </c>
    </row>
    <row r="402">
      <c r="A402" s="2" t="s">
        <v>2417</v>
      </c>
      <c r="B402" s="2" t="s">
        <v>630</v>
      </c>
      <c r="C402" s="2" t="s">
        <v>246</v>
      </c>
      <c r="D402" s="2" t="s">
        <v>228</v>
      </c>
      <c r="E402" s="2" t="s">
        <v>487</v>
      </c>
      <c r="F402" s="2" t="s">
        <v>2409</v>
      </c>
      <c r="G402" s="2" t="s">
        <v>2410</v>
      </c>
      <c r="H402" s="2" t="s">
        <v>2411</v>
      </c>
      <c r="I402" s="2" t="s">
        <v>2412</v>
      </c>
      <c r="J402" s="2" t="s">
        <v>251</v>
      </c>
      <c r="K402" s="2" t="s">
        <v>195</v>
      </c>
      <c r="L402" s="3">
        <v>50.28</v>
      </c>
      <c r="M402" s="3">
        <v>52.79</v>
      </c>
      <c r="N402" s="3">
        <v>109.99</v>
      </c>
      <c r="O402" s="2" t="s">
        <v>196</v>
      </c>
      <c r="P402" s="2" t="s">
        <v>197</v>
      </c>
      <c r="Q402" s="2" t="s">
        <v>198</v>
      </c>
      <c r="R402" s="2" t="s">
        <v>199</v>
      </c>
      <c r="S402" s="2" t="s">
        <v>2413</v>
      </c>
      <c r="T402" s="2" t="s">
        <v>386</v>
      </c>
      <c r="U402" s="2" t="s">
        <v>509</v>
      </c>
      <c r="V402" s="2" t="s">
        <v>301</v>
      </c>
      <c r="W402" s="2" t="s">
        <v>768</v>
      </c>
      <c r="X402" s="2" t="s">
        <v>623</v>
      </c>
      <c r="Y402" s="2" t="s">
        <v>2414</v>
      </c>
      <c r="Z402" s="4">
        <v>3</v>
      </c>
      <c r="AA402" s="4">
        <f>=ROUNDDOWN(0.428571428571429,0)</f>
      </c>
      <c r="AB402" s="5">
        <v>7</v>
      </c>
      <c r="AC402" s="2" t="s">
        <v>697</v>
      </c>
      <c r="AD402" s="4">
        <v>120</v>
      </c>
      <c r="AE402" s="4">
        <v>320</v>
      </c>
      <c r="AF402" s="6">
        <v>69</v>
      </c>
      <c r="AG402" s="6"/>
      <c r="AH402" s="7">
        <v>0.0323</v>
      </c>
      <c r="AI402" s="4"/>
      <c r="AJ402" s="4">
        <f>=ROUNDDOWN({0},0)</f>
      </c>
      <c r="AK402" s="5"/>
      <c r="AL402" s="2" t="s">
        <v>199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199</v>
      </c>
      <c r="AW402" s="8" t="s">
        <v>199</v>
      </c>
      <c r="AX402" s="4" t="s">
        <v>199</v>
      </c>
      <c r="AY402" s="8" t="s">
        <v>199</v>
      </c>
      <c r="AZ402" s="7" t="s">
        <v>199</v>
      </c>
      <c r="BA402" s="7" t="s">
        <v>199</v>
      </c>
      <c r="BB402" s="7"/>
      <c r="BC402" s="4" t="s">
        <v>199</v>
      </c>
      <c r="BD402" s="8" t="s">
        <v>199</v>
      </c>
      <c r="BE402" s="4" t="s">
        <v>199</v>
      </c>
      <c r="BF402" s="8" t="s">
        <v>199</v>
      </c>
      <c r="BG402" s="7" t="s">
        <v>199</v>
      </c>
      <c r="BH402" s="7" t="s">
        <v>199</v>
      </c>
      <c r="BI402" s="7"/>
      <c r="BJ402" s="4"/>
      <c r="BK402" s="8"/>
      <c r="BL402" s="2" t="s">
        <v>199</v>
      </c>
      <c r="BM402" s="7"/>
      <c r="BN402" s="7"/>
      <c r="BO402" s="4"/>
      <c r="BP402" s="8"/>
      <c r="BQ402" s="4"/>
      <c r="BR402" s="8"/>
      <c r="BS402" s="7"/>
      <c r="BT402" s="7"/>
      <c r="BU402" s="2" t="s">
        <v>2415</v>
      </c>
      <c r="BV402" s="2" t="s">
        <v>199</v>
      </c>
      <c r="BW402" s="2" t="s">
        <v>199</v>
      </c>
      <c r="BX402" s="2" t="s">
        <v>260</v>
      </c>
      <c r="BY402" s="2" t="s">
        <v>209</v>
      </c>
      <c r="BZ402" s="2" t="s">
        <v>196</v>
      </c>
      <c r="CA402" s="2" t="s">
        <v>2416</v>
      </c>
      <c r="CB402" s="2" t="s">
        <v>2418</v>
      </c>
      <c r="CC402" s="2" t="s">
        <v>212</v>
      </c>
      <c r="CD402" s="2" t="s">
        <v>199</v>
      </c>
      <c r="CE402" s="4">
        <v>3</v>
      </c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>
        <v>120</v>
      </c>
      <c r="DG402" s="4"/>
      <c r="DH402" s="4"/>
      <c r="DI402" s="4">
        <v>100</v>
      </c>
      <c r="DJ402" s="4"/>
      <c r="DK402" s="4"/>
      <c r="DL402" s="4"/>
      <c r="DM402" s="4"/>
      <c r="DN402" s="4"/>
      <c r="DO402" s="4"/>
      <c r="DP402" s="4"/>
      <c r="DQ402" s="4"/>
      <c r="DR402" s="4"/>
      <c r="DS402" s="4">
        <v>100</v>
      </c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>
        <v>3</v>
      </c>
      <c r="EU402" s="4"/>
      <c r="EV402" s="4"/>
      <c r="EW402" s="4"/>
      <c r="EX402" s="4">
        <v>120</v>
      </c>
      <c r="EY402" s="4">
        <v>213</v>
      </c>
      <c r="EZ402" s="4">
        <v>206</v>
      </c>
      <c r="FA402" s="4">
        <v>199</v>
      </c>
      <c r="FB402" s="4">
        <v>291</v>
      </c>
      <c r="FC402" s="4">
        <v>284</v>
      </c>
      <c r="FD402" s="4">
        <v>277</v>
      </c>
      <c r="FE402" s="4">
        <v>270</v>
      </c>
      <c r="FF402" s="4">
        <v>263</v>
      </c>
      <c r="FG402" s="4">
        <v>256</v>
      </c>
      <c r="FH402" s="4">
        <v>249</v>
      </c>
      <c r="FI402" s="4">
        <v>242</v>
      </c>
      <c r="FJ402" s="4">
        <v>235</v>
      </c>
      <c r="FK402" s="4">
        <v>228</v>
      </c>
      <c r="FL402" s="4">
        <v>221</v>
      </c>
      <c r="FM402" s="4">
        <v>214</v>
      </c>
      <c r="FN402" s="4">
        <v>207</v>
      </c>
      <c r="FO402" s="4">
        <v>200</v>
      </c>
      <c r="FP402" s="4">
        <v>192</v>
      </c>
      <c r="FQ402" s="4">
        <v>185</v>
      </c>
      <c r="FR402" s="4">
        <v>178</v>
      </c>
      <c r="FS402" s="4">
        <v>171</v>
      </c>
      <c r="FT402" s="19">
        <v>0.4</v>
      </c>
      <c r="FU402" s="20">
        <v>0</v>
      </c>
      <c r="FV402" s="20">
        <v>0</v>
      </c>
      <c r="FW402" s="20">
        <v>0</v>
      </c>
      <c r="FX402" s="19">
        <v>17.1</v>
      </c>
      <c r="FY402" s="19">
        <v>30.4</v>
      </c>
      <c r="FZ402" s="19">
        <v>29.4</v>
      </c>
      <c r="GA402" s="19">
        <v>28.4</v>
      </c>
      <c r="GB402" s="19">
        <v>41.6</v>
      </c>
      <c r="GC402" s="19">
        <v>40.6</v>
      </c>
      <c r="GD402" s="19">
        <v>39.6</v>
      </c>
      <c r="GE402" s="19">
        <v>38.6</v>
      </c>
      <c r="GF402" s="19">
        <v>37.6</v>
      </c>
      <c r="GG402" s="19">
        <v>36.6</v>
      </c>
      <c r="GH402" s="19">
        <v>35.6</v>
      </c>
      <c r="GI402" s="19">
        <v>34.6</v>
      </c>
      <c r="GJ402" s="19">
        <v>33.6</v>
      </c>
      <c r="GK402" s="19">
        <v>32.6</v>
      </c>
      <c r="GL402" s="19">
        <v>31.6</v>
      </c>
      <c r="GM402" s="19">
        <v>30.6</v>
      </c>
      <c r="GN402" s="19">
        <v>29.6</v>
      </c>
      <c r="GO402" s="19">
        <v>28.6</v>
      </c>
      <c r="GP402" s="19">
        <v>27.4</v>
      </c>
      <c r="GQ402" s="19">
        <v>26.4</v>
      </c>
      <c r="GR402" s="19">
        <v>25.4</v>
      </c>
      <c r="GS402" s="19">
        <v>24.4</v>
      </c>
    </row>
    <row r="403">
      <c r="A403" s="2" t="s">
        <v>2419</v>
      </c>
      <c r="B403" s="2" t="s">
        <v>630</v>
      </c>
      <c r="C403" s="2" t="s">
        <v>246</v>
      </c>
      <c r="D403" s="2" t="s">
        <v>228</v>
      </c>
      <c r="E403" s="2" t="s">
        <v>487</v>
      </c>
      <c r="F403" s="2" t="s">
        <v>2409</v>
      </c>
      <c r="G403" s="2" t="s">
        <v>2410</v>
      </c>
      <c r="H403" s="2" t="s">
        <v>2411</v>
      </c>
      <c r="I403" s="2" t="s">
        <v>2412</v>
      </c>
      <c r="J403" s="2" t="s">
        <v>219</v>
      </c>
      <c r="K403" s="2" t="s">
        <v>2420</v>
      </c>
      <c r="L403" s="3">
        <v>45.71</v>
      </c>
      <c r="M403" s="3">
        <v>48</v>
      </c>
      <c r="N403" s="3">
        <v>99.99</v>
      </c>
      <c r="O403" s="2" t="s">
        <v>196</v>
      </c>
      <c r="P403" s="2" t="s">
        <v>197</v>
      </c>
      <c r="Q403" s="2" t="s">
        <v>198</v>
      </c>
      <c r="R403" s="2" t="s">
        <v>199</v>
      </c>
      <c r="S403" s="2" t="s">
        <v>2421</v>
      </c>
      <c r="T403" s="2" t="s">
        <v>386</v>
      </c>
      <c r="U403" s="2" t="s">
        <v>509</v>
      </c>
      <c r="V403" s="2" t="s">
        <v>301</v>
      </c>
      <c r="W403" s="2" t="s">
        <v>768</v>
      </c>
      <c r="X403" s="2" t="s">
        <v>623</v>
      </c>
      <c r="Y403" s="2" t="s">
        <v>2422</v>
      </c>
      <c r="Z403" s="4">
        <v>300</v>
      </c>
      <c r="AA403" s="4">
        <f>=ROUNDDOWN(12.5,0)</f>
      </c>
      <c r="AB403" s="5">
        <v>24</v>
      </c>
      <c r="AC403" s="2" t="s">
        <v>2101</v>
      </c>
      <c r="AD403" s="4">
        <v>230</v>
      </c>
      <c r="AE403" s="4">
        <v>460</v>
      </c>
      <c r="AF403" s="6">
        <v>69</v>
      </c>
      <c r="AG403" s="6"/>
      <c r="AH403" s="7">
        <v>0.4516</v>
      </c>
      <c r="AI403" s="4"/>
      <c r="AJ403" s="4">
        <f>=ROUNDDOWN({0},0)</f>
      </c>
      <c r="AK403" s="5"/>
      <c r="AL403" s="2" t="s">
        <v>199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199</v>
      </c>
      <c r="AW403" s="8" t="s">
        <v>199</v>
      </c>
      <c r="AX403" s="4" t="s">
        <v>199</v>
      </c>
      <c r="AY403" s="8" t="s">
        <v>199</v>
      </c>
      <c r="AZ403" s="7" t="s">
        <v>199</v>
      </c>
      <c r="BA403" s="7" t="s">
        <v>199</v>
      </c>
      <c r="BB403" s="7"/>
      <c r="BC403" s="4" t="s">
        <v>199</v>
      </c>
      <c r="BD403" s="8" t="s">
        <v>199</v>
      </c>
      <c r="BE403" s="4" t="s">
        <v>199</v>
      </c>
      <c r="BF403" s="8" t="s">
        <v>199</v>
      </c>
      <c r="BG403" s="7" t="s">
        <v>199</v>
      </c>
      <c r="BH403" s="7" t="s">
        <v>199</v>
      </c>
      <c r="BI403" s="7"/>
      <c r="BJ403" s="4">
        <v>8</v>
      </c>
      <c r="BK403" s="8">
        <v>419.97</v>
      </c>
      <c r="BL403" s="2" t="s">
        <v>1462</v>
      </c>
      <c r="BM403" s="7"/>
      <c r="BN403" s="7"/>
      <c r="BO403" s="4"/>
      <c r="BP403" s="8"/>
      <c r="BQ403" s="4"/>
      <c r="BR403" s="8"/>
      <c r="BS403" s="7"/>
      <c r="BT403" s="7"/>
      <c r="BU403" s="2" t="s">
        <v>2415</v>
      </c>
      <c r="BV403" s="2" t="s">
        <v>199</v>
      </c>
      <c r="BW403" s="2" t="s">
        <v>199</v>
      </c>
      <c r="BX403" s="2" t="s">
        <v>260</v>
      </c>
      <c r="BY403" s="2" t="s">
        <v>209</v>
      </c>
      <c r="BZ403" s="2" t="s">
        <v>196</v>
      </c>
      <c r="CA403" s="2" t="s">
        <v>2423</v>
      </c>
      <c r="CB403" s="2" t="s">
        <v>1118</v>
      </c>
      <c r="CC403" s="2" t="s">
        <v>212</v>
      </c>
      <c r="CD403" s="2" t="s">
        <v>199</v>
      </c>
      <c r="CE403" s="4">
        <v>300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>
        <v>230</v>
      </c>
      <c r="DJ403" s="4"/>
      <c r="DK403" s="4"/>
      <c r="DL403" s="4"/>
      <c r="DM403" s="4"/>
      <c r="DN403" s="4"/>
      <c r="DO403" s="4"/>
      <c r="DP403" s="4"/>
      <c r="DQ403" s="4"/>
      <c r="DR403" s="4"/>
      <c r="DS403" s="4">
        <v>230</v>
      </c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>
        <v>307</v>
      </c>
      <c r="EU403" s="4">
        <v>277</v>
      </c>
      <c r="EV403" s="4">
        <v>253</v>
      </c>
      <c r="EW403" s="4">
        <v>229</v>
      </c>
      <c r="EX403" s="4">
        <v>205</v>
      </c>
      <c r="EY403" s="4">
        <v>411</v>
      </c>
      <c r="EZ403" s="4">
        <v>387</v>
      </c>
      <c r="FA403" s="4">
        <v>363</v>
      </c>
      <c r="FB403" s="4">
        <v>567</v>
      </c>
      <c r="FC403" s="4">
        <v>543</v>
      </c>
      <c r="FD403" s="4">
        <v>519</v>
      </c>
      <c r="FE403" s="4">
        <v>495</v>
      </c>
      <c r="FF403" s="4">
        <v>471</v>
      </c>
      <c r="FG403" s="4">
        <v>447</v>
      </c>
      <c r="FH403" s="4">
        <v>423</v>
      </c>
      <c r="FI403" s="4">
        <v>399</v>
      </c>
      <c r="FJ403" s="4">
        <v>375</v>
      </c>
      <c r="FK403" s="4">
        <v>351</v>
      </c>
      <c r="FL403" s="4">
        <v>327</v>
      </c>
      <c r="FM403" s="4">
        <v>303</v>
      </c>
      <c r="FN403" s="4">
        <v>279</v>
      </c>
      <c r="FO403" s="4">
        <v>255</v>
      </c>
      <c r="FP403" s="4">
        <v>229</v>
      </c>
      <c r="FQ403" s="4">
        <v>338</v>
      </c>
      <c r="FR403" s="4">
        <v>314</v>
      </c>
      <c r="FS403" s="4">
        <v>290</v>
      </c>
      <c r="FT403" s="19">
        <v>11.8</v>
      </c>
      <c r="FU403" s="19">
        <v>11.5</v>
      </c>
      <c r="FV403" s="19">
        <v>10.5</v>
      </c>
      <c r="FW403" s="19">
        <v>9.5</v>
      </c>
      <c r="FX403" s="19">
        <v>8.5</v>
      </c>
      <c r="FY403" s="19">
        <v>17.1</v>
      </c>
      <c r="FZ403" s="19">
        <v>16.1</v>
      </c>
      <c r="GA403" s="19">
        <v>15.1</v>
      </c>
      <c r="GB403" s="19">
        <v>23.6</v>
      </c>
      <c r="GC403" s="19">
        <v>22.6</v>
      </c>
      <c r="GD403" s="19">
        <v>21.6</v>
      </c>
      <c r="GE403" s="19">
        <v>20.6</v>
      </c>
      <c r="GF403" s="19">
        <v>19.6</v>
      </c>
      <c r="GG403" s="19">
        <v>18.6</v>
      </c>
      <c r="GH403" s="19">
        <v>17.6</v>
      </c>
      <c r="GI403" s="19">
        <v>16.6</v>
      </c>
      <c r="GJ403" s="19">
        <v>15.6</v>
      </c>
      <c r="GK403" s="19">
        <v>14.6</v>
      </c>
      <c r="GL403" s="19">
        <v>13.6</v>
      </c>
      <c r="GM403" s="19">
        <v>12.6</v>
      </c>
      <c r="GN403" s="19">
        <v>11.6</v>
      </c>
      <c r="GO403" s="19">
        <v>10.6</v>
      </c>
      <c r="GP403" s="19">
        <v>9.5</v>
      </c>
      <c r="GQ403" s="19">
        <v>14.1</v>
      </c>
      <c r="GR403" s="19">
        <v>13.1</v>
      </c>
      <c r="GS403" s="19">
        <v>12.1</v>
      </c>
    </row>
    <row r="404">
      <c r="A404" s="2" t="s">
        <v>2424</v>
      </c>
      <c r="B404" s="2" t="s">
        <v>630</v>
      </c>
      <c r="C404" s="2" t="s">
        <v>246</v>
      </c>
      <c r="D404" s="2" t="s">
        <v>228</v>
      </c>
      <c r="E404" s="2" t="s">
        <v>487</v>
      </c>
      <c r="F404" s="2" t="s">
        <v>2409</v>
      </c>
      <c r="G404" s="2" t="s">
        <v>2410</v>
      </c>
      <c r="H404" s="2" t="s">
        <v>2411</v>
      </c>
      <c r="I404" s="2" t="s">
        <v>2412</v>
      </c>
      <c r="J404" s="2" t="s">
        <v>223</v>
      </c>
      <c r="K404" s="2" t="s">
        <v>2420</v>
      </c>
      <c r="L404" s="3">
        <v>50.28</v>
      </c>
      <c r="M404" s="3">
        <v>52.79</v>
      </c>
      <c r="N404" s="3">
        <v>109.99</v>
      </c>
      <c r="O404" s="2" t="s">
        <v>196</v>
      </c>
      <c r="P404" s="2" t="s">
        <v>197</v>
      </c>
      <c r="Q404" s="2" t="s">
        <v>198</v>
      </c>
      <c r="R404" s="2" t="s">
        <v>199</v>
      </c>
      <c r="S404" s="2" t="s">
        <v>2421</v>
      </c>
      <c r="T404" s="2" t="s">
        <v>386</v>
      </c>
      <c r="U404" s="2" t="s">
        <v>509</v>
      </c>
      <c r="V404" s="2" t="s">
        <v>301</v>
      </c>
      <c r="W404" s="2" t="s">
        <v>768</v>
      </c>
      <c r="X404" s="2" t="s">
        <v>623</v>
      </c>
      <c r="Y404" s="2" t="s">
        <v>2422</v>
      </c>
      <c r="Z404" s="4">
        <v>248</v>
      </c>
      <c r="AA404" s="4">
        <f>=ROUNDDOWN(15.5,0)</f>
      </c>
      <c r="AB404" s="5">
        <v>16</v>
      </c>
      <c r="AC404" s="2" t="s">
        <v>2101</v>
      </c>
      <c r="AD404" s="4">
        <v>150</v>
      </c>
      <c r="AE404" s="4">
        <v>310</v>
      </c>
      <c r="AF404" s="6">
        <v>69</v>
      </c>
      <c r="AG404" s="6"/>
      <c r="AH404" s="7">
        <v>0.4516</v>
      </c>
      <c r="AI404" s="4"/>
      <c r="AJ404" s="4">
        <f>=ROUNDDOWN({0},0)</f>
      </c>
      <c r="AK404" s="5"/>
      <c r="AL404" s="2" t="s">
        <v>199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199</v>
      </c>
      <c r="AW404" s="8" t="s">
        <v>199</v>
      </c>
      <c r="AX404" s="4" t="s">
        <v>199</v>
      </c>
      <c r="AY404" s="8" t="s">
        <v>199</v>
      </c>
      <c r="AZ404" s="7" t="s">
        <v>199</v>
      </c>
      <c r="BA404" s="7" t="s">
        <v>199</v>
      </c>
      <c r="BB404" s="7"/>
      <c r="BC404" s="4" t="s">
        <v>199</v>
      </c>
      <c r="BD404" s="8" t="s">
        <v>199</v>
      </c>
      <c r="BE404" s="4" t="s">
        <v>199</v>
      </c>
      <c r="BF404" s="8" t="s">
        <v>199</v>
      </c>
      <c r="BG404" s="7" t="s">
        <v>199</v>
      </c>
      <c r="BH404" s="7" t="s">
        <v>199</v>
      </c>
      <c r="BI404" s="7"/>
      <c r="BJ404" s="4">
        <v>7</v>
      </c>
      <c r="BK404" s="8">
        <v>399.66</v>
      </c>
      <c r="BL404" s="2" t="s">
        <v>996</v>
      </c>
      <c r="BM404" s="7"/>
      <c r="BN404" s="7"/>
      <c r="BO404" s="4"/>
      <c r="BP404" s="8"/>
      <c r="BQ404" s="4"/>
      <c r="BR404" s="8"/>
      <c r="BS404" s="7"/>
      <c r="BT404" s="7"/>
      <c r="BU404" s="2" t="s">
        <v>2415</v>
      </c>
      <c r="BV404" s="2" t="s">
        <v>199</v>
      </c>
      <c r="BW404" s="2" t="s">
        <v>199</v>
      </c>
      <c r="BX404" s="2" t="s">
        <v>260</v>
      </c>
      <c r="BY404" s="2" t="s">
        <v>209</v>
      </c>
      <c r="BZ404" s="2" t="s">
        <v>196</v>
      </c>
      <c r="CA404" s="2" t="s">
        <v>2416</v>
      </c>
      <c r="CB404" s="2" t="s">
        <v>2418</v>
      </c>
      <c r="CC404" s="2" t="s">
        <v>212</v>
      </c>
      <c r="CD404" s="2" t="s">
        <v>199</v>
      </c>
      <c r="CE404" s="4">
        <v>248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>
        <v>150</v>
      </c>
      <c r="DJ404" s="4"/>
      <c r="DK404" s="4"/>
      <c r="DL404" s="4"/>
      <c r="DM404" s="4"/>
      <c r="DN404" s="4"/>
      <c r="DO404" s="4"/>
      <c r="DP404" s="4"/>
      <c r="DQ404" s="4"/>
      <c r="DR404" s="4"/>
      <c r="DS404" s="4">
        <v>160</v>
      </c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>
        <v>252</v>
      </c>
      <c r="EU404" s="4">
        <v>233</v>
      </c>
      <c r="EV404" s="4">
        <v>217</v>
      </c>
      <c r="EW404" s="4">
        <v>201</v>
      </c>
      <c r="EX404" s="4">
        <v>185</v>
      </c>
      <c r="EY404" s="4">
        <v>319</v>
      </c>
      <c r="EZ404" s="4">
        <v>303</v>
      </c>
      <c r="FA404" s="4">
        <v>287</v>
      </c>
      <c r="FB404" s="4">
        <v>429</v>
      </c>
      <c r="FC404" s="4">
        <v>413</v>
      </c>
      <c r="FD404" s="4">
        <v>397</v>
      </c>
      <c r="FE404" s="4">
        <v>381</v>
      </c>
      <c r="FF404" s="4">
        <v>365</v>
      </c>
      <c r="FG404" s="4">
        <v>349</v>
      </c>
      <c r="FH404" s="4">
        <v>333</v>
      </c>
      <c r="FI404" s="4">
        <v>317</v>
      </c>
      <c r="FJ404" s="4">
        <v>301</v>
      </c>
      <c r="FK404" s="4">
        <v>285</v>
      </c>
      <c r="FL404" s="4">
        <v>269</v>
      </c>
      <c r="FM404" s="4">
        <v>253</v>
      </c>
      <c r="FN404" s="4">
        <v>237</v>
      </c>
      <c r="FO404" s="4">
        <v>221</v>
      </c>
      <c r="FP404" s="4">
        <v>203</v>
      </c>
      <c r="FQ404" s="4">
        <v>226</v>
      </c>
      <c r="FR404" s="4">
        <v>210</v>
      </c>
      <c r="FS404" s="4">
        <v>194</v>
      </c>
      <c r="FT404" s="19">
        <v>14.8</v>
      </c>
      <c r="FU404" s="19">
        <v>14.6</v>
      </c>
      <c r="FV404" s="19">
        <v>13.6</v>
      </c>
      <c r="FW404" s="19">
        <v>12.6</v>
      </c>
      <c r="FX404" s="19">
        <v>11.6</v>
      </c>
      <c r="FY404" s="19">
        <v>19.9</v>
      </c>
      <c r="FZ404" s="19">
        <v>18.9</v>
      </c>
      <c r="GA404" s="19">
        <v>17.9</v>
      </c>
      <c r="GB404" s="19">
        <v>26.8</v>
      </c>
      <c r="GC404" s="19">
        <v>25.8</v>
      </c>
      <c r="GD404" s="19">
        <v>24.8</v>
      </c>
      <c r="GE404" s="19">
        <v>23.8</v>
      </c>
      <c r="GF404" s="19">
        <v>22.8</v>
      </c>
      <c r="GG404" s="19">
        <v>21.8</v>
      </c>
      <c r="GH404" s="19">
        <v>20.8</v>
      </c>
      <c r="GI404" s="19">
        <v>19.8</v>
      </c>
      <c r="GJ404" s="19">
        <v>18.8</v>
      </c>
      <c r="GK404" s="19">
        <v>17.8</v>
      </c>
      <c r="GL404" s="19">
        <v>16.8</v>
      </c>
      <c r="GM404" s="19">
        <v>15.8</v>
      </c>
      <c r="GN404" s="19">
        <v>14.8</v>
      </c>
      <c r="GO404" s="19">
        <v>13.8</v>
      </c>
      <c r="GP404" s="19">
        <v>12.7</v>
      </c>
      <c r="GQ404" s="19">
        <v>14.1</v>
      </c>
      <c r="GR404" s="19">
        <v>13.1</v>
      </c>
      <c r="GS404" s="19">
        <v>12.1</v>
      </c>
    </row>
    <row r="405">
      <c r="A405" s="2" t="s">
        <v>2425</v>
      </c>
      <c r="B405" s="2" t="s">
        <v>630</v>
      </c>
      <c r="C405" s="2" t="s">
        <v>295</v>
      </c>
      <c r="D405" s="2" t="s">
        <v>228</v>
      </c>
      <c r="E405" s="2" t="s">
        <v>2426</v>
      </c>
      <c r="F405" s="2" t="s">
        <v>2427</v>
      </c>
      <c r="G405" s="2" t="s">
        <v>2428</v>
      </c>
      <c r="H405" s="2" t="s">
        <v>2429</v>
      </c>
      <c r="I405" s="2" t="s">
        <v>2430</v>
      </c>
      <c r="J405" s="2" t="s">
        <v>251</v>
      </c>
      <c r="K405" s="2" t="s">
        <v>405</v>
      </c>
      <c r="L405" s="3">
        <v>98.99</v>
      </c>
      <c r="M405" s="3">
        <v>103.94</v>
      </c>
      <c r="N405" s="3">
        <v>199.99</v>
      </c>
      <c r="O405" s="2" t="s">
        <v>196</v>
      </c>
      <c r="P405" s="2" t="s">
        <v>197</v>
      </c>
      <c r="Q405" s="2" t="s">
        <v>198</v>
      </c>
      <c r="R405" s="2" t="s">
        <v>199</v>
      </c>
      <c r="S405" s="2" t="s">
        <v>2431</v>
      </c>
      <c r="T405" s="2" t="s">
        <v>978</v>
      </c>
      <c r="U405" s="2" t="s">
        <v>2432</v>
      </c>
      <c r="V405" s="2" t="s">
        <v>681</v>
      </c>
      <c r="W405" s="2" t="s">
        <v>768</v>
      </c>
      <c r="X405" s="2" t="s">
        <v>2433</v>
      </c>
      <c r="Y405" s="2" t="s">
        <v>2434</v>
      </c>
      <c r="Z405" s="4">
        <v>252</v>
      </c>
      <c r="AA405" s="4">
        <f>=ROUNDDOWN(50.4,0)</f>
      </c>
      <c r="AB405" s="5">
        <v>5</v>
      </c>
      <c r="AC405" s="2" t="s">
        <v>199</v>
      </c>
      <c r="AD405" s="4"/>
      <c r="AE405" s="4"/>
      <c r="AF405" s="6">
        <v>64</v>
      </c>
      <c r="AG405" s="6"/>
      <c r="AH405" s="7">
        <v>1</v>
      </c>
      <c r="AI405" s="4"/>
      <c r="AJ405" s="4">
        <f>=ROUNDDOWN({0},0)</f>
      </c>
      <c r="AK405" s="5"/>
      <c r="AL405" s="2" t="s">
        <v>199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12</v>
      </c>
      <c r="BK405" s="8">
        <v>1371.28</v>
      </c>
      <c r="BL405" s="2" t="s">
        <v>2435</v>
      </c>
      <c r="BM405" s="7"/>
      <c r="BN405" s="7"/>
      <c r="BO405" s="4"/>
      <c r="BP405" s="8"/>
      <c r="BQ405" s="4"/>
      <c r="BR405" s="8"/>
      <c r="BS405" s="7"/>
      <c r="BT405" s="7"/>
      <c r="BU405" s="2" t="s">
        <v>2436</v>
      </c>
      <c r="BV405" s="2" t="s">
        <v>199</v>
      </c>
      <c r="BW405" s="2" t="s">
        <v>199</v>
      </c>
      <c r="BX405" s="2" t="s">
        <v>260</v>
      </c>
      <c r="BY405" s="2" t="s">
        <v>209</v>
      </c>
      <c r="BZ405" s="2" t="s">
        <v>196</v>
      </c>
      <c r="CA405" s="2" t="s">
        <v>2434</v>
      </c>
      <c r="CB405" s="2" t="s">
        <v>1828</v>
      </c>
      <c r="CC405" s="2" t="s">
        <v>212</v>
      </c>
      <c r="CD405" s="2" t="s">
        <v>199</v>
      </c>
      <c r="CE405" s="4">
        <v>252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>
        <v>253</v>
      </c>
      <c r="EU405" s="4">
        <v>246</v>
      </c>
      <c r="EV405" s="4">
        <v>241</v>
      </c>
      <c r="EW405" s="4">
        <v>236</v>
      </c>
      <c r="EX405" s="4">
        <v>231</v>
      </c>
      <c r="EY405" s="4">
        <v>226</v>
      </c>
      <c r="EZ405" s="4">
        <v>221</v>
      </c>
      <c r="FA405" s="4">
        <v>216</v>
      </c>
      <c r="FB405" s="4">
        <v>211</v>
      </c>
      <c r="FC405" s="4">
        <v>206</v>
      </c>
      <c r="FD405" s="4">
        <v>201</v>
      </c>
      <c r="FE405" s="4">
        <v>196</v>
      </c>
      <c r="FF405" s="4">
        <v>191</v>
      </c>
      <c r="FG405" s="4">
        <v>186</v>
      </c>
      <c r="FH405" s="4">
        <v>181</v>
      </c>
      <c r="FI405" s="4">
        <v>176</v>
      </c>
      <c r="FJ405" s="4">
        <v>171</v>
      </c>
      <c r="FK405" s="4">
        <v>166</v>
      </c>
      <c r="FL405" s="4">
        <v>161</v>
      </c>
      <c r="FM405" s="4">
        <v>156</v>
      </c>
      <c r="FN405" s="4">
        <v>151</v>
      </c>
      <c r="FO405" s="4">
        <v>146</v>
      </c>
      <c r="FP405" s="4">
        <v>141</v>
      </c>
      <c r="FQ405" s="4">
        <v>136</v>
      </c>
      <c r="FR405" s="4">
        <v>131</v>
      </c>
      <c r="FS405" s="4">
        <v>126</v>
      </c>
      <c r="FT405" s="19">
        <v>42.2</v>
      </c>
      <c r="FU405" s="19">
        <v>49.2</v>
      </c>
      <c r="FV405" s="19">
        <v>48.2</v>
      </c>
      <c r="FW405" s="19">
        <v>47.2</v>
      </c>
      <c r="FX405" s="19">
        <v>46.2</v>
      </c>
      <c r="FY405" s="19">
        <v>45.2</v>
      </c>
      <c r="FZ405" s="19">
        <v>44.2</v>
      </c>
      <c r="GA405" s="19">
        <v>43.2</v>
      </c>
      <c r="GB405" s="19">
        <v>42.2</v>
      </c>
      <c r="GC405" s="19">
        <v>41.2</v>
      </c>
      <c r="GD405" s="19">
        <v>40.2</v>
      </c>
      <c r="GE405" s="19">
        <v>39.2</v>
      </c>
      <c r="GF405" s="19">
        <v>38.2</v>
      </c>
      <c r="GG405" s="19">
        <v>37.2</v>
      </c>
      <c r="GH405" s="19">
        <v>36.2</v>
      </c>
      <c r="GI405" s="19">
        <v>35.2</v>
      </c>
      <c r="GJ405" s="19">
        <v>34.2</v>
      </c>
      <c r="GK405" s="19">
        <v>33.2</v>
      </c>
      <c r="GL405" s="19">
        <v>32.2</v>
      </c>
      <c r="GM405" s="19">
        <v>31.2</v>
      </c>
      <c r="GN405" s="19">
        <v>30.2</v>
      </c>
      <c r="GO405" s="19">
        <v>29.2</v>
      </c>
      <c r="GP405" s="19">
        <v>28.2</v>
      </c>
      <c r="GQ405" s="19">
        <v>27.2</v>
      </c>
      <c r="GR405" s="19">
        <v>26.2</v>
      </c>
      <c r="GS405" s="19">
        <v>25.2</v>
      </c>
    </row>
    <row r="406">
      <c r="A406" s="2" t="s">
        <v>2437</v>
      </c>
      <c r="B406" s="2" t="s">
        <v>630</v>
      </c>
      <c r="C406" s="2" t="s">
        <v>246</v>
      </c>
      <c r="D406" s="2" t="s">
        <v>228</v>
      </c>
      <c r="E406" s="2" t="s">
        <v>487</v>
      </c>
      <c r="F406" s="2" t="s">
        <v>2438</v>
      </c>
      <c r="G406" s="2" t="s">
        <v>2439</v>
      </c>
      <c r="H406" s="2" t="s">
        <v>1300</v>
      </c>
      <c r="I406" s="2" t="s">
        <v>2440</v>
      </c>
      <c r="J406" s="2" t="s">
        <v>219</v>
      </c>
      <c r="K406" s="2" t="s">
        <v>195</v>
      </c>
      <c r="L406" s="3">
        <v>72</v>
      </c>
      <c r="M406" s="3">
        <v>75.59</v>
      </c>
      <c r="N406" s="3">
        <v>149.99</v>
      </c>
      <c r="O406" s="2" t="s">
        <v>196</v>
      </c>
      <c r="P406" s="2" t="s">
        <v>197</v>
      </c>
      <c r="Q406" s="2" t="s">
        <v>198</v>
      </c>
      <c r="R406" s="2" t="s">
        <v>199</v>
      </c>
      <c r="S406" s="2" t="s">
        <v>2441</v>
      </c>
      <c r="T406" s="2" t="s">
        <v>978</v>
      </c>
      <c r="U406" s="2" t="s">
        <v>1907</v>
      </c>
      <c r="V406" s="2" t="s">
        <v>767</v>
      </c>
      <c r="W406" s="2" t="s">
        <v>529</v>
      </c>
      <c r="X406" s="2" t="s">
        <v>2442</v>
      </c>
      <c r="Y406" s="2" t="s">
        <v>204</v>
      </c>
      <c r="Z406" s="4">
        <v>513</v>
      </c>
      <c r="AA406" s="4">
        <f>=ROUNDDOWN(25.65,0)</f>
      </c>
      <c r="AB406" s="5">
        <v>20</v>
      </c>
      <c r="AC406" s="2" t="s">
        <v>236</v>
      </c>
      <c r="AD406" s="4">
        <v>300</v>
      </c>
      <c r="AE406" s="4">
        <v>300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199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90</v>
      </c>
      <c r="BK406" s="8">
        <v>6525.55</v>
      </c>
      <c r="BL406" s="2" t="s">
        <v>2443</v>
      </c>
      <c r="BM406" s="7"/>
      <c r="BN406" s="7"/>
      <c r="BO406" s="4"/>
      <c r="BP406" s="8"/>
      <c r="BQ406" s="4"/>
      <c r="BR406" s="8"/>
      <c r="BS406" s="7"/>
      <c r="BT406" s="7"/>
      <c r="BU406" s="2" t="s">
        <v>2444</v>
      </c>
      <c r="BV406" s="2" t="s">
        <v>199</v>
      </c>
      <c r="BW406" s="2" t="s">
        <v>199</v>
      </c>
      <c r="BX406" s="2" t="s">
        <v>208</v>
      </c>
      <c r="BY406" s="2" t="s">
        <v>209</v>
      </c>
      <c r="BZ406" s="2" t="s">
        <v>196</v>
      </c>
      <c r="CA406" s="2" t="s">
        <v>210</v>
      </c>
      <c r="CB406" s="2" t="s">
        <v>773</v>
      </c>
      <c r="CC406" s="2" t="s">
        <v>212</v>
      </c>
      <c r="CD406" s="2" t="s">
        <v>199</v>
      </c>
      <c r="CE406" s="4">
        <v>387</v>
      </c>
      <c r="CF406" s="4"/>
      <c r="CG406" s="4"/>
      <c r="CH406" s="4">
        <v>126</v>
      </c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>
        <v>300</v>
      </c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>
        <v>524</v>
      </c>
      <c r="EU406" s="4">
        <v>497</v>
      </c>
      <c r="EV406" s="4">
        <v>477</v>
      </c>
      <c r="EW406" s="4">
        <v>457</v>
      </c>
      <c r="EX406" s="4">
        <v>437</v>
      </c>
      <c r="EY406" s="4">
        <v>417</v>
      </c>
      <c r="EZ406" s="4">
        <v>397</v>
      </c>
      <c r="FA406" s="4">
        <v>377</v>
      </c>
      <c r="FB406" s="4">
        <v>356</v>
      </c>
      <c r="FC406" s="4">
        <v>336</v>
      </c>
      <c r="FD406" s="4">
        <v>616</v>
      </c>
      <c r="FE406" s="4">
        <v>596</v>
      </c>
      <c r="FF406" s="4">
        <v>576</v>
      </c>
      <c r="FG406" s="4">
        <v>556</v>
      </c>
      <c r="FH406" s="4">
        <v>536</v>
      </c>
      <c r="FI406" s="4">
        <v>515</v>
      </c>
      <c r="FJ406" s="4">
        <v>495</v>
      </c>
      <c r="FK406" s="4">
        <v>475</v>
      </c>
      <c r="FL406" s="4">
        <v>455</v>
      </c>
      <c r="FM406" s="4">
        <v>435</v>
      </c>
      <c r="FN406" s="4">
        <v>414</v>
      </c>
      <c r="FO406" s="4">
        <v>394</v>
      </c>
      <c r="FP406" s="4">
        <v>373</v>
      </c>
      <c r="FQ406" s="4">
        <v>353</v>
      </c>
      <c r="FR406" s="4">
        <v>333</v>
      </c>
      <c r="FS406" s="4">
        <v>313</v>
      </c>
      <c r="FT406" s="19">
        <v>27.8</v>
      </c>
      <c r="FU406" s="19">
        <v>27.1</v>
      </c>
      <c r="FV406" s="19">
        <v>26.1</v>
      </c>
      <c r="FW406" s="19">
        <v>25.1</v>
      </c>
      <c r="FX406" s="19">
        <v>24.1</v>
      </c>
      <c r="FY406" s="19">
        <v>23.1</v>
      </c>
      <c r="FZ406" s="19">
        <v>22.1</v>
      </c>
      <c r="GA406" s="19">
        <v>21.1</v>
      </c>
      <c r="GB406" s="19">
        <v>20.1</v>
      </c>
      <c r="GC406" s="19">
        <v>19.1</v>
      </c>
      <c r="GD406" s="19">
        <v>27.5</v>
      </c>
      <c r="GE406" s="19">
        <v>26.5</v>
      </c>
      <c r="GF406" s="19">
        <v>25.5</v>
      </c>
      <c r="GG406" s="19">
        <v>24.5</v>
      </c>
      <c r="GH406" s="19">
        <v>23.5</v>
      </c>
      <c r="GI406" s="19">
        <v>22.4</v>
      </c>
      <c r="GJ406" s="19">
        <v>21.4</v>
      </c>
      <c r="GK406" s="19">
        <v>20.4</v>
      </c>
      <c r="GL406" s="19">
        <v>19.4</v>
      </c>
      <c r="GM406" s="19">
        <v>18.4</v>
      </c>
      <c r="GN406" s="19">
        <v>17.4</v>
      </c>
      <c r="GO406" s="19">
        <v>16.4</v>
      </c>
      <c r="GP406" s="19">
        <v>15.4</v>
      </c>
      <c r="GQ406" s="19">
        <v>14.4</v>
      </c>
      <c r="GR406" s="19">
        <v>13.4</v>
      </c>
      <c r="GS406" s="19">
        <v>12.4</v>
      </c>
    </row>
    <row r="407">
      <c r="A407" s="2" t="s">
        <v>2445</v>
      </c>
      <c r="B407" s="2" t="s">
        <v>672</v>
      </c>
      <c r="C407" s="2" t="s">
        <v>2446</v>
      </c>
      <c r="D407" s="2" t="s">
        <v>673</v>
      </c>
      <c r="E407" s="2" t="s">
        <v>674</v>
      </c>
      <c r="F407" s="2" t="s">
        <v>2447</v>
      </c>
      <c r="G407" s="2" t="s">
        <v>2448</v>
      </c>
      <c r="H407" s="2" t="s">
        <v>2449</v>
      </c>
      <c r="I407" s="2" t="s">
        <v>2450</v>
      </c>
      <c r="J407" s="2" t="s">
        <v>694</v>
      </c>
      <c r="K407" s="2" t="s">
        <v>2192</v>
      </c>
      <c r="L407" s="3">
        <v>18</v>
      </c>
      <c r="M407" s="3">
        <v>18.9</v>
      </c>
      <c r="N407" s="3">
        <v>39.99</v>
      </c>
      <c r="O407" s="2" t="s">
        <v>196</v>
      </c>
      <c r="P407" s="2" t="s">
        <v>197</v>
      </c>
      <c r="Q407" s="2" t="s">
        <v>198</v>
      </c>
      <c r="R407" s="2" t="s">
        <v>199</v>
      </c>
      <c r="S407" s="2" t="s">
        <v>2451</v>
      </c>
      <c r="T407" s="2" t="s">
        <v>199</v>
      </c>
      <c r="U407" s="2" t="s">
        <v>199</v>
      </c>
      <c r="V407" s="2" t="s">
        <v>696</v>
      </c>
      <c r="W407" s="2" t="s">
        <v>203</v>
      </c>
      <c r="X407" s="2" t="s">
        <v>2452</v>
      </c>
      <c r="Y407" s="2" t="s">
        <v>2390</v>
      </c>
      <c r="Z407" s="4">
        <v>277</v>
      </c>
      <c r="AA407" s="4">
        <f>=ROUNDDOWN(46.1666666666667,0)</f>
      </c>
      <c r="AB407" s="5">
        <v>6</v>
      </c>
      <c r="AC407" s="2" t="s">
        <v>199</v>
      </c>
      <c r="AD407" s="4"/>
      <c r="AE407" s="4"/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37</v>
      </c>
      <c r="BK407" s="8">
        <v>802.6</v>
      </c>
      <c r="BL407" s="2" t="s">
        <v>703</v>
      </c>
      <c r="BM407" s="7"/>
      <c r="BN407" s="7"/>
      <c r="BO407" s="4"/>
      <c r="BP407" s="8"/>
      <c r="BQ407" s="4"/>
      <c r="BR407" s="8"/>
      <c r="BS407" s="7"/>
      <c r="BT407" s="7"/>
      <c r="BU407" s="2" t="s">
        <v>2453</v>
      </c>
      <c r="BV407" s="2" t="s">
        <v>199</v>
      </c>
      <c r="BW407" s="2" t="s">
        <v>199</v>
      </c>
      <c r="BX407" s="2" t="s">
        <v>208</v>
      </c>
      <c r="BY407" s="2" t="s">
        <v>209</v>
      </c>
      <c r="BZ407" s="2" t="s">
        <v>196</v>
      </c>
      <c r="CA407" s="2" t="s">
        <v>521</v>
      </c>
      <c r="CB407" s="2" t="s">
        <v>2454</v>
      </c>
      <c r="CC407" s="2" t="s">
        <v>212</v>
      </c>
      <c r="CD407" s="2" t="s">
        <v>199</v>
      </c>
      <c r="CE407" s="4">
        <v>277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>
        <v>283</v>
      </c>
      <c r="EU407" s="4">
        <v>272</v>
      </c>
      <c r="EV407" s="4">
        <v>266</v>
      </c>
      <c r="EW407" s="4">
        <v>260</v>
      </c>
      <c r="EX407" s="4">
        <v>254</v>
      </c>
      <c r="EY407" s="4">
        <v>248</v>
      </c>
      <c r="EZ407" s="4">
        <v>242</v>
      </c>
      <c r="FA407" s="4">
        <v>236</v>
      </c>
      <c r="FB407" s="4">
        <v>229</v>
      </c>
      <c r="FC407" s="4">
        <v>223</v>
      </c>
      <c r="FD407" s="4">
        <v>217</v>
      </c>
      <c r="FE407" s="4">
        <v>211</v>
      </c>
      <c r="FF407" s="4">
        <v>205</v>
      </c>
      <c r="FG407" s="4">
        <v>199</v>
      </c>
      <c r="FH407" s="4">
        <v>193</v>
      </c>
      <c r="FI407" s="4">
        <v>187</v>
      </c>
      <c r="FJ407" s="4">
        <v>181</v>
      </c>
      <c r="FK407" s="4">
        <v>175</v>
      </c>
      <c r="FL407" s="4">
        <v>169</v>
      </c>
      <c r="FM407" s="4">
        <v>163</v>
      </c>
      <c r="FN407" s="4">
        <v>157</v>
      </c>
      <c r="FO407" s="4">
        <v>151</v>
      </c>
      <c r="FP407" s="4">
        <v>144</v>
      </c>
      <c r="FQ407" s="4">
        <v>138</v>
      </c>
      <c r="FR407" s="4">
        <v>132</v>
      </c>
      <c r="FS407" s="4">
        <v>126</v>
      </c>
      <c r="FT407" s="19">
        <v>40.4</v>
      </c>
      <c r="FU407" s="19">
        <v>45.3</v>
      </c>
      <c r="FV407" s="19">
        <v>44.3</v>
      </c>
      <c r="FW407" s="19">
        <v>43.3</v>
      </c>
      <c r="FX407" s="19">
        <v>42.3</v>
      </c>
      <c r="FY407" s="19">
        <v>41.3</v>
      </c>
      <c r="FZ407" s="19">
        <v>40.3</v>
      </c>
      <c r="GA407" s="19">
        <v>39.3</v>
      </c>
      <c r="GB407" s="19">
        <v>38.2</v>
      </c>
      <c r="GC407" s="19">
        <v>37.2</v>
      </c>
      <c r="GD407" s="19">
        <v>36.2</v>
      </c>
      <c r="GE407" s="19">
        <v>35.2</v>
      </c>
      <c r="GF407" s="19">
        <v>34.2</v>
      </c>
      <c r="GG407" s="19">
        <v>33.2</v>
      </c>
      <c r="GH407" s="19">
        <v>32.2</v>
      </c>
      <c r="GI407" s="19">
        <v>31.2</v>
      </c>
      <c r="GJ407" s="19">
        <v>30.2</v>
      </c>
      <c r="GK407" s="19">
        <v>29.2</v>
      </c>
      <c r="GL407" s="19">
        <v>28.2</v>
      </c>
      <c r="GM407" s="19">
        <v>27.2</v>
      </c>
      <c r="GN407" s="19">
        <v>26.2</v>
      </c>
      <c r="GO407" s="19">
        <v>25.2</v>
      </c>
      <c r="GP407" s="19">
        <v>24</v>
      </c>
      <c r="GQ407" s="19">
        <v>23</v>
      </c>
      <c r="GR407" s="19">
        <v>22</v>
      </c>
      <c r="GS407" s="19">
        <v>21</v>
      </c>
    </row>
    <row r="408">
      <c r="A408" s="2" t="s">
        <v>2455</v>
      </c>
      <c r="B408" s="2" t="s">
        <v>630</v>
      </c>
      <c r="C408" s="2" t="s">
        <v>295</v>
      </c>
      <c r="D408" s="2" t="s">
        <v>228</v>
      </c>
      <c r="E408" s="2" t="s">
        <v>2456</v>
      </c>
      <c r="F408" s="2" t="s">
        <v>2457</v>
      </c>
      <c r="G408" s="2" t="s">
        <v>2458</v>
      </c>
      <c r="H408" s="2" t="s">
        <v>2459</v>
      </c>
      <c r="I408" s="2" t="s">
        <v>2460</v>
      </c>
      <c r="J408" s="2" t="s">
        <v>251</v>
      </c>
      <c r="K408" s="2" t="s">
        <v>360</v>
      </c>
      <c r="L408" s="3">
        <v>67.59</v>
      </c>
      <c r="M408" s="3">
        <v>70.97</v>
      </c>
      <c r="N408" s="3">
        <v>129.99</v>
      </c>
      <c r="O408" s="2" t="s">
        <v>196</v>
      </c>
      <c r="P408" s="2" t="s">
        <v>197</v>
      </c>
      <c r="Q408" s="2" t="s">
        <v>198</v>
      </c>
      <c r="R408" s="2" t="s">
        <v>199</v>
      </c>
      <c r="S408" s="2" t="s">
        <v>2461</v>
      </c>
      <c r="T408" s="2" t="s">
        <v>386</v>
      </c>
      <c r="U408" s="2" t="s">
        <v>1907</v>
      </c>
      <c r="V408" s="2" t="s">
        <v>638</v>
      </c>
      <c r="W408" s="2" t="s">
        <v>510</v>
      </c>
      <c r="X408" s="2" t="s">
        <v>199</v>
      </c>
      <c r="Y408" s="2" t="s">
        <v>204</v>
      </c>
      <c r="Z408" s="4">
        <v>198</v>
      </c>
      <c r="AA408" s="4">
        <f>=ROUNDDOWN(49.5,0)</f>
      </c>
      <c r="AB408" s="5">
        <v>4</v>
      </c>
      <c r="AC408" s="2" t="s">
        <v>199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199</v>
      </c>
      <c r="BD408" s="8" t="s">
        <v>199</v>
      </c>
      <c r="BE408" s="4" t="s">
        <v>199</v>
      </c>
      <c r="BF408" s="8" t="s">
        <v>199</v>
      </c>
      <c r="BG408" s="7" t="s">
        <v>199</v>
      </c>
      <c r="BH408" s="7" t="s">
        <v>199</v>
      </c>
      <c r="BI408" s="7"/>
      <c r="BJ408" s="4">
        <v>16</v>
      </c>
      <c r="BK408" s="8">
        <v>1136.42</v>
      </c>
      <c r="BL408" s="2" t="s">
        <v>327</v>
      </c>
      <c r="BM408" s="7"/>
      <c r="BN408" s="7"/>
      <c r="BO408" s="4"/>
      <c r="BP408" s="8"/>
      <c r="BQ408" s="4"/>
      <c r="BR408" s="8"/>
      <c r="BS408" s="7"/>
      <c r="BT408" s="7"/>
      <c r="BU408" s="2" t="s">
        <v>2462</v>
      </c>
      <c r="BV408" s="2" t="s">
        <v>199</v>
      </c>
      <c r="BW408" s="2" t="s">
        <v>199</v>
      </c>
      <c r="BX408" s="2" t="s">
        <v>260</v>
      </c>
      <c r="BY408" s="2" t="s">
        <v>209</v>
      </c>
      <c r="BZ408" s="2" t="s">
        <v>196</v>
      </c>
      <c r="CA408" s="2" t="s">
        <v>210</v>
      </c>
      <c r="CB408" s="2" t="s">
        <v>287</v>
      </c>
      <c r="CC408" s="2" t="s">
        <v>212</v>
      </c>
      <c r="CD408" s="2" t="s">
        <v>199</v>
      </c>
      <c r="CE408" s="4">
        <v>198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>
        <v>200</v>
      </c>
      <c r="EU408" s="4">
        <v>195</v>
      </c>
      <c r="EV408" s="4">
        <v>191</v>
      </c>
      <c r="EW408" s="4">
        <v>187</v>
      </c>
      <c r="EX408" s="4">
        <v>183</v>
      </c>
      <c r="EY408" s="4">
        <v>179</v>
      </c>
      <c r="EZ408" s="4">
        <v>175</v>
      </c>
      <c r="FA408" s="4">
        <v>171</v>
      </c>
      <c r="FB408" s="4">
        <v>167</v>
      </c>
      <c r="FC408" s="4">
        <v>163</v>
      </c>
      <c r="FD408" s="4">
        <v>159</v>
      </c>
      <c r="FE408" s="4">
        <v>155</v>
      </c>
      <c r="FF408" s="4">
        <v>151</v>
      </c>
      <c r="FG408" s="4">
        <v>147</v>
      </c>
      <c r="FH408" s="4">
        <v>143</v>
      </c>
      <c r="FI408" s="4">
        <v>139</v>
      </c>
      <c r="FJ408" s="4">
        <v>135</v>
      </c>
      <c r="FK408" s="4">
        <v>131</v>
      </c>
      <c r="FL408" s="4">
        <v>127</v>
      </c>
      <c r="FM408" s="4">
        <v>123</v>
      </c>
      <c r="FN408" s="4">
        <v>119</v>
      </c>
      <c r="FO408" s="4">
        <v>115</v>
      </c>
      <c r="FP408" s="4">
        <v>111</v>
      </c>
      <c r="FQ408" s="4">
        <v>107</v>
      </c>
      <c r="FR408" s="4">
        <v>103</v>
      </c>
      <c r="FS408" s="4">
        <v>99</v>
      </c>
      <c r="FT408" s="19">
        <v>50</v>
      </c>
      <c r="FU408" s="19">
        <v>48.8</v>
      </c>
      <c r="FV408" s="19">
        <v>47.8</v>
      </c>
      <c r="FW408" s="19">
        <v>46.8</v>
      </c>
      <c r="FX408" s="19">
        <v>45.8</v>
      </c>
      <c r="FY408" s="19">
        <v>44.8</v>
      </c>
      <c r="FZ408" s="19">
        <v>43.8</v>
      </c>
      <c r="GA408" s="19">
        <v>42.8</v>
      </c>
      <c r="GB408" s="19">
        <v>41.8</v>
      </c>
      <c r="GC408" s="19">
        <v>40.8</v>
      </c>
      <c r="GD408" s="19">
        <v>39.8</v>
      </c>
      <c r="GE408" s="19">
        <v>38.8</v>
      </c>
      <c r="GF408" s="19">
        <v>37.8</v>
      </c>
      <c r="GG408" s="19">
        <v>36.8</v>
      </c>
      <c r="GH408" s="19">
        <v>35.8</v>
      </c>
      <c r="GI408" s="19">
        <v>34.8</v>
      </c>
      <c r="GJ408" s="19">
        <v>33.8</v>
      </c>
      <c r="GK408" s="19">
        <v>32.8</v>
      </c>
      <c r="GL408" s="19">
        <v>31.8</v>
      </c>
      <c r="GM408" s="19">
        <v>30.8</v>
      </c>
      <c r="GN408" s="19">
        <v>29.8</v>
      </c>
      <c r="GO408" s="19">
        <v>28.8</v>
      </c>
      <c r="GP408" s="19">
        <v>27.8</v>
      </c>
      <c r="GQ408" s="19">
        <v>26.8</v>
      </c>
      <c r="GR408" s="19">
        <v>25.8</v>
      </c>
      <c r="GS408" s="19">
        <v>24.8</v>
      </c>
    </row>
    <row r="409">
      <c r="A409" s="2" t="s">
        <v>2463</v>
      </c>
      <c r="B409" s="2" t="s">
        <v>630</v>
      </c>
      <c r="C409" s="2" t="s">
        <v>295</v>
      </c>
      <c r="D409" s="2" t="s">
        <v>759</v>
      </c>
      <c r="E409" s="2" t="s">
        <v>2456</v>
      </c>
      <c r="F409" s="2" t="s">
        <v>2457</v>
      </c>
      <c r="G409" s="2" t="s">
        <v>2458</v>
      </c>
      <c r="H409" s="2" t="s">
        <v>2459</v>
      </c>
      <c r="I409" s="2" t="s">
        <v>2464</v>
      </c>
      <c r="J409" s="2" t="s">
        <v>194</v>
      </c>
      <c r="K409" s="2" t="s">
        <v>371</v>
      </c>
      <c r="L409" s="3">
        <v>47.17</v>
      </c>
      <c r="M409" s="3">
        <v>49.53</v>
      </c>
      <c r="N409" s="3">
        <v>89</v>
      </c>
      <c r="O409" s="2" t="s">
        <v>196</v>
      </c>
      <c r="P409" s="2" t="s">
        <v>197</v>
      </c>
      <c r="Q409" s="2" t="s">
        <v>198</v>
      </c>
      <c r="R409" s="2" t="s">
        <v>199</v>
      </c>
      <c r="S409" s="2" t="s">
        <v>2465</v>
      </c>
      <c r="T409" s="2" t="s">
        <v>386</v>
      </c>
      <c r="U409" s="2" t="s">
        <v>546</v>
      </c>
      <c r="V409" s="2" t="s">
        <v>638</v>
      </c>
      <c r="W409" s="2" t="s">
        <v>510</v>
      </c>
      <c r="X409" s="2" t="s">
        <v>199</v>
      </c>
      <c r="Y409" s="2" t="s">
        <v>204</v>
      </c>
      <c r="Z409" s="4">
        <v>65</v>
      </c>
      <c r="AA409" s="4">
        <f>=ROUNDDOWN(21.6666666666667,0)</f>
      </c>
      <c r="AB409" s="5">
        <v>3</v>
      </c>
      <c r="AC409" s="2" t="s">
        <v>697</v>
      </c>
      <c r="AD409" s="4">
        <v>30</v>
      </c>
      <c r="AE409" s="4">
        <v>30</v>
      </c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199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199</v>
      </c>
      <c r="AW409" s="8" t="s">
        <v>199</v>
      </c>
      <c r="AX409" s="4" t="s">
        <v>199</v>
      </c>
      <c r="AY409" s="8" t="s">
        <v>199</v>
      </c>
      <c r="AZ409" s="7" t="s">
        <v>199</v>
      </c>
      <c r="BA409" s="7" t="s">
        <v>199</v>
      </c>
      <c r="BB409" s="7"/>
      <c r="BC409" s="4" t="s">
        <v>199</v>
      </c>
      <c r="BD409" s="8" t="s">
        <v>199</v>
      </c>
      <c r="BE409" s="4" t="s">
        <v>199</v>
      </c>
      <c r="BF409" s="8" t="s">
        <v>199</v>
      </c>
      <c r="BG409" s="7" t="s">
        <v>199</v>
      </c>
      <c r="BH409" s="7" t="s">
        <v>199</v>
      </c>
      <c r="BI409" s="7"/>
      <c r="BJ409" s="4">
        <v>12</v>
      </c>
      <c r="BK409" s="8">
        <v>557.91</v>
      </c>
      <c r="BL409" s="2" t="s">
        <v>2351</v>
      </c>
      <c r="BM409" s="7"/>
      <c r="BN409" s="7"/>
      <c r="BO409" s="4"/>
      <c r="BP409" s="8"/>
      <c r="BQ409" s="4"/>
      <c r="BR409" s="8"/>
      <c r="BS409" s="7"/>
      <c r="BT409" s="7"/>
      <c r="BU409" s="2" t="s">
        <v>2466</v>
      </c>
      <c r="BV409" s="2" t="s">
        <v>199</v>
      </c>
      <c r="BW409" s="2" t="s">
        <v>199</v>
      </c>
      <c r="BX409" s="2" t="s">
        <v>208</v>
      </c>
      <c r="BY409" s="2" t="s">
        <v>209</v>
      </c>
      <c r="BZ409" s="2" t="s">
        <v>196</v>
      </c>
      <c r="CA409" s="2" t="s">
        <v>2467</v>
      </c>
      <c r="CB409" s="2" t="s">
        <v>2468</v>
      </c>
      <c r="CC409" s="2" t="s">
        <v>212</v>
      </c>
      <c r="CD409" s="2" t="s">
        <v>199</v>
      </c>
      <c r="CE409" s="4">
        <v>65</v>
      </c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>
        <v>30</v>
      </c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>
        <v>66</v>
      </c>
      <c r="EU409" s="4">
        <v>62</v>
      </c>
      <c r="EV409" s="4">
        <v>59</v>
      </c>
      <c r="EW409" s="4">
        <v>56</v>
      </c>
      <c r="EX409" s="4">
        <v>83</v>
      </c>
      <c r="EY409" s="4">
        <v>80</v>
      </c>
      <c r="EZ409" s="4">
        <v>77</v>
      </c>
      <c r="FA409" s="4">
        <v>74</v>
      </c>
      <c r="FB409" s="4">
        <v>71</v>
      </c>
      <c r="FC409" s="4">
        <v>68</v>
      </c>
      <c r="FD409" s="4">
        <v>65</v>
      </c>
      <c r="FE409" s="4">
        <v>62</v>
      </c>
      <c r="FF409" s="4">
        <v>59</v>
      </c>
      <c r="FG409" s="4">
        <v>56</v>
      </c>
      <c r="FH409" s="4">
        <v>53</v>
      </c>
      <c r="FI409" s="4">
        <v>50</v>
      </c>
      <c r="FJ409" s="4">
        <v>47</v>
      </c>
      <c r="FK409" s="4">
        <v>44</v>
      </c>
      <c r="FL409" s="4">
        <v>41</v>
      </c>
      <c r="FM409" s="4">
        <v>55</v>
      </c>
      <c r="FN409" s="4">
        <v>52</v>
      </c>
      <c r="FO409" s="4">
        <v>49</v>
      </c>
      <c r="FP409" s="4">
        <v>46</v>
      </c>
      <c r="FQ409" s="4">
        <v>43</v>
      </c>
      <c r="FR409" s="4">
        <v>40</v>
      </c>
      <c r="FS409" s="4">
        <v>37</v>
      </c>
      <c r="FT409" s="19">
        <v>22</v>
      </c>
      <c r="FU409" s="19">
        <v>20.7</v>
      </c>
      <c r="FV409" s="19">
        <v>19.7</v>
      </c>
      <c r="FW409" s="19">
        <v>18.7</v>
      </c>
      <c r="FX409" s="19">
        <v>27.7</v>
      </c>
      <c r="FY409" s="19">
        <v>26.7</v>
      </c>
      <c r="FZ409" s="19">
        <v>25.7</v>
      </c>
      <c r="GA409" s="19">
        <v>24.7</v>
      </c>
      <c r="GB409" s="19">
        <v>23.7</v>
      </c>
      <c r="GC409" s="19">
        <v>22.7</v>
      </c>
      <c r="GD409" s="19">
        <v>21.7</v>
      </c>
      <c r="GE409" s="19">
        <v>20.7</v>
      </c>
      <c r="GF409" s="19">
        <v>19.7</v>
      </c>
      <c r="GG409" s="19">
        <v>18.7</v>
      </c>
      <c r="GH409" s="19">
        <v>17.7</v>
      </c>
      <c r="GI409" s="19">
        <v>16.7</v>
      </c>
      <c r="GJ409" s="19">
        <v>15.7</v>
      </c>
      <c r="GK409" s="19">
        <v>14.7</v>
      </c>
      <c r="GL409" s="19">
        <v>13.7</v>
      </c>
      <c r="GM409" s="19">
        <v>18.3</v>
      </c>
      <c r="GN409" s="19">
        <v>17.3</v>
      </c>
      <c r="GO409" s="19">
        <v>16.3</v>
      </c>
      <c r="GP409" s="19">
        <v>15.3</v>
      </c>
      <c r="GQ409" s="19">
        <v>14.3</v>
      </c>
      <c r="GR409" s="19">
        <v>13.3</v>
      </c>
      <c r="GS409" s="19">
        <v>9.3</v>
      </c>
    </row>
    <row r="410">
      <c r="A410" s="2" t="s">
        <v>2469</v>
      </c>
      <c r="B410" s="2" t="s">
        <v>630</v>
      </c>
      <c r="C410" s="2" t="s">
        <v>295</v>
      </c>
      <c r="D410" s="2" t="s">
        <v>228</v>
      </c>
      <c r="E410" s="2" t="s">
        <v>2456</v>
      </c>
      <c r="F410" s="2" t="s">
        <v>2457</v>
      </c>
      <c r="G410" s="2" t="s">
        <v>2458</v>
      </c>
      <c r="H410" s="2" t="s">
        <v>2459</v>
      </c>
      <c r="I410" s="2" t="s">
        <v>2460</v>
      </c>
      <c r="J410" s="2" t="s">
        <v>223</v>
      </c>
      <c r="K410" s="2" t="s">
        <v>371</v>
      </c>
      <c r="L410" s="3">
        <v>67.59</v>
      </c>
      <c r="M410" s="3">
        <v>70.97</v>
      </c>
      <c r="N410" s="3">
        <v>129.99</v>
      </c>
      <c r="O410" s="2" t="s">
        <v>196</v>
      </c>
      <c r="P410" s="2" t="s">
        <v>197</v>
      </c>
      <c r="Q410" s="2" t="s">
        <v>198</v>
      </c>
      <c r="R410" s="2" t="s">
        <v>199</v>
      </c>
      <c r="S410" s="2" t="s">
        <v>2470</v>
      </c>
      <c r="T410" s="2" t="s">
        <v>386</v>
      </c>
      <c r="U410" s="2" t="s">
        <v>1907</v>
      </c>
      <c r="V410" s="2" t="s">
        <v>638</v>
      </c>
      <c r="W410" s="2" t="s">
        <v>510</v>
      </c>
      <c r="X410" s="2" t="s">
        <v>199</v>
      </c>
      <c r="Y410" s="2" t="s">
        <v>204</v>
      </c>
      <c r="Z410" s="4">
        <v>157</v>
      </c>
      <c r="AA410" s="4">
        <f>=ROUNDDOWN(26.1666666666667,0)</f>
      </c>
      <c r="AB410" s="5">
        <v>6</v>
      </c>
      <c r="AC410" s="2" t="s">
        <v>697</v>
      </c>
      <c r="AD410" s="4">
        <v>60</v>
      </c>
      <c r="AE410" s="4">
        <v>60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199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199</v>
      </c>
      <c r="AW410" s="8" t="s">
        <v>199</v>
      </c>
      <c r="AX410" s="4" t="s">
        <v>199</v>
      </c>
      <c r="AY410" s="8" t="s">
        <v>199</v>
      </c>
      <c r="AZ410" s="7" t="s">
        <v>199</v>
      </c>
      <c r="BA410" s="7" t="s">
        <v>199</v>
      </c>
      <c r="BB410" s="7"/>
      <c r="BC410" s="4" t="s">
        <v>199</v>
      </c>
      <c r="BD410" s="8" t="s">
        <v>199</v>
      </c>
      <c r="BE410" s="4" t="s">
        <v>199</v>
      </c>
      <c r="BF410" s="8" t="s">
        <v>199</v>
      </c>
      <c r="BG410" s="7" t="s">
        <v>199</v>
      </c>
      <c r="BH410" s="7" t="s">
        <v>199</v>
      </c>
      <c r="BI410" s="7"/>
      <c r="BJ410" s="4">
        <v>45</v>
      </c>
      <c r="BK410" s="8">
        <v>3229.69</v>
      </c>
      <c r="BL410" s="2" t="s">
        <v>2471</v>
      </c>
      <c r="BM410" s="7"/>
      <c r="BN410" s="7"/>
      <c r="BO410" s="4"/>
      <c r="BP410" s="8"/>
      <c r="BQ410" s="4"/>
      <c r="BR410" s="8"/>
      <c r="BS410" s="7"/>
      <c r="BT410" s="7"/>
      <c r="BU410" s="2" t="s">
        <v>2462</v>
      </c>
      <c r="BV410" s="2" t="s">
        <v>199</v>
      </c>
      <c r="BW410" s="2" t="s">
        <v>199</v>
      </c>
      <c r="BX410" s="2" t="s">
        <v>260</v>
      </c>
      <c r="BY410" s="2" t="s">
        <v>209</v>
      </c>
      <c r="BZ410" s="2" t="s">
        <v>196</v>
      </c>
      <c r="CA410" s="2" t="s">
        <v>210</v>
      </c>
      <c r="CB410" s="2" t="s">
        <v>1911</v>
      </c>
      <c r="CC410" s="2" t="s">
        <v>212</v>
      </c>
      <c r="CD410" s="2" t="s">
        <v>199</v>
      </c>
      <c r="CE410" s="4">
        <v>91</v>
      </c>
      <c r="CF410" s="4">
        <v>66</v>
      </c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>
        <v>60</v>
      </c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>
        <v>158</v>
      </c>
      <c r="EU410" s="4">
        <v>149</v>
      </c>
      <c r="EV410" s="4">
        <v>143</v>
      </c>
      <c r="EW410" s="4">
        <v>137</v>
      </c>
      <c r="EX410" s="4">
        <v>191</v>
      </c>
      <c r="EY410" s="4">
        <v>185</v>
      </c>
      <c r="EZ410" s="4">
        <v>179</v>
      </c>
      <c r="FA410" s="4">
        <v>173</v>
      </c>
      <c r="FB410" s="4">
        <v>167</v>
      </c>
      <c r="FC410" s="4">
        <v>161</v>
      </c>
      <c r="FD410" s="4">
        <v>155</v>
      </c>
      <c r="FE410" s="4">
        <v>149</v>
      </c>
      <c r="FF410" s="4">
        <v>143</v>
      </c>
      <c r="FG410" s="4">
        <v>137</v>
      </c>
      <c r="FH410" s="4">
        <v>131</v>
      </c>
      <c r="FI410" s="4">
        <v>125</v>
      </c>
      <c r="FJ410" s="4">
        <v>119</v>
      </c>
      <c r="FK410" s="4">
        <v>113</v>
      </c>
      <c r="FL410" s="4">
        <v>107</v>
      </c>
      <c r="FM410" s="4">
        <v>102</v>
      </c>
      <c r="FN410" s="4">
        <v>96</v>
      </c>
      <c r="FO410" s="4">
        <v>90</v>
      </c>
      <c r="FP410" s="4">
        <v>84</v>
      </c>
      <c r="FQ410" s="4">
        <v>78</v>
      </c>
      <c r="FR410" s="4">
        <v>72</v>
      </c>
      <c r="FS410" s="4">
        <v>66</v>
      </c>
      <c r="FT410" s="19">
        <v>22.6</v>
      </c>
      <c r="FU410" s="19">
        <v>24.8</v>
      </c>
      <c r="FV410" s="19">
        <v>23.8</v>
      </c>
      <c r="FW410" s="19">
        <v>22.8</v>
      </c>
      <c r="FX410" s="19">
        <v>31.8</v>
      </c>
      <c r="FY410" s="19">
        <v>30.8</v>
      </c>
      <c r="FZ410" s="19">
        <v>29.8</v>
      </c>
      <c r="GA410" s="19">
        <v>28.8</v>
      </c>
      <c r="GB410" s="19">
        <v>27.8</v>
      </c>
      <c r="GC410" s="19">
        <v>26.8</v>
      </c>
      <c r="GD410" s="19">
        <v>25.8</v>
      </c>
      <c r="GE410" s="19">
        <v>24.8</v>
      </c>
      <c r="GF410" s="19">
        <v>23.8</v>
      </c>
      <c r="GG410" s="19">
        <v>22.8</v>
      </c>
      <c r="GH410" s="19">
        <v>21.8</v>
      </c>
      <c r="GI410" s="19">
        <v>20.8</v>
      </c>
      <c r="GJ410" s="19">
        <v>19.8</v>
      </c>
      <c r="GK410" s="19">
        <v>18.8</v>
      </c>
      <c r="GL410" s="19">
        <v>17.8</v>
      </c>
      <c r="GM410" s="19">
        <v>17</v>
      </c>
      <c r="GN410" s="19">
        <v>16</v>
      </c>
      <c r="GO410" s="19">
        <v>15</v>
      </c>
      <c r="GP410" s="19">
        <v>14</v>
      </c>
      <c r="GQ410" s="19">
        <v>13</v>
      </c>
      <c r="GR410" s="19">
        <v>12</v>
      </c>
      <c r="GS410" s="19">
        <v>11</v>
      </c>
    </row>
    <row r="411">
      <c r="A411" s="2" t="s">
        <v>2472</v>
      </c>
      <c r="B411" s="2" t="s">
        <v>630</v>
      </c>
      <c r="C411" s="2" t="s">
        <v>295</v>
      </c>
      <c r="D411" s="2" t="s">
        <v>228</v>
      </c>
      <c r="E411" s="2" t="s">
        <v>2456</v>
      </c>
      <c r="F411" s="2" t="s">
        <v>2457</v>
      </c>
      <c r="G411" s="2" t="s">
        <v>2458</v>
      </c>
      <c r="H411" s="2" t="s">
        <v>2459</v>
      </c>
      <c r="I411" s="2" t="s">
        <v>2460</v>
      </c>
      <c r="J411" s="2" t="s">
        <v>251</v>
      </c>
      <c r="K411" s="2" t="s">
        <v>371</v>
      </c>
      <c r="L411" s="3">
        <v>67.59</v>
      </c>
      <c r="M411" s="3">
        <v>70.97</v>
      </c>
      <c r="N411" s="3">
        <v>129.99</v>
      </c>
      <c r="O411" s="2" t="s">
        <v>196</v>
      </c>
      <c r="P411" s="2" t="s">
        <v>197</v>
      </c>
      <c r="Q411" s="2" t="s">
        <v>198</v>
      </c>
      <c r="R411" s="2" t="s">
        <v>199</v>
      </c>
      <c r="S411" s="2" t="s">
        <v>2470</v>
      </c>
      <c r="T411" s="2" t="s">
        <v>386</v>
      </c>
      <c r="U411" s="2" t="s">
        <v>1907</v>
      </c>
      <c r="V411" s="2" t="s">
        <v>638</v>
      </c>
      <c r="W411" s="2" t="s">
        <v>510</v>
      </c>
      <c r="X411" s="2" t="s">
        <v>199</v>
      </c>
      <c r="Y411" s="2" t="s">
        <v>204</v>
      </c>
      <c r="Z411" s="4">
        <v>154</v>
      </c>
      <c r="AA411" s="4">
        <f>=ROUNDDOWN(51.3333333333333,0)</f>
      </c>
      <c r="AB411" s="5">
        <v>3</v>
      </c>
      <c r="AC411" s="2" t="s">
        <v>697</v>
      </c>
      <c r="AD411" s="4">
        <v>20</v>
      </c>
      <c r="AE411" s="4">
        <v>20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199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199</v>
      </c>
      <c r="AW411" s="8" t="s">
        <v>199</v>
      </c>
      <c r="AX411" s="4" t="s">
        <v>199</v>
      </c>
      <c r="AY411" s="8" t="s">
        <v>199</v>
      </c>
      <c r="AZ411" s="7" t="s">
        <v>199</v>
      </c>
      <c r="BA411" s="7" t="s">
        <v>199</v>
      </c>
      <c r="BB411" s="7"/>
      <c r="BC411" s="4" t="s">
        <v>199</v>
      </c>
      <c r="BD411" s="8" t="s">
        <v>199</v>
      </c>
      <c r="BE411" s="4" t="s">
        <v>199</v>
      </c>
      <c r="BF411" s="8" t="s">
        <v>199</v>
      </c>
      <c r="BG411" s="7" t="s">
        <v>199</v>
      </c>
      <c r="BH411" s="7" t="s">
        <v>199</v>
      </c>
      <c r="BI411" s="7"/>
      <c r="BJ411" s="4">
        <v>16</v>
      </c>
      <c r="BK411" s="8">
        <v>1149.09</v>
      </c>
      <c r="BL411" s="2" t="s">
        <v>1208</v>
      </c>
      <c r="BM411" s="7"/>
      <c r="BN411" s="7"/>
      <c r="BO411" s="4"/>
      <c r="BP411" s="8"/>
      <c r="BQ411" s="4"/>
      <c r="BR411" s="8"/>
      <c r="BS411" s="7"/>
      <c r="BT411" s="7"/>
      <c r="BU411" s="2" t="s">
        <v>2462</v>
      </c>
      <c r="BV411" s="2" t="s">
        <v>199</v>
      </c>
      <c r="BW411" s="2" t="s">
        <v>199</v>
      </c>
      <c r="BX411" s="2" t="s">
        <v>260</v>
      </c>
      <c r="BY411" s="2" t="s">
        <v>209</v>
      </c>
      <c r="BZ411" s="2" t="s">
        <v>196</v>
      </c>
      <c r="CA411" s="2" t="s">
        <v>210</v>
      </c>
      <c r="CB411" s="2" t="s">
        <v>2373</v>
      </c>
      <c r="CC411" s="2" t="s">
        <v>212</v>
      </c>
      <c r="CD411" s="2" t="s">
        <v>199</v>
      </c>
      <c r="CE411" s="4">
        <v>154</v>
      </c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>
        <v>20</v>
      </c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>
        <v>156</v>
      </c>
      <c r="EU411" s="4">
        <v>152</v>
      </c>
      <c r="EV411" s="4">
        <v>150</v>
      </c>
      <c r="EW411" s="4">
        <v>147</v>
      </c>
      <c r="EX411" s="4">
        <v>164</v>
      </c>
      <c r="EY411" s="4">
        <v>161</v>
      </c>
      <c r="EZ411" s="4">
        <v>158</v>
      </c>
      <c r="FA411" s="4">
        <v>155</v>
      </c>
      <c r="FB411" s="4">
        <v>152</v>
      </c>
      <c r="FC411" s="4">
        <v>149</v>
      </c>
      <c r="FD411" s="4">
        <v>146</v>
      </c>
      <c r="FE411" s="4">
        <v>143</v>
      </c>
      <c r="FF411" s="4">
        <v>140</v>
      </c>
      <c r="FG411" s="4">
        <v>137</v>
      </c>
      <c r="FH411" s="4">
        <v>134</v>
      </c>
      <c r="FI411" s="4">
        <v>131</v>
      </c>
      <c r="FJ411" s="4">
        <v>128</v>
      </c>
      <c r="FK411" s="4">
        <v>125</v>
      </c>
      <c r="FL411" s="4">
        <v>122</v>
      </c>
      <c r="FM411" s="4">
        <v>119</v>
      </c>
      <c r="FN411" s="4">
        <v>116</v>
      </c>
      <c r="FO411" s="4">
        <v>113</v>
      </c>
      <c r="FP411" s="4">
        <v>110</v>
      </c>
      <c r="FQ411" s="4">
        <v>107</v>
      </c>
      <c r="FR411" s="4">
        <v>104</v>
      </c>
      <c r="FS411" s="4">
        <v>101</v>
      </c>
      <c r="FT411" s="19">
        <v>52</v>
      </c>
      <c r="FU411" s="19">
        <v>50.7</v>
      </c>
      <c r="FV411" s="19">
        <v>50</v>
      </c>
      <c r="FW411" s="19">
        <v>49</v>
      </c>
      <c r="FX411" s="19">
        <v>54.7</v>
      </c>
      <c r="FY411" s="19">
        <v>53.7</v>
      </c>
      <c r="FZ411" s="19">
        <v>52.7</v>
      </c>
      <c r="GA411" s="19">
        <v>51.7</v>
      </c>
      <c r="GB411" s="19">
        <v>50.7</v>
      </c>
      <c r="GC411" s="19">
        <v>49.7</v>
      </c>
      <c r="GD411" s="19">
        <v>48.7</v>
      </c>
      <c r="GE411" s="19">
        <v>47.7</v>
      </c>
      <c r="GF411" s="19">
        <v>46.7</v>
      </c>
      <c r="GG411" s="19">
        <v>45.7</v>
      </c>
      <c r="GH411" s="19">
        <v>44.7</v>
      </c>
      <c r="GI411" s="19">
        <v>43.7</v>
      </c>
      <c r="GJ411" s="19">
        <v>42.7</v>
      </c>
      <c r="GK411" s="19">
        <v>41.7</v>
      </c>
      <c r="GL411" s="19">
        <v>40.7</v>
      </c>
      <c r="GM411" s="19">
        <v>39.7</v>
      </c>
      <c r="GN411" s="19">
        <v>38.7</v>
      </c>
      <c r="GO411" s="19">
        <v>37.7</v>
      </c>
      <c r="GP411" s="19">
        <v>36.7</v>
      </c>
      <c r="GQ411" s="19">
        <v>35.7</v>
      </c>
      <c r="GR411" s="19">
        <v>34.7</v>
      </c>
      <c r="GS411" s="19">
        <v>33.7</v>
      </c>
    </row>
    <row r="412">
      <c r="A412" s="2" t="s">
        <v>2473</v>
      </c>
      <c r="B412" s="2" t="s">
        <v>648</v>
      </c>
      <c r="C412" s="2" t="s">
        <v>295</v>
      </c>
      <c r="D412" s="2" t="s">
        <v>1212</v>
      </c>
      <c r="E412" s="2" t="s">
        <v>1213</v>
      </c>
      <c r="F412" s="2" t="s">
        <v>2457</v>
      </c>
      <c r="G412" s="2" t="s">
        <v>2458</v>
      </c>
      <c r="H412" s="2" t="s">
        <v>2459</v>
      </c>
      <c r="I412" s="2" t="s">
        <v>1213</v>
      </c>
      <c r="J412" s="2" t="s">
        <v>2474</v>
      </c>
      <c r="K412" s="2" t="s">
        <v>371</v>
      </c>
      <c r="L412" s="3">
        <v>13.2</v>
      </c>
      <c r="M412" s="3">
        <v>13.86</v>
      </c>
      <c r="N412" s="3">
        <v>29.99</v>
      </c>
      <c r="O412" s="2" t="s">
        <v>196</v>
      </c>
      <c r="P412" s="2" t="s">
        <v>197</v>
      </c>
      <c r="Q412" s="2" t="s">
        <v>198</v>
      </c>
      <c r="R412" s="2" t="s">
        <v>199</v>
      </c>
      <c r="S412" s="2" t="s">
        <v>2475</v>
      </c>
      <c r="T412" s="2" t="s">
        <v>199</v>
      </c>
      <c r="U412" s="2" t="s">
        <v>199</v>
      </c>
      <c r="V412" s="2" t="s">
        <v>638</v>
      </c>
      <c r="W412" s="2" t="s">
        <v>203</v>
      </c>
      <c r="X412" s="2" t="s">
        <v>199</v>
      </c>
      <c r="Y412" s="2" t="s">
        <v>204</v>
      </c>
      <c r="Z412" s="4">
        <v>394</v>
      </c>
      <c r="AA412" s="4">
        <f>=ROUNDDOWN(21.8888888888889,0)</f>
      </c>
      <c r="AB412" s="5">
        <v>18</v>
      </c>
      <c r="AC412" s="2" t="s">
        <v>199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199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199</v>
      </c>
      <c r="AW412" s="8" t="s">
        <v>199</v>
      </c>
      <c r="AX412" s="4" t="s">
        <v>199</v>
      </c>
      <c r="AY412" s="8" t="s">
        <v>199</v>
      </c>
      <c r="AZ412" s="7" t="s">
        <v>199</v>
      </c>
      <c r="BA412" s="7" t="s">
        <v>199</v>
      </c>
      <c r="BB412" s="7"/>
      <c r="BC412" s="4" t="s">
        <v>199</v>
      </c>
      <c r="BD412" s="8" t="s">
        <v>199</v>
      </c>
      <c r="BE412" s="4" t="s">
        <v>199</v>
      </c>
      <c r="BF412" s="8" t="s">
        <v>199</v>
      </c>
      <c r="BG412" s="7" t="s">
        <v>199</v>
      </c>
      <c r="BH412" s="7" t="s">
        <v>199</v>
      </c>
      <c r="BI412" s="7"/>
      <c r="BJ412" s="4">
        <v>124</v>
      </c>
      <c r="BK412" s="8">
        <v>1710.62</v>
      </c>
      <c r="BL412" s="2" t="s">
        <v>2476</v>
      </c>
      <c r="BM412" s="7"/>
      <c r="BN412" s="7"/>
      <c r="BO412" s="4"/>
      <c r="BP412" s="8"/>
      <c r="BQ412" s="4"/>
      <c r="BR412" s="8"/>
      <c r="BS412" s="7"/>
      <c r="BT412" s="7"/>
      <c r="BU412" s="2" t="s">
        <v>2477</v>
      </c>
      <c r="BV412" s="2" t="s">
        <v>199</v>
      </c>
      <c r="BW412" s="2" t="s">
        <v>199</v>
      </c>
      <c r="BX412" s="2" t="s">
        <v>208</v>
      </c>
      <c r="BY412" s="2" t="s">
        <v>209</v>
      </c>
      <c r="BZ412" s="2" t="s">
        <v>196</v>
      </c>
      <c r="CA412" s="2" t="s">
        <v>210</v>
      </c>
      <c r="CB412" s="2" t="s">
        <v>1982</v>
      </c>
      <c r="CC412" s="2" t="s">
        <v>212</v>
      </c>
      <c r="CD412" s="2" t="s">
        <v>199</v>
      </c>
      <c r="CE412" s="4">
        <v>394</v>
      </c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>
        <v>401</v>
      </c>
      <c r="EU412" s="4">
        <v>369</v>
      </c>
      <c r="EV412" s="4">
        <v>351</v>
      </c>
      <c r="EW412" s="4">
        <v>333</v>
      </c>
      <c r="EX412" s="4">
        <v>315</v>
      </c>
      <c r="EY412" s="4">
        <v>297</v>
      </c>
      <c r="EZ412" s="4">
        <v>279</v>
      </c>
      <c r="FA412" s="4">
        <v>261</v>
      </c>
      <c r="FB412" s="4">
        <v>241</v>
      </c>
      <c r="FC412" s="4">
        <v>223</v>
      </c>
      <c r="FD412" s="4">
        <v>205</v>
      </c>
      <c r="FE412" s="4">
        <v>187</v>
      </c>
      <c r="FF412" s="4">
        <v>169</v>
      </c>
      <c r="FG412" s="4">
        <v>151</v>
      </c>
      <c r="FH412" s="4">
        <v>133</v>
      </c>
      <c r="FI412" s="4">
        <v>115</v>
      </c>
      <c r="FJ412" s="4">
        <v>97</v>
      </c>
      <c r="FK412" s="4">
        <v>79</v>
      </c>
      <c r="FL412" s="4">
        <v>61</v>
      </c>
      <c r="FM412" s="4">
        <v>588</v>
      </c>
      <c r="FN412" s="4">
        <v>570</v>
      </c>
      <c r="FO412" s="4">
        <v>552</v>
      </c>
      <c r="FP412" s="4">
        <v>532</v>
      </c>
      <c r="FQ412" s="4">
        <v>514</v>
      </c>
      <c r="FR412" s="4">
        <v>496</v>
      </c>
      <c r="FS412" s="4">
        <v>478</v>
      </c>
      <c r="FT412" s="19">
        <v>18.2</v>
      </c>
      <c r="FU412" s="19">
        <v>20.5</v>
      </c>
      <c r="FV412" s="19">
        <v>19.5</v>
      </c>
      <c r="FW412" s="19">
        <v>18.5</v>
      </c>
      <c r="FX412" s="19">
        <v>17.5</v>
      </c>
      <c r="FY412" s="19">
        <v>16.5</v>
      </c>
      <c r="FZ412" s="19">
        <v>15.5</v>
      </c>
      <c r="GA412" s="19">
        <v>14.5</v>
      </c>
      <c r="GB412" s="19">
        <v>13.4</v>
      </c>
      <c r="GC412" s="19">
        <v>12.4</v>
      </c>
      <c r="GD412" s="19">
        <v>11.4</v>
      </c>
      <c r="GE412" s="19">
        <v>10.4</v>
      </c>
      <c r="GF412" s="19">
        <v>9.4</v>
      </c>
      <c r="GG412" s="19">
        <v>8.4</v>
      </c>
      <c r="GH412" s="19">
        <v>7.4</v>
      </c>
      <c r="GI412" s="19">
        <v>6.4</v>
      </c>
      <c r="GJ412" s="19">
        <v>5.4</v>
      </c>
      <c r="GK412" s="19">
        <v>4.4</v>
      </c>
      <c r="GL412" s="19">
        <v>3.4</v>
      </c>
      <c r="GM412" s="19">
        <v>32.7</v>
      </c>
      <c r="GN412" s="19">
        <v>31.7</v>
      </c>
      <c r="GO412" s="19">
        <v>30.7</v>
      </c>
      <c r="GP412" s="19">
        <v>29.6</v>
      </c>
      <c r="GQ412" s="19">
        <v>28.6</v>
      </c>
      <c r="GR412" s="19">
        <v>27.6</v>
      </c>
      <c r="GS412" s="19">
        <v>26.6</v>
      </c>
    </row>
    <row r="413">
      <c r="A413" s="2" t="s">
        <v>2478</v>
      </c>
      <c r="B413" s="2" t="s">
        <v>672</v>
      </c>
      <c r="C413" s="2" t="s">
        <v>246</v>
      </c>
      <c r="D413" s="2" t="s">
        <v>673</v>
      </c>
      <c r="E413" s="2" t="s">
        <v>1499</v>
      </c>
      <c r="F413" s="2" t="s">
        <v>2479</v>
      </c>
      <c r="G413" s="2" t="s">
        <v>2480</v>
      </c>
      <c r="H413" s="2" t="s">
        <v>2481</v>
      </c>
      <c r="I413" s="2" t="s">
        <v>2482</v>
      </c>
      <c r="J413" s="2" t="s">
        <v>1503</v>
      </c>
      <c r="K413" s="2" t="s">
        <v>918</v>
      </c>
      <c r="L413" s="3">
        <v>39.65</v>
      </c>
      <c r="M413" s="3">
        <v>41.63</v>
      </c>
      <c r="N413" s="3">
        <v>83.99</v>
      </c>
      <c r="O413" s="2" t="s">
        <v>196</v>
      </c>
      <c r="P413" s="2" t="s">
        <v>841</v>
      </c>
      <c r="Q413" s="2" t="s">
        <v>198</v>
      </c>
      <c r="R413" s="2" t="s">
        <v>199</v>
      </c>
      <c r="S413" s="2" t="s">
        <v>2483</v>
      </c>
      <c r="T413" s="2" t="s">
        <v>386</v>
      </c>
      <c r="U413" s="2" t="s">
        <v>280</v>
      </c>
      <c r="V413" s="2" t="s">
        <v>202</v>
      </c>
      <c r="W413" s="2" t="s">
        <v>203</v>
      </c>
      <c r="X413" s="2" t="s">
        <v>199</v>
      </c>
      <c r="Y413" s="2" t="s">
        <v>2484</v>
      </c>
      <c r="Z413" s="4">
        <v>8</v>
      </c>
      <c r="AA413" s="4">
        <f>=ROUNDDOWN(0.8,0)</f>
      </c>
      <c r="AB413" s="5">
        <v>10</v>
      </c>
      <c r="AC413" s="2" t="s">
        <v>2315</v>
      </c>
      <c r="AD413" s="4">
        <v>54</v>
      </c>
      <c r="AE413" s="4">
        <v>384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199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199</v>
      </c>
      <c r="BD413" s="8" t="s">
        <v>199</v>
      </c>
      <c r="BE413" s="4" t="s">
        <v>199</v>
      </c>
      <c r="BF413" s="8" t="s">
        <v>199</v>
      </c>
      <c r="BG413" s="7" t="s">
        <v>199</v>
      </c>
      <c r="BH413" s="7" t="s">
        <v>199</v>
      </c>
      <c r="BI413" s="7"/>
      <c r="BJ413" s="4">
        <v>31</v>
      </c>
      <c r="BK413" s="8">
        <v>1274.91</v>
      </c>
      <c r="BL413" s="2" t="s">
        <v>2485</v>
      </c>
      <c r="BM413" s="7"/>
      <c r="BN413" s="7"/>
      <c r="BO413" s="4"/>
      <c r="BP413" s="8"/>
      <c r="BQ413" s="4"/>
      <c r="BR413" s="8"/>
      <c r="BS413" s="7"/>
      <c r="BT413" s="7"/>
      <c r="BU413" s="2" t="s">
        <v>2486</v>
      </c>
      <c r="BV413" s="2" t="s">
        <v>199</v>
      </c>
      <c r="BW413" s="2" t="s">
        <v>199</v>
      </c>
      <c r="BX413" s="2" t="s">
        <v>260</v>
      </c>
      <c r="BY413" s="2" t="s">
        <v>209</v>
      </c>
      <c r="BZ413" s="2" t="s">
        <v>196</v>
      </c>
      <c r="CA413" s="2" t="s">
        <v>2487</v>
      </c>
      <c r="CB413" s="2" t="s">
        <v>2488</v>
      </c>
      <c r="CC413" s="2" t="s">
        <v>212</v>
      </c>
      <c r="CD413" s="2" t="s">
        <v>199</v>
      </c>
      <c r="CE413" s="4">
        <v>2</v>
      </c>
      <c r="CF413" s="4"/>
      <c r="CG413" s="4"/>
      <c r="CH413" s="4">
        <v>6</v>
      </c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>
        <v>54</v>
      </c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>
        <v>78</v>
      </c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>
        <v>252</v>
      </c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>
        <v>8</v>
      </c>
      <c r="EU413" s="4">
        <v>58</v>
      </c>
      <c r="EV413" s="4">
        <v>54</v>
      </c>
      <c r="EW413" s="4">
        <v>50</v>
      </c>
      <c r="EX413" s="4">
        <v>44</v>
      </c>
      <c r="EY413" s="4">
        <v>112</v>
      </c>
      <c r="EZ413" s="4">
        <v>102</v>
      </c>
      <c r="FA413" s="4">
        <v>92</v>
      </c>
      <c r="FB413" s="4">
        <v>81</v>
      </c>
      <c r="FC413" s="4">
        <v>71</v>
      </c>
      <c r="FD413" s="4">
        <v>61</v>
      </c>
      <c r="FE413" s="4">
        <v>303</v>
      </c>
      <c r="FF413" s="4">
        <v>293</v>
      </c>
      <c r="FG413" s="4">
        <v>283</v>
      </c>
      <c r="FH413" s="4">
        <v>273</v>
      </c>
      <c r="FI413" s="4">
        <v>262</v>
      </c>
      <c r="FJ413" s="4">
        <v>252</v>
      </c>
      <c r="FK413" s="4">
        <v>242</v>
      </c>
      <c r="FL413" s="4">
        <v>232</v>
      </c>
      <c r="FM413" s="4">
        <v>222</v>
      </c>
      <c r="FN413" s="4">
        <v>211</v>
      </c>
      <c r="FO413" s="4">
        <v>201</v>
      </c>
      <c r="FP413" s="4">
        <v>190</v>
      </c>
      <c r="FQ413" s="4">
        <v>180</v>
      </c>
      <c r="FR413" s="4">
        <v>170</v>
      </c>
      <c r="FS413" s="4">
        <v>160</v>
      </c>
      <c r="FT413" s="19">
        <v>2</v>
      </c>
      <c r="FU413" s="19">
        <v>9.7</v>
      </c>
      <c r="FV413" s="19">
        <v>6.8</v>
      </c>
      <c r="FW413" s="19">
        <v>5.6</v>
      </c>
      <c r="FX413" s="19">
        <v>4.4</v>
      </c>
      <c r="FY413" s="19">
        <v>11.2</v>
      </c>
      <c r="FZ413" s="19">
        <v>10.2</v>
      </c>
      <c r="GA413" s="19">
        <v>9.2</v>
      </c>
      <c r="GB413" s="19">
        <v>8.1</v>
      </c>
      <c r="GC413" s="19">
        <v>7.1</v>
      </c>
      <c r="GD413" s="19">
        <v>6.1</v>
      </c>
      <c r="GE413" s="19">
        <v>30.3</v>
      </c>
      <c r="GF413" s="19">
        <v>29.3</v>
      </c>
      <c r="GG413" s="19">
        <v>28.3</v>
      </c>
      <c r="GH413" s="19">
        <v>27.3</v>
      </c>
      <c r="GI413" s="19">
        <v>26.2</v>
      </c>
      <c r="GJ413" s="19">
        <v>25.2</v>
      </c>
      <c r="GK413" s="19">
        <v>24.2</v>
      </c>
      <c r="GL413" s="19">
        <v>23.2</v>
      </c>
      <c r="GM413" s="19">
        <v>22.2</v>
      </c>
      <c r="GN413" s="19">
        <v>21.1</v>
      </c>
      <c r="GO413" s="19">
        <v>20.1</v>
      </c>
      <c r="GP413" s="19">
        <v>19</v>
      </c>
      <c r="GQ413" s="19">
        <v>18</v>
      </c>
      <c r="GR413" s="19">
        <v>17</v>
      </c>
      <c r="GS413" s="19">
        <v>16</v>
      </c>
    </row>
    <row r="414">
      <c r="A414" s="2" t="s">
        <v>2489</v>
      </c>
      <c r="B414" s="2" t="s">
        <v>672</v>
      </c>
      <c r="C414" s="2" t="s">
        <v>246</v>
      </c>
      <c r="D414" s="2" t="s">
        <v>673</v>
      </c>
      <c r="E414" s="2" t="s">
        <v>802</v>
      </c>
      <c r="F414" s="2" t="s">
        <v>2479</v>
      </c>
      <c r="G414" s="2" t="s">
        <v>2480</v>
      </c>
      <c r="H414" s="2" t="s">
        <v>2481</v>
      </c>
      <c r="I414" s="2" t="s">
        <v>2490</v>
      </c>
      <c r="J414" s="2" t="s">
        <v>2491</v>
      </c>
      <c r="K414" s="2" t="s">
        <v>233</v>
      </c>
      <c r="L414" s="3">
        <v>22.75</v>
      </c>
      <c r="M414" s="3">
        <v>23.89</v>
      </c>
      <c r="N414" s="3">
        <v>47.99</v>
      </c>
      <c r="O414" s="2" t="s">
        <v>196</v>
      </c>
      <c r="P414" s="2" t="s">
        <v>197</v>
      </c>
      <c r="Q414" s="2" t="s">
        <v>198</v>
      </c>
      <c r="R414" s="2" t="s">
        <v>199</v>
      </c>
      <c r="S414" s="2" t="s">
        <v>2492</v>
      </c>
      <c r="T414" s="2" t="s">
        <v>199</v>
      </c>
      <c r="U414" s="2" t="s">
        <v>853</v>
      </c>
      <c r="V414" s="2" t="s">
        <v>202</v>
      </c>
      <c r="W414" s="2" t="s">
        <v>203</v>
      </c>
      <c r="X414" s="2" t="s">
        <v>682</v>
      </c>
      <c r="Y414" s="2" t="s">
        <v>2493</v>
      </c>
      <c r="Z414" s="4">
        <v>675</v>
      </c>
      <c r="AA414" s="4">
        <f>=ROUNDDOWN(67.5,0)</f>
      </c>
      <c r="AB414" s="5">
        <v>10</v>
      </c>
      <c r="AC414" s="2" t="s">
        <v>199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199</v>
      </c>
      <c r="BD414" s="8" t="s">
        <v>199</v>
      </c>
      <c r="BE414" s="4" t="s">
        <v>199</v>
      </c>
      <c r="BF414" s="8" t="s">
        <v>199</v>
      </c>
      <c r="BG414" s="7" t="s">
        <v>199</v>
      </c>
      <c r="BH414" s="7" t="s">
        <v>199</v>
      </c>
      <c r="BI414" s="7"/>
      <c r="BJ414" s="4">
        <v>19</v>
      </c>
      <c r="BK414" s="8">
        <v>498.47</v>
      </c>
      <c r="BL414" s="2" t="s">
        <v>2494</v>
      </c>
      <c r="BM414" s="7"/>
      <c r="BN414" s="7"/>
      <c r="BO414" s="4"/>
      <c r="BP414" s="8"/>
      <c r="BQ414" s="4"/>
      <c r="BR414" s="8"/>
      <c r="BS414" s="7"/>
      <c r="BT414" s="7"/>
      <c r="BU414" s="2" t="s">
        <v>2495</v>
      </c>
      <c r="BV414" s="2" t="s">
        <v>199</v>
      </c>
      <c r="BW414" s="2" t="s">
        <v>199</v>
      </c>
      <c r="BX414" s="2" t="s">
        <v>260</v>
      </c>
      <c r="BY414" s="2" t="s">
        <v>209</v>
      </c>
      <c r="BZ414" s="2" t="s">
        <v>196</v>
      </c>
      <c r="CA414" s="2" t="s">
        <v>2496</v>
      </c>
      <c r="CB414" s="2" t="s">
        <v>2497</v>
      </c>
      <c r="CC414" s="2" t="s">
        <v>212</v>
      </c>
      <c r="CD414" s="2" t="s">
        <v>199</v>
      </c>
      <c r="CE414" s="4">
        <v>675</v>
      </c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>
        <v>677</v>
      </c>
      <c r="EU414" s="4">
        <v>666</v>
      </c>
      <c r="EV414" s="4">
        <v>657</v>
      </c>
      <c r="EW414" s="4">
        <v>648</v>
      </c>
      <c r="EX414" s="4">
        <v>639</v>
      </c>
      <c r="EY414" s="4">
        <v>630</v>
      </c>
      <c r="EZ414" s="4">
        <v>621</v>
      </c>
      <c r="FA414" s="4">
        <v>612</v>
      </c>
      <c r="FB414" s="4">
        <v>601</v>
      </c>
      <c r="FC414" s="4">
        <v>592</v>
      </c>
      <c r="FD414" s="4">
        <v>583</v>
      </c>
      <c r="FE414" s="4">
        <v>573</v>
      </c>
      <c r="FF414" s="4">
        <v>563</v>
      </c>
      <c r="FG414" s="4">
        <v>553</v>
      </c>
      <c r="FH414" s="4">
        <v>543</v>
      </c>
      <c r="FI414" s="4">
        <v>533</v>
      </c>
      <c r="FJ414" s="4">
        <v>523</v>
      </c>
      <c r="FK414" s="4">
        <v>513</v>
      </c>
      <c r="FL414" s="4">
        <v>503</v>
      </c>
      <c r="FM414" s="4">
        <v>493</v>
      </c>
      <c r="FN414" s="4">
        <v>483</v>
      </c>
      <c r="FO414" s="4">
        <v>473</v>
      </c>
      <c r="FP414" s="4">
        <v>461</v>
      </c>
      <c r="FQ414" s="4">
        <v>451</v>
      </c>
      <c r="FR414" s="4">
        <v>441</v>
      </c>
      <c r="FS414" s="4">
        <v>431</v>
      </c>
      <c r="FT414" s="19">
        <v>67.7</v>
      </c>
      <c r="FU414" s="19">
        <v>74</v>
      </c>
      <c r="FV414" s="19">
        <v>73</v>
      </c>
      <c r="FW414" s="19">
        <v>72</v>
      </c>
      <c r="FX414" s="19">
        <v>63.9</v>
      </c>
      <c r="FY414" s="19">
        <v>63</v>
      </c>
      <c r="FZ414" s="19">
        <v>62.1</v>
      </c>
      <c r="GA414" s="19">
        <v>61.2</v>
      </c>
      <c r="GB414" s="19">
        <v>60.1</v>
      </c>
      <c r="GC414" s="19">
        <v>59.2</v>
      </c>
      <c r="GD414" s="19">
        <v>58.3</v>
      </c>
      <c r="GE414" s="19">
        <v>57.3</v>
      </c>
      <c r="GF414" s="19">
        <v>56.3</v>
      </c>
      <c r="GG414" s="19">
        <v>55.3</v>
      </c>
      <c r="GH414" s="19">
        <v>54.3</v>
      </c>
      <c r="GI414" s="19">
        <v>53.3</v>
      </c>
      <c r="GJ414" s="19">
        <v>52.3</v>
      </c>
      <c r="GK414" s="19">
        <v>51.3</v>
      </c>
      <c r="GL414" s="19">
        <v>50.3</v>
      </c>
      <c r="GM414" s="19">
        <v>49.3</v>
      </c>
      <c r="GN414" s="19">
        <v>48.3</v>
      </c>
      <c r="GO414" s="19">
        <v>47.3</v>
      </c>
      <c r="GP414" s="19">
        <v>46.1</v>
      </c>
      <c r="GQ414" s="19">
        <v>45.1</v>
      </c>
      <c r="GR414" s="19">
        <v>44.1</v>
      </c>
      <c r="GS414" s="19">
        <v>43.1</v>
      </c>
    </row>
    <row r="415">
      <c r="A415" s="2" t="s">
        <v>2498</v>
      </c>
      <c r="B415" s="2" t="s">
        <v>630</v>
      </c>
      <c r="C415" s="2" t="s">
        <v>246</v>
      </c>
      <c r="D415" s="2" t="s">
        <v>228</v>
      </c>
      <c r="E415" s="2" t="s">
        <v>487</v>
      </c>
      <c r="F415" s="2" t="s">
        <v>2499</v>
      </c>
      <c r="G415" s="2" t="s">
        <v>2500</v>
      </c>
      <c r="H415" s="2" t="s">
        <v>2501</v>
      </c>
      <c r="I415" s="2" t="s">
        <v>2502</v>
      </c>
      <c r="J415" s="2" t="s">
        <v>219</v>
      </c>
      <c r="K415" s="2" t="s">
        <v>371</v>
      </c>
      <c r="L415" s="3">
        <v>42.85</v>
      </c>
      <c r="M415" s="3">
        <v>44.99</v>
      </c>
      <c r="N415" s="3">
        <v>89.99</v>
      </c>
      <c r="O415" s="2" t="s">
        <v>196</v>
      </c>
      <c r="P415" s="2" t="s">
        <v>197</v>
      </c>
      <c r="Q415" s="2" t="s">
        <v>198</v>
      </c>
      <c r="R415" s="2" t="s">
        <v>199</v>
      </c>
      <c r="S415" s="2" t="s">
        <v>2503</v>
      </c>
      <c r="T415" s="2" t="s">
        <v>386</v>
      </c>
      <c r="U415" s="2" t="s">
        <v>509</v>
      </c>
      <c r="V415" s="2" t="s">
        <v>301</v>
      </c>
      <c r="W415" s="2" t="s">
        <v>768</v>
      </c>
      <c r="X415" s="2" t="s">
        <v>2504</v>
      </c>
      <c r="Y415" s="2" t="s">
        <v>2505</v>
      </c>
      <c r="Z415" s="4"/>
      <c r="AA415" s="4">
        <f>=ROUNDDOWN({0},0)</f>
      </c>
      <c r="AB415" s="5">
        <v>29</v>
      </c>
      <c r="AC415" s="2" t="s">
        <v>387</v>
      </c>
      <c r="AD415" s="4">
        <v>270</v>
      </c>
      <c r="AE415" s="4">
        <v>740</v>
      </c>
      <c r="AF415" s="6">
        <v>64</v>
      </c>
      <c r="AG415" s="6"/>
      <c r="AH415" s="7">
        <v>0</v>
      </c>
      <c r="AI415" s="4"/>
      <c r="AJ415" s="4">
        <f>=ROUNDDOWN({0},0)</f>
      </c>
      <c r="AK415" s="5"/>
      <c r="AL415" s="2" t="s">
        <v>199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199</v>
      </c>
      <c r="AW415" s="8" t="s">
        <v>199</v>
      </c>
      <c r="AX415" s="4" t="s">
        <v>199</v>
      </c>
      <c r="AY415" s="8" t="s">
        <v>199</v>
      </c>
      <c r="AZ415" s="7" t="s">
        <v>199</v>
      </c>
      <c r="BA415" s="7" t="s">
        <v>199</v>
      </c>
      <c r="BB415" s="7"/>
      <c r="BC415" s="4" t="s">
        <v>199</v>
      </c>
      <c r="BD415" s="8" t="s">
        <v>199</v>
      </c>
      <c r="BE415" s="4" t="s">
        <v>199</v>
      </c>
      <c r="BF415" s="8" t="s">
        <v>199</v>
      </c>
      <c r="BG415" s="7" t="s">
        <v>199</v>
      </c>
      <c r="BH415" s="7" t="s">
        <v>199</v>
      </c>
      <c r="BI415" s="7"/>
      <c r="BJ415" s="4"/>
      <c r="BK415" s="8"/>
      <c r="BL415" s="2" t="s">
        <v>199</v>
      </c>
      <c r="BM415" s="7"/>
      <c r="BN415" s="7"/>
      <c r="BO415" s="4"/>
      <c r="BP415" s="8"/>
      <c r="BQ415" s="4"/>
      <c r="BR415" s="8"/>
      <c r="BS415" s="7"/>
      <c r="BT415" s="7"/>
      <c r="BU415" s="2" t="s">
        <v>2506</v>
      </c>
      <c r="BV415" s="2" t="s">
        <v>199</v>
      </c>
      <c r="BW415" s="2" t="s">
        <v>199</v>
      </c>
      <c r="BX415" s="2" t="s">
        <v>2507</v>
      </c>
      <c r="BY415" s="2" t="s">
        <v>209</v>
      </c>
      <c r="BZ415" s="2" t="s">
        <v>196</v>
      </c>
      <c r="CA415" s="2" t="s">
        <v>374</v>
      </c>
      <c r="CB415" s="2" t="s">
        <v>2508</v>
      </c>
      <c r="CC415" s="2" t="s">
        <v>212</v>
      </c>
      <c r="CD415" s="2" t="s">
        <v>199</v>
      </c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>
        <v>270</v>
      </c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>
        <v>240</v>
      </c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>
        <v>230</v>
      </c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>
        <v>270</v>
      </c>
      <c r="EX415" s="4">
        <v>213</v>
      </c>
      <c r="EY415" s="4">
        <v>184</v>
      </c>
      <c r="EZ415" s="4">
        <v>395</v>
      </c>
      <c r="FA415" s="4">
        <v>366</v>
      </c>
      <c r="FB415" s="4">
        <v>334</v>
      </c>
      <c r="FC415" s="4">
        <v>305</v>
      </c>
      <c r="FD415" s="4">
        <v>276</v>
      </c>
      <c r="FE415" s="4">
        <v>477</v>
      </c>
      <c r="FF415" s="4">
        <v>448</v>
      </c>
      <c r="FG415" s="4">
        <v>419</v>
      </c>
      <c r="FH415" s="4">
        <v>390</v>
      </c>
      <c r="FI415" s="4">
        <v>361</v>
      </c>
      <c r="FJ415" s="4">
        <v>332</v>
      </c>
      <c r="FK415" s="4">
        <v>303</v>
      </c>
      <c r="FL415" s="4">
        <v>274</v>
      </c>
      <c r="FM415" s="4">
        <v>245</v>
      </c>
      <c r="FN415" s="4">
        <v>216</v>
      </c>
      <c r="FO415" s="4">
        <v>187</v>
      </c>
      <c r="FP415" s="4">
        <v>155</v>
      </c>
      <c r="FQ415" s="4">
        <v>126</v>
      </c>
      <c r="FR415" s="4">
        <v>97</v>
      </c>
      <c r="FS415" s="4">
        <v>68</v>
      </c>
      <c r="FT415" s="20">
        <v>0</v>
      </c>
      <c r="FU415" s="20">
        <v>0</v>
      </c>
      <c r="FV415" s="20">
        <v>0</v>
      </c>
      <c r="FW415" s="19">
        <v>7.5</v>
      </c>
      <c r="FX415" s="19">
        <v>7.1</v>
      </c>
      <c r="FY415" s="19">
        <v>6.1</v>
      </c>
      <c r="FZ415" s="19">
        <v>13.2</v>
      </c>
      <c r="GA415" s="19">
        <v>12.2</v>
      </c>
      <c r="GB415" s="19">
        <v>11.5</v>
      </c>
      <c r="GC415" s="19">
        <v>10.5</v>
      </c>
      <c r="GD415" s="19">
        <v>9.5</v>
      </c>
      <c r="GE415" s="19">
        <v>16.4</v>
      </c>
      <c r="GF415" s="19">
        <v>15.4</v>
      </c>
      <c r="GG415" s="19">
        <v>14.4</v>
      </c>
      <c r="GH415" s="19">
        <v>13.4</v>
      </c>
      <c r="GI415" s="19">
        <v>12.4</v>
      </c>
      <c r="GJ415" s="19">
        <v>11.4</v>
      </c>
      <c r="GK415" s="19">
        <v>10.4</v>
      </c>
      <c r="GL415" s="19">
        <v>9.1</v>
      </c>
      <c r="GM415" s="19">
        <v>8.2</v>
      </c>
      <c r="GN415" s="19">
        <v>7.2</v>
      </c>
      <c r="GO415" s="19">
        <v>6.2</v>
      </c>
      <c r="GP415" s="19">
        <v>5.3</v>
      </c>
      <c r="GQ415" s="19">
        <v>4.2</v>
      </c>
      <c r="GR415" s="19">
        <v>3.2</v>
      </c>
      <c r="GS415" s="19">
        <v>2.3</v>
      </c>
    </row>
    <row r="416">
      <c r="A416" s="2" t="s">
        <v>2509</v>
      </c>
      <c r="B416" s="2" t="s">
        <v>630</v>
      </c>
      <c r="C416" s="2" t="s">
        <v>246</v>
      </c>
      <c r="D416" s="2" t="s">
        <v>228</v>
      </c>
      <c r="E416" s="2" t="s">
        <v>487</v>
      </c>
      <c r="F416" s="2" t="s">
        <v>2499</v>
      </c>
      <c r="G416" s="2" t="s">
        <v>2500</v>
      </c>
      <c r="H416" s="2" t="s">
        <v>2501</v>
      </c>
      <c r="I416" s="2" t="s">
        <v>2502</v>
      </c>
      <c r="J416" s="2" t="s">
        <v>223</v>
      </c>
      <c r="K416" s="2" t="s">
        <v>371</v>
      </c>
      <c r="L416" s="3">
        <v>47.61</v>
      </c>
      <c r="M416" s="3">
        <v>49.99</v>
      </c>
      <c r="N416" s="3">
        <v>99.99</v>
      </c>
      <c r="O416" s="2" t="s">
        <v>196</v>
      </c>
      <c r="P416" s="2" t="s">
        <v>197</v>
      </c>
      <c r="Q416" s="2" t="s">
        <v>198</v>
      </c>
      <c r="R416" s="2" t="s">
        <v>199</v>
      </c>
      <c r="S416" s="2" t="s">
        <v>2503</v>
      </c>
      <c r="T416" s="2" t="s">
        <v>386</v>
      </c>
      <c r="U416" s="2" t="s">
        <v>509</v>
      </c>
      <c r="V416" s="2" t="s">
        <v>301</v>
      </c>
      <c r="W416" s="2" t="s">
        <v>768</v>
      </c>
      <c r="X416" s="2" t="s">
        <v>2504</v>
      </c>
      <c r="Y416" s="2" t="s">
        <v>2505</v>
      </c>
      <c r="Z416" s="4"/>
      <c r="AA416" s="4">
        <f>=ROUNDDOWN({0},0)</f>
      </c>
      <c r="AB416" s="5">
        <v>21</v>
      </c>
      <c r="AC416" s="2" t="s">
        <v>387</v>
      </c>
      <c r="AD416" s="4">
        <v>200</v>
      </c>
      <c r="AE416" s="4">
        <v>530</v>
      </c>
      <c r="AF416" s="6">
        <v>64</v>
      </c>
      <c r="AG416" s="6"/>
      <c r="AH416" s="7">
        <v>0.0323</v>
      </c>
      <c r="AI416" s="4"/>
      <c r="AJ416" s="4">
        <f>=ROUNDDOWN({0},0)</f>
      </c>
      <c r="AK416" s="5"/>
      <c r="AL416" s="2" t="s">
        <v>199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199</v>
      </c>
      <c r="AW416" s="8" t="s">
        <v>199</v>
      </c>
      <c r="AX416" s="4" t="s">
        <v>199</v>
      </c>
      <c r="AY416" s="8" t="s">
        <v>199</v>
      </c>
      <c r="AZ416" s="7" t="s">
        <v>199</v>
      </c>
      <c r="BA416" s="7" t="s">
        <v>199</v>
      </c>
      <c r="BB416" s="7"/>
      <c r="BC416" s="4" t="s">
        <v>199</v>
      </c>
      <c r="BD416" s="8" t="s">
        <v>199</v>
      </c>
      <c r="BE416" s="4" t="s">
        <v>199</v>
      </c>
      <c r="BF416" s="8" t="s">
        <v>199</v>
      </c>
      <c r="BG416" s="7" t="s">
        <v>199</v>
      </c>
      <c r="BH416" s="7" t="s">
        <v>199</v>
      </c>
      <c r="BI416" s="7"/>
      <c r="BJ416" s="4">
        <v>1</v>
      </c>
      <c r="BK416" s="8">
        <v>54.75</v>
      </c>
      <c r="BL416" s="2" t="s">
        <v>684</v>
      </c>
      <c r="BM416" s="7"/>
      <c r="BN416" s="7"/>
      <c r="BO416" s="4"/>
      <c r="BP416" s="8"/>
      <c r="BQ416" s="4"/>
      <c r="BR416" s="8"/>
      <c r="BS416" s="7"/>
      <c r="BT416" s="7"/>
      <c r="BU416" s="2" t="s">
        <v>2506</v>
      </c>
      <c r="BV416" s="2" t="s">
        <v>199</v>
      </c>
      <c r="BW416" s="2" t="s">
        <v>199</v>
      </c>
      <c r="BX416" s="2" t="s">
        <v>2507</v>
      </c>
      <c r="BY416" s="2" t="s">
        <v>209</v>
      </c>
      <c r="BZ416" s="2" t="s">
        <v>196</v>
      </c>
      <c r="CA416" s="2" t="s">
        <v>374</v>
      </c>
      <c r="CB416" s="2" t="s">
        <v>2188</v>
      </c>
      <c r="CC416" s="2" t="s">
        <v>212</v>
      </c>
      <c r="CD416" s="2" t="s">
        <v>199</v>
      </c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>
        <v>200</v>
      </c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>
        <v>170</v>
      </c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>
        <v>160</v>
      </c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>
        <v>7</v>
      </c>
      <c r="EU416" s="4"/>
      <c r="EV416" s="4"/>
      <c r="EW416" s="4">
        <v>200</v>
      </c>
      <c r="EX416" s="4">
        <v>173</v>
      </c>
      <c r="EY416" s="4">
        <v>152</v>
      </c>
      <c r="EZ416" s="4">
        <v>301</v>
      </c>
      <c r="FA416" s="4">
        <v>280</v>
      </c>
      <c r="FB416" s="4">
        <v>257</v>
      </c>
      <c r="FC416" s="4">
        <v>236</v>
      </c>
      <c r="FD416" s="4">
        <v>215</v>
      </c>
      <c r="FE416" s="4">
        <v>354</v>
      </c>
      <c r="FF416" s="4">
        <v>333</v>
      </c>
      <c r="FG416" s="4">
        <v>312</v>
      </c>
      <c r="FH416" s="4">
        <v>291</v>
      </c>
      <c r="FI416" s="4">
        <v>270</v>
      </c>
      <c r="FJ416" s="4">
        <v>249</v>
      </c>
      <c r="FK416" s="4">
        <v>228</v>
      </c>
      <c r="FL416" s="4">
        <v>207</v>
      </c>
      <c r="FM416" s="4">
        <v>186</v>
      </c>
      <c r="FN416" s="4">
        <v>165</v>
      </c>
      <c r="FO416" s="4">
        <v>144</v>
      </c>
      <c r="FP416" s="4">
        <v>121</v>
      </c>
      <c r="FQ416" s="4">
        <v>100</v>
      </c>
      <c r="FR416" s="4">
        <v>79</v>
      </c>
      <c r="FS416" s="4">
        <v>58</v>
      </c>
      <c r="FT416" s="19">
        <v>0.4</v>
      </c>
      <c r="FU416" s="20">
        <v>0</v>
      </c>
      <c r="FV416" s="20">
        <v>0</v>
      </c>
      <c r="FW416" s="19">
        <v>9.1</v>
      </c>
      <c r="FX416" s="19">
        <v>7.9</v>
      </c>
      <c r="FY416" s="19">
        <v>6.9</v>
      </c>
      <c r="FZ416" s="19">
        <v>13.7</v>
      </c>
      <c r="GA416" s="19">
        <v>12.7</v>
      </c>
      <c r="GB416" s="19">
        <v>12.2</v>
      </c>
      <c r="GC416" s="19">
        <v>11.2</v>
      </c>
      <c r="GD416" s="19">
        <v>10.2</v>
      </c>
      <c r="GE416" s="19">
        <v>16.9</v>
      </c>
      <c r="GF416" s="19">
        <v>15.9</v>
      </c>
      <c r="GG416" s="19">
        <v>14.9</v>
      </c>
      <c r="GH416" s="19">
        <v>13.9</v>
      </c>
      <c r="GI416" s="19">
        <v>12.9</v>
      </c>
      <c r="GJ416" s="19">
        <v>11.9</v>
      </c>
      <c r="GK416" s="19">
        <v>10.9</v>
      </c>
      <c r="GL416" s="19">
        <v>9.4</v>
      </c>
      <c r="GM416" s="19">
        <v>8.5</v>
      </c>
      <c r="GN416" s="19">
        <v>7.5</v>
      </c>
      <c r="GO416" s="19">
        <v>6.5</v>
      </c>
      <c r="GP416" s="19">
        <v>5.8</v>
      </c>
      <c r="GQ416" s="19">
        <v>4.5</v>
      </c>
      <c r="GR416" s="19">
        <v>3.6</v>
      </c>
      <c r="GS416" s="19">
        <v>2.6</v>
      </c>
    </row>
    <row r="417">
      <c r="A417" s="2" t="s">
        <v>2510</v>
      </c>
      <c r="B417" s="2" t="s">
        <v>630</v>
      </c>
      <c r="C417" s="2" t="s">
        <v>246</v>
      </c>
      <c r="D417" s="2" t="s">
        <v>228</v>
      </c>
      <c r="E417" s="2" t="s">
        <v>487</v>
      </c>
      <c r="F417" s="2" t="s">
        <v>2499</v>
      </c>
      <c r="G417" s="2" t="s">
        <v>2500</v>
      </c>
      <c r="H417" s="2" t="s">
        <v>2501</v>
      </c>
      <c r="I417" s="2" t="s">
        <v>2502</v>
      </c>
      <c r="J417" s="2" t="s">
        <v>251</v>
      </c>
      <c r="K417" s="2" t="s">
        <v>371</v>
      </c>
      <c r="L417" s="3">
        <v>47.61</v>
      </c>
      <c r="M417" s="3">
        <v>49.99</v>
      </c>
      <c r="N417" s="3">
        <v>99.99</v>
      </c>
      <c r="O417" s="2" t="s">
        <v>196</v>
      </c>
      <c r="P417" s="2" t="s">
        <v>197</v>
      </c>
      <c r="Q417" s="2" t="s">
        <v>198</v>
      </c>
      <c r="R417" s="2" t="s">
        <v>199</v>
      </c>
      <c r="S417" s="2" t="s">
        <v>2503</v>
      </c>
      <c r="T417" s="2" t="s">
        <v>386</v>
      </c>
      <c r="U417" s="2" t="s">
        <v>509</v>
      </c>
      <c r="V417" s="2" t="s">
        <v>301</v>
      </c>
      <c r="W417" s="2" t="s">
        <v>768</v>
      </c>
      <c r="X417" s="2" t="s">
        <v>2504</v>
      </c>
      <c r="Y417" s="2" t="s">
        <v>2511</v>
      </c>
      <c r="Z417" s="4"/>
      <c r="AA417" s="4">
        <f>=ROUNDDOWN({0},0)</f>
      </c>
      <c r="AB417" s="5">
        <v>15</v>
      </c>
      <c r="AC417" s="2" t="s">
        <v>387</v>
      </c>
      <c r="AD417" s="4">
        <v>140</v>
      </c>
      <c r="AE417" s="4">
        <v>380</v>
      </c>
      <c r="AF417" s="6">
        <v>64</v>
      </c>
      <c r="AG417" s="6"/>
      <c r="AH417" s="7">
        <v>0</v>
      </c>
      <c r="AI417" s="4"/>
      <c r="AJ417" s="4">
        <f>=ROUNDDOWN({0},0)</f>
      </c>
      <c r="AK417" s="5"/>
      <c r="AL417" s="2" t="s">
        <v>199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199</v>
      </c>
      <c r="AW417" s="8" t="s">
        <v>199</v>
      </c>
      <c r="AX417" s="4" t="s">
        <v>199</v>
      </c>
      <c r="AY417" s="8" t="s">
        <v>199</v>
      </c>
      <c r="AZ417" s="7" t="s">
        <v>199</v>
      </c>
      <c r="BA417" s="7" t="s">
        <v>199</v>
      </c>
      <c r="BB417" s="7"/>
      <c r="BC417" s="4" t="s">
        <v>199</v>
      </c>
      <c r="BD417" s="8" t="s">
        <v>199</v>
      </c>
      <c r="BE417" s="4" t="s">
        <v>199</v>
      </c>
      <c r="BF417" s="8" t="s">
        <v>199</v>
      </c>
      <c r="BG417" s="7" t="s">
        <v>199</v>
      </c>
      <c r="BH417" s="7" t="s">
        <v>199</v>
      </c>
      <c r="BI417" s="7"/>
      <c r="BJ417" s="4"/>
      <c r="BK417" s="8"/>
      <c r="BL417" s="2" t="s">
        <v>199</v>
      </c>
      <c r="BM417" s="7"/>
      <c r="BN417" s="7"/>
      <c r="BO417" s="4"/>
      <c r="BP417" s="8"/>
      <c r="BQ417" s="4"/>
      <c r="BR417" s="8"/>
      <c r="BS417" s="7"/>
      <c r="BT417" s="7"/>
      <c r="BU417" s="2" t="s">
        <v>2506</v>
      </c>
      <c r="BV417" s="2" t="s">
        <v>199</v>
      </c>
      <c r="BW417" s="2" t="s">
        <v>199</v>
      </c>
      <c r="BX417" s="2" t="s">
        <v>2507</v>
      </c>
      <c r="BY417" s="2" t="s">
        <v>209</v>
      </c>
      <c r="BZ417" s="2" t="s">
        <v>196</v>
      </c>
      <c r="CA417" s="2" t="s">
        <v>374</v>
      </c>
      <c r="CB417" s="2" t="s">
        <v>1118</v>
      </c>
      <c r="CC417" s="2" t="s">
        <v>212</v>
      </c>
      <c r="CD417" s="2" t="s">
        <v>199</v>
      </c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>
        <v>140</v>
      </c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>
        <v>120</v>
      </c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>
        <v>120</v>
      </c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>
        <v>140</v>
      </c>
      <c r="EX417" s="4">
        <v>111</v>
      </c>
      <c r="EY417" s="4">
        <v>96</v>
      </c>
      <c r="EZ417" s="4">
        <v>201</v>
      </c>
      <c r="FA417" s="4">
        <v>186</v>
      </c>
      <c r="FB417" s="4">
        <v>170</v>
      </c>
      <c r="FC417" s="4">
        <v>155</v>
      </c>
      <c r="FD417" s="4">
        <v>140</v>
      </c>
      <c r="FE417" s="4">
        <v>245</v>
      </c>
      <c r="FF417" s="4">
        <v>230</v>
      </c>
      <c r="FG417" s="4">
        <v>215</v>
      </c>
      <c r="FH417" s="4">
        <v>200</v>
      </c>
      <c r="FI417" s="4">
        <v>185</v>
      </c>
      <c r="FJ417" s="4">
        <v>170</v>
      </c>
      <c r="FK417" s="4">
        <v>155</v>
      </c>
      <c r="FL417" s="4">
        <v>140</v>
      </c>
      <c r="FM417" s="4">
        <v>125</v>
      </c>
      <c r="FN417" s="4">
        <v>110</v>
      </c>
      <c r="FO417" s="4">
        <v>95</v>
      </c>
      <c r="FP417" s="4">
        <v>79</v>
      </c>
      <c r="FQ417" s="4">
        <v>64</v>
      </c>
      <c r="FR417" s="4">
        <v>49</v>
      </c>
      <c r="FS417" s="4">
        <v>34</v>
      </c>
      <c r="FT417" s="20">
        <v>0</v>
      </c>
      <c r="FU417" s="20">
        <v>0</v>
      </c>
      <c r="FV417" s="20">
        <v>0</v>
      </c>
      <c r="FW417" s="19">
        <v>7.8</v>
      </c>
      <c r="FX417" s="19">
        <v>7.4</v>
      </c>
      <c r="FY417" s="19">
        <v>6.4</v>
      </c>
      <c r="FZ417" s="19">
        <v>13.4</v>
      </c>
      <c r="GA417" s="19">
        <v>12.4</v>
      </c>
      <c r="GB417" s="19">
        <v>11.3</v>
      </c>
      <c r="GC417" s="19">
        <v>10.3</v>
      </c>
      <c r="GD417" s="19">
        <v>9.3</v>
      </c>
      <c r="GE417" s="19">
        <v>16.3</v>
      </c>
      <c r="GF417" s="19">
        <v>15.3</v>
      </c>
      <c r="GG417" s="19">
        <v>14.3</v>
      </c>
      <c r="GH417" s="19">
        <v>13.3</v>
      </c>
      <c r="GI417" s="19">
        <v>12.3</v>
      </c>
      <c r="GJ417" s="19">
        <v>11.3</v>
      </c>
      <c r="GK417" s="19">
        <v>10.3</v>
      </c>
      <c r="GL417" s="19">
        <v>9.3</v>
      </c>
      <c r="GM417" s="19">
        <v>8.3</v>
      </c>
      <c r="GN417" s="19">
        <v>7.3</v>
      </c>
      <c r="GO417" s="19">
        <v>6.3</v>
      </c>
      <c r="GP417" s="19">
        <v>5.3</v>
      </c>
      <c r="GQ417" s="19">
        <v>4.3</v>
      </c>
      <c r="GR417" s="19">
        <v>3.3</v>
      </c>
      <c r="GS417" s="19">
        <v>2.3</v>
      </c>
    </row>
    <row r="418">
      <c r="A418" s="2" t="s">
        <v>2512</v>
      </c>
      <c r="B418" s="2" t="s">
        <v>630</v>
      </c>
      <c r="C418" s="2" t="s">
        <v>246</v>
      </c>
      <c r="D418" s="2" t="s">
        <v>228</v>
      </c>
      <c r="E418" s="2" t="s">
        <v>487</v>
      </c>
      <c r="F418" s="2" t="s">
        <v>2499</v>
      </c>
      <c r="G418" s="2" t="s">
        <v>2500</v>
      </c>
      <c r="H418" s="2" t="s">
        <v>2501</v>
      </c>
      <c r="I418" s="2" t="s">
        <v>2502</v>
      </c>
      <c r="J418" s="2" t="s">
        <v>219</v>
      </c>
      <c r="K418" s="2" t="s">
        <v>723</v>
      </c>
      <c r="L418" s="3">
        <v>42.85</v>
      </c>
      <c r="M418" s="3">
        <v>44.99</v>
      </c>
      <c r="N418" s="3">
        <v>89.99</v>
      </c>
      <c r="O418" s="2" t="s">
        <v>196</v>
      </c>
      <c r="P418" s="2" t="s">
        <v>197</v>
      </c>
      <c r="Q418" s="2" t="s">
        <v>198</v>
      </c>
      <c r="R418" s="2" t="s">
        <v>199</v>
      </c>
      <c r="S418" s="2" t="s">
        <v>2513</v>
      </c>
      <c r="T418" s="2" t="s">
        <v>386</v>
      </c>
      <c r="U418" s="2" t="s">
        <v>509</v>
      </c>
      <c r="V418" s="2" t="s">
        <v>301</v>
      </c>
      <c r="W418" s="2" t="s">
        <v>768</v>
      </c>
      <c r="X418" s="2" t="s">
        <v>2504</v>
      </c>
      <c r="Y418" s="2" t="s">
        <v>2511</v>
      </c>
      <c r="Z418" s="4"/>
      <c r="AA418" s="4">
        <f>=ROUNDDOWN({0},0)</f>
      </c>
      <c r="AB418" s="5">
        <v>22</v>
      </c>
      <c r="AC418" s="2" t="s">
        <v>2514</v>
      </c>
      <c r="AD418" s="4">
        <v>140</v>
      </c>
      <c r="AE418" s="4">
        <v>610</v>
      </c>
      <c r="AF418" s="6">
        <v>64</v>
      </c>
      <c r="AG418" s="6"/>
      <c r="AH418" s="7">
        <v>0</v>
      </c>
      <c r="AI418" s="4"/>
      <c r="AJ418" s="4">
        <f>=ROUNDDOWN({0},0)</f>
      </c>
      <c r="AK418" s="5"/>
      <c r="AL418" s="2" t="s">
        <v>199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199</v>
      </c>
      <c r="AW418" s="8" t="s">
        <v>199</v>
      </c>
      <c r="AX418" s="4" t="s">
        <v>199</v>
      </c>
      <c r="AY418" s="8" t="s">
        <v>199</v>
      </c>
      <c r="AZ418" s="7" t="s">
        <v>199</v>
      </c>
      <c r="BA418" s="7" t="s">
        <v>199</v>
      </c>
      <c r="BB418" s="7"/>
      <c r="BC418" s="4" t="s">
        <v>199</v>
      </c>
      <c r="BD418" s="8" t="s">
        <v>199</v>
      </c>
      <c r="BE418" s="4" t="s">
        <v>199</v>
      </c>
      <c r="BF418" s="8" t="s">
        <v>199</v>
      </c>
      <c r="BG418" s="7" t="s">
        <v>199</v>
      </c>
      <c r="BH418" s="7" t="s">
        <v>199</v>
      </c>
      <c r="BI418" s="7"/>
      <c r="BJ418" s="4"/>
      <c r="BK418" s="8"/>
      <c r="BL418" s="2" t="s">
        <v>199</v>
      </c>
      <c r="BM418" s="7"/>
      <c r="BN418" s="7"/>
      <c r="BO418" s="4"/>
      <c r="BP418" s="8"/>
      <c r="BQ418" s="4"/>
      <c r="BR418" s="8"/>
      <c r="BS418" s="7"/>
      <c r="BT418" s="7"/>
      <c r="BU418" s="2" t="s">
        <v>2506</v>
      </c>
      <c r="BV418" s="2" t="s">
        <v>199</v>
      </c>
      <c r="BW418" s="2" t="s">
        <v>199</v>
      </c>
      <c r="BX418" s="2" t="s">
        <v>2507</v>
      </c>
      <c r="BY418" s="2" t="s">
        <v>209</v>
      </c>
      <c r="BZ418" s="2" t="s">
        <v>196</v>
      </c>
      <c r="CA418" s="2" t="s">
        <v>374</v>
      </c>
      <c r="CB418" s="2" t="s">
        <v>828</v>
      </c>
      <c r="CC418" s="2" t="s">
        <v>212</v>
      </c>
      <c r="CD418" s="2" t="s">
        <v>199</v>
      </c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>
        <v>140</v>
      </c>
      <c r="DB418" s="4">
        <v>200</v>
      </c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>
        <v>130</v>
      </c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>
        <v>140</v>
      </c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>
        <v>340</v>
      </c>
      <c r="EX418" s="4">
        <v>282</v>
      </c>
      <c r="EY418" s="4">
        <v>260</v>
      </c>
      <c r="EZ418" s="4">
        <v>368</v>
      </c>
      <c r="FA418" s="4">
        <v>346</v>
      </c>
      <c r="FB418" s="4">
        <v>322</v>
      </c>
      <c r="FC418" s="4">
        <v>300</v>
      </c>
      <c r="FD418" s="4">
        <v>278</v>
      </c>
      <c r="FE418" s="4">
        <v>396</v>
      </c>
      <c r="FF418" s="4">
        <v>374</v>
      </c>
      <c r="FG418" s="4">
        <v>352</v>
      </c>
      <c r="FH418" s="4">
        <v>330</v>
      </c>
      <c r="FI418" s="4">
        <v>307</v>
      </c>
      <c r="FJ418" s="4">
        <v>285</v>
      </c>
      <c r="FK418" s="4">
        <v>263</v>
      </c>
      <c r="FL418" s="4">
        <v>241</v>
      </c>
      <c r="FM418" s="4">
        <v>219</v>
      </c>
      <c r="FN418" s="4">
        <v>196</v>
      </c>
      <c r="FO418" s="4">
        <v>174</v>
      </c>
      <c r="FP418" s="4">
        <v>150</v>
      </c>
      <c r="FQ418" s="4">
        <v>128</v>
      </c>
      <c r="FR418" s="4">
        <v>106</v>
      </c>
      <c r="FS418" s="4">
        <v>84</v>
      </c>
      <c r="FT418" s="20">
        <v>0</v>
      </c>
      <c r="FU418" s="20">
        <v>0</v>
      </c>
      <c r="FV418" s="20">
        <v>0</v>
      </c>
      <c r="FW418" s="19">
        <v>11</v>
      </c>
      <c r="FX418" s="19">
        <v>12.8</v>
      </c>
      <c r="FY418" s="19">
        <v>11.8</v>
      </c>
      <c r="FZ418" s="19">
        <v>16.7</v>
      </c>
      <c r="GA418" s="19">
        <v>15.7</v>
      </c>
      <c r="GB418" s="19">
        <v>14.6</v>
      </c>
      <c r="GC418" s="19">
        <v>13.6</v>
      </c>
      <c r="GD418" s="19">
        <v>12.6</v>
      </c>
      <c r="GE418" s="19">
        <v>18</v>
      </c>
      <c r="GF418" s="19">
        <v>17</v>
      </c>
      <c r="GG418" s="19">
        <v>16</v>
      </c>
      <c r="GH418" s="19">
        <v>15</v>
      </c>
      <c r="GI418" s="19">
        <v>14</v>
      </c>
      <c r="GJ418" s="19">
        <v>13</v>
      </c>
      <c r="GK418" s="19">
        <v>12</v>
      </c>
      <c r="GL418" s="19">
        <v>10.5</v>
      </c>
      <c r="GM418" s="19">
        <v>9.5</v>
      </c>
      <c r="GN418" s="19">
        <v>8.9</v>
      </c>
      <c r="GO418" s="19">
        <v>7.9</v>
      </c>
      <c r="GP418" s="19">
        <v>6.8</v>
      </c>
      <c r="GQ418" s="19">
        <v>5.8</v>
      </c>
      <c r="GR418" s="19">
        <v>4.8</v>
      </c>
      <c r="GS418" s="19">
        <v>3.7</v>
      </c>
    </row>
    <row r="419">
      <c r="A419" s="2" t="s">
        <v>2515</v>
      </c>
      <c r="B419" s="2" t="s">
        <v>630</v>
      </c>
      <c r="C419" s="2" t="s">
        <v>246</v>
      </c>
      <c r="D419" s="2" t="s">
        <v>228</v>
      </c>
      <c r="E419" s="2" t="s">
        <v>487</v>
      </c>
      <c r="F419" s="2" t="s">
        <v>2499</v>
      </c>
      <c r="G419" s="2" t="s">
        <v>2500</v>
      </c>
      <c r="H419" s="2" t="s">
        <v>2501</v>
      </c>
      <c r="I419" s="2" t="s">
        <v>2502</v>
      </c>
      <c r="J419" s="2" t="s">
        <v>223</v>
      </c>
      <c r="K419" s="2" t="s">
        <v>723</v>
      </c>
      <c r="L419" s="3">
        <v>47.61</v>
      </c>
      <c r="M419" s="3">
        <v>49.99</v>
      </c>
      <c r="N419" s="3">
        <v>99.99</v>
      </c>
      <c r="O419" s="2" t="s">
        <v>196</v>
      </c>
      <c r="P419" s="2" t="s">
        <v>197</v>
      </c>
      <c r="Q419" s="2" t="s">
        <v>198</v>
      </c>
      <c r="R419" s="2" t="s">
        <v>199</v>
      </c>
      <c r="S419" s="2" t="s">
        <v>2513</v>
      </c>
      <c r="T419" s="2" t="s">
        <v>386</v>
      </c>
      <c r="U419" s="2" t="s">
        <v>509</v>
      </c>
      <c r="V419" s="2" t="s">
        <v>301</v>
      </c>
      <c r="W419" s="2" t="s">
        <v>768</v>
      </c>
      <c r="X419" s="2" t="s">
        <v>2504</v>
      </c>
      <c r="Y419" s="2" t="s">
        <v>2511</v>
      </c>
      <c r="Z419" s="4"/>
      <c r="AA419" s="4">
        <f>=ROUNDDOWN({0},0)</f>
      </c>
      <c r="AB419" s="5">
        <v>22</v>
      </c>
      <c r="AC419" s="2" t="s">
        <v>2514</v>
      </c>
      <c r="AD419" s="4">
        <v>120</v>
      </c>
      <c r="AE419" s="4">
        <v>620</v>
      </c>
      <c r="AF419" s="6">
        <v>64</v>
      </c>
      <c r="AG419" s="6"/>
      <c r="AH419" s="7">
        <v>0</v>
      </c>
      <c r="AI419" s="4"/>
      <c r="AJ419" s="4">
        <f>=ROUNDDOWN({0},0)</f>
      </c>
      <c r="AK419" s="5"/>
      <c r="AL419" s="2" t="s">
        <v>199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199</v>
      </c>
      <c r="AW419" s="8" t="s">
        <v>199</v>
      </c>
      <c r="AX419" s="4" t="s">
        <v>199</v>
      </c>
      <c r="AY419" s="8" t="s">
        <v>199</v>
      </c>
      <c r="AZ419" s="7" t="s">
        <v>199</v>
      </c>
      <c r="BA419" s="7" t="s">
        <v>199</v>
      </c>
      <c r="BB419" s="7"/>
      <c r="BC419" s="4" t="s">
        <v>199</v>
      </c>
      <c r="BD419" s="8" t="s">
        <v>199</v>
      </c>
      <c r="BE419" s="4" t="s">
        <v>199</v>
      </c>
      <c r="BF419" s="8" t="s">
        <v>199</v>
      </c>
      <c r="BG419" s="7" t="s">
        <v>199</v>
      </c>
      <c r="BH419" s="7" t="s">
        <v>199</v>
      </c>
      <c r="BI419" s="7"/>
      <c r="BJ419" s="4"/>
      <c r="BK419" s="8"/>
      <c r="BL419" s="2" t="s">
        <v>199</v>
      </c>
      <c r="BM419" s="7"/>
      <c r="BN419" s="7"/>
      <c r="BO419" s="4"/>
      <c r="BP419" s="8"/>
      <c r="BQ419" s="4"/>
      <c r="BR419" s="8"/>
      <c r="BS419" s="7"/>
      <c r="BT419" s="7"/>
      <c r="BU419" s="2" t="s">
        <v>2506</v>
      </c>
      <c r="BV419" s="2" t="s">
        <v>199</v>
      </c>
      <c r="BW419" s="2" t="s">
        <v>199</v>
      </c>
      <c r="BX419" s="2" t="s">
        <v>2507</v>
      </c>
      <c r="BY419" s="2" t="s">
        <v>209</v>
      </c>
      <c r="BZ419" s="2" t="s">
        <v>196</v>
      </c>
      <c r="CA419" s="2" t="s">
        <v>374</v>
      </c>
      <c r="CB419" s="2" t="s">
        <v>2516</v>
      </c>
      <c r="CC419" s="2" t="s">
        <v>212</v>
      </c>
      <c r="CD419" s="2" t="s">
        <v>199</v>
      </c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>
        <v>120</v>
      </c>
      <c r="DB419" s="4">
        <v>160</v>
      </c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>
        <v>170</v>
      </c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>
        <v>170</v>
      </c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>
        <v>280</v>
      </c>
      <c r="EX419" s="4">
        <v>222</v>
      </c>
      <c r="EY419" s="4">
        <v>200</v>
      </c>
      <c r="EZ419" s="4">
        <v>348</v>
      </c>
      <c r="FA419" s="4">
        <v>326</v>
      </c>
      <c r="FB419" s="4">
        <v>302</v>
      </c>
      <c r="FC419" s="4">
        <v>280</v>
      </c>
      <c r="FD419" s="4">
        <v>258</v>
      </c>
      <c r="FE419" s="4">
        <v>406</v>
      </c>
      <c r="FF419" s="4">
        <v>384</v>
      </c>
      <c r="FG419" s="4">
        <v>362</v>
      </c>
      <c r="FH419" s="4">
        <v>340</v>
      </c>
      <c r="FI419" s="4">
        <v>317</v>
      </c>
      <c r="FJ419" s="4">
        <v>295</v>
      </c>
      <c r="FK419" s="4">
        <v>273</v>
      </c>
      <c r="FL419" s="4">
        <v>251</v>
      </c>
      <c r="FM419" s="4">
        <v>229</v>
      </c>
      <c r="FN419" s="4">
        <v>206</v>
      </c>
      <c r="FO419" s="4">
        <v>184</v>
      </c>
      <c r="FP419" s="4">
        <v>160</v>
      </c>
      <c r="FQ419" s="4">
        <v>138</v>
      </c>
      <c r="FR419" s="4">
        <v>116</v>
      </c>
      <c r="FS419" s="4">
        <v>94</v>
      </c>
      <c r="FT419" s="20">
        <v>0</v>
      </c>
      <c r="FU419" s="20">
        <v>0</v>
      </c>
      <c r="FV419" s="20">
        <v>0</v>
      </c>
      <c r="FW419" s="19">
        <v>9</v>
      </c>
      <c r="FX419" s="19">
        <v>10.1</v>
      </c>
      <c r="FY419" s="19">
        <v>9.1</v>
      </c>
      <c r="FZ419" s="19">
        <v>15.8</v>
      </c>
      <c r="GA419" s="19">
        <v>14.8</v>
      </c>
      <c r="GB419" s="19">
        <v>13.7</v>
      </c>
      <c r="GC419" s="19">
        <v>12.7</v>
      </c>
      <c r="GD419" s="19">
        <v>11.7</v>
      </c>
      <c r="GE419" s="19">
        <v>18.5</v>
      </c>
      <c r="GF419" s="19">
        <v>17.5</v>
      </c>
      <c r="GG419" s="19">
        <v>16.5</v>
      </c>
      <c r="GH419" s="19">
        <v>15.5</v>
      </c>
      <c r="GI419" s="19">
        <v>14.4</v>
      </c>
      <c r="GJ419" s="19">
        <v>13.4</v>
      </c>
      <c r="GK419" s="19">
        <v>12.4</v>
      </c>
      <c r="GL419" s="19">
        <v>10.9</v>
      </c>
      <c r="GM419" s="19">
        <v>10</v>
      </c>
      <c r="GN419" s="19">
        <v>9.4</v>
      </c>
      <c r="GO419" s="19">
        <v>8.4</v>
      </c>
      <c r="GP419" s="19">
        <v>7.3</v>
      </c>
      <c r="GQ419" s="19">
        <v>6.3</v>
      </c>
      <c r="GR419" s="19">
        <v>5.3</v>
      </c>
      <c r="GS419" s="19">
        <v>4.1</v>
      </c>
    </row>
    <row r="420">
      <c r="A420" s="2" t="s">
        <v>2517</v>
      </c>
      <c r="B420" s="2" t="s">
        <v>630</v>
      </c>
      <c r="C420" s="2" t="s">
        <v>246</v>
      </c>
      <c r="D420" s="2" t="s">
        <v>228</v>
      </c>
      <c r="E420" s="2" t="s">
        <v>487</v>
      </c>
      <c r="F420" s="2" t="s">
        <v>2499</v>
      </c>
      <c r="G420" s="2" t="s">
        <v>2500</v>
      </c>
      <c r="H420" s="2" t="s">
        <v>2501</v>
      </c>
      <c r="I420" s="2" t="s">
        <v>2502</v>
      </c>
      <c r="J420" s="2" t="s">
        <v>251</v>
      </c>
      <c r="K420" s="2" t="s">
        <v>723</v>
      </c>
      <c r="L420" s="3">
        <v>47.61</v>
      </c>
      <c r="M420" s="3">
        <v>49.99</v>
      </c>
      <c r="N420" s="3">
        <v>99.99</v>
      </c>
      <c r="O420" s="2" t="s">
        <v>196</v>
      </c>
      <c r="P420" s="2" t="s">
        <v>197</v>
      </c>
      <c r="Q420" s="2" t="s">
        <v>198</v>
      </c>
      <c r="R420" s="2" t="s">
        <v>199</v>
      </c>
      <c r="S420" s="2" t="s">
        <v>2513</v>
      </c>
      <c r="T420" s="2" t="s">
        <v>386</v>
      </c>
      <c r="U420" s="2" t="s">
        <v>509</v>
      </c>
      <c r="V420" s="2" t="s">
        <v>301</v>
      </c>
      <c r="W420" s="2" t="s">
        <v>768</v>
      </c>
      <c r="X420" s="2" t="s">
        <v>2504</v>
      </c>
      <c r="Y420" s="2" t="s">
        <v>2511</v>
      </c>
      <c r="Z420" s="4"/>
      <c r="AA420" s="4">
        <f>=ROUNDDOWN({0},0)</f>
      </c>
      <c r="AB420" s="5">
        <v>13</v>
      </c>
      <c r="AC420" s="2" t="s">
        <v>2514</v>
      </c>
      <c r="AD420" s="4">
        <v>70</v>
      </c>
      <c r="AE420" s="4">
        <v>350</v>
      </c>
      <c r="AF420" s="6">
        <v>64</v>
      </c>
      <c r="AG420" s="6"/>
      <c r="AH420" s="7">
        <v>0</v>
      </c>
      <c r="AI420" s="4"/>
      <c r="AJ420" s="4">
        <f>=ROUNDDOWN({0},0)</f>
      </c>
      <c r="AK420" s="5"/>
      <c r="AL420" s="2" t="s">
        <v>199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199</v>
      </c>
      <c r="AW420" s="8" t="s">
        <v>199</v>
      </c>
      <c r="AX420" s="4" t="s">
        <v>199</v>
      </c>
      <c r="AY420" s="8" t="s">
        <v>199</v>
      </c>
      <c r="AZ420" s="7" t="s">
        <v>199</v>
      </c>
      <c r="BA420" s="7" t="s">
        <v>199</v>
      </c>
      <c r="BB420" s="7"/>
      <c r="BC420" s="4" t="s">
        <v>199</v>
      </c>
      <c r="BD420" s="8" t="s">
        <v>199</v>
      </c>
      <c r="BE420" s="4" t="s">
        <v>199</v>
      </c>
      <c r="BF420" s="8" t="s">
        <v>199</v>
      </c>
      <c r="BG420" s="7" t="s">
        <v>199</v>
      </c>
      <c r="BH420" s="7" t="s">
        <v>199</v>
      </c>
      <c r="BI420" s="7"/>
      <c r="BJ420" s="4"/>
      <c r="BK420" s="8"/>
      <c r="BL420" s="2" t="s">
        <v>199</v>
      </c>
      <c r="BM420" s="7"/>
      <c r="BN420" s="7"/>
      <c r="BO420" s="4"/>
      <c r="BP420" s="8"/>
      <c r="BQ420" s="4"/>
      <c r="BR420" s="8"/>
      <c r="BS420" s="7"/>
      <c r="BT420" s="7"/>
      <c r="BU420" s="2" t="s">
        <v>2506</v>
      </c>
      <c r="BV420" s="2" t="s">
        <v>199</v>
      </c>
      <c r="BW420" s="2" t="s">
        <v>199</v>
      </c>
      <c r="BX420" s="2" t="s">
        <v>2507</v>
      </c>
      <c r="BY420" s="2" t="s">
        <v>209</v>
      </c>
      <c r="BZ420" s="2" t="s">
        <v>196</v>
      </c>
      <c r="CA420" s="2" t="s">
        <v>374</v>
      </c>
      <c r="CB420" s="2" t="s">
        <v>2518</v>
      </c>
      <c r="CC420" s="2" t="s">
        <v>212</v>
      </c>
      <c r="CD420" s="2" t="s">
        <v>199</v>
      </c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>
        <v>70</v>
      </c>
      <c r="DB420" s="4">
        <v>90</v>
      </c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>
        <v>90</v>
      </c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>
        <v>100</v>
      </c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>
        <v>160</v>
      </c>
      <c r="EX420" s="4">
        <v>126</v>
      </c>
      <c r="EY420" s="4">
        <v>113</v>
      </c>
      <c r="EZ420" s="4">
        <v>190</v>
      </c>
      <c r="FA420" s="4">
        <v>177</v>
      </c>
      <c r="FB420" s="4">
        <v>163</v>
      </c>
      <c r="FC420" s="4">
        <v>150</v>
      </c>
      <c r="FD420" s="4">
        <v>137</v>
      </c>
      <c r="FE420" s="4">
        <v>224</v>
      </c>
      <c r="FF420" s="4">
        <v>211</v>
      </c>
      <c r="FG420" s="4">
        <v>198</v>
      </c>
      <c r="FH420" s="4">
        <v>185</v>
      </c>
      <c r="FI420" s="4">
        <v>172</v>
      </c>
      <c r="FJ420" s="4">
        <v>159</v>
      </c>
      <c r="FK420" s="4">
        <v>146</v>
      </c>
      <c r="FL420" s="4">
        <v>133</v>
      </c>
      <c r="FM420" s="4">
        <v>120</v>
      </c>
      <c r="FN420" s="4">
        <v>107</v>
      </c>
      <c r="FO420" s="4">
        <v>94</v>
      </c>
      <c r="FP420" s="4">
        <v>80</v>
      </c>
      <c r="FQ420" s="4">
        <v>67</v>
      </c>
      <c r="FR420" s="4">
        <v>54</v>
      </c>
      <c r="FS420" s="4">
        <v>41</v>
      </c>
      <c r="FT420" s="20">
        <v>0</v>
      </c>
      <c r="FU420" s="20">
        <v>0</v>
      </c>
      <c r="FV420" s="20">
        <v>0</v>
      </c>
      <c r="FW420" s="19">
        <v>8.9</v>
      </c>
      <c r="FX420" s="19">
        <v>9.7</v>
      </c>
      <c r="FY420" s="19">
        <v>8.7</v>
      </c>
      <c r="FZ420" s="19">
        <v>14.6</v>
      </c>
      <c r="GA420" s="19">
        <v>13.6</v>
      </c>
      <c r="GB420" s="19">
        <v>12.5</v>
      </c>
      <c r="GC420" s="19">
        <v>11.5</v>
      </c>
      <c r="GD420" s="19">
        <v>10.5</v>
      </c>
      <c r="GE420" s="19">
        <v>17.2</v>
      </c>
      <c r="GF420" s="19">
        <v>16.2</v>
      </c>
      <c r="GG420" s="19">
        <v>15.2</v>
      </c>
      <c r="GH420" s="19">
        <v>14.2</v>
      </c>
      <c r="GI420" s="19">
        <v>13.2</v>
      </c>
      <c r="GJ420" s="19">
        <v>12.2</v>
      </c>
      <c r="GK420" s="19">
        <v>11.2</v>
      </c>
      <c r="GL420" s="19">
        <v>10.2</v>
      </c>
      <c r="GM420" s="19">
        <v>9.2</v>
      </c>
      <c r="GN420" s="19">
        <v>8.2</v>
      </c>
      <c r="GO420" s="19">
        <v>7.2</v>
      </c>
      <c r="GP420" s="19">
        <v>6.2</v>
      </c>
      <c r="GQ420" s="19">
        <v>5.2</v>
      </c>
      <c r="GR420" s="19">
        <v>4.2</v>
      </c>
      <c r="GS420" s="19">
        <v>3.2</v>
      </c>
    </row>
    <row r="421">
      <c r="A421" s="2" t="s">
        <v>2519</v>
      </c>
      <c r="B421" s="2" t="s">
        <v>630</v>
      </c>
      <c r="C421" s="2" t="s">
        <v>295</v>
      </c>
      <c r="D421" s="2" t="s">
        <v>228</v>
      </c>
      <c r="E421" s="2" t="s">
        <v>2456</v>
      </c>
      <c r="F421" s="2" t="s">
        <v>2520</v>
      </c>
      <c r="G421" s="2" t="s">
        <v>2521</v>
      </c>
      <c r="H421" s="2" t="s">
        <v>2522</v>
      </c>
      <c r="I421" s="2" t="s">
        <v>2460</v>
      </c>
      <c r="J421" s="2" t="s">
        <v>251</v>
      </c>
      <c r="K421" s="2" t="s">
        <v>1073</v>
      </c>
      <c r="L421" s="3">
        <v>67.59</v>
      </c>
      <c r="M421" s="3">
        <v>70.97</v>
      </c>
      <c r="N421" s="3">
        <v>144.99</v>
      </c>
      <c r="O421" s="2" t="s">
        <v>196</v>
      </c>
      <c r="P421" s="2" t="s">
        <v>197</v>
      </c>
      <c r="Q421" s="2" t="s">
        <v>198</v>
      </c>
      <c r="R421" s="2" t="s">
        <v>199</v>
      </c>
      <c r="S421" s="2" t="s">
        <v>2523</v>
      </c>
      <c r="T421" s="2" t="s">
        <v>386</v>
      </c>
      <c r="U421" s="2" t="s">
        <v>1907</v>
      </c>
      <c r="V421" s="2" t="s">
        <v>1381</v>
      </c>
      <c r="W421" s="2" t="s">
        <v>768</v>
      </c>
      <c r="X421" s="2" t="s">
        <v>640</v>
      </c>
      <c r="Y421" s="2" t="s">
        <v>204</v>
      </c>
      <c r="Z421" s="4">
        <v>101</v>
      </c>
      <c r="AA421" s="4">
        <f>=ROUNDDOWN(50.5,0)</f>
      </c>
      <c r="AB421" s="5">
        <v>2</v>
      </c>
      <c r="AC421" s="2" t="s">
        <v>199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18</v>
      </c>
      <c r="BK421" s="8">
        <v>1337.86</v>
      </c>
      <c r="BL421" s="2" t="s">
        <v>2524</v>
      </c>
      <c r="BM421" s="7"/>
      <c r="BN421" s="7"/>
      <c r="BO421" s="4"/>
      <c r="BP421" s="8"/>
      <c r="BQ421" s="4"/>
      <c r="BR421" s="8"/>
      <c r="BS421" s="7"/>
      <c r="BT421" s="7"/>
      <c r="BU421" s="2" t="s">
        <v>2525</v>
      </c>
      <c r="BV421" s="2" t="s">
        <v>199</v>
      </c>
      <c r="BW421" s="2" t="s">
        <v>199</v>
      </c>
      <c r="BX421" s="2" t="s">
        <v>208</v>
      </c>
      <c r="BY421" s="2" t="s">
        <v>209</v>
      </c>
      <c r="BZ421" s="2" t="s">
        <v>196</v>
      </c>
      <c r="CA421" s="2" t="s">
        <v>2526</v>
      </c>
      <c r="CB421" s="2" t="s">
        <v>2527</v>
      </c>
      <c r="CC421" s="2" t="s">
        <v>212</v>
      </c>
      <c r="CD421" s="2" t="s">
        <v>199</v>
      </c>
      <c r="CE421" s="4">
        <v>101</v>
      </c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>
        <v>101</v>
      </c>
      <c r="EU421" s="4">
        <v>99</v>
      </c>
      <c r="EV421" s="4">
        <v>97</v>
      </c>
      <c r="EW421" s="4">
        <v>95</v>
      </c>
      <c r="EX421" s="4">
        <v>93</v>
      </c>
      <c r="EY421" s="4">
        <v>91</v>
      </c>
      <c r="EZ421" s="4">
        <v>89</v>
      </c>
      <c r="FA421" s="4">
        <v>87</v>
      </c>
      <c r="FB421" s="4">
        <v>85</v>
      </c>
      <c r="FC421" s="4">
        <v>83</v>
      </c>
      <c r="FD421" s="4">
        <v>81</v>
      </c>
      <c r="FE421" s="4">
        <v>79</v>
      </c>
      <c r="FF421" s="4">
        <v>77</v>
      </c>
      <c r="FG421" s="4">
        <v>75</v>
      </c>
      <c r="FH421" s="4">
        <v>73</v>
      </c>
      <c r="FI421" s="4">
        <v>71</v>
      </c>
      <c r="FJ421" s="4">
        <v>69</v>
      </c>
      <c r="FK421" s="4">
        <v>67</v>
      </c>
      <c r="FL421" s="4">
        <v>65</v>
      </c>
      <c r="FM421" s="4">
        <v>63</v>
      </c>
      <c r="FN421" s="4">
        <v>61</v>
      </c>
      <c r="FO421" s="4">
        <v>59</v>
      </c>
      <c r="FP421" s="4">
        <v>57</v>
      </c>
      <c r="FQ421" s="4">
        <v>55</v>
      </c>
      <c r="FR421" s="4">
        <v>53</v>
      </c>
      <c r="FS421" s="4">
        <v>51</v>
      </c>
      <c r="FT421" s="19">
        <v>50.5</v>
      </c>
      <c r="FU421" s="19">
        <v>49.5</v>
      </c>
      <c r="FV421" s="19">
        <v>48.5</v>
      </c>
      <c r="FW421" s="19">
        <v>47.5</v>
      </c>
      <c r="FX421" s="19">
        <v>46.5</v>
      </c>
      <c r="FY421" s="19">
        <v>45.5</v>
      </c>
      <c r="FZ421" s="19">
        <v>44.5</v>
      </c>
      <c r="GA421" s="19">
        <v>43.5</v>
      </c>
      <c r="GB421" s="19">
        <v>42.5</v>
      </c>
      <c r="GC421" s="19">
        <v>41.5</v>
      </c>
      <c r="GD421" s="19">
        <v>40.5</v>
      </c>
      <c r="GE421" s="19">
        <v>39.5</v>
      </c>
      <c r="GF421" s="19">
        <v>38.5</v>
      </c>
      <c r="GG421" s="19">
        <v>37.5</v>
      </c>
      <c r="GH421" s="19">
        <v>36.5</v>
      </c>
      <c r="GI421" s="19">
        <v>35.5</v>
      </c>
      <c r="GJ421" s="19">
        <v>34.5</v>
      </c>
      <c r="GK421" s="19">
        <v>33.5</v>
      </c>
      <c r="GL421" s="19">
        <v>32.5</v>
      </c>
      <c r="GM421" s="19">
        <v>31.5</v>
      </c>
      <c r="GN421" s="19">
        <v>30.5</v>
      </c>
      <c r="GO421" s="19">
        <v>29.5</v>
      </c>
      <c r="GP421" s="19">
        <v>28.5</v>
      </c>
      <c r="GQ421" s="19">
        <v>27.5</v>
      </c>
      <c r="GR421" s="19">
        <v>26.5</v>
      </c>
      <c r="GS421" s="19">
        <v>25.5</v>
      </c>
    </row>
    <row r="422">
      <c r="A422" s="2" t="s">
        <v>2528</v>
      </c>
      <c r="B422" s="2" t="s">
        <v>591</v>
      </c>
      <c r="C422" s="2" t="s">
        <v>604</v>
      </c>
      <c r="D422" s="2" t="s">
        <v>593</v>
      </c>
      <c r="E422" s="2" t="s">
        <v>594</v>
      </c>
      <c r="F422" s="2" t="s">
        <v>2529</v>
      </c>
      <c r="G422" s="2" t="s">
        <v>2529</v>
      </c>
      <c r="H422" s="2" t="s">
        <v>2529</v>
      </c>
      <c r="I422" s="2" t="s">
        <v>2530</v>
      </c>
      <c r="J422" s="2" t="s">
        <v>559</v>
      </c>
      <c r="K422" s="2" t="s">
        <v>2531</v>
      </c>
      <c r="L422" s="3">
        <v>55</v>
      </c>
      <c r="M422" s="3">
        <v>57.75</v>
      </c>
      <c r="N422" s="3">
        <v>114.99</v>
      </c>
      <c r="O422" s="2" t="s">
        <v>196</v>
      </c>
      <c r="P422" s="2" t="s">
        <v>197</v>
      </c>
      <c r="Q422" s="2" t="s">
        <v>198</v>
      </c>
      <c r="R422" s="2" t="s">
        <v>199</v>
      </c>
      <c r="S422" s="2" t="s">
        <v>199</v>
      </c>
      <c r="T422" s="2" t="s">
        <v>199</v>
      </c>
      <c r="U422" s="2" t="s">
        <v>280</v>
      </c>
      <c r="V422" s="2" t="s">
        <v>493</v>
      </c>
      <c r="W422" s="2" t="s">
        <v>203</v>
      </c>
      <c r="X422" s="2" t="s">
        <v>510</v>
      </c>
      <c r="Y422" s="2" t="s">
        <v>2532</v>
      </c>
      <c r="Z422" s="4">
        <v>111</v>
      </c>
      <c r="AA422" s="4">
        <f>=ROUNDDOWN(55.5,0)</f>
      </c>
      <c r="AB422" s="5">
        <v>2</v>
      </c>
      <c r="AC422" s="2" t="s">
        <v>199</v>
      </c>
      <c r="AD422" s="4"/>
      <c r="AE422" s="4"/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199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2</v>
      </c>
      <c r="BK422" s="8">
        <v>119.28</v>
      </c>
      <c r="BL422" s="2" t="s">
        <v>2533</v>
      </c>
      <c r="BM422" s="7"/>
      <c r="BN422" s="7"/>
      <c r="BO422" s="4"/>
      <c r="BP422" s="8"/>
      <c r="BQ422" s="4"/>
      <c r="BR422" s="8"/>
      <c r="BS422" s="7"/>
      <c r="BT422" s="7"/>
      <c r="BU422" s="2" t="s">
        <v>2534</v>
      </c>
      <c r="BV422" s="2" t="s">
        <v>199</v>
      </c>
      <c r="BW422" s="2" t="s">
        <v>199</v>
      </c>
      <c r="BX422" s="2" t="s">
        <v>208</v>
      </c>
      <c r="BY422" s="2" t="s">
        <v>209</v>
      </c>
      <c r="BZ422" s="2" t="s">
        <v>196</v>
      </c>
      <c r="CA422" s="2" t="s">
        <v>827</v>
      </c>
      <c r="CB422" s="2" t="s">
        <v>2535</v>
      </c>
      <c r="CC422" s="2" t="s">
        <v>212</v>
      </c>
      <c r="CD422" s="2" t="s">
        <v>199</v>
      </c>
      <c r="CE422" s="4"/>
      <c r="CF422" s="4">
        <v>111</v>
      </c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>
        <v>115</v>
      </c>
      <c r="EU422" s="4">
        <v>109</v>
      </c>
      <c r="EV422" s="4">
        <v>107</v>
      </c>
      <c r="EW422" s="4">
        <v>105</v>
      </c>
      <c r="EX422" s="4">
        <v>103</v>
      </c>
      <c r="EY422" s="4">
        <v>101</v>
      </c>
      <c r="EZ422" s="4">
        <v>99</v>
      </c>
      <c r="FA422" s="4">
        <v>97</v>
      </c>
      <c r="FB422" s="4">
        <v>95</v>
      </c>
      <c r="FC422" s="4">
        <v>93</v>
      </c>
      <c r="FD422" s="4">
        <v>91</v>
      </c>
      <c r="FE422" s="4">
        <v>89</v>
      </c>
      <c r="FF422" s="4">
        <v>87</v>
      </c>
      <c r="FG422" s="4">
        <v>85</v>
      </c>
      <c r="FH422" s="4">
        <v>83</v>
      </c>
      <c r="FI422" s="4">
        <v>81</v>
      </c>
      <c r="FJ422" s="4">
        <v>79</v>
      </c>
      <c r="FK422" s="4">
        <v>77</v>
      </c>
      <c r="FL422" s="4">
        <v>75</v>
      </c>
      <c r="FM422" s="4">
        <v>73</v>
      </c>
      <c r="FN422" s="4">
        <v>71</v>
      </c>
      <c r="FO422" s="4">
        <v>69</v>
      </c>
      <c r="FP422" s="4">
        <v>67</v>
      </c>
      <c r="FQ422" s="4">
        <v>65</v>
      </c>
      <c r="FR422" s="4">
        <v>63</v>
      </c>
      <c r="FS422" s="4">
        <v>61</v>
      </c>
      <c r="FT422" s="19">
        <v>38.3</v>
      </c>
      <c r="FU422" s="19">
        <v>54.5</v>
      </c>
      <c r="FV422" s="19">
        <v>53.5</v>
      </c>
      <c r="FW422" s="19">
        <v>52.5</v>
      </c>
      <c r="FX422" s="19">
        <v>51.5</v>
      </c>
      <c r="FY422" s="19">
        <v>50.5</v>
      </c>
      <c r="FZ422" s="19">
        <v>49.5</v>
      </c>
      <c r="GA422" s="19">
        <v>48.5</v>
      </c>
      <c r="GB422" s="19">
        <v>47.5</v>
      </c>
      <c r="GC422" s="19">
        <v>46.5</v>
      </c>
      <c r="GD422" s="19">
        <v>45.5</v>
      </c>
      <c r="GE422" s="19">
        <v>44.5</v>
      </c>
      <c r="GF422" s="19">
        <v>43.5</v>
      </c>
      <c r="GG422" s="19">
        <v>42.5</v>
      </c>
      <c r="GH422" s="19">
        <v>41.5</v>
      </c>
      <c r="GI422" s="19">
        <v>40.5</v>
      </c>
      <c r="GJ422" s="19">
        <v>39.5</v>
      </c>
      <c r="GK422" s="19">
        <v>38.5</v>
      </c>
      <c r="GL422" s="19">
        <v>37.5</v>
      </c>
      <c r="GM422" s="19">
        <v>36.5</v>
      </c>
      <c r="GN422" s="19">
        <v>35.5</v>
      </c>
      <c r="GO422" s="19">
        <v>34.5</v>
      </c>
      <c r="GP422" s="19">
        <v>33.5</v>
      </c>
      <c r="GQ422" s="19">
        <v>32.5</v>
      </c>
      <c r="GR422" s="19">
        <v>31.5</v>
      </c>
      <c r="GS422" s="19">
        <v>30.5</v>
      </c>
    </row>
    <row r="423">
      <c r="A423" s="2" t="s">
        <v>2536</v>
      </c>
      <c r="B423" s="2" t="s">
        <v>1019</v>
      </c>
      <c r="C423" s="2" t="s">
        <v>295</v>
      </c>
      <c r="D423" s="2" t="s">
        <v>228</v>
      </c>
      <c r="E423" s="2" t="s">
        <v>988</v>
      </c>
      <c r="F423" s="2" t="s">
        <v>2537</v>
      </c>
      <c r="G423" s="2" t="s">
        <v>2538</v>
      </c>
      <c r="H423" s="2" t="s">
        <v>2538</v>
      </c>
      <c r="I423" s="2" t="s">
        <v>2539</v>
      </c>
      <c r="J423" s="2" t="s">
        <v>223</v>
      </c>
      <c r="K423" s="2" t="s">
        <v>2540</v>
      </c>
      <c r="L423" s="3">
        <v>30.65</v>
      </c>
      <c r="M423" s="3">
        <v>32.18</v>
      </c>
      <c r="N423" s="3">
        <v>62.99</v>
      </c>
      <c r="O423" s="2" t="s">
        <v>196</v>
      </c>
      <c r="P423" s="2" t="s">
        <v>197</v>
      </c>
      <c r="Q423" s="2" t="s">
        <v>198</v>
      </c>
      <c r="R423" s="2" t="s">
        <v>199</v>
      </c>
      <c r="S423" s="2" t="s">
        <v>2541</v>
      </c>
      <c r="T423" s="2" t="s">
        <v>386</v>
      </c>
      <c r="U423" s="2" t="s">
        <v>199</v>
      </c>
      <c r="V423" s="2" t="s">
        <v>202</v>
      </c>
      <c r="W423" s="2" t="s">
        <v>203</v>
      </c>
      <c r="X423" s="2" t="s">
        <v>199</v>
      </c>
      <c r="Y423" s="2" t="s">
        <v>204</v>
      </c>
      <c r="Z423" s="4">
        <v>241</v>
      </c>
      <c r="AA423" s="4">
        <f>=ROUNDDOWN(26.7777777777778,0)</f>
      </c>
      <c r="AB423" s="5">
        <v>9</v>
      </c>
      <c r="AC423" s="2" t="s">
        <v>199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199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199</v>
      </c>
      <c r="BD423" s="8" t="s">
        <v>199</v>
      </c>
      <c r="BE423" s="4" t="s">
        <v>199</v>
      </c>
      <c r="BF423" s="8" t="s">
        <v>199</v>
      </c>
      <c r="BG423" s="7" t="s">
        <v>199</v>
      </c>
      <c r="BH423" s="7" t="s">
        <v>199</v>
      </c>
      <c r="BI423" s="7"/>
      <c r="BJ423" s="4">
        <v>159</v>
      </c>
      <c r="BK423" s="8">
        <v>5209.08</v>
      </c>
      <c r="BL423" s="2" t="s">
        <v>1970</v>
      </c>
      <c r="BM423" s="7"/>
      <c r="BN423" s="7"/>
      <c r="BO423" s="4"/>
      <c r="BP423" s="8"/>
      <c r="BQ423" s="4"/>
      <c r="BR423" s="8"/>
      <c r="BS423" s="7"/>
      <c r="BT423" s="7"/>
      <c r="BU423" s="2" t="s">
        <v>2542</v>
      </c>
      <c r="BV423" s="2" t="s">
        <v>199</v>
      </c>
      <c r="BW423" s="2" t="s">
        <v>199</v>
      </c>
      <c r="BX423" s="2" t="s">
        <v>208</v>
      </c>
      <c r="BY423" s="2" t="s">
        <v>209</v>
      </c>
      <c r="BZ423" s="2" t="s">
        <v>196</v>
      </c>
      <c r="CA423" s="2" t="s">
        <v>210</v>
      </c>
      <c r="CB423" s="2" t="s">
        <v>2543</v>
      </c>
      <c r="CC423" s="2" t="s">
        <v>212</v>
      </c>
      <c r="CD423" s="2" t="s">
        <v>199</v>
      </c>
      <c r="CE423" s="4">
        <v>241</v>
      </c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>
        <v>246</v>
      </c>
      <c r="EU423" s="4">
        <v>226</v>
      </c>
      <c r="EV423" s="4">
        <v>210</v>
      </c>
      <c r="EW423" s="4">
        <v>194</v>
      </c>
      <c r="EX423" s="4">
        <v>175</v>
      </c>
      <c r="EY423" s="4">
        <v>159</v>
      </c>
      <c r="EZ423" s="4">
        <v>151</v>
      </c>
      <c r="FA423" s="4">
        <v>143</v>
      </c>
      <c r="FB423" s="4">
        <v>134</v>
      </c>
      <c r="FC423" s="4">
        <v>126</v>
      </c>
      <c r="FD423" s="4">
        <v>116</v>
      </c>
      <c r="FE423" s="4">
        <v>106</v>
      </c>
      <c r="FF423" s="4">
        <v>96</v>
      </c>
      <c r="FG423" s="4">
        <v>86</v>
      </c>
      <c r="FH423" s="4">
        <v>80</v>
      </c>
      <c r="FI423" s="4">
        <v>74</v>
      </c>
      <c r="FJ423" s="4">
        <v>68</v>
      </c>
      <c r="FK423" s="4">
        <v>62</v>
      </c>
      <c r="FL423" s="4">
        <v>56</v>
      </c>
      <c r="FM423" s="4">
        <v>47</v>
      </c>
      <c r="FN423" s="4">
        <v>38</v>
      </c>
      <c r="FO423" s="4">
        <v>29</v>
      </c>
      <c r="FP423" s="4">
        <v>19</v>
      </c>
      <c r="FQ423" s="4">
        <v>141</v>
      </c>
      <c r="FR423" s="4">
        <v>133</v>
      </c>
      <c r="FS423" s="4">
        <v>125</v>
      </c>
      <c r="FT423" s="19">
        <v>13.7</v>
      </c>
      <c r="FU423" s="19">
        <v>13.3</v>
      </c>
      <c r="FV423" s="19">
        <v>14</v>
      </c>
      <c r="FW423" s="19">
        <v>14.9</v>
      </c>
      <c r="FX423" s="19">
        <v>17.5</v>
      </c>
      <c r="FY423" s="19">
        <v>19.9</v>
      </c>
      <c r="FZ423" s="19">
        <v>16.8</v>
      </c>
      <c r="GA423" s="19">
        <v>15.9</v>
      </c>
      <c r="GB423" s="19">
        <v>13.4</v>
      </c>
      <c r="GC423" s="19">
        <v>12.6</v>
      </c>
      <c r="GD423" s="19">
        <v>12.9</v>
      </c>
      <c r="GE423" s="19">
        <v>13.3</v>
      </c>
      <c r="GF423" s="19">
        <v>13.7</v>
      </c>
      <c r="GG423" s="19">
        <v>14.3</v>
      </c>
      <c r="GH423" s="19">
        <v>13.3</v>
      </c>
      <c r="GI423" s="19">
        <v>10.6</v>
      </c>
      <c r="GJ423" s="19">
        <v>8.5</v>
      </c>
      <c r="GK423" s="19">
        <v>7.8</v>
      </c>
      <c r="GL423" s="19">
        <v>6.2</v>
      </c>
      <c r="GM423" s="19">
        <v>5.2</v>
      </c>
      <c r="GN423" s="19">
        <v>4.2</v>
      </c>
      <c r="GO423" s="19">
        <v>3.6</v>
      </c>
      <c r="GP423" s="19">
        <v>2.4</v>
      </c>
      <c r="GQ423" s="19">
        <v>17.6</v>
      </c>
      <c r="GR423" s="19">
        <v>16.6</v>
      </c>
      <c r="GS423" s="19">
        <v>15.6</v>
      </c>
    </row>
    <row r="424">
      <c r="A424" s="2" t="s">
        <v>2544</v>
      </c>
      <c r="B424" s="2" t="s">
        <v>1019</v>
      </c>
      <c r="C424" s="2" t="s">
        <v>295</v>
      </c>
      <c r="D424" s="2" t="s">
        <v>228</v>
      </c>
      <c r="E424" s="2" t="s">
        <v>988</v>
      </c>
      <c r="F424" s="2" t="s">
        <v>2537</v>
      </c>
      <c r="G424" s="2" t="s">
        <v>2538</v>
      </c>
      <c r="H424" s="2" t="s">
        <v>2538</v>
      </c>
      <c r="I424" s="2" t="s">
        <v>2539</v>
      </c>
      <c r="J424" s="2" t="s">
        <v>1011</v>
      </c>
      <c r="K424" s="2" t="s">
        <v>993</v>
      </c>
      <c r="L424" s="3">
        <v>19.46</v>
      </c>
      <c r="M424" s="3">
        <v>20.43</v>
      </c>
      <c r="N424" s="3">
        <v>39.99</v>
      </c>
      <c r="O424" s="2" t="s">
        <v>196</v>
      </c>
      <c r="P424" s="2" t="s">
        <v>197</v>
      </c>
      <c r="Q424" s="2" t="s">
        <v>198</v>
      </c>
      <c r="R424" s="2" t="s">
        <v>199</v>
      </c>
      <c r="S424" s="2" t="s">
        <v>2545</v>
      </c>
      <c r="T424" s="2" t="s">
        <v>386</v>
      </c>
      <c r="U424" s="2" t="s">
        <v>199</v>
      </c>
      <c r="V424" s="2" t="s">
        <v>202</v>
      </c>
      <c r="W424" s="2" t="s">
        <v>203</v>
      </c>
      <c r="X424" s="2" t="s">
        <v>199</v>
      </c>
      <c r="Y424" s="2" t="s">
        <v>204</v>
      </c>
      <c r="Z424" s="4">
        <v>297</v>
      </c>
      <c r="AA424" s="4">
        <f>=ROUNDDOWN(37.125,0)</f>
      </c>
      <c r="AB424" s="5">
        <v>8</v>
      </c>
      <c r="AC424" s="2" t="s">
        <v>199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199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199</v>
      </c>
      <c r="BD424" s="8" t="s">
        <v>199</v>
      </c>
      <c r="BE424" s="4" t="s">
        <v>199</v>
      </c>
      <c r="BF424" s="8" t="s">
        <v>199</v>
      </c>
      <c r="BG424" s="7" t="s">
        <v>199</v>
      </c>
      <c r="BH424" s="7" t="s">
        <v>199</v>
      </c>
      <c r="BI424" s="7"/>
      <c r="BJ424" s="4">
        <v>57</v>
      </c>
      <c r="BK424" s="8">
        <v>1171.63</v>
      </c>
      <c r="BL424" s="2" t="s">
        <v>2546</v>
      </c>
      <c r="BM424" s="7"/>
      <c r="BN424" s="7"/>
      <c r="BO424" s="4"/>
      <c r="BP424" s="8"/>
      <c r="BQ424" s="4"/>
      <c r="BR424" s="8"/>
      <c r="BS424" s="7"/>
      <c r="BT424" s="7"/>
      <c r="BU424" s="2" t="s">
        <v>2542</v>
      </c>
      <c r="BV424" s="2" t="s">
        <v>199</v>
      </c>
      <c r="BW424" s="2" t="s">
        <v>199</v>
      </c>
      <c r="BX424" s="2" t="s">
        <v>208</v>
      </c>
      <c r="BY424" s="2" t="s">
        <v>209</v>
      </c>
      <c r="BZ424" s="2" t="s">
        <v>196</v>
      </c>
      <c r="CA424" s="2" t="s">
        <v>210</v>
      </c>
      <c r="CB424" s="2" t="s">
        <v>985</v>
      </c>
      <c r="CC424" s="2" t="s">
        <v>212</v>
      </c>
      <c r="CD424" s="2" t="s">
        <v>199</v>
      </c>
      <c r="CE424" s="4">
        <v>297</v>
      </c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>
        <v>298</v>
      </c>
      <c r="EU424" s="4">
        <v>292</v>
      </c>
      <c r="EV424" s="4">
        <v>286</v>
      </c>
      <c r="EW424" s="4">
        <v>280</v>
      </c>
      <c r="EX424" s="4">
        <v>274</v>
      </c>
      <c r="EY424" s="4">
        <v>268</v>
      </c>
      <c r="EZ424" s="4">
        <v>261</v>
      </c>
      <c r="FA424" s="4">
        <v>254</v>
      </c>
      <c r="FB424" s="4">
        <v>246</v>
      </c>
      <c r="FC424" s="4">
        <v>239</v>
      </c>
      <c r="FD424" s="4">
        <v>229</v>
      </c>
      <c r="FE424" s="4">
        <v>219</v>
      </c>
      <c r="FF424" s="4">
        <v>209</v>
      </c>
      <c r="FG424" s="4">
        <v>199</v>
      </c>
      <c r="FH424" s="4">
        <v>190</v>
      </c>
      <c r="FI424" s="4">
        <v>181</v>
      </c>
      <c r="FJ424" s="4">
        <v>172</v>
      </c>
      <c r="FK424" s="4">
        <v>163</v>
      </c>
      <c r="FL424" s="4">
        <v>154</v>
      </c>
      <c r="FM424" s="4">
        <v>144</v>
      </c>
      <c r="FN424" s="4">
        <v>134</v>
      </c>
      <c r="FO424" s="4">
        <v>124</v>
      </c>
      <c r="FP424" s="4">
        <v>113</v>
      </c>
      <c r="FQ424" s="4">
        <v>206</v>
      </c>
      <c r="FR424" s="4">
        <v>195</v>
      </c>
      <c r="FS424" s="4">
        <v>184</v>
      </c>
      <c r="FT424" s="19">
        <v>49.7</v>
      </c>
      <c r="FU424" s="19">
        <v>48.7</v>
      </c>
      <c r="FV424" s="19">
        <v>47.7</v>
      </c>
      <c r="FW424" s="19">
        <v>46.7</v>
      </c>
      <c r="FX424" s="19">
        <v>39.1</v>
      </c>
      <c r="FY424" s="19">
        <v>38.3</v>
      </c>
      <c r="FZ424" s="19">
        <v>32.6</v>
      </c>
      <c r="GA424" s="19">
        <v>28.2</v>
      </c>
      <c r="GB424" s="19">
        <v>27.3</v>
      </c>
      <c r="GC424" s="19">
        <v>23.9</v>
      </c>
      <c r="GD424" s="19">
        <v>22.9</v>
      </c>
      <c r="GE424" s="19">
        <v>21.9</v>
      </c>
      <c r="GF424" s="19">
        <v>23.2</v>
      </c>
      <c r="GG424" s="19">
        <v>22.1</v>
      </c>
      <c r="GH424" s="19">
        <v>21.1</v>
      </c>
      <c r="GI424" s="19">
        <v>20.1</v>
      </c>
      <c r="GJ424" s="19">
        <v>17.2</v>
      </c>
      <c r="GK424" s="19">
        <v>16.3</v>
      </c>
      <c r="GL424" s="19">
        <v>15.4</v>
      </c>
      <c r="GM424" s="19">
        <v>14.4</v>
      </c>
      <c r="GN424" s="19">
        <v>12.2</v>
      </c>
      <c r="GO424" s="19">
        <v>11.3</v>
      </c>
      <c r="GP424" s="19">
        <v>10.3</v>
      </c>
      <c r="GQ424" s="19">
        <v>14.7</v>
      </c>
      <c r="GR424" s="19">
        <v>12.2</v>
      </c>
      <c r="GS424" s="19">
        <v>10.2</v>
      </c>
    </row>
    <row r="425">
      <c r="A425" s="2" t="s">
        <v>2547</v>
      </c>
      <c r="B425" s="2" t="s">
        <v>591</v>
      </c>
      <c r="C425" s="2" t="s">
        <v>571</v>
      </c>
      <c r="D425" s="2" t="s">
        <v>593</v>
      </c>
      <c r="E425" s="2" t="s">
        <v>594</v>
      </c>
      <c r="F425" s="2" t="s">
        <v>2548</v>
      </c>
      <c r="G425" s="2" t="s">
        <v>2548</v>
      </c>
      <c r="H425" s="2" t="s">
        <v>2548</v>
      </c>
      <c r="I425" s="2" t="s">
        <v>2549</v>
      </c>
      <c r="J425" s="2" t="s">
        <v>559</v>
      </c>
      <c r="K425" s="2" t="s">
        <v>2550</v>
      </c>
      <c r="L425" s="3">
        <v>76.5</v>
      </c>
      <c r="M425" s="3">
        <v>80.33</v>
      </c>
      <c r="N425" s="3">
        <v>159.99</v>
      </c>
      <c r="O425" s="2" t="s">
        <v>196</v>
      </c>
      <c r="P425" s="2" t="s">
        <v>841</v>
      </c>
      <c r="Q425" s="2" t="s">
        <v>198</v>
      </c>
      <c r="R425" s="2" t="s">
        <v>199</v>
      </c>
      <c r="S425" s="2" t="s">
        <v>199</v>
      </c>
      <c r="T425" s="2" t="s">
        <v>199</v>
      </c>
      <c r="U425" s="2" t="s">
        <v>853</v>
      </c>
      <c r="V425" s="2" t="s">
        <v>493</v>
      </c>
      <c r="W425" s="2" t="s">
        <v>510</v>
      </c>
      <c r="X425" s="2" t="s">
        <v>510</v>
      </c>
      <c r="Y425" s="2" t="s">
        <v>2551</v>
      </c>
      <c r="Z425" s="4">
        <v>71</v>
      </c>
      <c r="AA425" s="4">
        <f>=ROUNDDOWN(71,0)</f>
      </c>
      <c r="AB425" s="5">
        <v>1</v>
      </c>
      <c r="AC425" s="2" t="s">
        <v>199</v>
      </c>
      <c r="AD425" s="4"/>
      <c r="AE425" s="4"/>
      <c r="AF425" s="6">
        <v>63</v>
      </c>
      <c r="AG425" s="6"/>
      <c r="AH425" s="7">
        <v>1</v>
      </c>
      <c r="AI425" s="4"/>
      <c r="AJ425" s="4">
        <f>=ROUNDDOWN({0},0)</f>
      </c>
      <c r="AK425" s="5"/>
      <c r="AL425" s="2" t="s">
        <v>199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199</v>
      </c>
      <c r="BD425" s="8" t="s">
        <v>199</v>
      </c>
      <c r="BE425" s="4" t="s">
        <v>199</v>
      </c>
      <c r="BF425" s="8" t="s">
        <v>199</v>
      </c>
      <c r="BG425" s="7" t="s">
        <v>199</v>
      </c>
      <c r="BH425" s="7" t="s">
        <v>199</v>
      </c>
      <c r="BI425" s="7"/>
      <c r="BJ425" s="4">
        <v>4</v>
      </c>
      <c r="BK425" s="8">
        <v>321.32</v>
      </c>
      <c r="BL425" s="2" t="s">
        <v>2552</v>
      </c>
      <c r="BM425" s="7"/>
      <c r="BN425" s="7"/>
      <c r="BO425" s="4"/>
      <c r="BP425" s="8"/>
      <c r="BQ425" s="4"/>
      <c r="BR425" s="8"/>
      <c r="BS425" s="7"/>
      <c r="BT425" s="7"/>
      <c r="BU425" s="2" t="s">
        <v>2553</v>
      </c>
      <c r="BV425" s="2" t="s">
        <v>199</v>
      </c>
      <c r="BW425" s="2" t="s">
        <v>199</v>
      </c>
      <c r="BX425" s="2" t="s">
        <v>208</v>
      </c>
      <c r="BY425" s="2" t="s">
        <v>209</v>
      </c>
      <c r="BZ425" s="2" t="s">
        <v>196</v>
      </c>
      <c r="CA425" s="2" t="s">
        <v>2416</v>
      </c>
      <c r="CB425" s="2" t="s">
        <v>828</v>
      </c>
      <c r="CC425" s="2" t="s">
        <v>212</v>
      </c>
      <c r="CD425" s="2" t="s">
        <v>199</v>
      </c>
      <c r="CE425" s="4"/>
      <c r="CF425" s="4">
        <v>71</v>
      </c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>
        <v>71</v>
      </c>
      <c r="EU425" s="4">
        <v>70</v>
      </c>
      <c r="EV425" s="4">
        <v>69</v>
      </c>
      <c r="EW425" s="4">
        <v>68</v>
      </c>
      <c r="EX425" s="4">
        <v>67</v>
      </c>
      <c r="EY425" s="4">
        <v>66</v>
      </c>
      <c r="EZ425" s="4">
        <v>65</v>
      </c>
      <c r="FA425" s="4">
        <v>64</v>
      </c>
      <c r="FB425" s="4">
        <v>63</v>
      </c>
      <c r="FC425" s="4">
        <v>62</v>
      </c>
      <c r="FD425" s="4">
        <v>61</v>
      </c>
      <c r="FE425" s="4">
        <v>60</v>
      </c>
      <c r="FF425" s="4">
        <v>59</v>
      </c>
      <c r="FG425" s="4">
        <v>58</v>
      </c>
      <c r="FH425" s="4">
        <v>57</v>
      </c>
      <c r="FI425" s="4">
        <v>56</v>
      </c>
      <c r="FJ425" s="4">
        <v>55</v>
      </c>
      <c r="FK425" s="4">
        <v>54</v>
      </c>
      <c r="FL425" s="4">
        <v>53</v>
      </c>
      <c r="FM425" s="4">
        <v>52</v>
      </c>
      <c r="FN425" s="4">
        <v>51</v>
      </c>
      <c r="FO425" s="4">
        <v>50</v>
      </c>
      <c r="FP425" s="4">
        <v>49</v>
      </c>
      <c r="FQ425" s="4">
        <v>48</v>
      </c>
      <c r="FR425" s="4">
        <v>47</v>
      </c>
      <c r="FS425" s="4">
        <v>46</v>
      </c>
      <c r="FT425" s="19">
        <v>71</v>
      </c>
      <c r="FU425" s="19">
        <v>70</v>
      </c>
      <c r="FV425" s="19">
        <v>69</v>
      </c>
      <c r="FW425" s="19">
        <v>68</v>
      </c>
      <c r="FX425" s="19">
        <v>67</v>
      </c>
      <c r="FY425" s="19">
        <v>66</v>
      </c>
      <c r="FZ425" s="19">
        <v>65</v>
      </c>
      <c r="GA425" s="19">
        <v>64</v>
      </c>
      <c r="GB425" s="19">
        <v>63</v>
      </c>
      <c r="GC425" s="19">
        <v>62</v>
      </c>
      <c r="GD425" s="19">
        <v>61</v>
      </c>
      <c r="GE425" s="19">
        <v>60</v>
      </c>
      <c r="GF425" s="19">
        <v>59</v>
      </c>
      <c r="GG425" s="19">
        <v>58</v>
      </c>
      <c r="GH425" s="19">
        <v>57</v>
      </c>
      <c r="GI425" s="19">
        <v>56</v>
      </c>
      <c r="GJ425" s="19">
        <v>55</v>
      </c>
      <c r="GK425" s="19">
        <v>54</v>
      </c>
      <c r="GL425" s="19">
        <v>53</v>
      </c>
      <c r="GM425" s="19">
        <v>52</v>
      </c>
      <c r="GN425" s="19">
        <v>51</v>
      </c>
      <c r="GO425" s="19">
        <v>50</v>
      </c>
      <c r="GP425" s="19">
        <v>49</v>
      </c>
      <c r="GQ425" s="19">
        <v>48</v>
      </c>
      <c r="GR425" s="19">
        <v>47</v>
      </c>
      <c r="GS425" s="19">
        <v>46</v>
      </c>
    </row>
    <row r="426">
      <c r="A426" s="2" t="s">
        <v>2554</v>
      </c>
      <c r="B426" s="2" t="s">
        <v>591</v>
      </c>
      <c r="C426" s="2" t="s">
        <v>571</v>
      </c>
      <c r="D426" s="2" t="s">
        <v>593</v>
      </c>
      <c r="E426" s="2" t="s">
        <v>594</v>
      </c>
      <c r="F426" s="2" t="s">
        <v>2548</v>
      </c>
      <c r="G426" s="2" t="s">
        <v>2548</v>
      </c>
      <c r="H426" s="2" t="s">
        <v>2548</v>
      </c>
      <c r="I426" s="2" t="s">
        <v>2549</v>
      </c>
      <c r="J426" s="2" t="s">
        <v>559</v>
      </c>
      <c r="K426" s="2" t="s">
        <v>2555</v>
      </c>
      <c r="L426" s="3">
        <v>76.5</v>
      </c>
      <c r="M426" s="3">
        <v>80.33</v>
      </c>
      <c r="N426" s="3">
        <v>159.99</v>
      </c>
      <c r="O426" s="2" t="s">
        <v>196</v>
      </c>
      <c r="P426" s="2" t="s">
        <v>197</v>
      </c>
      <c r="Q426" s="2" t="s">
        <v>198</v>
      </c>
      <c r="R426" s="2" t="s">
        <v>199</v>
      </c>
      <c r="S426" s="2" t="s">
        <v>199</v>
      </c>
      <c r="T426" s="2" t="s">
        <v>199</v>
      </c>
      <c r="U426" s="2" t="s">
        <v>853</v>
      </c>
      <c r="V426" s="2" t="s">
        <v>493</v>
      </c>
      <c r="W426" s="2" t="s">
        <v>510</v>
      </c>
      <c r="X426" s="2" t="s">
        <v>510</v>
      </c>
      <c r="Y426" s="2" t="s">
        <v>2551</v>
      </c>
      <c r="Z426" s="4">
        <v>72</v>
      </c>
      <c r="AA426" s="4">
        <f>=ROUNDDOWN(72,0)</f>
      </c>
      <c r="AB426" s="5">
        <v>1</v>
      </c>
      <c r="AC426" s="2" t="s">
        <v>199</v>
      </c>
      <c r="AD426" s="4"/>
      <c r="AE426" s="4"/>
      <c r="AF426" s="6">
        <v>63</v>
      </c>
      <c r="AG426" s="6"/>
      <c r="AH426" s="7">
        <v>1</v>
      </c>
      <c r="AI426" s="4"/>
      <c r="AJ426" s="4">
        <f>=ROUNDDOWN({0},0)</f>
      </c>
      <c r="AK426" s="5"/>
      <c r="AL426" s="2" t="s">
        <v>199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199</v>
      </c>
      <c r="BD426" s="8" t="s">
        <v>199</v>
      </c>
      <c r="BE426" s="4" t="s">
        <v>199</v>
      </c>
      <c r="BF426" s="8" t="s">
        <v>199</v>
      </c>
      <c r="BG426" s="7" t="s">
        <v>199</v>
      </c>
      <c r="BH426" s="7" t="s">
        <v>199</v>
      </c>
      <c r="BI426" s="7"/>
      <c r="BJ426" s="4">
        <v>1</v>
      </c>
      <c r="BK426" s="8">
        <v>89.96</v>
      </c>
      <c r="BL426" s="2" t="s">
        <v>1107</v>
      </c>
      <c r="BM426" s="7"/>
      <c r="BN426" s="7"/>
      <c r="BO426" s="4"/>
      <c r="BP426" s="8"/>
      <c r="BQ426" s="4"/>
      <c r="BR426" s="8"/>
      <c r="BS426" s="7"/>
      <c r="BT426" s="7"/>
      <c r="BU426" s="2" t="s">
        <v>2553</v>
      </c>
      <c r="BV426" s="2" t="s">
        <v>199</v>
      </c>
      <c r="BW426" s="2" t="s">
        <v>199</v>
      </c>
      <c r="BX426" s="2" t="s">
        <v>208</v>
      </c>
      <c r="BY426" s="2" t="s">
        <v>209</v>
      </c>
      <c r="BZ426" s="2" t="s">
        <v>196</v>
      </c>
      <c r="CA426" s="2" t="s">
        <v>2416</v>
      </c>
      <c r="CB426" s="2" t="s">
        <v>1099</v>
      </c>
      <c r="CC426" s="2" t="s">
        <v>212</v>
      </c>
      <c r="CD426" s="2" t="s">
        <v>199</v>
      </c>
      <c r="CE426" s="4"/>
      <c r="CF426" s="4">
        <v>72</v>
      </c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>
        <v>72</v>
      </c>
      <c r="EU426" s="4">
        <v>71</v>
      </c>
      <c r="EV426" s="4">
        <v>70</v>
      </c>
      <c r="EW426" s="4">
        <v>69</v>
      </c>
      <c r="EX426" s="4">
        <v>68</v>
      </c>
      <c r="EY426" s="4">
        <v>67</v>
      </c>
      <c r="EZ426" s="4">
        <v>66</v>
      </c>
      <c r="FA426" s="4">
        <v>65</v>
      </c>
      <c r="FB426" s="4">
        <v>64</v>
      </c>
      <c r="FC426" s="4">
        <v>63</v>
      </c>
      <c r="FD426" s="4">
        <v>62</v>
      </c>
      <c r="FE426" s="4">
        <v>61</v>
      </c>
      <c r="FF426" s="4">
        <v>60</v>
      </c>
      <c r="FG426" s="4">
        <v>59</v>
      </c>
      <c r="FH426" s="4">
        <v>58</v>
      </c>
      <c r="FI426" s="4">
        <v>57</v>
      </c>
      <c r="FJ426" s="4">
        <v>56</v>
      </c>
      <c r="FK426" s="4">
        <v>55</v>
      </c>
      <c r="FL426" s="4">
        <v>54</v>
      </c>
      <c r="FM426" s="4">
        <v>53</v>
      </c>
      <c r="FN426" s="4">
        <v>52</v>
      </c>
      <c r="FO426" s="4">
        <v>51</v>
      </c>
      <c r="FP426" s="4">
        <v>50</v>
      </c>
      <c r="FQ426" s="4">
        <v>49</v>
      </c>
      <c r="FR426" s="4">
        <v>48</v>
      </c>
      <c r="FS426" s="4">
        <v>47</v>
      </c>
      <c r="FT426" s="19">
        <v>72</v>
      </c>
      <c r="FU426" s="19">
        <v>71</v>
      </c>
      <c r="FV426" s="19">
        <v>70</v>
      </c>
      <c r="FW426" s="19">
        <v>69</v>
      </c>
      <c r="FX426" s="19">
        <v>68</v>
      </c>
      <c r="FY426" s="19">
        <v>67</v>
      </c>
      <c r="FZ426" s="19">
        <v>66</v>
      </c>
      <c r="GA426" s="19">
        <v>65</v>
      </c>
      <c r="GB426" s="19">
        <v>64</v>
      </c>
      <c r="GC426" s="19">
        <v>63</v>
      </c>
      <c r="GD426" s="19">
        <v>62</v>
      </c>
      <c r="GE426" s="19">
        <v>61</v>
      </c>
      <c r="GF426" s="19">
        <v>60</v>
      </c>
      <c r="GG426" s="19">
        <v>59</v>
      </c>
      <c r="GH426" s="19">
        <v>58</v>
      </c>
      <c r="GI426" s="19">
        <v>57</v>
      </c>
      <c r="GJ426" s="19">
        <v>56</v>
      </c>
      <c r="GK426" s="19">
        <v>55</v>
      </c>
      <c r="GL426" s="19">
        <v>54</v>
      </c>
      <c r="GM426" s="19">
        <v>53</v>
      </c>
      <c r="GN426" s="19">
        <v>52</v>
      </c>
      <c r="GO426" s="19">
        <v>51</v>
      </c>
      <c r="GP426" s="19">
        <v>50</v>
      </c>
      <c r="GQ426" s="19">
        <v>49</v>
      </c>
      <c r="GR426" s="19">
        <v>48</v>
      </c>
      <c r="GS426" s="19">
        <v>47</v>
      </c>
    </row>
    <row r="427">
      <c r="A427" s="2" t="s">
        <v>2556</v>
      </c>
      <c r="B427" s="2" t="s">
        <v>1019</v>
      </c>
      <c r="C427" s="2" t="s">
        <v>246</v>
      </c>
      <c r="D427" s="2" t="s">
        <v>1318</v>
      </c>
      <c r="E427" s="2" t="s">
        <v>1319</v>
      </c>
      <c r="F427" s="2" t="s">
        <v>2557</v>
      </c>
      <c r="G427" s="2" t="s">
        <v>2557</v>
      </c>
      <c r="H427" s="2" t="s">
        <v>2557</v>
      </c>
      <c r="I427" s="2" t="s">
        <v>1319</v>
      </c>
      <c r="J427" s="2" t="s">
        <v>194</v>
      </c>
      <c r="K427" s="2" t="s">
        <v>371</v>
      </c>
      <c r="L427" s="3">
        <v>21.15</v>
      </c>
      <c r="M427" s="3">
        <v>22.21</v>
      </c>
      <c r="N427" s="3">
        <v>44.99</v>
      </c>
      <c r="O427" s="2" t="s">
        <v>196</v>
      </c>
      <c r="P427" s="2" t="s">
        <v>197</v>
      </c>
      <c r="Q427" s="2" t="s">
        <v>198</v>
      </c>
      <c r="R427" s="2" t="s">
        <v>199</v>
      </c>
      <c r="S427" s="2" t="s">
        <v>2558</v>
      </c>
      <c r="T427" s="2" t="s">
        <v>300</v>
      </c>
      <c r="U427" s="2" t="s">
        <v>199</v>
      </c>
      <c r="V427" s="2" t="s">
        <v>202</v>
      </c>
      <c r="W427" s="2" t="s">
        <v>203</v>
      </c>
      <c r="X427" s="2" t="s">
        <v>199</v>
      </c>
      <c r="Y427" s="2" t="s">
        <v>204</v>
      </c>
      <c r="Z427" s="4">
        <v>332</v>
      </c>
      <c r="AA427" s="4">
        <f>=ROUNDDOWN(36.8888888888889,0)</f>
      </c>
      <c r="AB427" s="5">
        <v>9</v>
      </c>
      <c r="AC427" s="2" t="s">
        <v>2315</v>
      </c>
      <c r="AD427" s="4">
        <v>250</v>
      </c>
      <c r="AE427" s="4">
        <v>250</v>
      </c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199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15</v>
      </c>
      <c r="BK427" s="8">
        <v>314.95</v>
      </c>
      <c r="BL427" s="2" t="s">
        <v>2559</v>
      </c>
      <c r="BM427" s="7"/>
      <c r="BN427" s="7"/>
      <c r="BO427" s="4"/>
      <c r="BP427" s="8"/>
      <c r="BQ427" s="4"/>
      <c r="BR427" s="8"/>
      <c r="BS427" s="7"/>
      <c r="BT427" s="7"/>
      <c r="BU427" s="2" t="s">
        <v>2560</v>
      </c>
      <c r="BV427" s="2" t="s">
        <v>199</v>
      </c>
      <c r="BW427" s="2" t="s">
        <v>199</v>
      </c>
      <c r="BX427" s="2" t="s">
        <v>686</v>
      </c>
      <c r="BY427" s="2" t="s">
        <v>209</v>
      </c>
      <c r="BZ427" s="2" t="s">
        <v>196</v>
      </c>
      <c r="CA427" s="2" t="s">
        <v>210</v>
      </c>
      <c r="CB427" s="2" t="s">
        <v>2561</v>
      </c>
      <c r="CC427" s="2" t="s">
        <v>212</v>
      </c>
      <c r="CD427" s="2" t="s">
        <v>199</v>
      </c>
      <c r="CE427" s="4">
        <v>332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>
        <v>250</v>
      </c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>
        <v>334</v>
      </c>
      <c r="EU427" s="4">
        <v>569</v>
      </c>
      <c r="EV427" s="4">
        <v>562</v>
      </c>
      <c r="EW427" s="4">
        <v>555</v>
      </c>
      <c r="EX427" s="4">
        <v>548</v>
      </c>
      <c r="EY427" s="4">
        <v>541</v>
      </c>
      <c r="EZ427" s="4">
        <v>534</v>
      </c>
      <c r="FA427" s="4">
        <v>527</v>
      </c>
      <c r="FB427" s="4">
        <v>519</v>
      </c>
      <c r="FC427" s="4">
        <v>512</v>
      </c>
      <c r="FD427" s="4">
        <v>502</v>
      </c>
      <c r="FE427" s="4">
        <v>492</v>
      </c>
      <c r="FF427" s="4">
        <v>482</v>
      </c>
      <c r="FG427" s="4">
        <v>472</v>
      </c>
      <c r="FH427" s="4">
        <v>459</v>
      </c>
      <c r="FI427" s="4">
        <v>447</v>
      </c>
      <c r="FJ427" s="4">
        <v>434</v>
      </c>
      <c r="FK427" s="4">
        <v>424</v>
      </c>
      <c r="FL427" s="4">
        <v>413</v>
      </c>
      <c r="FM427" s="4">
        <v>402</v>
      </c>
      <c r="FN427" s="4">
        <v>391</v>
      </c>
      <c r="FO427" s="4">
        <v>380</v>
      </c>
      <c r="FP427" s="4">
        <v>369</v>
      </c>
      <c r="FQ427" s="4">
        <v>358</v>
      </c>
      <c r="FR427" s="4">
        <v>347</v>
      </c>
      <c r="FS427" s="4">
        <v>336</v>
      </c>
      <c r="FT427" s="19">
        <v>37.1</v>
      </c>
      <c r="FU427" s="19">
        <v>81.3</v>
      </c>
      <c r="FV427" s="19">
        <v>80.3</v>
      </c>
      <c r="FW427" s="19">
        <v>79.3</v>
      </c>
      <c r="FX427" s="19">
        <v>78.3</v>
      </c>
      <c r="FY427" s="19">
        <v>77.3</v>
      </c>
      <c r="FZ427" s="19">
        <v>66.8</v>
      </c>
      <c r="GA427" s="19">
        <v>58.6</v>
      </c>
      <c r="GB427" s="19">
        <v>57.7</v>
      </c>
      <c r="GC427" s="19">
        <v>51.2</v>
      </c>
      <c r="GD427" s="19">
        <v>45.6</v>
      </c>
      <c r="GE427" s="19">
        <v>44.7</v>
      </c>
      <c r="GF427" s="19">
        <v>40.2</v>
      </c>
      <c r="GG427" s="19">
        <v>39.3</v>
      </c>
      <c r="GH427" s="19">
        <v>38.3</v>
      </c>
      <c r="GI427" s="19">
        <v>40.6</v>
      </c>
      <c r="GJ427" s="19">
        <v>39.5</v>
      </c>
      <c r="GK427" s="19">
        <v>38.5</v>
      </c>
      <c r="GL427" s="19">
        <v>37.5</v>
      </c>
      <c r="GM427" s="19">
        <v>36.5</v>
      </c>
      <c r="GN427" s="19">
        <v>35.5</v>
      </c>
      <c r="GO427" s="19">
        <v>34.5</v>
      </c>
      <c r="GP427" s="19">
        <v>33.5</v>
      </c>
      <c r="GQ427" s="19">
        <v>32.5</v>
      </c>
      <c r="GR427" s="19">
        <v>31.5</v>
      </c>
      <c r="GS427" s="19">
        <v>33.6</v>
      </c>
    </row>
    <row r="428">
      <c r="A428" s="2" t="s">
        <v>2562</v>
      </c>
      <c r="B428" s="2" t="s">
        <v>630</v>
      </c>
      <c r="C428" s="2" t="s">
        <v>246</v>
      </c>
      <c r="D428" s="2" t="s">
        <v>759</v>
      </c>
      <c r="E428" s="2" t="s">
        <v>760</v>
      </c>
      <c r="F428" s="2" t="s">
        <v>2563</v>
      </c>
      <c r="G428" s="2" t="s">
        <v>2564</v>
      </c>
      <c r="H428" s="2" t="s">
        <v>2565</v>
      </c>
      <c r="I428" s="2" t="s">
        <v>2566</v>
      </c>
      <c r="J428" s="2" t="s">
        <v>241</v>
      </c>
      <c r="K428" s="2" t="s">
        <v>360</v>
      </c>
      <c r="L428" s="3">
        <v>66.29</v>
      </c>
      <c r="M428" s="3">
        <v>69.61</v>
      </c>
      <c r="N428" s="3">
        <v>129.99</v>
      </c>
      <c r="O428" s="2" t="s">
        <v>196</v>
      </c>
      <c r="P428" s="2" t="s">
        <v>197</v>
      </c>
      <c r="Q428" s="2" t="s">
        <v>198</v>
      </c>
      <c r="R428" s="2" t="s">
        <v>199</v>
      </c>
      <c r="S428" s="2" t="s">
        <v>2567</v>
      </c>
      <c r="T428" s="2" t="s">
        <v>636</v>
      </c>
      <c r="U428" s="2" t="s">
        <v>546</v>
      </c>
      <c r="V428" s="2" t="s">
        <v>1381</v>
      </c>
      <c r="W428" s="2" t="s">
        <v>768</v>
      </c>
      <c r="X428" s="2" t="s">
        <v>2568</v>
      </c>
      <c r="Y428" s="2" t="s">
        <v>204</v>
      </c>
      <c r="Z428" s="4">
        <v>460</v>
      </c>
      <c r="AA428" s="4">
        <f>=ROUNDDOWN(51.1111111111111,0)</f>
      </c>
      <c r="AB428" s="5">
        <v>9</v>
      </c>
      <c r="AC428" s="2" t="s">
        <v>199</v>
      </c>
      <c r="AD428" s="4"/>
      <c r="AE428" s="4"/>
      <c r="AF428" s="6">
        <v>65</v>
      </c>
      <c r="AG428" s="6">
        <v>73</v>
      </c>
      <c r="AH428" s="7">
        <v>1</v>
      </c>
      <c r="AI428" s="4"/>
      <c r="AJ428" s="4">
        <f>=ROUNDDOWN({0},0)</f>
      </c>
      <c r="AK428" s="5"/>
      <c r="AL428" s="2" t="s">
        <v>199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199</v>
      </c>
      <c r="BD428" s="8" t="s">
        <v>199</v>
      </c>
      <c r="BE428" s="4" t="s">
        <v>199</v>
      </c>
      <c r="BF428" s="8" t="s">
        <v>199</v>
      </c>
      <c r="BG428" s="7" t="s">
        <v>199</v>
      </c>
      <c r="BH428" s="7" t="s">
        <v>199</v>
      </c>
      <c r="BI428" s="7"/>
      <c r="BJ428" s="4">
        <v>32</v>
      </c>
      <c r="BK428" s="8">
        <v>2173.17</v>
      </c>
      <c r="BL428" s="2" t="s">
        <v>2569</v>
      </c>
      <c r="BM428" s="7"/>
      <c r="BN428" s="7"/>
      <c r="BO428" s="4"/>
      <c r="BP428" s="8"/>
      <c r="BQ428" s="4"/>
      <c r="BR428" s="8"/>
      <c r="BS428" s="7"/>
      <c r="BT428" s="7"/>
      <c r="BU428" s="2" t="s">
        <v>2570</v>
      </c>
      <c r="BV428" s="2" t="s">
        <v>199</v>
      </c>
      <c r="BW428" s="2" t="s">
        <v>199</v>
      </c>
      <c r="BX428" s="2" t="s">
        <v>208</v>
      </c>
      <c r="BY428" s="2" t="s">
        <v>209</v>
      </c>
      <c r="BZ428" s="2" t="s">
        <v>196</v>
      </c>
      <c r="CA428" s="2" t="s">
        <v>210</v>
      </c>
      <c r="CB428" s="2" t="s">
        <v>2571</v>
      </c>
      <c r="CC428" s="2" t="s">
        <v>212</v>
      </c>
      <c r="CD428" s="2" t="s">
        <v>199</v>
      </c>
      <c r="CE428" s="4">
        <v>300</v>
      </c>
      <c r="CF428" s="4"/>
      <c r="CG428" s="4"/>
      <c r="CH428" s="4">
        <v>160</v>
      </c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>
        <v>463</v>
      </c>
      <c r="EU428" s="4">
        <v>452</v>
      </c>
      <c r="EV428" s="4">
        <v>443</v>
      </c>
      <c r="EW428" s="4">
        <v>434</v>
      </c>
      <c r="EX428" s="4">
        <v>425</v>
      </c>
      <c r="EY428" s="4">
        <v>416</v>
      </c>
      <c r="EZ428" s="4">
        <v>407</v>
      </c>
      <c r="FA428" s="4">
        <v>398</v>
      </c>
      <c r="FB428" s="4">
        <v>388</v>
      </c>
      <c r="FC428" s="4">
        <v>379</v>
      </c>
      <c r="FD428" s="4">
        <v>370</v>
      </c>
      <c r="FE428" s="4">
        <v>361</v>
      </c>
      <c r="FF428" s="4">
        <v>352</v>
      </c>
      <c r="FG428" s="4">
        <v>343</v>
      </c>
      <c r="FH428" s="4">
        <v>334</v>
      </c>
      <c r="FI428" s="4">
        <v>325</v>
      </c>
      <c r="FJ428" s="4">
        <v>316</v>
      </c>
      <c r="FK428" s="4">
        <v>307</v>
      </c>
      <c r="FL428" s="4">
        <v>298</v>
      </c>
      <c r="FM428" s="4">
        <v>289</v>
      </c>
      <c r="FN428" s="4">
        <v>280</v>
      </c>
      <c r="FO428" s="4">
        <v>271</v>
      </c>
      <c r="FP428" s="4">
        <v>261</v>
      </c>
      <c r="FQ428" s="4">
        <v>252</v>
      </c>
      <c r="FR428" s="4">
        <v>243</v>
      </c>
      <c r="FS428" s="4">
        <v>234</v>
      </c>
      <c r="FT428" s="19">
        <v>59</v>
      </c>
      <c r="FU428" s="19">
        <v>60.5</v>
      </c>
      <c r="FV428" s="19">
        <v>59.5</v>
      </c>
      <c r="FW428" s="19">
        <v>58.5</v>
      </c>
      <c r="FX428" s="19">
        <v>57.5</v>
      </c>
      <c r="FY428" s="19">
        <v>56.5</v>
      </c>
      <c r="FZ428" s="19">
        <v>55.5</v>
      </c>
      <c r="GA428" s="19">
        <v>54.5</v>
      </c>
      <c r="GB428" s="19">
        <v>53.5</v>
      </c>
      <c r="GC428" s="19">
        <v>52.5</v>
      </c>
      <c r="GD428" s="19">
        <v>51.5</v>
      </c>
      <c r="GE428" s="19">
        <v>50.5</v>
      </c>
      <c r="GF428" s="19">
        <v>49.5</v>
      </c>
      <c r="GG428" s="19">
        <v>48.5</v>
      </c>
      <c r="GH428" s="19">
        <v>47.5</v>
      </c>
      <c r="GI428" s="19">
        <v>46.5</v>
      </c>
      <c r="GJ428" s="19">
        <v>45.5</v>
      </c>
      <c r="GK428" s="19">
        <v>44.5</v>
      </c>
      <c r="GL428" s="19">
        <v>43.5</v>
      </c>
      <c r="GM428" s="19">
        <v>42.5</v>
      </c>
      <c r="GN428" s="19">
        <v>41.5</v>
      </c>
      <c r="GO428" s="19">
        <v>40.5</v>
      </c>
      <c r="GP428" s="19">
        <v>39.4</v>
      </c>
      <c r="GQ428" s="19">
        <v>38.4</v>
      </c>
      <c r="GR428" s="19">
        <v>37.4</v>
      </c>
      <c r="GS428" s="19">
        <v>36.4</v>
      </c>
    </row>
    <row r="429">
      <c r="A429" s="2" t="s">
        <v>2572</v>
      </c>
      <c r="B429" s="2" t="s">
        <v>630</v>
      </c>
      <c r="C429" s="2" t="s">
        <v>246</v>
      </c>
      <c r="D429" s="2" t="s">
        <v>759</v>
      </c>
      <c r="E429" s="2" t="s">
        <v>760</v>
      </c>
      <c r="F429" s="2" t="s">
        <v>2563</v>
      </c>
      <c r="G429" s="2" t="s">
        <v>2564</v>
      </c>
      <c r="H429" s="2" t="s">
        <v>2565</v>
      </c>
      <c r="I429" s="2" t="s">
        <v>2566</v>
      </c>
      <c r="J429" s="2" t="s">
        <v>241</v>
      </c>
      <c r="K429" s="2" t="s">
        <v>2573</v>
      </c>
      <c r="L429" s="3">
        <v>66.29</v>
      </c>
      <c r="M429" s="3">
        <v>69.61</v>
      </c>
      <c r="N429" s="3">
        <v>129.99</v>
      </c>
      <c r="O429" s="2" t="s">
        <v>196</v>
      </c>
      <c r="P429" s="2" t="s">
        <v>621</v>
      </c>
      <c r="Q429" s="2" t="s">
        <v>198</v>
      </c>
      <c r="R429" s="2" t="s">
        <v>199</v>
      </c>
      <c r="S429" s="2" t="s">
        <v>2574</v>
      </c>
      <c r="T429" s="2" t="s">
        <v>636</v>
      </c>
      <c r="U429" s="2" t="s">
        <v>546</v>
      </c>
      <c r="V429" s="2" t="s">
        <v>1381</v>
      </c>
      <c r="W429" s="2" t="s">
        <v>768</v>
      </c>
      <c r="X429" s="2" t="s">
        <v>2568</v>
      </c>
      <c r="Y429" s="2" t="s">
        <v>1868</v>
      </c>
      <c r="Z429" s="4">
        <v>470</v>
      </c>
      <c r="AA429" s="4">
        <f>=ROUNDDOWN(58.75,0)</f>
      </c>
      <c r="AB429" s="5">
        <v>8</v>
      </c>
      <c r="AC429" s="2" t="s">
        <v>199</v>
      </c>
      <c r="AD429" s="4"/>
      <c r="AE429" s="4"/>
      <c r="AF429" s="6">
        <v>65</v>
      </c>
      <c r="AG429" s="6">
        <v>73</v>
      </c>
      <c r="AH429" s="7">
        <v>1</v>
      </c>
      <c r="AI429" s="4"/>
      <c r="AJ429" s="4">
        <f>=ROUNDDOWN({0},0)</f>
      </c>
      <c r="AK429" s="5"/>
      <c r="AL429" s="2" t="s">
        <v>199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199</v>
      </c>
      <c r="BD429" s="8" t="s">
        <v>199</v>
      </c>
      <c r="BE429" s="4" t="s">
        <v>199</v>
      </c>
      <c r="BF429" s="8" t="s">
        <v>199</v>
      </c>
      <c r="BG429" s="7" t="s">
        <v>199</v>
      </c>
      <c r="BH429" s="7" t="s">
        <v>199</v>
      </c>
      <c r="BI429" s="7"/>
      <c r="BJ429" s="4">
        <v>45</v>
      </c>
      <c r="BK429" s="8">
        <v>3095.51</v>
      </c>
      <c r="BL429" s="2" t="s">
        <v>2102</v>
      </c>
      <c r="BM429" s="7"/>
      <c r="BN429" s="7"/>
      <c r="BO429" s="4"/>
      <c r="BP429" s="8"/>
      <c r="BQ429" s="4"/>
      <c r="BR429" s="8"/>
      <c r="BS429" s="7"/>
      <c r="BT429" s="7"/>
      <c r="BU429" s="2" t="s">
        <v>2570</v>
      </c>
      <c r="BV429" s="2" t="s">
        <v>199</v>
      </c>
      <c r="BW429" s="2" t="s">
        <v>199</v>
      </c>
      <c r="BX429" s="2" t="s">
        <v>208</v>
      </c>
      <c r="BY429" s="2" t="s">
        <v>209</v>
      </c>
      <c r="BZ429" s="2" t="s">
        <v>196</v>
      </c>
      <c r="CA429" s="2" t="s">
        <v>2575</v>
      </c>
      <c r="CB429" s="2" t="s">
        <v>1725</v>
      </c>
      <c r="CC429" s="2" t="s">
        <v>212</v>
      </c>
      <c r="CD429" s="2" t="s">
        <v>199</v>
      </c>
      <c r="CE429" s="4">
        <v>387</v>
      </c>
      <c r="CF429" s="4"/>
      <c r="CG429" s="4"/>
      <c r="CH429" s="4">
        <v>83</v>
      </c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>
        <v>473</v>
      </c>
      <c r="EU429" s="4">
        <v>464</v>
      </c>
      <c r="EV429" s="4">
        <v>457</v>
      </c>
      <c r="EW429" s="4">
        <v>449</v>
      </c>
      <c r="EX429" s="4">
        <v>441</v>
      </c>
      <c r="EY429" s="4">
        <v>433</v>
      </c>
      <c r="EZ429" s="4">
        <v>425</v>
      </c>
      <c r="FA429" s="4">
        <v>417</v>
      </c>
      <c r="FB429" s="4">
        <v>408</v>
      </c>
      <c r="FC429" s="4">
        <v>400</v>
      </c>
      <c r="FD429" s="4">
        <v>392</v>
      </c>
      <c r="FE429" s="4">
        <v>384</v>
      </c>
      <c r="FF429" s="4">
        <v>376</v>
      </c>
      <c r="FG429" s="4">
        <v>368</v>
      </c>
      <c r="FH429" s="4">
        <v>360</v>
      </c>
      <c r="FI429" s="4">
        <v>352</v>
      </c>
      <c r="FJ429" s="4">
        <v>344</v>
      </c>
      <c r="FK429" s="4">
        <v>336</v>
      </c>
      <c r="FL429" s="4">
        <v>328</v>
      </c>
      <c r="FM429" s="4">
        <v>320</v>
      </c>
      <c r="FN429" s="4">
        <v>312</v>
      </c>
      <c r="FO429" s="4">
        <v>304</v>
      </c>
      <c r="FP429" s="4">
        <v>295</v>
      </c>
      <c r="FQ429" s="4">
        <v>287</v>
      </c>
      <c r="FR429" s="4">
        <v>309</v>
      </c>
      <c r="FS429" s="4">
        <v>301</v>
      </c>
      <c r="FT429" s="19">
        <v>69.8</v>
      </c>
      <c r="FU429" s="19">
        <v>68.3</v>
      </c>
      <c r="FV429" s="19">
        <v>67.4</v>
      </c>
      <c r="FW429" s="19">
        <v>66.4</v>
      </c>
      <c r="FX429" s="19">
        <v>65.4</v>
      </c>
      <c r="FY429" s="19">
        <v>64.4</v>
      </c>
      <c r="FZ429" s="19">
        <v>63.4</v>
      </c>
      <c r="GA429" s="19">
        <v>62.4</v>
      </c>
      <c r="GB429" s="19">
        <v>61.3</v>
      </c>
      <c r="GC429" s="19">
        <v>60.3</v>
      </c>
      <c r="GD429" s="19">
        <v>59.3</v>
      </c>
      <c r="GE429" s="19">
        <v>58.3</v>
      </c>
      <c r="GF429" s="19">
        <v>57.3</v>
      </c>
      <c r="GG429" s="19">
        <v>56.3</v>
      </c>
      <c r="GH429" s="19">
        <v>55.3</v>
      </c>
      <c r="GI429" s="19">
        <v>54.3</v>
      </c>
      <c r="GJ429" s="19">
        <v>53.3</v>
      </c>
      <c r="GK429" s="19">
        <v>52.3</v>
      </c>
      <c r="GL429" s="19">
        <v>51.3</v>
      </c>
      <c r="GM429" s="19">
        <v>50.3</v>
      </c>
      <c r="GN429" s="19">
        <v>49.3</v>
      </c>
      <c r="GO429" s="19">
        <v>48.3</v>
      </c>
      <c r="GP429" s="19">
        <v>47.2</v>
      </c>
      <c r="GQ429" s="19">
        <v>46.2</v>
      </c>
      <c r="GR429" s="19">
        <v>60.2</v>
      </c>
      <c r="GS429" s="19">
        <v>59.2</v>
      </c>
    </row>
    <row r="430">
      <c r="A430" s="2" t="s">
        <v>2576</v>
      </c>
      <c r="B430" s="2" t="s">
        <v>630</v>
      </c>
      <c r="C430" s="2" t="s">
        <v>246</v>
      </c>
      <c r="D430" s="2" t="s">
        <v>631</v>
      </c>
      <c r="E430" s="2" t="s">
        <v>720</v>
      </c>
      <c r="F430" s="2" t="s">
        <v>2563</v>
      </c>
      <c r="G430" s="2" t="s">
        <v>2564</v>
      </c>
      <c r="H430" s="2" t="s">
        <v>2565</v>
      </c>
      <c r="I430" s="2" t="s">
        <v>2577</v>
      </c>
      <c r="J430" s="2" t="s">
        <v>241</v>
      </c>
      <c r="K430" s="2" t="s">
        <v>2578</v>
      </c>
      <c r="L430" s="3">
        <v>59.99</v>
      </c>
      <c r="M430" s="3">
        <v>62.99</v>
      </c>
      <c r="N430" s="3">
        <v>119.99</v>
      </c>
      <c r="O430" s="2" t="s">
        <v>196</v>
      </c>
      <c r="P430" s="2" t="s">
        <v>197</v>
      </c>
      <c r="Q430" s="2" t="s">
        <v>198</v>
      </c>
      <c r="R430" s="2" t="s">
        <v>199</v>
      </c>
      <c r="S430" s="2" t="s">
        <v>2579</v>
      </c>
      <c r="T430" s="2" t="s">
        <v>2214</v>
      </c>
      <c r="U430" s="2" t="s">
        <v>546</v>
      </c>
      <c r="V430" s="2" t="s">
        <v>1381</v>
      </c>
      <c r="W430" s="2" t="s">
        <v>768</v>
      </c>
      <c r="X430" s="2" t="s">
        <v>2568</v>
      </c>
      <c r="Y430" s="2" t="s">
        <v>204</v>
      </c>
      <c r="Z430" s="4">
        <v>175</v>
      </c>
      <c r="AA430" s="4">
        <f>=ROUNDDOWN(43.75,0)</f>
      </c>
      <c r="AB430" s="5">
        <v>4</v>
      </c>
      <c r="AC430" s="2" t="s">
        <v>199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199</v>
      </c>
      <c r="BD430" s="8" t="s">
        <v>199</v>
      </c>
      <c r="BE430" s="4" t="s">
        <v>199</v>
      </c>
      <c r="BF430" s="8" t="s">
        <v>199</v>
      </c>
      <c r="BG430" s="7" t="s">
        <v>199</v>
      </c>
      <c r="BH430" s="7" t="s">
        <v>199</v>
      </c>
      <c r="BI430" s="7"/>
      <c r="BJ430" s="4">
        <v>25</v>
      </c>
      <c r="BK430" s="8">
        <v>1552.04</v>
      </c>
      <c r="BL430" s="2" t="s">
        <v>2580</v>
      </c>
      <c r="BM430" s="7"/>
      <c r="BN430" s="7"/>
      <c r="BO430" s="4"/>
      <c r="BP430" s="8"/>
      <c r="BQ430" s="4"/>
      <c r="BR430" s="8"/>
      <c r="BS430" s="7"/>
      <c r="BT430" s="7"/>
      <c r="BU430" s="2" t="s">
        <v>2581</v>
      </c>
      <c r="BV430" s="2" t="s">
        <v>199</v>
      </c>
      <c r="BW430" s="2" t="s">
        <v>199</v>
      </c>
      <c r="BX430" s="2" t="s">
        <v>208</v>
      </c>
      <c r="BY430" s="2" t="s">
        <v>209</v>
      </c>
      <c r="BZ430" s="2" t="s">
        <v>196</v>
      </c>
      <c r="CA430" s="2" t="s">
        <v>210</v>
      </c>
      <c r="CB430" s="2" t="s">
        <v>2582</v>
      </c>
      <c r="CC430" s="2" t="s">
        <v>212</v>
      </c>
      <c r="CD430" s="2" t="s">
        <v>199</v>
      </c>
      <c r="CE430" s="4">
        <v>175</v>
      </c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>
        <v>179</v>
      </c>
      <c r="EU430" s="4">
        <v>172</v>
      </c>
      <c r="EV430" s="4">
        <v>168</v>
      </c>
      <c r="EW430" s="4">
        <v>164</v>
      </c>
      <c r="EX430" s="4">
        <v>160</v>
      </c>
      <c r="EY430" s="4">
        <v>156</v>
      </c>
      <c r="EZ430" s="4">
        <v>152</v>
      </c>
      <c r="FA430" s="4">
        <v>148</v>
      </c>
      <c r="FB430" s="4">
        <v>144</v>
      </c>
      <c r="FC430" s="4">
        <v>140</v>
      </c>
      <c r="FD430" s="4">
        <v>136</v>
      </c>
      <c r="FE430" s="4">
        <v>132</v>
      </c>
      <c r="FF430" s="4">
        <v>128</v>
      </c>
      <c r="FG430" s="4">
        <v>124</v>
      </c>
      <c r="FH430" s="4">
        <v>120</v>
      </c>
      <c r="FI430" s="4">
        <v>116</v>
      </c>
      <c r="FJ430" s="4">
        <v>112</v>
      </c>
      <c r="FK430" s="4">
        <v>108</v>
      </c>
      <c r="FL430" s="4">
        <v>104</v>
      </c>
      <c r="FM430" s="4">
        <v>100</v>
      </c>
      <c r="FN430" s="4">
        <v>96</v>
      </c>
      <c r="FO430" s="4">
        <v>92</v>
      </c>
      <c r="FP430" s="4">
        <v>88</v>
      </c>
      <c r="FQ430" s="4">
        <v>84</v>
      </c>
      <c r="FR430" s="4">
        <v>80</v>
      </c>
      <c r="FS430" s="4">
        <v>76</v>
      </c>
      <c r="FT430" s="19">
        <v>35.8</v>
      </c>
      <c r="FU430" s="19">
        <v>43</v>
      </c>
      <c r="FV430" s="19">
        <v>42</v>
      </c>
      <c r="FW430" s="19">
        <v>41</v>
      </c>
      <c r="FX430" s="19">
        <v>40</v>
      </c>
      <c r="FY430" s="19">
        <v>39</v>
      </c>
      <c r="FZ430" s="19">
        <v>38</v>
      </c>
      <c r="GA430" s="19">
        <v>37</v>
      </c>
      <c r="GB430" s="19">
        <v>36</v>
      </c>
      <c r="GC430" s="19">
        <v>35</v>
      </c>
      <c r="GD430" s="19">
        <v>34</v>
      </c>
      <c r="GE430" s="19">
        <v>33</v>
      </c>
      <c r="GF430" s="19">
        <v>32</v>
      </c>
      <c r="GG430" s="19">
        <v>31</v>
      </c>
      <c r="GH430" s="19">
        <v>30</v>
      </c>
      <c r="GI430" s="19">
        <v>29</v>
      </c>
      <c r="GJ430" s="19">
        <v>28</v>
      </c>
      <c r="GK430" s="19">
        <v>27</v>
      </c>
      <c r="GL430" s="19">
        <v>26</v>
      </c>
      <c r="GM430" s="19">
        <v>25</v>
      </c>
      <c r="GN430" s="19">
        <v>24</v>
      </c>
      <c r="GO430" s="19">
        <v>23</v>
      </c>
      <c r="GP430" s="19">
        <v>22</v>
      </c>
      <c r="GQ430" s="19">
        <v>21</v>
      </c>
      <c r="GR430" s="19">
        <v>20</v>
      </c>
      <c r="GS430" s="19">
        <v>19</v>
      </c>
    </row>
    <row r="431">
      <c r="A431" s="2" t="s">
        <v>2583</v>
      </c>
      <c r="B431" s="2" t="s">
        <v>630</v>
      </c>
      <c r="C431" s="2" t="s">
        <v>719</v>
      </c>
      <c r="D431" s="2" t="s">
        <v>228</v>
      </c>
      <c r="E431" s="2" t="s">
        <v>487</v>
      </c>
      <c r="F431" s="2" t="s">
        <v>2584</v>
      </c>
      <c r="G431" s="2" t="s">
        <v>2584</v>
      </c>
      <c r="H431" s="2" t="s">
        <v>2584</v>
      </c>
      <c r="I431" s="2" t="s">
        <v>2585</v>
      </c>
      <c r="J431" s="2" t="s">
        <v>285</v>
      </c>
      <c r="K431" s="2" t="s">
        <v>1379</v>
      </c>
      <c r="L431" s="3">
        <v>93.31</v>
      </c>
      <c r="M431" s="3">
        <v>97.98</v>
      </c>
      <c r="N431" s="3">
        <v>204.99</v>
      </c>
      <c r="O431" s="2" t="s">
        <v>196</v>
      </c>
      <c r="P431" s="2" t="s">
        <v>517</v>
      </c>
      <c r="Q431" s="2" t="s">
        <v>198</v>
      </c>
      <c r="R431" s="2" t="s">
        <v>199</v>
      </c>
      <c r="S431" s="2" t="s">
        <v>2586</v>
      </c>
      <c r="T431" s="2" t="s">
        <v>2214</v>
      </c>
      <c r="U431" s="2" t="s">
        <v>546</v>
      </c>
      <c r="V431" s="2" t="s">
        <v>696</v>
      </c>
      <c r="W431" s="2" t="s">
        <v>1440</v>
      </c>
      <c r="X431" s="2" t="s">
        <v>712</v>
      </c>
      <c r="Y431" s="2" t="s">
        <v>204</v>
      </c>
      <c r="Z431" s="4">
        <v>55</v>
      </c>
      <c r="AA431" s="4">
        <f>=ROUNDDOWN(36.6666666666667,0)</f>
      </c>
      <c r="AB431" s="5">
        <v>1.5</v>
      </c>
      <c r="AC431" s="2" t="s">
        <v>199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199</v>
      </c>
      <c r="AW431" s="8" t="s">
        <v>199</v>
      </c>
      <c r="AX431" s="4" t="s">
        <v>199</v>
      </c>
      <c r="AY431" s="8" t="s">
        <v>199</v>
      </c>
      <c r="AZ431" s="7" t="s">
        <v>199</v>
      </c>
      <c r="BA431" s="7" t="s">
        <v>199</v>
      </c>
      <c r="BB431" s="7"/>
      <c r="BC431" s="4" t="s">
        <v>199</v>
      </c>
      <c r="BD431" s="8" t="s">
        <v>199</v>
      </c>
      <c r="BE431" s="4" t="s">
        <v>199</v>
      </c>
      <c r="BF431" s="8" t="s">
        <v>199</v>
      </c>
      <c r="BG431" s="7" t="s">
        <v>199</v>
      </c>
      <c r="BH431" s="7" t="s">
        <v>199</v>
      </c>
      <c r="BI431" s="7"/>
      <c r="BJ431" s="4">
        <v>1</v>
      </c>
      <c r="BK431" s="8">
        <v>100.61</v>
      </c>
      <c r="BL431" s="2" t="s">
        <v>1333</v>
      </c>
      <c r="BM431" s="7"/>
      <c r="BN431" s="7"/>
      <c r="BO431" s="4"/>
      <c r="BP431" s="8"/>
      <c r="BQ431" s="4"/>
      <c r="BR431" s="8"/>
      <c r="BS431" s="7"/>
      <c r="BT431" s="7"/>
      <c r="BU431" s="2" t="s">
        <v>2587</v>
      </c>
      <c r="BV431" s="2" t="s">
        <v>199</v>
      </c>
      <c r="BW431" s="2" t="s">
        <v>199</v>
      </c>
      <c r="BX431" s="2" t="s">
        <v>208</v>
      </c>
      <c r="BY431" s="2" t="s">
        <v>209</v>
      </c>
      <c r="BZ431" s="2" t="s">
        <v>196</v>
      </c>
      <c r="CA431" s="2" t="s">
        <v>2588</v>
      </c>
      <c r="CB431" s="2" t="s">
        <v>2589</v>
      </c>
      <c r="CC431" s="2" t="s">
        <v>212</v>
      </c>
      <c r="CD431" s="2" t="s">
        <v>199</v>
      </c>
      <c r="CE431" s="4">
        <v>55</v>
      </c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>
        <v>55</v>
      </c>
      <c r="EU431" s="4">
        <v>54</v>
      </c>
      <c r="EV431" s="4">
        <v>52</v>
      </c>
      <c r="EW431" s="4">
        <v>51</v>
      </c>
      <c r="EX431" s="4">
        <v>50</v>
      </c>
      <c r="EY431" s="4">
        <v>48</v>
      </c>
      <c r="EZ431" s="4">
        <v>46</v>
      </c>
      <c r="FA431" s="4">
        <v>44</v>
      </c>
      <c r="FB431" s="4">
        <v>42</v>
      </c>
      <c r="FC431" s="4">
        <v>40</v>
      </c>
      <c r="FD431" s="4">
        <v>38</v>
      </c>
      <c r="FE431" s="4">
        <v>36</v>
      </c>
      <c r="FF431" s="4">
        <v>34</v>
      </c>
      <c r="FG431" s="4">
        <v>32</v>
      </c>
      <c r="FH431" s="4">
        <v>30</v>
      </c>
      <c r="FI431" s="4">
        <v>28</v>
      </c>
      <c r="FJ431" s="4">
        <v>26</v>
      </c>
      <c r="FK431" s="4">
        <v>24</v>
      </c>
      <c r="FL431" s="4">
        <v>22</v>
      </c>
      <c r="FM431" s="4">
        <v>20</v>
      </c>
      <c r="FN431" s="4">
        <v>57</v>
      </c>
      <c r="FO431" s="4">
        <v>55</v>
      </c>
      <c r="FP431" s="4">
        <v>52</v>
      </c>
      <c r="FQ431" s="4">
        <v>50</v>
      </c>
      <c r="FR431" s="4">
        <v>48</v>
      </c>
      <c r="FS431" s="4">
        <v>46</v>
      </c>
      <c r="FT431" s="19">
        <v>55</v>
      </c>
      <c r="FU431" s="19">
        <v>27</v>
      </c>
      <c r="FV431" s="19">
        <v>26</v>
      </c>
      <c r="FW431" s="19">
        <v>25.5</v>
      </c>
      <c r="FX431" s="19">
        <v>25</v>
      </c>
      <c r="FY431" s="19">
        <v>24</v>
      </c>
      <c r="FZ431" s="19">
        <v>23</v>
      </c>
      <c r="GA431" s="19">
        <v>22</v>
      </c>
      <c r="GB431" s="19">
        <v>21</v>
      </c>
      <c r="GC431" s="19">
        <v>20</v>
      </c>
      <c r="GD431" s="19">
        <v>19</v>
      </c>
      <c r="GE431" s="19">
        <v>18</v>
      </c>
      <c r="GF431" s="19">
        <v>17</v>
      </c>
      <c r="GG431" s="19">
        <v>16</v>
      </c>
      <c r="GH431" s="19">
        <v>15</v>
      </c>
      <c r="GI431" s="19">
        <v>14</v>
      </c>
      <c r="GJ431" s="19">
        <v>13</v>
      </c>
      <c r="GK431" s="19">
        <v>12</v>
      </c>
      <c r="GL431" s="19">
        <v>11</v>
      </c>
      <c r="GM431" s="19">
        <v>10</v>
      </c>
      <c r="GN431" s="19">
        <v>28.5</v>
      </c>
      <c r="GO431" s="19">
        <v>27.5</v>
      </c>
      <c r="GP431" s="19">
        <v>26</v>
      </c>
      <c r="GQ431" s="19">
        <v>25</v>
      </c>
      <c r="GR431" s="19">
        <v>24</v>
      </c>
      <c r="GS431" s="19">
        <v>23</v>
      </c>
    </row>
    <row r="432">
      <c r="A432" s="2" t="s">
        <v>2590</v>
      </c>
      <c r="B432" s="2" t="s">
        <v>630</v>
      </c>
      <c r="C432" s="2" t="s">
        <v>719</v>
      </c>
      <c r="D432" s="2" t="s">
        <v>228</v>
      </c>
      <c r="E432" s="2" t="s">
        <v>487</v>
      </c>
      <c r="F432" s="2" t="s">
        <v>2584</v>
      </c>
      <c r="G432" s="2" t="s">
        <v>2584</v>
      </c>
      <c r="H432" s="2" t="s">
        <v>2584</v>
      </c>
      <c r="I432" s="2" t="s">
        <v>2585</v>
      </c>
      <c r="J432" s="2" t="s">
        <v>251</v>
      </c>
      <c r="K432" s="2" t="s">
        <v>1379</v>
      </c>
      <c r="L432" s="3">
        <v>114.04</v>
      </c>
      <c r="M432" s="3">
        <v>119.74</v>
      </c>
      <c r="N432" s="3">
        <v>244.99</v>
      </c>
      <c r="O432" s="2" t="s">
        <v>196</v>
      </c>
      <c r="P432" s="2" t="s">
        <v>517</v>
      </c>
      <c r="Q432" s="2" t="s">
        <v>198</v>
      </c>
      <c r="R432" s="2" t="s">
        <v>199</v>
      </c>
      <c r="S432" s="2" t="s">
        <v>2586</v>
      </c>
      <c r="T432" s="2" t="s">
        <v>2214</v>
      </c>
      <c r="U432" s="2" t="s">
        <v>546</v>
      </c>
      <c r="V432" s="2" t="s">
        <v>696</v>
      </c>
      <c r="W432" s="2" t="s">
        <v>1440</v>
      </c>
      <c r="X432" s="2" t="s">
        <v>712</v>
      </c>
      <c r="Y432" s="2" t="s">
        <v>204</v>
      </c>
      <c r="Z432" s="4">
        <v>71</v>
      </c>
      <c r="AA432" s="4">
        <f>=ROUNDDOWN(21.5151515151515,0)</f>
      </c>
      <c r="AB432" s="5">
        <v>3.3</v>
      </c>
      <c r="AC432" s="2" t="s">
        <v>199</v>
      </c>
      <c r="AD432" s="4"/>
      <c r="AE432" s="4"/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199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199</v>
      </c>
      <c r="AW432" s="8" t="s">
        <v>199</v>
      </c>
      <c r="AX432" s="4" t="s">
        <v>199</v>
      </c>
      <c r="AY432" s="8" t="s">
        <v>199</v>
      </c>
      <c r="AZ432" s="7" t="s">
        <v>199</v>
      </c>
      <c r="BA432" s="7" t="s">
        <v>199</v>
      </c>
      <c r="BB432" s="7"/>
      <c r="BC432" s="4" t="s">
        <v>199</v>
      </c>
      <c r="BD432" s="8" t="s">
        <v>199</v>
      </c>
      <c r="BE432" s="4" t="s">
        <v>199</v>
      </c>
      <c r="BF432" s="8" t="s">
        <v>199</v>
      </c>
      <c r="BG432" s="7" t="s">
        <v>199</v>
      </c>
      <c r="BH432" s="7" t="s">
        <v>199</v>
      </c>
      <c r="BI432" s="7"/>
      <c r="BJ432" s="4">
        <v>11</v>
      </c>
      <c r="BK432" s="8">
        <v>1324.23</v>
      </c>
      <c r="BL432" s="2" t="s">
        <v>2591</v>
      </c>
      <c r="BM432" s="7"/>
      <c r="BN432" s="7"/>
      <c r="BO432" s="4"/>
      <c r="BP432" s="8"/>
      <c r="BQ432" s="4"/>
      <c r="BR432" s="8"/>
      <c r="BS432" s="7"/>
      <c r="BT432" s="7"/>
      <c r="BU432" s="2" t="s">
        <v>2587</v>
      </c>
      <c r="BV432" s="2" t="s">
        <v>199</v>
      </c>
      <c r="BW432" s="2" t="s">
        <v>199</v>
      </c>
      <c r="BX432" s="2" t="s">
        <v>208</v>
      </c>
      <c r="BY432" s="2" t="s">
        <v>209</v>
      </c>
      <c r="BZ432" s="2" t="s">
        <v>196</v>
      </c>
      <c r="CA432" s="2" t="s">
        <v>2588</v>
      </c>
      <c r="CB432" s="2" t="s">
        <v>329</v>
      </c>
      <c r="CC432" s="2" t="s">
        <v>212</v>
      </c>
      <c r="CD432" s="2" t="s">
        <v>199</v>
      </c>
      <c r="CE432" s="4">
        <v>71</v>
      </c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>
        <v>73</v>
      </c>
      <c r="EU432" s="4">
        <v>67</v>
      </c>
      <c r="EV432" s="4">
        <v>64</v>
      </c>
      <c r="EW432" s="4">
        <v>62</v>
      </c>
      <c r="EX432" s="4">
        <v>60</v>
      </c>
      <c r="EY432" s="4">
        <v>57</v>
      </c>
      <c r="EZ432" s="4">
        <v>54</v>
      </c>
      <c r="FA432" s="4">
        <v>51</v>
      </c>
      <c r="FB432" s="4">
        <v>48</v>
      </c>
      <c r="FC432" s="4">
        <v>45</v>
      </c>
      <c r="FD432" s="4">
        <v>42</v>
      </c>
      <c r="FE432" s="4">
        <v>39</v>
      </c>
      <c r="FF432" s="4">
        <v>36</v>
      </c>
      <c r="FG432" s="4">
        <v>33</v>
      </c>
      <c r="FH432" s="4">
        <v>30</v>
      </c>
      <c r="FI432" s="4">
        <v>27</v>
      </c>
      <c r="FJ432" s="4">
        <v>24</v>
      </c>
      <c r="FK432" s="4">
        <v>21</v>
      </c>
      <c r="FL432" s="4">
        <v>18</v>
      </c>
      <c r="FM432" s="4">
        <v>15</v>
      </c>
      <c r="FN432" s="4">
        <v>85</v>
      </c>
      <c r="FO432" s="4">
        <v>82</v>
      </c>
      <c r="FP432" s="4">
        <v>78</v>
      </c>
      <c r="FQ432" s="4">
        <v>75</v>
      </c>
      <c r="FR432" s="4">
        <v>72</v>
      </c>
      <c r="FS432" s="4">
        <v>69</v>
      </c>
      <c r="FT432" s="19">
        <v>24.3</v>
      </c>
      <c r="FU432" s="19">
        <v>33.5</v>
      </c>
      <c r="FV432" s="19">
        <v>32</v>
      </c>
      <c r="FW432" s="19">
        <v>20.7</v>
      </c>
      <c r="FX432" s="19">
        <v>20</v>
      </c>
      <c r="FY432" s="19">
        <v>19</v>
      </c>
      <c r="FZ432" s="19">
        <v>18</v>
      </c>
      <c r="GA432" s="19">
        <v>17</v>
      </c>
      <c r="GB432" s="19">
        <v>16</v>
      </c>
      <c r="GC432" s="19">
        <v>15</v>
      </c>
      <c r="GD432" s="19">
        <v>14</v>
      </c>
      <c r="GE432" s="19">
        <v>13</v>
      </c>
      <c r="GF432" s="19">
        <v>12</v>
      </c>
      <c r="GG432" s="19">
        <v>11</v>
      </c>
      <c r="GH432" s="19">
        <v>10</v>
      </c>
      <c r="GI432" s="19">
        <v>9</v>
      </c>
      <c r="GJ432" s="19">
        <v>8</v>
      </c>
      <c r="GK432" s="19">
        <v>7</v>
      </c>
      <c r="GL432" s="19">
        <v>6</v>
      </c>
      <c r="GM432" s="19">
        <v>5</v>
      </c>
      <c r="GN432" s="19">
        <v>28.3</v>
      </c>
      <c r="GO432" s="19">
        <v>27.3</v>
      </c>
      <c r="GP432" s="19">
        <v>26</v>
      </c>
      <c r="GQ432" s="19">
        <v>25</v>
      </c>
      <c r="GR432" s="19">
        <v>24</v>
      </c>
      <c r="GS432" s="19">
        <v>23</v>
      </c>
    </row>
    <row r="433">
      <c r="A433" s="2" t="s">
        <v>2592</v>
      </c>
      <c r="B433" s="2" t="s">
        <v>570</v>
      </c>
      <c r="C433" s="2" t="s">
        <v>227</v>
      </c>
      <c r="D433" s="2" t="s">
        <v>572</v>
      </c>
      <c r="E433" s="2" t="s">
        <v>573</v>
      </c>
      <c r="F433" s="2" t="s">
        <v>2593</v>
      </c>
      <c r="G433" s="2" t="s">
        <v>2593</v>
      </c>
      <c r="H433" s="2" t="s">
        <v>2593</v>
      </c>
      <c r="I433" s="2" t="s">
        <v>2594</v>
      </c>
      <c r="J433" s="2" t="s">
        <v>576</v>
      </c>
      <c r="K433" s="2" t="s">
        <v>584</v>
      </c>
      <c r="L433" s="3">
        <v>42.75</v>
      </c>
      <c r="M433" s="3">
        <v>44.89</v>
      </c>
      <c r="N433" s="3">
        <v>94.99</v>
      </c>
      <c r="O433" s="2" t="s">
        <v>196</v>
      </c>
      <c r="P433" s="2" t="s">
        <v>197</v>
      </c>
      <c r="Q433" s="2" t="s">
        <v>198</v>
      </c>
      <c r="R433" s="2" t="s">
        <v>199</v>
      </c>
      <c r="S433" s="2" t="s">
        <v>2595</v>
      </c>
      <c r="T433" s="2" t="s">
        <v>300</v>
      </c>
      <c r="U433" s="2" t="s">
        <v>546</v>
      </c>
      <c r="V433" s="2" t="s">
        <v>202</v>
      </c>
      <c r="W433" s="2" t="s">
        <v>255</v>
      </c>
      <c r="X433" s="2" t="s">
        <v>623</v>
      </c>
      <c r="Y433" s="2" t="s">
        <v>2596</v>
      </c>
      <c r="Z433" s="4">
        <v>625</v>
      </c>
      <c r="AA433" s="4">
        <f>=ROUNDDOWN(89.2857142857143,0)</f>
      </c>
      <c r="AB433" s="5">
        <v>7</v>
      </c>
      <c r="AC433" s="2" t="s">
        <v>199</v>
      </c>
      <c r="AD433" s="4"/>
      <c r="AE433" s="4"/>
      <c r="AF433" s="6">
        <v>73</v>
      </c>
      <c r="AG433" s="6"/>
      <c r="AH433" s="7">
        <v>1</v>
      </c>
      <c r="AI433" s="4"/>
      <c r="AJ433" s="4">
        <f>=ROUNDDOWN({0},0)</f>
      </c>
      <c r="AK433" s="5"/>
      <c r="AL433" s="2" t="s">
        <v>199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199</v>
      </c>
      <c r="BD433" s="8" t="s">
        <v>199</v>
      </c>
      <c r="BE433" s="4" t="s">
        <v>199</v>
      </c>
      <c r="BF433" s="8" t="s">
        <v>199</v>
      </c>
      <c r="BG433" s="7" t="s">
        <v>199</v>
      </c>
      <c r="BH433" s="7" t="s">
        <v>199</v>
      </c>
      <c r="BI433" s="7"/>
      <c r="BJ433" s="4">
        <v>82</v>
      </c>
      <c r="BK433" s="8">
        <v>3798.47</v>
      </c>
      <c r="BL433" s="2" t="s">
        <v>2597</v>
      </c>
      <c r="BM433" s="7"/>
      <c r="BN433" s="7"/>
      <c r="BO433" s="4"/>
      <c r="BP433" s="8"/>
      <c r="BQ433" s="4"/>
      <c r="BR433" s="8"/>
      <c r="BS433" s="7"/>
      <c r="BT433" s="7"/>
      <c r="BU433" s="2" t="s">
        <v>2598</v>
      </c>
      <c r="BV433" s="2" t="s">
        <v>199</v>
      </c>
      <c r="BW433" s="2" t="s">
        <v>199</v>
      </c>
      <c r="BX433" s="2" t="s">
        <v>208</v>
      </c>
      <c r="BY433" s="2" t="s">
        <v>209</v>
      </c>
      <c r="BZ433" s="2" t="s">
        <v>196</v>
      </c>
      <c r="CA433" s="2" t="s">
        <v>1856</v>
      </c>
      <c r="CB433" s="2" t="s">
        <v>2599</v>
      </c>
      <c r="CC433" s="2" t="s">
        <v>212</v>
      </c>
      <c r="CD433" s="2" t="s">
        <v>199</v>
      </c>
      <c r="CE433" s="4">
        <v>625</v>
      </c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>
        <v>627</v>
      </c>
      <c r="EU433" s="4">
        <v>620</v>
      </c>
      <c r="EV433" s="4">
        <v>614</v>
      </c>
      <c r="EW433" s="4">
        <v>608</v>
      </c>
      <c r="EX433" s="4">
        <v>601</v>
      </c>
      <c r="EY433" s="4">
        <v>594</v>
      </c>
      <c r="EZ433" s="4">
        <v>587</v>
      </c>
      <c r="FA433" s="4">
        <v>580</v>
      </c>
      <c r="FB433" s="4">
        <v>572</v>
      </c>
      <c r="FC433" s="4">
        <v>565</v>
      </c>
      <c r="FD433" s="4">
        <v>558</v>
      </c>
      <c r="FE433" s="4">
        <v>551</v>
      </c>
      <c r="FF433" s="4">
        <v>544</v>
      </c>
      <c r="FG433" s="4">
        <v>537</v>
      </c>
      <c r="FH433" s="4">
        <v>530</v>
      </c>
      <c r="FI433" s="4">
        <v>523</v>
      </c>
      <c r="FJ433" s="4">
        <v>516</v>
      </c>
      <c r="FK433" s="4">
        <v>509</v>
      </c>
      <c r="FL433" s="4">
        <v>502</v>
      </c>
      <c r="FM433" s="4">
        <v>495</v>
      </c>
      <c r="FN433" s="4">
        <v>488</v>
      </c>
      <c r="FO433" s="4">
        <v>481</v>
      </c>
      <c r="FP433" s="4">
        <v>473</v>
      </c>
      <c r="FQ433" s="4">
        <v>466</v>
      </c>
      <c r="FR433" s="4">
        <v>459</v>
      </c>
      <c r="FS433" s="4">
        <v>452</v>
      </c>
      <c r="FT433" s="19">
        <v>104.5</v>
      </c>
      <c r="FU433" s="19">
        <v>103.3</v>
      </c>
      <c r="FV433" s="19">
        <v>87.7</v>
      </c>
      <c r="FW433" s="19">
        <v>86.9</v>
      </c>
      <c r="FX433" s="19">
        <v>85.9</v>
      </c>
      <c r="FY433" s="19">
        <v>84.9</v>
      </c>
      <c r="FZ433" s="19">
        <v>83.9</v>
      </c>
      <c r="GA433" s="19">
        <v>82.9</v>
      </c>
      <c r="GB433" s="19">
        <v>81.7</v>
      </c>
      <c r="GC433" s="19">
        <v>80.7</v>
      </c>
      <c r="GD433" s="19">
        <v>79.7</v>
      </c>
      <c r="GE433" s="19">
        <v>78.7</v>
      </c>
      <c r="GF433" s="19">
        <v>77.7</v>
      </c>
      <c r="GG433" s="19">
        <v>76.7</v>
      </c>
      <c r="GH433" s="19">
        <v>75.7</v>
      </c>
      <c r="GI433" s="19">
        <v>74.7</v>
      </c>
      <c r="GJ433" s="19">
        <v>73.7</v>
      </c>
      <c r="GK433" s="19">
        <v>72.7</v>
      </c>
      <c r="GL433" s="19">
        <v>71.7</v>
      </c>
      <c r="GM433" s="19">
        <v>70.7</v>
      </c>
      <c r="GN433" s="19">
        <v>69.7</v>
      </c>
      <c r="GO433" s="19">
        <v>68.7</v>
      </c>
      <c r="GP433" s="19">
        <v>67.6</v>
      </c>
      <c r="GQ433" s="19">
        <v>66.6</v>
      </c>
      <c r="GR433" s="19">
        <v>65.6</v>
      </c>
      <c r="GS433" s="19">
        <v>56.5</v>
      </c>
    </row>
    <row r="434">
      <c r="A434" s="2" t="s">
        <v>2600</v>
      </c>
      <c r="B434" s="2" t="s">
        <v>570</v>
      </c>
      <c r="C434" s="2" t="s">
        <v>227</v>
      </c>
      <c r="D434" s="2" t="s">
        <v>572</v>
      </c>
      <c r="E434" s="2" t="s">
        <v>573</v>
      </c>
      <c r="F434" s="2" t="s">
        <v>2593</v>
      </c>
      <c r="G434" s="2" t="s">
        <v>2593</v>
      </c>
      <c r="H434" s="2" t="s">
        <v>2593</v>
      </c>
      <c r="I434" s="2" t="s">
        <v>2594</v>
      </c>
      <c r="J434" s="2" t="s">
        <v>576</v>
      </c>
      <c r="K434" s="2" t="s">
        <v>371</v>
      </c>
      <c r="L434" s="3">
        <v>42.75</v>
      </c>
      <c r="M434" s="3">
        <v>44.89</v>
      </c>
      <c r="N434" s="3">
        <v>94.99</v>
      </c>
      <c r="O434" s="2" t="s">
        <v>196</v>
      </c>
      <c r="P434" s="2" t="s">
        <v>197</v>
      </c>
      <c r="Q434" s="2" t="s">
        <v>198</v>
      </c>
      <c r="R434" s="2" t="s">
        <v>199</v>
      </c>
      <c r="S434" s="2" t="s">
        <v>2595</v>
      </c>
      <c r="T434" s="2" t="s">
        <v>300</v>
      </c>
      <c r="U434" s="2" t="s">
        <v>546</v>
      </c>
      <c r="V434" s="2" t="s">
        <v>202</v>
      </c>
      <c r="W434" s="2" t="s">
        <v>255</v>
      </c>
      <c r="X434" s="2" t="s">
        <v>623</v>
      </c>
      <c r="Y434" s="2" t="s">
        <v>2596</v>
      </c>
      <c r="Z434" s="4">
        <v>636</v>
      </c>
      <c r="AA434" s="4">
        <f>=ROUNDDOWN(106,0)</f>
      </c>
      <c r="AB434" s="5">
        <v>6</v>
      </c>
      <c r="AC434" s="2" t="s">
        <v>199</v>
      </c>
      <c r="AD434" s="4"/>
      <c r="AE434" s="4"/>
      <c r="AF434" s="6">
        <v>73</v>
      </c>
      <c r="AG434" s="6"/>
      <c r="AH434" s="7">
        <v>1</v>
      </c>
      <c r="AI434" s="4"/>
      <c r="AJ434" s="4">
        <f>=ROUNDDOWN({0},0)</f>
      </c>
      <c r="AK434" s="5"/>
      <c r="AL434" s="2" t="s">
        <v>199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199</v>
      </c>
      <c r="BD434" s="8" t="s">
        <v>199</v>
      </c>
      <c r="BE434" s="4" t="s">
        <v>199</v>
      </c>
      <c r="BF434" s="8" t="s">
        <v>199</v>
      </c>
      <c r="BG434" s="7" t="s">
        <v>199</v>
      </c>
      <c r="BH434" s="7" t="s">
        <v>199</v>
      </c>
      <c r="BI434" s="7"/>
      <c r="BJ434" s="4">
        <v>48</v>
      </c>
      <c r="BK434" s="8">
        <v>2239.2</v>
      </c>
      <c r="BL434" s="2" t="s">
        <v>2601</v>
      </c>
      <c r="BM434" s="7"/>
      <c r="BN434" s="7"/>
      <c r="BO434" s="4"/>
      <c r="BP434" s="8"/>
      <c r="BQ434" s="4"/>
      <c r="BR434" s="8"/>
      <c r="BS434" s="7"/>
      <c r="BT434" s="7"/>
      <c r="BU434" s="2" t="s">
        <v>2598</v>
      </c>
      <c r="BV434" s="2" t="s">
        <v>199</v>
      </c>
      <c r="BW434" s="2" t="s">
        <v>199</v>
      </c>
      <c r="BX434" s="2" t="s">
        <v>208</v>
      </c>
      <c r="BY434" s="2" t="s">
        <v>209</v>
      </c>
      <c r="BZ434" s="2" t="s">
        <v>196</v>
      </c>
      <c r="CA434" s="2" t="s">
        <v>1856</v>
      </c>
      <c r="CB434" s="2" t="s">
        <v>2602</v>
      </c>
      <c r="CC434" s="2" t="s">
        <v>212</v>
      </c>
      <c r="CD434" s="2" t="s">
        <v>199</v>
      </c>
      <c r="CE434" s="4">
        <v>636</v>
      </c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>
        <v>636</v>
      </c>
      <c r="EU434" s="4">
        <v>631</v>
      </c>
      <c r="EV434" s="4">
        <v>626</v>
      </c>
      <c r="EW434" s="4">
        <v>621</v>
      </c>
      <c r="EX434" s="4">
        <v>616</v>
      </c>
      <c r="EY434" s="4">
        <v>611</v>
      </c>
      <c r="EZ434" s="4">
        <v>606</v>
      </c>
      <c r="FA434" s="4">
        <v>601</v>
      </c>
      <c r="FB434" s="4">
        <v>594</v>
      </c>
      <c r="FC434" s="4">
        <v>588</v>
      </c>
      <c r="FD434" s="4">
        <v>582</v>
      </c>
      <c r="FE434" s="4">
        <v>576</v>
      </c>
      <c r="FF434" s="4">
        <v>570</v>
      </c>
      <c r="FG434" s="4">
        <v>564</v>
      </c>
      <c r="FH434" s="4">
        <v>558</v>
      </c>
      <c r="FI434" s="4">
        <v>552</v>
      </c>
      <c r="FJ434" s="4">
        <v>546</v>
      </c>
      <c r="FK434" s="4">
        <v>540</v>
      </c>
      <c r="FL434" s="4">
        <v>534</v>
      </c>
      <c r="FM434" s="4">
        <v>528</v>
      </c>
      <c r="FN434" s="4">
        <v>522</v>
      </c>
      <c r="FO434" s="4">
        <v>516</v>
      </c>
      <c r="FP434" s="4">
        <v>509</v>
      </c>
      <c r="FQ434" s="4">
        <v>503</v>
      </c>
      <c r="FR434" s="4">
        <v>497</v>
      </c>
      <c r="FS434" s="4">
        <v>491</v>
      </c>
      <c r="FT434" s="19">
        <v>127.2</v>
      </c>
      <c r="FU434" s="19">
        <v>126.2</v>
      </c>
      <c r="FV434" s="19">
        <v>125.2</v>
      </c>
      <c r="FW434" s="19">
        <v>124.2</v>
      </c>
      <c r="FX434" s="19">
        <v>102.7</v>
      </c>
      <c r="FY434" s="19">
        <v>101.8</v>
      </c>
      <c r="FZ434" s="19">
        <v>101</v>
      </c>
      <c r="GA434" s="19">
        <v>100.2</v>
      </c>
      <c r="GB434" s="19">
        <v>99</v>
      </c>
      <c r="GC434" s="19">
        <v>98</v>
      </c>
      <c r="GD434" s="19">
        <v>97</v>
      </c>
      <c r="GE434" s="19">
        <v>96</v>
      </c>
      <c r="GF434" s="19">
        <v>95</v>
      </c>
      <c r="GG434" s="19">
        <v>94</v>
      </c>
      <c r="GH434" s="19">
        <v>93</v>
      </c>
      <c r="GI434" s="19">
        <v>92</v>
      </c>
      <c r="GJ434" s="19">
        <v>91</v>
      </c>
      <c r="GK434" s="19">
        <v>90</v>
      </c>
      <c r="GL434" s="19">
        <v>89</v>
      </c>
      <c r="GM434" s="19">
        <v>88</v>
      </c>
      <c r="GN434" s="19">
        <v>87</v>
      </c>
      <c r="GO434" s="19">
        <v>86</v>
      </c>
      <c r="GP434" s="19">
        <v>84.8</v>
      </c>
      <c r="GQ434" s="19">
        <v>83.8</v>
      </c>
      <c r="GR434" s="19">
        <v>82.8</v>
      </c>
      <c r="GS434" s="19">
        <v>81.8</v>
      </c>
    </row>
    <row r="435">
      <c r="A435" s="2" t="s">
        <v>2603</v>
      </c>
      <c r="B435" s="2" t="s">
        <v>570</v>
      </c>
      <c r="C435" s="2" t="s">
        <v>227</v>
      </c>
      <c r="D435" s="2" t="s">
        <v>572</v>
      </c>
      <c r="E435" s="2" t="s">
        <v>573</v>
      </c>
      <c r="F435" s="2" t="s">
        <v>2593</v>
      </c>
      <c r="G435" s="2" t="s">
        <v>2593</v>
      </c>
      <c r="H435" s="2" t="s">
        <v>2593</v>
      </c>
      <c r="I435" s="2" t="s">
        <v>2594</v>
      </c>
      <c r="J435" s="2" t="s">
        <v>576</v>
      </c>
      <c r="K435" s="2" t="s">
        <v>527</v>
      </c>
      <c r="L435" s="3">
        <v>42.75</v>
      </c>
      <c r="M435" s="3">
        <v>44.89</v>
      </c>
      <c r="N435" s="3">
        <v>94.99</v>
      </c>
      <c r="O435" s="2" t="s">
        <v>196</v>
      </c>
      <c r="P435" s="2" t="s">
        <v>724</v>
      </c>
      <c r="Q435" s="2" t="s">
        <v>198</v>
      </c>
      <c r="R435" s="2" t="s">
        <v>199</v>
      </c>
      <c r="S435" s="2" t="s">
        <v>2595</v>
      </c>
      <c r="T435" s="2" t="s">
        <v>300</v>
      </c>
      <c r="U435" s="2" t="s">
        <v>546</v>
      </c>
      <c r="V435" s="2" t="s">
        <v>202</v>
      </c>
      <c r="W435" s="2" t="s">
        <v>255</v>
      </c>
      <c r="X435" s="2" t="s">
        <v>623</v>
      </c>
      <c r="Y435" s="2" t="s">
        <v>2604</v>
      </c>
      <c r="Z435" s="4">
        <v>895</v>
      </c>
      <c r="AA435" s="4">
        <f>=ROUNDDOWN(89.5,0)</f>
      </c>
      <c r="AB435" s="5">
        <v>10</v>
      </c>
      <c r="AC435" s="2" t="s">
        <v>892</v>
      </c>
      <c r="AD435" s="4">
        <v>610</v>
      </c>
      <c r="AE435" s="4">
        <v>610</v>
      </c>
      <c r="AF435" s="6">
        <v>73</v>
      </c>
      <c r="AG435" s="6"/>
      <c r="AH435" s="7">
        <v>1</v>
      </c>
      <c r="AI435" s="4"/>
      <c r="AJ435" s="4">
        <f>=ROUNDDOWN({0},0)</f>
      </c>
      <c r="AK435" s="5"/>
      <c r="AL435" s="2" t="s">
        <v>199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199</v>
      </c>
      <c r="BD435" s="8" t="s">
        <v>199</v>
      </c>
      <c r="BE435" s="4" t="s">
        <v>199</v>
      </c>
      <c r="BF435" s="8" t="s">
        <v>199</v>
      </c>
      <c r="BG435" s="7" t="s">
        <v>199</v>
      </c>
      <c r="BH435" s="7" t="s">
        <v>199</v>
      </c>
      <c r="BI435" s="7"/>
      <c r="BJ435" s="4">
        <v>81</v>
      </c>
      <c r="BK435" s="8">
        <v>3679.19</v>
      </c>
      <c r="BL435" s="2" t="s">
        <v>2605</v>
      </c>
      <c r="BM435" s="7"/>
      <c r="BN435" s="7"/>
      <c r="BO435" s="4"/>
      <c r="BP435" s="8"/>
      <c r="BQ435" s="4"/>
      <c r="BR435" s="8"/>
      <c r="BS435" s="7"/>
      <c r="BT435" s="7"/>
      <c r="BU435" s="2" t="s">
        <v>2598</v>
      </c>
      <c r="BV435" s="2" t="s">
        <v>199</v>
      </c>
      <c r="BW435" s="2" t="s">
        <v>199</v>
      </c>
      <c r="BX435" s="2" t="s">
        <v>208</v>
      </c>
      <c r="BY435" s="2" t="s">
        <v>209</v>
      </c>
      <c r="BZ435" s="2" t="s">
        <v>196</v>
      </c>
      <c r="CA435" s="2" t="s">
        <v>2606</v>
      </c>
      <c r="CB435" s="2" t="s">
        <v>2607</v>
      </c>
      <c r="CC435" s="2" t="s">
        <v>212</v>
      </c>
      <c r="CD435" s="2" t="s">
        <v>199</v>
      </c>
      <c r="CE435" s="4">
        <v>894</v>
      </c>
      <c r="CF435" s="4"/>
      <c r="CG435" s="4"/>
      <c r="CH435" s="4"/>
      <c r="CI435" s="4"/>
      <c r="CJ435" s="4"/>
      <c r="CK435" s="4"/>
      <c r="CL435" s="4">
        <v>1</v>
      </c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>
        <v>610</v>
      </c>
      <c r="EN435" s="4"/>
      <c r="EO435" s="4"/>
      <c r="EP435" s="4"/>
      <c r="EQ435" s="4"/>
      <c r="ER435" s="4"/>
      <c r="ES435" s="4"/>
      <c r="ET435" s="4">
        <v>896</v>
      </c>
      <c r="EU435" s="4">
        <v>886</v>
      </c>
      <c r="EV435" s="4">
        <v>877</v>
      </c>
      <c r="EW435" s="4">
        <v>868</v>
      </c>
      <c r="EX435" s="4">
        <v>859</v>
      </c>
      <c r="EY435" s="4">
        <v>850</v>
      </c>
      <c r="EZ435" s="4">
        <v>841</v>
      </c>
      <c r="FA435" s="4">
        <v>832</v>
      </c>
      <c r="FB435" s="4">
        <v>822</v>
      </c>
      <c r="FC435" s="4">
        <v>813</v>
      </c>
      <c r="FD435" s="4">
        <v>804</v>
      </c>
      <c r="FE435" s="4">
        <v>795</v>
      </c>
      <c r="FF435" s="4">
        <v>786</v>
      </c>
      <c r="FG435" s="4">
        <v>777</v>
      </c>
      <c r="FH435" s="4">
        <v>767</v>
      </c>
      <c r="FI435" s="4">
        <v>757</v>
      </c>
      <c r="FJ435" s="4">
        <v>1357</v>
      </c>
      <c r="FK435" s="4">
        <v>1347</v>
      </c>
      <c r="FL435" s="4">
        <v>1337</v>
      </c>
      <c r="FM435" s="4">
        <v>1327</v>
      </c>
      <c r="FN435" s="4">
        <v>1317</v>
      </c>
      <c r="FO435" s="4">
        <v>1307</v>
      </c>
      <c r="FP435" s="4">
        <v>1296</v>
      </c>
      <c r="FQ435" s="4">
        <v>1286</v>
      </c>
      <c r="FR435" s="4">
        <v>1276</v>
      </c>
      <c r="FS435" s="4">
        <v>1266</v>
      </c>
      <c r="FT435" s="19">
        <v>99.6</v>
      </c>
      <c r="FU435" s="19">
        <v>98.4</v>
      </c>
      <c r="FV435" s="19">
        <v>97.4</v>
      </c>
      <c r="FW435" s="19">
        <v>96.4</v>
      </c>
      <c r="FX435" s="19">
        <v>95.4</v>
      </c>
      <c r="FY435" s="19">
        <v>94.4</v>
      </c>
      <c r="FZ435" s="19">
        <v>93.4</v>
      </c>
      <c r="GA435" s="19">
        <v>92.4</v>
      </c>
      <c r="GB435" s="19">
        <v>91.3</v>
      </c>
      <c r="GC435" s="19">
        <v>90.3</v>
      </c>
      <c r="GD435" s="19">
        <v>89.3</v>
      </c>
      <c r="GE435" s="19">
        <v>79.5</v>
      </c>
      <c r="GF435" s="19">
        <v>78.6</v>
      </c>
      <c r="GG435" s="19">
        <v>77.7</v>
      </c>
      <c r="GH435" s="19">
        <v>76.7</v>
      </c>
      <c r="GI435" s="19">
        <v>75.7</v>
      </c>
      <c r="GJ435" s="19">
        <v>135.7</v>
      </c>
      <c r="GK435" s="19">
        <v>134.7</v>
      </c>
      <c r="GL435" s="19">
        <v>133.7</v>
      </c>
      <c r="GM435" s="19">
        <v>132.7</v>
      </c>
      <c r="GN435" s="19">
        <v>131.7</v>
      </c>
      <c r="GO435" s="19">
        <v>130.7</v>
      </c>
      <c r="GP435" s="19">
        <v>129.6</v>
      </c>
      <c r="GQ435" s="19">
        <v>128.6</v>
      </c>
      <c r="GR435" s="19">
        <v>127.6</v>
      </c>
      <c r="GS435" s="19">
        <v>126.6</v>
      </c>
    </row>
    <row r="436">
      <c r="A436" s="2" t="s">
        <v>2608</v>
      </c>
      <c r="B436" s="2" t="s">
        <v>570</v>
      </c>
      <c r="C436" s="2" t="s">
        <v>227</v>
      </c>
      <c r="D436" s="2" t="s">
        <v>572</v>
      </c>
      <c r="E436" s="2" t="s">
        <v>573</v>
      </c>
      <c r="F436" s="2" t="s">
        <v>2593</v>
      </c>
      <c r="G436" s="2" t="s">
        <v>2593</v>
      </c>
      <c r="H436" s="2" t="s">
        <v>2593</v>
      </c>
      <c r="I436" s="2" t="s">
        <v>2594</v>
      </c>
      <c r="J436" s="2" t="s">
        <v>576</v>
      </c>
      <c r="K436" s="2" t="s">
        <v>233</v>
      </c>
      <c r="L436" s="3">
        <v>42.75</v>
      </c>
      <c r="M436" s="3">
        <v>44.89</v>
      </c>
      <c r="N436" s="3">
        <v>94.99</v>
      </c>
      <c r="O436" s="2" t="s">
        <v>196</v>
      </c>
      <c r="P436" s="2" t="s">
        <v>724</v>
      </c>
      <c r="Q436" s="2" t="s">
        <v>198</v>
      </c>
      <c r="R436" s="2" t="s">
        <v>199</v>
      </c>
      <c r="S436" s="2" t="s">
        <v>2595</v>
      </c>
      <c r="T436" s="2" t="s">
        <v>300</v>
      </c>
      <c r="U436" s="2" t="s">
        <v>546</v>
      </c>
      <c r="V436" s="2" t="s">
        <v>202</v>
      </c>
      <c r="W436" s="2" t="s">
        <v>255</v>
      </c>
      <c r="X436" s="2" t="s">
        <v>623</v>
      </c>
      <c r="Y436" s="2" t="s">
        <v>2604</v>
      </c>
      <c r="Z436" s="4">
        <v>906</v>
      </c>
      <c r="AA436" s="4">
        <f>=ROUNDDOWN(100.666666666667,0)</f>
      </c>
      <c r="AB436" s="5">
        <v>9</v>
      </c>
      <c r="AC436" s="2" t="s">
        <v>892</v>
      </c>
      <c r="AD436" s="4">
        <v>590</v>
      </c>
      <c r="AE436" s="4">
        <v>590</v>
      </c>
      <c r="AF436" s="6">
        <v>73</v>
      </c>
      <c r="AG436" s="6"/>
      <c r="AH436" s="7">
        <v>1</v>
      </c>
      <c r="AI436" s="4"/>
      <c r="AJ436" s="4">
        <f>=ROUNDDOWN({0},0)</f>
      </c>
      <c r="AK436" s="5"/>
      <c r="AL436" s="2" t="s">
        <v>199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199</v>
      </c>
      <c r="BD436" s="8" t="s">
        <v>199</v>
      </c>
      <c r="BE436" s="4" t="s">
        <v>199</v>
      </c>
      <c r="BF436" s="8" t="s">
        <v>199</v>
      </c>
      <c r="BG436" s="7" t="s">
        <v>199</v>
      </c>
      <c r="BH436" s="7" t="s">
        <v>199</v>
      </c>
      <c r="BI436" s="7"/>
      <c r="BJ436" s="4">
        <v>84</v>
      </c>
      <c r="BK436" s="8">
        <v>3878.96</v>
      </c>
      <c r="BL436" s="2" t="s">
        <v>2609</v>
      </c>
      <c r="BM436" s="7"/>
      <c r="BN436" s="7"/>
      <c r="BO436" s="4"/>
      <c r="BP436" s="8"/>
      <c r="BQ436" s="4"/>
      <c r="BR436" s="8"/>
      <c r="BS436" s="7"/>
      <c r="BT436" s="7"/>
      <c r="BU436" s="2" t="s">
        <v>2598</v>
      </c>
      <c r="BV436" s="2" t="s">
        <v>199</v>
      </c>
      <c r="BW436" s="2" t="s">
        <v>199</v>
      </c>
      <c r="BX436" s="2" t="s">
        <v>208</v>
      </c>
      <c r="BY436" s="2" t="s">
        <v>209</v>
      </c>
      <c r="BZ436" s="2" t="s">
        <v>196</v>
      </c>
      <c r="CA436" s="2" t="s">
        <v>2606</v>
      </c>
      <c r="CB436" s="2" t="s">
        <v>2610</v>
      </c>
      <c r="CC436" s="2" t="s">
        <v>212</v>
      </c>
      <c r="CD436" s="2" t="s">
        <v>199</v>
      </c>
      <c r="CE436" s="4">
        <v>906</v>
      </c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>
        <v>590</v>
      </c>
      <c r="EN436" s="4"/>
      <c r="EO436" s="4"/>
      <c r="EP436" s="4"/>
      <c r="EQ436" s="4"/>
      <c r="ER436" s="4"/>
      <c r="ES436" s="4"/>
      <c r="ET436" s="4">
        <v>911</v>
      </c>
      <c r="EU436" s="4">
        <v>899</v>
      </c>
      <c r="EV436" s="4">
        <v>891</v>
      </c>
      <c r="EW436" s="4">
        <v>882</v>
      </c>
      <c r="EX436" s="4">
        <v>873</v>
      </c>
      <c r="EY436" s="4">
        <v>864</v>
      </c>
      <c r="EZ436" s="4">
        <v>855</v>
      </c>
      <c r="FA436" s="4">
        <v>846</v>
      </c>
      <c r="FB436" s="4">
        <v>836</v>
      </c>
      <c r="FC436" s="4">
        <v>827</v>
      </c>
      <c r="FD436" s="4">
        <v>818</v>
      </c>
      <c r="FE436" s="4">
        <v>809</v>
      </c>
      <c r="FF436" s="4">
        <v>800</v>
      </c>
      <c r="FG436" s="4">
        <v>791</v>
      </c>
      <c r="FH436" s="4">
        <v>782</v>
      </c>
      <c r="FI436" s="4">
        <v>773</v>
      </c>
      <c r="FJ436" s="4">
        <v>1354</v>
      </c>
      <c r="FK436" s="4">
        <v>1345</v>
      </c>
      <c r="FL436" s="4">
        <v>1336</v>
      </c>
      <c r="FM436" s="4">
        <v>1327</v>
      </c>
      <c r="FN436" s="4">
        <v>1318</v>
      </c>
      <c r="FO436" s="4">
        <v>1309</v>
      </c>
      <c r="FP436" s="4">
        <v>1299</v>
      </c>
      <c r="FQ436" s="4">
        <v>1290</v>
      </c>
      <c r="FR436" s="4">
        <v>1281</v>
      </c>
      <c r="FS436" s="4">
        <v>1272</v>
      </c>
      <c r="FT436" s="19">
        <v>91.1</v>
      </c>
      <c r="FU436" s="19">
        <v>99.9</v>
      </c>
      <c r="FV436" s="19">
        <v>99</v>
      </c>
      <c r="FW436" s="19">
        <v>98</v>
      </c>
      <c r="FX436" s="19">
        <v>97</v>
      </c>
      <c r="FY436" s="19">
        <v>96</v>
      </c>
      <c r="FZ436" s="19">
        <v>95</v>
      </c>
      <c r="GA436" s="19">
        <v>94</v>
      </c>
      <c r="GB436" s="19">
        <v>92.9</v>
      </c>
      <c r="GC436" s="19">
        <v>91.9</v>
      </c>
      <c r="GD436" s="19">
        <v>90.9</v>
      </c>
      <c r="GE436" s="19">
        <v>89.9</v>
      </c>
      <c r="GF436" s="19">
        <v>88.9</v>
      </c>
      <c r="GG436" s="19">
        <v>87.9</v>
      </c>
      <c r="GH436" s="19">
        <v>86.9</v>
      </c>
      <c r="GI436" s="19">
        <v>85.9</v>
      </c>
      <c r="GJ436" s="19">
        <v>150.4</v>
      </c>
      <c r="GK436" s="19">
        <v>149.4</v>
      </c>
      <c r="GL436" s="19">
        <v>148.4</v>
      </c>
      <c r="GM436" s="19">
        <v>147.4</v>
      </c>
      <c r="GN436" s="19">
        <v>146.4</v>
      </c>
      <c r="GO436" s="19">
        <v>145.4</v>
      </c>
      <c r="GP436" s="19">
        <v>144.3</v>
      </c>
      <c r="GQ436" s="19">
        <v>143.3</v>
      </c>
      <c r="GR436" s="19">
        <v>142.3</v>
      </c>
      <c r="GS436" s="19">
        <v>127.2</v>
      </c>
    </row>
    <row r="437">
      <c r="A437" s="2" t="s">
        <v>2611</v>
      </c>
      <c r="B437" s="2" t="s">
        <v>736</v>
      </c>
      <c r="C437" s="2" t="s">
        <v>1007</v>
      </c>
      <c r="D437" s="2" t="s">
        <v>228</v>
      </c>
      <c r="E437" s="2" t="s">
        <v>988</v>
      </c>
      <c r="F437" s="2" t="s">
        <v>2612</v>
      </c>
      <c r="G437" s="2" t="s">
        <v>2613</v>
      </c>
      <c r="H437" s="2" t="s">
        <v>2614</v>
      </c>
      <c r="I437" s="2" t="s">
        <v>2615</v>
      </c>
      <c r="J437" s="2" t="s">
        <v>1011</v>
      </c>
      <c r="K437" s="2" t="s">
        <v>656</v>
      </c>
      <c r="L437" s="3">
        <v>33.33</v>
      </c>
      <c r="M437" s="3">
        <v>35</v>
      </c>
      <c r="N437" s="3">
        <v>69.99</v>
      </c>
      <c r="O437" s="2" t="s">
        <v>196</v>
      </c>
      <c r="P437" s="2" t="s">
        <v>197</v>
      </c>
      <c r="Q437" s="2" t="s">
        <v>198</v>
      </c>
      <c r="R437" s="2" t="s">
        <v>199</v>
      </c>
      <c r="S437" s="2" t="s">
        <v>2616</v>
      </c>
      <c r="T437" s="2" t="s">
        <v>1926</v>
      </c>
      <c r="U437" s="2" t="s">
        <v>853</v>
      </c>
      <c r="V437" s="2" t="s">
        <v>202</v>
      </c>
      <c r="W437" s="2" t="s">
        <v>510</v>
      </c>
      <c r="X437" s="2" t="s">
        <v>203</v>
      </c>
      <c r="Y437" s="2" t="s">
        <v>2617</v>
      </c>
      <c r="Z437" s="4">
        <v>332</v>
      </c>
      <c r="AA437" s="4">
        <f>=ROUNDDOWN(166,0)</f>
      </c>
      <c r="AB437" s="5">
        <v>2</v>
      </c>
      <c r="AC437" s="2" t="s">
        <v>199</v>
      </c>
      <c r="AD437" s="4"/>
      <c r="AE437" s="4"/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199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199</v>
      </c>
      <c r="BD437" s="8" t="s">
        <v>199</v>
      </c>
      <c r="BE437" s="4" t="s">
        <v>199</v>
      </c>
      <c r="BF437" s="8" t="s">
        <v>199</v>
      </c>
      <c r="BG437" s="7" t="s">
        <v>199</v>
      </c>
      <c r="BH437" s="7" t="s">
        <v>199</v>
      </c>
      <c r="BI437" s="7"/>
      <c r="BJ437" s="4">
        <v>14</v>
      </c>
      <c r="BK437" s="8">
        <v>527.1</v>
      </c>
      <c r="BL437" s="2" t="s">
        <v>1323</v>
      </c>
      <c r="BM437" s="7"/>
      <c r="BN437" s="7"/>
      <c r="BO437" s="4"/>
      <c r="BP437" s="8"/>
      <c r="BQ437" s="4"/>
      <c r="BR437" s="8"/>
      <c r="BS437" s="7"/>
      <c r="BT437" s="7"/>
      <c r="BU437" s="2" t="s">
        <v>2618</v>
      </c>
      <c r="BV437" s="2" t="s">
        <v>199</v>
      </c>
      <c r="BW437" s="2" t="s">
        <v>199</v>
      </c>
      <c r="BX437" s="2" t="s">
        <v>686</v>
      </c>
      <c r="BY437" s="2" t="s">
        <v>209</v>
      </c>
      <c r="BZ437" s="2" t="s">
        <v>196</v>
      </c>
      <c r="CA437" s="2" t="s">
        <v>1068</v>
      </c>
      <c r="CB437" s="2" t="s">
        <v>2619</v>
      </c>
      <c r="CC437" s="2" t="s">
        <v>212</v>
      </c>
      <c r="CD437" s="2" t="s">
        <v>199</v>
      </c>
      <c r="CE437" s="4">
        <v>332</v>
      </c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>
        <v>336</v>
      </c>
      <c r="EU437" s="4">
        <v>327</v>
      </c>
      <c r="EV437" s="4">
        <v>325</v>
      </c>
      <c r="EW437" s="4">
        <v>323</v>
      </c>
      <c r="EX437" s="4">
        <v>321</v>
      </c>
      <c r="EY437" s="4">
        <v>319</v>
      </c>
      <c r="EZ437" s="4">
        <v>317</v>
      </c>
      <c r="FA437" s="4">
        <v>315</v>
      </c>
      <c r="FB437" s="4">
        <v>313</v>
      </c>
      <c r="FC437" s="4">
        <v>311</v>
      </c>
      <c r="FD437" s="4">
        <v>309</v>
      </c>
      <c r="FE437" s="4">
        <v>307</v>
      </c>
      <c r="FF437" s="4">
        <v>305</v>
      </c>
      <c r="FG437" s="4">
        <v>303</v>
      </c>
      <c r="FH437" s="4">
        <v>301</v>
      </c>
      <c r="FI437" s="4">
        <v>299</v>
      </c>
      <c r="FJ437" s="4">
        <v>297</v>
      </c>
      <c r="FK437" s="4">
        <v>295</v>
      </c>
      <c r="FL437" s="4">
        <v>293</v>
      </c>
      <c r="FM437" s="4">
        <v>291</v>
      </c>
      <c r="FN437" s="4">
        <v>288</v>
      </c>
      <c r="FO437" s="4">
        <v>285</v>
      </c>
      <c r="FP437" s="4">
        <v>282</v>
      </c>
      <c r="FQ437" s="4">
        <v>279</v>
      </c>
      <c r="FR437" s="4">
        <v>276</v>
      </c>
      <c r="FS437" s="4">
        <v>273</v>
      </c>
      <c r="FT437" s="19">
        <v>84</v>
      </c>
      <c r="FU437" s="19">
        <v>163.5</v>
      </c>
      <c r="FV437" s="19">
        <v>162.5</v>
      </c>
      <c r="FW437" s="19">
        <v>161.5</v>
      </c>
      <c r="FX437" s="19">
        <v>160.5</v>
      </c>
      <c r="FY437" s="19">
        <v>159.5</v>
      </c>
      <c r="FZ437" s="19">
        <v>158.5</v>
      </c>
      <c r="GA437" s="19">
        <v>157.5</v>
      </c>
      <c r="GB437" s="19">
        <v>156.5</v>
      </c>
      <c r="GC437" s="19">
        <v>155.5</v>
      </c>
      <c r="GD437" s="19">
        <v>154.5</v>
      </c>
      <c r="GE437" s="19">
        <v>153.5</v>
      </c>
      <c r="GF437" s="19">
        <v>152.5</v>
      </c>
      <c r="GG437" s="19">
        <v>151.5</v>
      </c>
      <c r="GH437" s="19">
        <v>150.5</v>
      </c>
      <c r="GI437" s="19">
        <v>149.5</v>
      </c>
      <c r="GJ437" s="19">
        <v>148.5</v>
      </c>
      <c r="GK437" s="19">
        <v>147.5</v>
      </c>
      <c r="GL437" s="19">
        <v>97.7</v>
      </c>
      <c r="GM437" s="19">
        <v>97</v>
      </c>
      <c r="GN437" s="19">
        <v>96</v>
      </c>
      <c r="GO437" s="19">
        <v>95</v>
      </c>
      <c r="GP437" s="19">
        <v>94</v>
      </c>
      <c r="GQ437" s="19">
        <v>93</v>
      </c>
      <c r="GR437" s="19">
        <v>69</v>
      </c>
      <c r="GS437" s="19">
        <v>68.3</v>
      </c>
    </row>
    <row r="438">
      <c r="A438" s="2" t="s">
        <v>2620</v>
      </c>
      <c r="B438" s="2" t="s">
        <v>736</v>
      </c>
      <c r="C438" s="2" t="s">
        <v>1007</v>
      </c>
      <c r="D438" s="2" t="s">
        <v>631</v>
      </c>
      <c r="E438" s="2" t="s">
        <v>632</v>
      </c>
      <c r="F438" s="2" t="s">
        <v>2612</v>
      </c>
      <c r="G438" s="2" t="s">
        <v>2613</v>
      </c>
      <c r="H438" s="2" t="s">
        <v>2614</v>
      </c>
      <c r="I438" s="2" t="s">
        <v>2621</v>
      </c>
      <c r="J438" s="2" t="s">
        <v>1011</v>
      </c>
      <c r="K438" s="2" t="s">
        <v>252</v>
      </c>
      <c r="L438" s="3">
        <v>26.19</v>
      </c>
      <c r="M438" s="3">
        <v>27.5</v>
      </c>
      <c r="N438" s="3">
        <v>54.99</v>
      </c>
      <c r="O438" s="2" t="s">
        <v>196</v>
      </c>
      <c r="P438" s="2" t="s">
        <v>197</v>
      </c>
      <c r="Q438" s="2" t="s">
        <v>198</v>
      </c>
      <c r="R438" s="2" t="s">
        <v>199</v>
      </c>
      <c r="S438" s="2" t="s">
        <v>2622</v>
      </c>
      <c r="T438" s="2" t="s">
        <v>1926</v>
      </c>
      <c r="U438" s="2" t="s">
        <v>853</v>
      </c>
      <c r="V438" s="2" t="s">
        <v>202</v>
      </c>
      <c r="W438" s="2" t="s">
        <v>510</v>
      </c>
      <c r="X438" s="2" t="s">
        <v>203</v>
      </c>
      <c r="Y438" s="2" t="s">
        <v>2623</v>
      </c>
      <c r="Z438" s="4">
        <v>263</v>
      </c>
      <c r="AA438" s="4">
        <f>=ROUNDDOWN(87.6666666666667,0)</f>
      </c>
      <c r="AB438" s="5">
        <v>3</v>
      </c>
      <c r="AC438" s="2" t="s">
        <v>199</v>
      </c>
      <c r="AD438" s="4"/>
      <c r="AE438" s="4"/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199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199</v>
      </c>
      <c r="BD438" s="8" t="s">
        <v>199</v>
      </c>
      <c r="BE438" s="4" t="s">
        <v>199</v>
      </c>
      <c r="BF438" s="8" t="s">
        <v>199</v>
      </c>
      <c r="BG438" s="7" t="s">
        <v>199</v>
      </c>
      <c r="BH438" s="7" t="s">
        <v>199</v>
      </c>
      <c r="BI438" s="7"/>
      <c r="BJ438" s="4">
        <v>10</v>
      </c>
      <c r="BK438" s="8">
        <v>296.98</v>
      </c>
      <c r="BL438" s="2" t="s">
        <v>2624</v>
      </c>
      <c r="BM438" s="7"/>
      <c r="BN438" s="7"/>
      <c r="BO438" s="4"/>
      <c r="BP438" s="8"/>
      <c r="BQ438" s="4"/>
      <c r="BR438" s="8"/>
      <c r="BS438" s="7"/>
      <c r="BT438" s="7"/>
      <c r="BU438" s="2" t="s">
        <v>2625</v>
      </c>
      <c r="BV438" s="2" t="s">
        <v>199</v>
      </c>
      <c r="BW438" s="2" t="s">
        <v>199</v>
      </c>
      <c r="BX438" s="2" t="s">
        <v>260</v>
      </c>
      <c r="BY438" s="2" t="s">
        <v>209</v>
      </c>
      <c r="BZ438" s="2" t="s">
        <v>196</v>
      </c>
      <c r="CA438" s="2" t="s">
        <v>2626</v>
      </c>
      <c r="CB438" s="2" t="s">
        <v>2627</v>
      </c>
      <c r="CC438" s="2" t="s">
        <v>212</v>
      </c>
      <c r="CD438" s="2" t="s">
        <v>199</v>
      </c>
      <c r="CE438" s="4">
        <v>263</v>
      </c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>
        <v>264</v>
      </c>
      <c r="EU438" s="4">
        <v>260</v>
      </c>
      <c r="EV438" s="4">
        <v>257</v>
      </c>
      <c r="EW438" s="4">
        <v>254</v>
      </c>
      <c r="EX438" s="4">
        <v>251</v>
      </c>
      <c r="EY438" s="4">
        <v>248</v>
      </c>
      <c r="EZ438" s="4">
        <v>245</v>
      </c>
      <c r="FA438" s="4">
        <v>242</v>
      </c>
      <c r="FB438" s="4">
        <v>239</v>
      </c>
      <c r="FC438" s="4">
        <v>236</v>
      </c>
      <c r="FD438" s="4">
        <v>233</v>
      </c>
      <c r="FE438" s="4">
        <v>230</v>
      </c>
      <c r="FF438" s="4">
        <v>227</v>
      </c>
      <c r="FG438" s="4">
        <v>224</v>
      </c>
      <c r="FH438" s="4">
        <v>221</v>
      </c>
      <c r="FI438" s="4">
        <v>218</v>
      </c>
      <c r="FJ438" s="4">
        <v>215</v>
      </c>
      <c r="FK438" s="4">
        <v>212</v>
      </c>
      <c r="FL438" s="4">
        <v>209</v>
      </c>
      <c r="FM438" s="4">
        <v>206</v>
      </c>
      <c r="FN438" s="4">
        <v>203</v>
      </c>
      <c r="FO438" s="4">
        <v>200</v>
      </c>
      <c r="FP438" s="4">
        <v>197</v>
      </c>
      <c r="FQ438" s="4">
        <v>193</v>
      </c>
      <c r="FR438" s="4">
        <v>188</v>
      </c>
      <c r="FS438" s="4">
        <v>183</v>
      </c>
      <c r="FT438" s="19">
        <v>88</v>
      </c>
      <c r="FU438" s="19">
        <v>86.7</v>
      </c>
      <c r="FV438" s="19">
        <v>85.7</v>
      </c>
      <c r="FW438" s="19">
        <v>84.7</v>
      </c>
      <c r="FX438" s="19">
        <v>83.7</v>
      </c>
      <c r="FY438" s="19">
        <v>82.7</v>
      </c>
      <c r="FZ438" s="19">
        <v>81.7</v>
      </c>
      <c r="GA438" s="19">
        <v>80.7</v>
      </c>
      <c r="GB438" s="19">
        <v>79.7</v>
      </c>
      <c r="GC438" s="19">
        <v>78.7</v>
      </c>
      <c r="GD438" s="19">
        <v>77.7</v>
      </c>
      <c r="GE438" s="19">
        <v>76.7</v>
      </c>
      <c r="GF438" s="19">
        <v>75.7</v>
      </c>
      <c r="GG438" s="19">
        <v>74.7</v>
      </c>
      <c r="GH438" s="19">
        <v>73.7</v>
      </c>
      <c r="GI438" s="19">
        <v>72.7</v>
      </c>
      <c r="GJ438" s="19">
        <v>71.7</v>
      </c>
      <c r="GK438" s="19">
        <v>70.7</v>
      </c>
      <c r="GL438" s="19">
        <v>69.7</v>
      </c>
      <c r="GM438" s="19">
        <v>68.7</v>
      </c>
      <c r="GN438" s="19">
        <v>50.8</v>
      </c>
      <c r="GO438" s="19">
        <v>50</v>
      </c>
      <c r="GP438" s="19">
        <v>39.4</v>
      </c>
      <c r="GQ438" s="19">
        <v>27.6</v>
      </c>
      <c r="GR438" s="19">
        <v>23.5</v>
      </c>
      <c r="GS438" s="19">
        <v>18.3</v>
      </c>
    </row>
    <row r="439">
      <c r="A439" s="2" t="s">
        <v>2628</v>
      </c>
      <c r="B439" s="2" t="s">
        <v>736</v>
      </c>
      <c r="C439" s="2" t="s">
        <v>1007</v>
      </c>
      <c r="D439" s="2" t="s">
        <v>631</v>
      </c>
      <c r="E439" s="2" t="s">
        <v>632</v>
      </c>
      <c r="F439" s="2" t="s">
        <v>2612</v>
      </c>
      <c r="G439" s="2" t="s">
        <v>2613</v>
      </c>
      <c r="H439" s="2" t="s">
        <v>2614</v>
      </c>
      <c r="I439" s="2" t="s">
        <v>2621</v>
      </c>
      <c r="J439" s="2" t="s">
        <v>1011</v>
      </c>
      <c r="K439" s="2" t="s">
        <v>665</v>
      </c>
      <c r="L439" s="3">
        <v>26.19</v>
      </c>
      <c r="M439" s="3">
        <v>27.5</v>
      </c>
      <c r="N439" s="3">
        <v>54.99</v>
      </c>
      <c r="O439" s="2" t="s">
        <v>196</v>
      </c>
      <c r="P439" s="2" t="s">
        <v>197</v>
      </c>
      <c r="Q439" s="2" t="s">
        <v>198</v>
      </c>
      <c r="R439" s="2" t="s">
        <v>199</v>
      </c>
      <c r="S439" s="2" t="s">
        <v>2629</v>
      </c>
      <c r="T439" s="2" t="s">
        <v>1926</v>
      </c>
      <c r="U439" s="2" t="s">
        <v>853</v>
      </c>
      <c r="V439" s="2" t="s">
        <v>202</v>
      </c>
      <c r="W439" s="2" t="s">
        <v>510</v>
      </c>
      <c r="X439" s="2" t="s">
        <v>203</v>
      </c>
      <c r="Y439" s="2" t="s">
        <v>1960</v>
      </c>
      <c r="Z439" s="4">
        <v>250</v>
      </c>
      <c r="AA439" s="4">
        <f>=ROUNDDOWN(250,0)</f>
      </c>
      <c r="AB439" s="5">
        <v>1</v>
      </c>
      <c r="AC439" s="2" t="s">
        <v>199</v>
      </c>
      <c r="AD439" s="4"/>
      <c r="AE439" s="4"/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199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199</v>
      </c>
      <c r="BD439" s="8" t="s">
        <v>199</v>
      </c>
      <c r="BE439" s="4" t="s">
        <v>199</v>
      </c>
      <c r="BF439" s="8" t="s">
        <v>199</v>
      </c>
      <c r="BG439" s="7" t="s">
        <v>199</v>
      </c>
      <c r="BH439" s="7" t="s">
        <v>199</v>
      </c>
      <c r="BI439" s="7"/>
      <c r="BJ439" s="4">
        <v>7</v>
      </c>
      <c r="BK439" s="8">
        <v>207.9</v>
      </c>
      <c r="BL439" s="2" t="s">
        <v>1174</v>
      </c>
      <c r="BM439" s="7"/>
      <c r="BN439" s="7"/>
      <c r="BO439" s="4"/>
      <c r="BP439" s="8"/>
      <c r="BQ439" s="4"/>
      <c r="BR439" s="8"/>
      <c r="BS439" s="7"/>
      <c r="BT439" s="7"/>
      <c r="BU439" s="2" t="s">
        <v>2625</v>
      </c>
      <c r="BV439" s="2" t="s">
        <v>199</v>
      </c>
      <c r="BW439" s="2" t="s">
        <v>199</v>
      </c>
      <c r="BX439" s="2" t="s">
        <v>260</v>
      </c>
      <c r="BY439" s="2" t="s">
        <v>209</v>
      </c>
      <c r="BZ439" s="2" t="s">
        <v>196</v>
      </c>
      <c r="CA439" s="2" t="s">
        <v>2630</v>
      </c>
      <c r="CB439" s="2" t="s">
        <v>2631</v>
      </c>
      <c r="CC439" s="2" t="s">
        <v>212</v>
      </c>
      <c r="CD439" s="2" t="s">
        <v>199</v>
      </c>
      <c r="CE439" s="4">
        <v>250</v>
      </c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>
        <v>250</v>
      </c>
      <c r="EU439" s="4">
        <v>249</v>
      </c>
      <c r="EV439" s="4">
        <v>248</v>
      </c>
      <c r="EW439" s="4">
        <v>247</v>
      </c>
      <c r="EX439" s="4">
        <v>246</v>
      </c>
      <c r="EY439" s="4">
        <v>245</v>
      </c>
      <c r="EZ439" s="4">
        <v>244</v>
      </c>
      <c r="FA439" s="4">
        <v>243</v>
      </c>
      <c r="FB439" s="4">
        <v>242</v>
      </c>
      <c r="FC439" s="4">
        <v>241</v>
      </c>
      <c r="FD439" s="4">
        <v>240</v>
      </c>
      <c r="FE439" s="4">
        <v>239</v>
      </c>
      <c r="FF439" s="4">
        <v>238</v>
      </c>
      <c r="FG439" s="4">
        <v>237</v>
      </c>
      <c r="FH439" s="4">
        <v>236</v>
      </c>
      <c r="FI439" s="4">
        <v>235</v>
      </c>
      <c r="FJ439" s="4">
        <v>234</v>
      </c>
      <c r="FK439" s="4">
        <v>233</v>
      </c>
      <c r="FL439" s="4">
        <v>232</v>
      </c>
      <c r="FM439" s="4">
        <v>231</v>
      </c>
      <c r="FN439" s="4">
        <v>230</v>
      </c>
      <c r="FO439" s="4">
        <v>229</v>
      </c>
      <c r="FP439" s="4">
        <v>228</v>
      </c>
      <c r="FQ439" s="4">
        <v>227</v>
      </c>
      <c r="FR439" s="4">
        <v>225</v>
      </c>
      <c r="FS439" s="4">
        <v>223</v>
      </c>
      <c r="FT439" s="19">
        <v>250</v>
      </c>
      <c r="FU439" s="19">
        <v>249</v>
      </c>
      <c r="FV439" s="19">
        <v>248</v>
      </c>
      <c r="FW439" s="19">
        <v>247</v>
      </c>
      <c r="FX439" s="19">
        <v>246</v>
      </c>
      <c r="FY439" s="19">
        <v>245</v>
      </c>
      <c r="FZ439" s="19">
        <v>244</v>
      </c>
      <c r="GA439" s="19">
        <v>243</v>
      </c>
      <c r="GB439" s="19">
        <v>242</v>
      </c>
      <c r="GC439" s="19">
        <v>241</v>
      </c>
      <c r="GD439" s="19">
        <v>240</v>
      </c>
      <c r="GE439" s="19">
        <v>239</v>
      </c>
      <c r="GF439" s="19">
        <v>238</v>
      </c>
      <c r="GG439" s="19">
        <v>237</v>
      </c>
      <c r="GH439" s="19">
        <v>236</v>
      </c>
      <c r="GI439" s="19">
        <v>235</v>
      </c>
      <c r="GJ439" s="19">
        <v>234</v>
      </c>
      <c r="GK439" s="19">
        <v>233</v>
      </c>
      <c r="GL439" s="19">
        <v>232</v>
      </c>
      <c r="GM439" s="19">
        <v>231</v>
      </c>
      <c r="GN439" s="19">
        <v>230</v>
      </c>
      <c r="GO439" s="19">
        <v>114.5</v>
      </c>
      <c r="GP439" s="19">
        <v>114</v>
      </c>
      <c r="GQ439" s="19">
        <v>113.5</v>
      </c>
      <c r="GR439" s="19">
        <v>75</v>
      </c>
      <c r="GS439" s="19">
        <v>55.8</v>
      </c>
    </row>
    <row r="440">
      <c r="A440" s="2" t="s">
        <v>2632</v>
      </c>
      <c r="B440" s="2" t="s">
        <v>736</v>
      </c>
      <c r="C440" s="2" t="s">
        <v>1007</v>
      </c>
      <c r="D440" s="2" t="s">
        <v>631</v>
      </c>
      <c r="E440" s="2" t="s">
        <v>632</v>
      </c>
      <c r="F440" s="2" t="s">
        <v>2612</v>
      </c>
      <c r="G440" s="2" t="s">
        <v>2613</v>
      </c>
      <c r="H440" s="2" t="s">
        <v>2614</v>
      </c>
      <c r="I440" s="2" t="s">
        <v>2621</v>
      </c>
      <c r="J440" s="2" t="s">
        <v>1011</v>
      </c>
      <c r="K440" s="2" t="s">
        <v>1223</v>
      </c>
      <c r="L440" s="3">
        <v>26.19</v>
      </c>
      <c r="M440" s="3">
        <v>27.5</v>
      </c>
      <c r="N440" s="3">
        <v>54.99</v>
      </c>
      <c r="O440" s="2" t="s">
        <v>196</v>
      </c>
      <c r="P440" s="2" t="s">
        <v>197</v>
      </c>
      <c r="Q440" s="2" t="s">
        <v>198</v>
      </c>
      <c r="R440" s="2" t="s">
        <v>199</v>
      </c>
      <c r="S440" s="2" t="s">
        <v>2633</v>
      </c>
      <c r="T440" s="2" t="s">
        <v>1926</v>
      </c>
      <c r="U440" s="2" t="s">
        <v>853</v>
      </c>
      <c r="V440" s="2" t="s">
        <v>202</v>
      </c>
      <c r="W440" s="2" t="s">
        <v>510</v>
      </c>
      <c r="X440" s="2" t="s">
        <v>203</v>
      </c>
      <c r="Y440" s="2" t="s">
        <v>1960</v>
      </c>
      <c r="Z440" s="4">
        <v>234</v>
      </c>
      <c r="AA440" s="4">
        <f>=ROUNDDOWN(117,0)</f>
      </c>
      <c r="AB440" s="5">
        <v>2</v>
      </c>
      <c r="AC440" s="2" t="s">
        <v>199</v>
      </c>
      <c r="AD440" s="4"/>
      <c r="AE440" s="4"/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199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199</v>
      </c>
      <c r="BD440" s="8" t="s">
        <v>199</v>
      </c>
      <c r="BE440" s="4" t="s">
        <v>199</v>
      </c>
      <c r="BF440" s="8" t="s">
        <v>199</v>
      </c>
      <c r="BG440" s="7" t="s">
        <v>199</v>
      </c>
      <c r="BH440" s="7" t="s">
        <v>199</v>
      </c>
      <c r="BI440" s="7"/>
      <c r="BJ440" s="4">
        <v>5</v>
      </c>
      <c r="BK440" s="8">
        <v>148.5</v>
      </c>
      <c r="BL440" s="2" t="s">
        <v>2634</v>
      </c>
      <c r="BM440" s="7"/>
      <c r="BN440" s="7"/>
      <c r="BO440" s="4"/>
      <c r="BP440" s="8"/>
      <c r="BQ440" s="4"/>
      <c r="BR440" s="8"/>
      <c r="BS440" s="7"/>
      <c r="BT440" s="7"/>
      <c r="BU440" s="2" t="s">
        <v>2625</v>
      </c>
      <c r="BV440" s="2" t="s">
        <v>199</v>
      </c>
      <c r="BW440" s="2" t="s">
        <v>199</v>
      </c>
      <c r="BX440" s="2" t="s">
        <v>260</v>
      </c>
      <c r="BY440" s="2" t="s">
        <v>209</v>
      </c>
      <c r="BZ440" s="2" t="s">
        <v>196</v>
      </c>
      <c r="CA440" s="2" t="s">
        <v>2630</v>
      </c>
      <c r="CB440" s="2" t="s">
        <v>2635</v>
      </c>
      <c r="CC440" s="2" t="s">
        <v>212</v>
      </c>
      <c r="CD440" s="2" t="s">
        <v>199</v>
      </c>
      <c r="CE440" s="4">
        <v>234</v>
      </c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>
        <v>234</v>
      </c>
      <c r="EU440" s="4">
        <v>232</v>
      </c>
      <c r="EV440" s="4">
        <v>230</v>
      </c>
      <c r="EW440" s="4">
        <v>228</v>
      </c>
      <c r="EX440" s="4">
        <v>226</v>
      </c>
      <c r="EY440" s="4">
        <v>224</v>
      </c>
      <c r="EZ440" s="4">
        <v>222</v>
      </c>
      <c r="FA440" s="4">
        <v>220</v>
      </c>
      <c r="FB440" s="4">
        <v>218</v>
      </c>
      <c r="FC440" s="4">
        <v>216</v>
      </c>
      <c r="FD440" s="4">
        <v>214</v>
      </c>
      <c r="FE440" s="4">
        <v>212</v>
      </c>
      <c r="FF440" s="4">
        <v>210</v>
      </c>
      <c r="FG440" s="4">
        <v>208</v>
      </c>
      <c r="FH440" s="4">
        <v>206</v>
      </c>
      <c r="FI440" s="4">
        <v>204</v>
      </c>
      <c r="FJ440" s="4">
        <v>202</v>
      </c>
      <c r="FK440" s="4">
        <v>200</v>
      </c>
      <c r="FL440" s="4">
        <v>198</v>
      </c>
      <c r="FM440" s="4">
        <v>196</v>
      </c>
      <c r="FN440" s="4">
        <v>194</v>
      </c>
      <c r="FO440" s="4">
        <v>192</v>
      </c>
      <c r="FP440" s="4">
        <v>190</v>
      </c>
      <c r="FQ440" s="4">
        <v>187</v>
      </c>
      <c r="FR440" s="4">
        <v>183</v>
      </c>
      <c r="FS440" s="4">
        <v>179</v>
      </c>
      <c r="FT440" s="19">
        <v>117</v>
      </c>
      <c r="FU440" s="19">
        <v>116</v>
      </c>
      <c r="FV440" s="19">
        <v>115</v>
      </c>
      <c r="FW440" s="19">
        <v>114</v>
      </c>
      <c r="FX440" s="19">
        <v>113</v>
      </c>
      <c r="FY440" s="19">
        <v>112</v>
      </c>
      <c r="FZ440" s="19">
        <v>111</v>
      </c>
      <c r="GA440" s="19">
        <v>110</v>
      </c>
      <c r="GB440" s="19">
        <v>109</v>
      </c>
      <c r="GC440" s="19">
        <v>108</v>
      </c>
      <c r="GD440" s="19">
        <v>107</v>
      </c>
      <c r="GE440" s="19">
        <v>106</v>
      </c>
      <c r="GF440" s="19">
        <v>105</v>
      </c>
      <c r="GG440" s="19">
        <v>104</v>
      </c>
      <c r="GH440" s="19">
        <v>103</v>
      </c>
      <c r="GI440" s="19">
        <v>102</v>
      </c>
      <c r="GJ440" s="19">
        <v>101</v>
      </c>
      <c r="GK440" s="19">
        <v>100</v>
      </c>
      <c r="GL440" s="19">
        <v>99</v>
      </c>
      <c r="GM440" s="19">
        <v>98</v>
      </c>
      <c r="GN440" s="19">
        <v>64.7</v>
      </c>
      <c r="GO440" s="19">
        <v>64</v>
      </c>
      <c r="GP440" s="19">
        <v>47.5</v>
      </c>
      <c r="GQ440" s="19">
        <v>37.4</v>
      </c>
      <c r="GR440" s="19">
        <v>30.5</v>
      </c>
      <c r="GS440" s="19">
        <v>25.6</v>
      </c>
    </row>
    <row r="441">
      <c r="A441" s="2" t="s">
        <v>2636</v>
      </c>
      <c r="B441" s="2" t="s">
        <v>736</v>
      </c>
      <c r="C441" s="2" t="s">
        <v>2637</v>
      </c>
      <c r="D441" s="2" t="s">
        <v>228</v>
      </c>
      <c r="E441" s="2" t="s">
        <v>487</v>
      </c>
      <c r="F441" s="2" t="s">
        <v>2638</v>
      </c>
      <c r="G441" s="2" t="s">
        <v>2639</v>
      </c>
      <c r="H441" s="2" t="s">
        <v>2640</v>
      </c>
      <c r="I441" s="2" t="s">
        <v>2641</v>
      </c>
      <c r="J441" s="2" t="s">
        <v>232</v>
      </c>
      <c r="K441" s="2" t="s">
        <v>1073</v>
      </c>
      <c r="L441" s="3">
        <v>40.47</v>
      </c>
      <c r="M441" s="3">
        <v>42.49</v>
      </c>
      <c r="N441" s="3">
        <v>84.99</v>
      </c>
      <c r="O441" s="2" t="s">
        <v>196</v>
      </c>
      <c r="P441" s="2" t="s">
        <v>197</v>
      </c>
      <c r="Q441" s="2" t="s">
        <v>198</v>
      </c>
      <c r="R441" s="2" t="s">
        <v>199</v>
      </c>
      <c r="S441" s="2" t="s">
        <v>2642</v>
      </c>
      <c r="T441" s="2" t="s">
        <v>300</v>
      </c>
      <c r="U441" s="2" t="s">
        <v>254</v>
      </c>
      <c r="V441" s="2" t="s">
        <v>1381</v>
      </c>
      <c r="W441" s="2" t="s">
        <v>203</v>
      </c>
      <c r="X441" s="2" t="s">
        <v>199</v>
      </c>
      <c r="Y441" s="2" t="s">
        <v>2643</v>
      </c>
      <c r="Z441" s="4">
        <v>440</v>
      </c>
      <c r="AA441" s="4">
        <f>=ROUNDDOWN(44,0)</f>
      </c>
      <c r="AB441" s="5">
        <v>10</v>
      </c>
      <c r="AC441" s="2" t="s">
        <v>199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199</v>
      </c>
      <c r="AW441" s="8" t="s">
        <v>199</v>
      </c>
      <c r="AX441" s="4" t="s">
        <v>199</v>
      </c>
      <c r="AY441" s="8" t="s">
        <v>199</v>
      </c>
      <c r="AZ441" s="7" t="s">
        <v>199</v>
      </c>
      <c r="BA441" s="7" t="s">
        <v>199</v>
      </c>
      <c r="BB441" s="7" t="s">
        <v>199</v>
      </c>
      <c r="BC441" s="4" t="s">
        <v>199</v>
      </c>
      <c r="BD441" s="8" t="s">
        <v>199</v>
      </c>
      <c r="BE441" s="4" t="s">
        <v>199</v>
      </c>
      <c r="BF441" s="8" t="s">
        <v>199</v>
      </c>
      <c r="BG441" s="7" t="s">
        <v>199</v>
      </c>
      <c r="BH441" s="7" t="s">
        <v>199</v>
      </c>
      <c r="BI441" s="7"/>
      <c r="BJ441" s="4">
        <v>76</v>
      </c>
      <c r="BK441" s="8">
        <v>3484.66</v>
      </c>
      <c r="BL441" s="2" t="s">
        <v>304</v>
      </c>
      <c r="BM441" s="7"/>
      <c r="BN441" s="7"/>
      <c r="BO441" s="4"/>
      <c r="BP441" s="8"/>
      <c r="BQ441" s="4"/>
      <c r="BR441" s="8"/>
      <c r="BS441" s="7"/>
      <c r="BT441" s="7"/>
      <c r="BU441" s="2" t="s">
        <v>2644</v>
      </c>
      <c r="BV441" s="2" t="s">
        <v>199</v>
      </c>
      <c r="BW441" s="2" t="s">
        <v>199</v>
      </c>
      <c r="BX441" s="2" t="s">
        <v>208</v>
      </c>
      <c r="BY441" s="2" t="s">
        <v>209</v>
      </c>
      <c r="BZ441" s="2" t="s">
        <v>196</v>
      </c>
      <c r="CA441" s="2" t="s">
        <v>2147</v>
      </c>
      <c r="CB441" s="2" t="s">
        <v>2645</v>
      </c>
      <c r="CC441" s="2" t="s">
        <v>212</v>
      </c>
      <c r="CD441" s="2" t="s">
        <v>199</v>
      </c>
      <c r="CE441" s="4">
        <v>440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>
        <v>464</v>
      </c>
      <c r="EU441" s="4">
        <v>438</v>
      </c>
      <c r="EV441" s="4">
        <v>431</v>
      </c>
      <c r="EW441" s="4">
        <v>424</v>
      </c>
      <c r="EX441" s="4">
        <v>417</v>
      </c>
      <c r="EY441" s="4">
        <v>410</v>
      </c>
      <c r="EZ441" s="4">
        <v>403</v>
      </c>
      <c r="FA441" s="4">
        <v>396</v>
      </c>
      <c r="FB441" s="4">
        <v>388</v>
      </c>
      <c r="FC441" s="4">
        <v>381</v>
      </c>
      <c r="FD441" s="4">
        <v>372</v>
      </c>
      <c r="FE441" s="4">
        <v>362</v>
      </c>
      <c r="FF441" s="4">
        <v>352</v>
      </c>
      <c r="FG441" s="4">
        <v>342</v>
      </c>
      <c r="FH441" s="4">
        <v>332</v>
      </c>
      <c r="FI441" s="4">
        <v>322</v>
      </c>
      <c r="FJ441" s="4">
        <v>312</v>
      </c>
      <c r="FK441" s="4">
        <v>302</v>
      </c>
      <c r="FL441" s="4">
        <v>292</v>
      </c>
      <c r="FM441" s="4">
        <v>282</v>
      </c>
      <c r="FN441" s="4">
        <v>272</v>
      </c>
      <c r="FO441" s="4">
        <v>262</v>
      </c>
      <c r="FP441" s="4">
        <v>250</v>
      </c>
      <c r="FQ441" s="4">
        <v>239</v>
      </c>
      <c r="FR441" s="4">
        <v>228</v>
      </c>
      <c r="FS441" s="4">
        <v>217</v>
      </c>
      <c r="FT441" s="19">
        <v>38.7</v>
      </c>
      <c r="FU441" s="19">
        <v>62.6</v>
      </c>
      <c r="FV441" s="19">
        <v>61.6</v>
      </c>
      <c r="FW441" s="19">
        <v>60.6</v>
      </c>
      <c r="FX441" s="19">
        <v>59.6</v>
      </c>
      <c r="FY441" s="19">
        <v>58.6</v>
      </c>
      <c r="FZ441" s="19">
        <v>50.4</v>
      </c>
      <c r="GA441" s="19">
        <v>49.5</v>
      </c>
      <c r="GB441" s="19">
        <v>43.1</v>
      </c>
      <c r="GC441" s="19">
        <v>38.1</v>
      </c>
      <c r="GD441" s="19">
        <v>37.2</v>
      </c>
      <c r="GE441" s="19">
        <v>36.2</v>
      </c>
      <c r="GF441" s="19">
        <v>35.2</v>
      </c>
      <c r="GG441" s="19">
        <v>34.2</v>
      </c>
      <c r="GH441" s="19">
        <v>33.2</v>
      </c>
      <c r="GI441" s="19">
        <v>32.2</v>
      </c>
      <c r="GJ441" s="19">
        <v>31.2</v>
      </c>
      <c r="GK441" s="19">
        <v>30.2</v>
      </c>
      <c r="GL441" s="19">
        <v>29.2</v>
      </c>
      <c r="GM441" s="19">
        <v>25.6</v>
      </c>
      <c r="GN441" s="19">
        <v>24.7</v>
      </c>
      <c r="GO441" s="19">
        <v>23.8</v>
      </c>
      <c r="GP441" s="19">
        <v>22.7</v>
      </c>
      <c r="GQ441" s="19">
        <v>21.7</v>
      </c>
      <c r="GR441" s="19">
        <v>20.7</v>
      </c>
      <c r="GS441" s="19">
        <v>19.7</v>
      </c>
    </row>
    <row r="442">
      <c r="A442" s="2" t="s">
        <v>2646</v>
      </c>
      <c r="B442" s="2" t="s">
        <v>736</v>
      </c>
      <c r="C442" s="2" t="s">
        <v>2637</v>
      </c>
      <c r="D442" s="2" t="s">
        <v>631</v>
      </c>
      <c r="E442" s="2" t="s">
        <v>720</v>
      </c>
      <c r="F442" s="2" t="s">
        <v>2638</v>
      </c>
      <c r="G442" s="2" t="s">
        <v>2639</v>
      </c>
      <c r="H442" s="2" t="s">
        <v>2640</v>
      </c>
      <c r="I442" s="2" t="s">
        <v>2647</v>
      </c>
      <c r="J442" s="2" t="s">
        <v>232</v>
      </c>
      <c r="K442" s="2" t="s">
        <v>1073</v>
      </c>
      <c r="L442" s="3">
        <v>33.33</v>
      </c>
      <c r="M442" s="3">
        <v>35</v>
      </c>
      <c r="N442" s="3">
        <v>69.99</v>
      </c>
      <c r="O442" s="2" t="s">
        <v>196</v>
      </c>
      <c r="P442" s="2" t="s">
        <v>197</v>
      </c>
      <c r="Q442" s="2" t="s">
        <v>198</v>
      </c>
      <c r="R442" s="2" t="s">
        <v>199</v>
      </c>
      <c r="S442" s="2" t="s">
        <v>2642</v>
      </c>
      <c r="T442" s="2" t="s">
        <v>300</v>
      </c>
      <c r="U442" s="2" t="s">
        <v>254</v>
      </c>
      <c r="V442" s="2" t="s">
        <v>1381</v>
      </c>
      <c r="W442" s="2" t="s">
        <v>203</v>
      </c>
      <c r="X442" s="2" t="s">
        <v>199</v>
      </c>
      <c r="Y442" s="2" t="s">
        <v>2147</v>
      </c>
      <c r="Z442" s="4">
        <v>225</v>
      </c>
      <c r="AA442" s="4">
        <f>=ROUNDDOWN(56.25,0)</f>
      </c>
      <c r="AB442" s="5">
        <v>4</v>
      </c>
      <c r="AC442" s="2" t="s">
        <v>199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199</v>
      </c>
      <c r="AW442" s="8" t="s">
        <v>199</v>
      </c>
      <c r="AX442" s="4" t="s">
        <v>199</v>
      </c>
      <c r="AY442" s="8" t="s">
        <v>199</v>
      </c>
      <c r="AZ442" s="7" t="s">
        <v>199</v>
      </c>
      <c r="BA442" s="7" t="s">
        <v>199</v>
      </c>
      <c r="BB442" s="7" t="s">
        <v>199</v>
      </c>
      <c r="BC442" s="4" t="s">
        <v>199</v>
      </c>
      <c r="BD442" s="8" t="s">
        <v>199</v>
      </c>
      <c r="BE442" s="4" t="s">
        <v>199</v>
      </c>
      <c r="BF442" s="8" t="s">
        <v>199</v>
      </c>
      <c r="BG442" s="7" t="s">
        <v>199</v>
      </c>
      <c r="BH442" s="7" t="s">
        <v>199</v>
      </c>
      <c r="BI442" s="7"/>
      <c r="BJ442" s="4">
        <v>33</v>
      </c>
      <c r="BK442" s="8">
        <v>1241.88</v>
      </c>
      <c r="BL442" s="2" t="s">
        <v>482</v>
      </c>
      <c r="BM442" s="7"/>
      <c r="BN442" s="7"/>
      <c r="BO442" s="4"/>
      <c r="BP442" s="8"/>
      <c r="BQ442" s="4"/>
      <c r="BR442" s="8"/>
      <c r="BS442" s="7"/>
      <c r="BT442" s="7"/>
      <c r="BU442" s="2" t="s">
        <v>2648</v>
      </c>
      <c r="BV442" s="2" t="s">
        <v>199</v>
      </c>
      <c r="BW442" s="2" t="s">
        <v>199</v>
      </c>
      <c r="BX442" s="2" t="s">
        <v>208</v>
      </c>
      <c r="BY442" s="2" t="s">
        <v>209</v>
      </c>
      <c r="BZ442" s="2" t="s">
        <v>196</v>
      </c>
      <c r="CA442" s="2" t="s">
        <v>2147</v>
      </c>
      <c r="CB442" s="2" t="s">
        <v>2649</v>
      </c>
      <c r="CC442" s="2" t="s">
        <v>212</v>
      </c>
      <c r="CD442" s="2" t="s">
        <v>199</v>
      </c>
      <c r="CE442" s="4">
        <v>225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>
        <v>225</v>
      </c>
      <c r="EU442" s="4">
        <v>221</v>
      </c>
      <c r="EV442" s="4">
        <v>217</v>
      </c>
      <c r="EW442" s="4">
        <v>213</v>
      </c>
      <c r="EX442" s="4">
        <v>209</v>
      </c>
      <c r="EY442" s="4">
        <v>206</v>
      </c>
      <c r="EZ442" s="4">
        <v>203</v>
      </c>
      <c r="FA442" s="4">
        <v>199</v>
      </c>
      <c r="FB442" s="4">
        <v>195</v>
      </c>
      <c r="FC442" s="4">
        <v>191</v>
      </c>
      <c r="FD442" s="4">
        <v>187</v>
      </c>
      <c r="FE442" s="4">
        <v>183</v>
      </c>
      <c r="FF442" s="4">
        <v>179</v>
      </c>
      <c r="FG442" s="4">
        <v>175</v>
      </c>
      <c r="FH442" s="4">
        <v>171</v>
      </c>
      <c r="FI442" s="4">
        <v>167</v>
      </c>
      <c r="FJ442" s="4">
        <v>163</v>
      </c>
      <c r="FK442" s="4">
        <v>159</v>
      </c>
      <c r="FL442" s="4">
        <v>155</v>
      </c>
      <c r="FM442" s="4">
        <v>151</v>
      </c>
      <c r="FN442" s="4">
        <v>147</v>
      </c>
      <c r="FO442" s="4">
        <v>143</v>
      </c>
      <c r="FP442" s="4">
        <v>139</v>
      </c>
      <c r="FQ442" s="4">
        <v>135</v>
      </c>
      <c r="FR442" s="4">
        <v>130</v>
      </c>
      <c r="FS442" s="4">
        <v>125</v>
      </c>
      <c r="FT442" s="19">
        <v>56.3</v>
      </c>
      <c r="FU442" s="19">
        <v>55.3</v>
      </c>
      <c r="FV442" s="19">
        <v>54.3</v>
      </c>
      <c r="FW442" s="19">
        <v>53.3</v>
      </c>
      <c r="FX442" s="19">
        <v>52.3</v>
      </c>
      <c r="FY442" s="19">
        <v>51.5</v>
      </c>
      <c r="FZ442" s="19">
        <v>50.8</v>
      </c>
      <c r="GA442" s="19">
        <v>49.8</v>
      </c>
      <c r="GB442" s="19">
        <v>48.8</v>
      </c>
      <c r="GC442" s="19">
        <v>47.8</v>
      </c>
      <c r="GD442" s="19">
        <v>46.8</v>
      </c>
      <c r="GE442" s="19">
        <v>45.8</v>
      </c>
      <c r="GF442" s="19">
        <v>44.8</v>
      </c>
      <c r="GG442" s="19">
        <v>43.8</v>
      </c>
      <c r="GH442" s="19">
        <v>42.8</v>
      </c>
      <c r="GI442" s="19">
        <v>41.8</v>
      </c>
      <c r="GJ442" s="19">
        <v>40.8</v>
      </c>
      <c r="GK442" s="19">
        <v>39.8</v>
      </c>
      <c r="GL442" s="19">
        <v>38.8</v>
      </c>
      <c r="GM442" s="19">
        <v>37.8</v>
      </c>
      <c r="GN442" s="19">
        <v>36.8</v>
      </c>
      <c r="GO442" s="19">
        <v>35.8</v>
      </c>
      <c r="GP442" s="19">
        <v>27.8</v>
      </c>
      <c r="GQ442" s="19">
        <v>27</v>
      </c>
      <c r="GR442" s="19">
        <v>26</v>
      </c>
      <c r="GS442" s="19">
        <v>25</v>
      </c>
    </row>
    <row r="443">
      <c r="A443" s="2" t="s">
        <v>2650</v>
      </c>
      <c r="B443" s="2" t="s">
        <v>591</v>
      </c>
      <c r="C443" s="2" t="s">
        <v>604</v>
      </c>
      <c r="D443" s="2" t="s">
        <v>593</v>
      </c>
      <c r="E443" s="2" t="s">
        <v>594</v>
      </c>
      <c r="F443" s="2" t="s">
        <v>2651</v>
      </c>
      <c r="G443" s="2" t="s">
        <v>2651</v>
      </c>
      <c r="H443" s="2" t="s">
        <v>2651</v>
      </c>
      <c r="I443" s="2" t="s">
        <v>2652</v>
      </c>
      <c r="J443" s="2" t="s">
        <v>559</v>
      </c>
      <c r="K443" s="2" t="s">
        <v>502</v>
      </c>
      <c r="L443" s="3">
        <v>33</v>
      </c>
      <c r="M443" s="3">
        <v>34.65</v>
      </c>
      <c r="N443" s="3">
        <v>69.99</v>
      </c>
      <c r="O443" s="2" t="s">
        <v>196</v>
      </c>
      <c r="P443" s="2" t="s">
        <v>197</v>
      </c>
      <c r="Q443" s="2" t="s">
        <v>198</v>
      </c>
      <c r="R443" s="2" t="s">
        <v>199</v>
      </c>
      <c r="S443" s="2" t="s">
        <v>199</v>
      </c>
      <c r="T443" s="2" t="s">
        <v>199</v>
      </c>
      <c r="U443" s="2" t="s">
        <v>280</v>
      </c>
      <c r="V443" s="2" t="s">
        <v>493</v>
      </c>
      <c r="W443" s="2" t="s">
        <v>510</v>
      </c>
      <c r="X443" s="2" t="s">
        <v>255</v>
      </c>
      <c r="Y443" s="2" t="s">
        <v>2532</v>
      </c>
      <c r="Z443" s="4">
        <v>90</v>
      </c>
      <c r="AA443" s="4">
        <f>=ROUNDDOWN(36,0)</f>
      </c>
      <c r="AB443" s="5">
        <v>2.5</v>
      </c>
      <c r="AC443" s="2" t="s">
        <v>199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12</v>
      </c>
      <c r="BK443" s="8">
        <v>444.27</v>
      </c>
      <c r="BL443" s="2" t="s">
        <v>2653</v>
      </c>
      <c r="BM443" s="7"/>
      <c r="BN443" s="7"/>
      <c r="BO443" s="4"/>
      <c r="BP443" s="8"/>
      <c r="BQ443" s="4"/>
      <c r="BR443" s="8"/>
      <c r="BS443" s="7"/>
      <c r="BT443" s="7"/>
      <c r="BU443" s="2" t="s">
        <v>2654</v>
      </c>
      <c r="BV443" s="2" t="s">
        <v>199</v>
      </c>
      <c r="BW443" s="2" t="s">
        <v>199</v>
      </c>
      <c r="BX443" s="2" t="s">
        <v>208</v>
      </c>
      <c r="BY443" s="2" t="s">
        <v>209</v>
      </c>
      <c r="BZ443" s="2" t="s">
        <v>196</v>
      </c>
      <c r="CA443" s="2" t="s">
        <v>827</v>
      </c>
      <c r="CB443" s="2" t="s">
        <v>1929</v>
      </c>
      <c r="CC443" s="2" t="s">
        <v>212</v>
      </c>
      <c r="CD443" s="2" t="s">
        <v>199</v>
      </c>
      <c r="CE443" s="4"/>
      <c r="CF443" s="4">
        <v>90</v>
      </c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>
        <v>98</v>
      </c>
      <c r="EU443" s="4">
        <v>85</v>
      </c>
      <c r="EV443" s="4">
        <v>82</v>
      </c>
      <c r="EW443" s="4">
        <v>79</v>
      </c>
      <c r="EX443" s="4">
        <v>76</v>
      </c>
      <c r="EY443" s="4">
        <v>73</v>
      </c>
      <c r="EZ443" s="4">
        <v>70</v>
      </c>
      <c r="FA443" s="4">
        <v>67</v>
      </c>
      <c r="FB443" s="4">
        <v>63</v>
      </c>
      <c r="FC443" s="4">
        <v>60</v>
      </c>
      <c r="FD443" s="4">
        <v>57</v>
      </c>
      <c r="FE443" s="4">
        <v>54</v>
      </c>
      <c r="FF443" s="4">
        <v>51</v>
      </c>
      <c r="FG443" s="4">
        <v>48</v>
      </c>
      <c r="FH443" s="4">
        <v>45</v>
      </c>
      <c r="FI443" s="4">
        <v>42</v>
      </c>
      <c r="FJ443" s="4">
        <v>39</v>
      </c>
      <c r="FK443" s="4">
        <v>36</v>
      </c>
      <c r="FL443" s="4">
        <v>33</v>
      </c>
      <c r="FM443" s="4">
        <v>30</v>
      </c>
      <c r="FN443" s="4">
        <v>27</v>
      </c>
      <c r="FO443" s="4">
        <v>24</v>
      </c>
      <c r="FP443" s="4">
        <v>20</v>
      </c>
      <c r="FQ443" s="4">
        <v>17</v>
      </c>
      <c r="FR443" s="4">
        <v>14</v>
      </c>
      <c r="FS443" s="4">
        <v>11</v>
      </c>
      <c r="FT443" s="19">
        <v>16.3</v>
      </c>
      <c r="FU443" s="19">
        <v>28.3</v>
      </c>
      <c r="FV443" s="19">
        <v>27.3</v>
      </c>
      <c r="FW443" s="19">
        <v>26.3</v>
      </c>
      <c r="FX443" s="19">
        <v>25.3</v>
      </c>
      <c r="FY443" s="19">
        <v>24.3</v>
      </c>
      <c r="FZ443" s="19">
        <v>23.3</v>
      </c>
      <c r="GA443" s="19">
        <v>22.3</v>
      </c>
      <c r="GB443" s="19">
        <v>21</v>
      </c>
      <c r="GC443" s="19">
        <v>20</v>
      </c>
      <c r="GD443" s="19">
        <v>19</v>
      </c>
      <c r="GE443" s="19">
        <v>18</v>
      </c>
      <c r="GF443" s="19">
        <v>17</v>
      </c>
      <c r="GG443" s="19">
        <v>16</v>
      </c>
      <c r="GH443" s="19">
        <v>15</v>
      </c>
      <c r="GI443" s="19">
        <v>14</v>
      </c>
      <c r="GJ443" s="19">
        <v>13</v>
      </c>
      <c r="GK443" s="19">
        <v>12</v>
      </c>
      <c r="GL443" s="19">
        <v>11</v>
      </c>
      <c r="GM443" s="19">
        <v>10</v>
      </c>
      <c r="GN443" s="19">
        <v>9</v>
      </c>
      <c r="GO443" s="19">
        <v>8</v>
      </c>
      <c r="GP443" s="19">
        <v>6.7</v>
      </c>
      <c r="GQ443" s="19">
        <v>5.7</v>
      </c>
      <c r="GR443" s="19">
        <v>4.7</v>
      </c>
      <c r="GS443" s="19">
        <v>3.7</v>
      </c>
    </row>
    <row r="444">
      <c r="A444" s="2" t="s">
        <v>2655</v>
      </c>
      <c r="B444" s="2" t="s">
        <v>883</v>
      </c>
      <c r="C444" s="2" t="s">
        <v>884</v>
      </c>
      <c r="D444" s="2" t="s">
        <v>885</v>
      </c>
      <c r="E444" s="2" t="s">
        <v>886</v>
      </c>
      <c r="F444" s="2" t="s">
        <v>2656</v>
      </c>
      <c r="G444" s="2" t="s">
        <v>2656</v>
      </c>
      <c r="H444" s="2" t="s">
        <v>2656</v>
      </c>
      <c r="I444" s="2" t="s">
        <v>2657</v>
      </c>
      <c r="J444" s="2" t="s">
        <v>2658</v>
      </c>
      <c r="K444" s="2" t="s">
        <v>371</v>
      </c>
      <c r="L444" s="3">
        <v>18</v>
      </c>
      <c r="M444" s="3">
        <v>18.9</v>
      </c>
      <c r="N444" s="3">
        <v>37.99</v>
      </c>
      <c r="O444" s="2" t="s">
        <v>196</v>
      </c>
      <c r="P444" s="2" t="s">
        <v>621</v>
      </c>
      <c r="Q444" s="2" t="s">
        <v>198</v>
      </c>
      <c r="R444" s="2" t="s">
        <v>199</v>
      </c>
      <c r="S444" s="2" t="s">
        <v>199</v>
      </c>
      <c r="T444" s="2" t="s">
        <v>199</v>
      </c>
      <c r="U444" s="2" t="s">
        <v>280</v>
      </c>
      <c r="V444" s="2" t="s">
        <v>493</v>
      </c>
      <c r="W444" s="2" t="s">
        <v>199</v>
      </c>
      <c r="X444" s="2" t="s">
        <v>199</v>
      </c>
      <c r="Y444" s="2" t="s">
        <v>2659</v>
      </c>
      <c r="Z444" s="4">
        <v>9</v>
      </c>
      <c r="AA444" s="4">
        <f>=ROUNDDOWN(0.409090909090909,0)</f>
      </c>
      <c r="AB444" s="5">
        <v>22</v>
      </c>
      <c r="AC444" s="2" t="s">
        <v>2164</v>
      </c>
      <c r="AD444" s="4">
        <v>400</v>
      </c>
      <c r="AE444" s="4">
        <v>800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199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199</v>
      </c>
      <c r="BD444" s="8" t="s">
        <v>199</v>
      </c>
      <c r="BE444" s="4" t="s">
        <v>199</v>
      </c>
      <c r="BF444" s="8" t="s">
        <v>199</v>
      </c>
      <c r="BG444" s="7" t="s">
        <v>199</v>
      </c>
      <c r="BH444" s="7" t="s">
        <v>199</v>
      </c>
      <c r="BI444" s="7"/>
      <c r="BJ444" s="4">
        <v>743</v>
      </c>
      <c r="BK444" s="8">
        <v>12138.03</v>
      </c>
      <c r="BL444" s="2" t="s">
        <v>2249</v>
      </c>
      <c r="BM444" s="7"/>
      <c r="BN444" s="7"/>
      <c r="BO444" s="4"/>
      <c r="BP444" s="8"/>
      <c r="BQ444" s="4"/>
      <c r="BR444" s="8"/>
      <c r="BS444" s="7"/>
      <c r="BT444" s="7"/>
      <c r="BU444" s="2" t="s">
        <v>2660</v>
      </c>
      <c r="BV444" s="2" t="s">
        <v>199</v>
      </c>
      <c r="BW444" s="2" t="s">
        <v>199</v>
      </c>
      <c r="BX444" s="2" t="s">
        <v>208</v>
      </c>
      <c r="BY444" s="2" t="s">
        <v>209</v>
      </c>
      <c r="BZ444" s="2" t="s">
        <v>196</v>
      </c>
      <c r="CA444" s="2" t="s">
        <v>2245</v>
      </c>
      <c r="CB444" s="2" t="s">
        <v>2661</v>
      </c>
      <c r="CC444" s="2" t="s">
        <v>212</v>
      </c>
      <c r="CD444" s="2" t="s">
        <v>199</v>
      </c>
      <c r="CE444" s="4"/>
      <c r="CF444" s="4">
        <v>9</v>
      </c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>
        <v>400</v>
      </c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>
        <v>400</v>
      </c>
      <c r="ET444" s="4">
        <v>11</v>
      </c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>
        <v>400</v>
      </c>
      <c r="FF444" s="4">
        <v>364</v>
      </c>
      <c r="FG444" s="4">
        <v>342</v>
      </c>
      <c r="FH444" s="4">
        <v>320</v>
      </c>
      <c r="FI444" s="4">
        <v>298</v>
      </c>
      <c r="FJ444" s="4">
        <v>276</v>
      </c>
      <c r="FK444" s="4">
        <v>254</v>
      </c>
      <c r="FL444" s="4">
        <v>232</v>
      </c>
      <c r="FM444" s="4">
        <v>210</v>
      </c>
      <c r="FN444" s="4">
        <v>588</v>
      </c>
      <c r="FO444" s="4">
        <v>566</v>
      </c>
      <c r="FP444" s="4">
        <v>542</v>
      </c>
      <c r="FQ444" s="4">
        <v>520</v>
      </c>
      <c r="FR444" s="4">
        <v>498</v>
      </c>
      <c r="FS444" s="4">
        <v>476</v>
      </c>
      <c r="FT444" s="19">
        <v>0.5</v>
      </c>
      <c r="FU444" s="20">
        <v>0</v>
      </c>
      <c r="FV444" s="20">
        <v>0</v>
      </c>
      <c r="FW444" s="20">
        <v>0</v>
      </c>
      <c r="FX444" s="20">
        <v>0</v>
      </c>
      <c r="FY444" s="20">
        <v>0</v>
      </c>
      <c r="FZ444" s="20">
        <v>0</v>
      </c>
      <c r="GA444" s="20">
        <v>0</v>
      </c>
      <c r="GB444" s="20">
        <v>0</v>
      </c>
      <c r="GC444" s="20">
        <v>0</v>
      </c>
      <c r="GD444" s="20">
        <v>0</v>
      </c>
      <c r="GE444" s="19">
        <v>15.4</v>
      </c>
      <c r="GF444" s="19">
        <v>16.5</v>
      </c>
      <c r="GG444" s="19">
        <v>15.5</v>
      </c>
      <c r="GH444" s="19">
        <v>14.5</v>
      </c>
      <c r="GI444" s="19">
        <v>13.5</v>
      </c>
      <c r="GJ444" s="19">
        <v>12.5</v>
      </c>
      <c r="GK444" s="19">
        <v>11.5</v>
      </c>
      <c r="GL444" s="19">
        <v>10.5</v>
      </c>
      <c r="GM444" s="19">
        <v>9.5</v>
      </c>
      <c r="GN444" s="19">
        <v>26.7</v>
      </c>
      <c r="GO444" s="19">
        <v>25.7</v>
      </c>
      <c r="GP444" s="19">
        <v>24.6</v>
      </c>
      <c r="GQ444" s="19">
        <v>23.6</v>
      </c>
      <c r="GR444" s="19">
        <v>22.6</v>
      </c>
      <c r="GS444" s="19">
        <v>21.6</v>
      </c>
    </row>
    <row r="445">
      <c r="A445" s="2" t="s">
        <v>2662</v>
      </c>
      <c r="B445" s="2" t="s">
        <v>883</v>
      </c>
      <c r="C445" s="2" t="s">
        <v>884</v>
      </c>
      <c r="D445" s="2" t="s">
        <v>885</v>
      </c>
      <c r="E445" s="2" t="s">
        <v>886</v>
      </c>
      <c r="F445" s="2" t="s">
        <v>2656</v>
      </c>
      <c r="G445" s="2" t="s">
        <v>2656</v>
      </c>
      <c r="H445" s="2" t="s">
        <v>2656</v>
      </c>
      <c r="I445" s="2" t="s">
        <v>2657</v>
      </c>
      <c r="J445" s="2" t="s">
        <v>2658</v>
      </c>
      <c r="K445" s="2" t="s">
        <v>1037</v>
      </c>
      <c r="L445" s="3">
        <v>18</v>
      </c>
      <c r="M445" s="3">
        <v>18.9</v>
      </c>
      <c r="N445" s="3">
        <v>37.99</v>
      </c>
      <c r="O445" s="2" t="s">
        <v>196</v>
      </c>
      <c r="P445" s="2" t="s">
        <v>621</v>
      </c>
      <c r="Q445" s="2" t="s">
        <v>198</v>
      </c>
      <c r="R445" s="2" t="s">
        <v>199</v>
      </c>
      <c r="S445" s="2" t="s">
        <v>199</v>
      </c>
      <c r="T445" s="2" t="s">
        <v>199</v>
      </c>
      <c r="U445" s="2" t="s">
        <v>280</v>
      </c>
      <c r="V445" s="2" t="s">
        <v>493</v>
      </c>
      <c r="W445" s="2" t="s">
        <v>199</v>
      </c>
      <c r="X445" s="2" t="s">
        <v>199</v>
      </c>
      <c r="Y445" s="2" t="s">
        <v>2663</v>
      </c>
      <c r="Z445" s="4">
        <v>1</v>
      </c>
      <c r="AA445" s="4">
        <f>=ROUNDDOWN(0.0416666666666667,0)</f>
      </c>
      <c r="AB445" s="5">
        <v>24</v>
      </c>
      <c r="AC445" s="2" t="s">
        <v>2164</v>
      </c>
      <c r="AD445" s="4">
        <v>400</v>
      </c>
      <c r="AE445" s="4">
        <v>800</v>
      </c>
      <c r="AF445" s="6">
        <v>64</v>
      </c>
      <c r="AG445" s="6"/>
      <c r="AH445" s="7">
        <v>0.7097</v>
      </c>
      <c r="AI445" s="4"/>
      <c r="AJ445" s="4">
        <f>=ROUNDDOWN({0},0)</f>
      </c>
      <c r="AK445" s="5"/>
      <c r="AL445" s="2" t="s">
        <v>199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199</v>
      </c>
      <c r="BD445" s="8" t="s">
        <v>199</v>
      </c>
      <c r="BE445" s="4" t="s">
        <v>199</v>
      </c>
      <c r="BF445" s="8" t="s">
        <v>199</v>
      </c>
      <c r="BG445" s="7" t="s">
        <v>199</v>
      </c>
      <c r="BH445" s="7" t="s">
        <v>199</v>
      </c>
      <c r="BI445" s="7"/>
      <c r="BJ445" s="4">
        <v>114</v>
      </c>
      <c r="BK445" s="8">
        <v>1865.37</v>
      </c>
      <c r="BL445" s="2" t="s">
        <v>2664</v>
      </c>
      <c r="BM445" s="7"/>
      <c r="BN445" s="7"/>
      <c r="BO445" s="4"/>
      <c r="BP445" s="8"/>
      <c r="BQ445" s="4"/>
      <c r="BR445" s="8"/>
      <c r="BS445" s="7"/>
      <c r="BT445" s="7"/>
      <c r="BU445" s="2" t="s">
        <v>2660</v>
      </c>
      <c r="BV445" s="2" t="s">
        <v>199</v>
      </c>
      <c r="BW445" s="2" t="s">
        <v>199</v>
      </c>
      <c r="BX445" s="2" t="s">
        <v>208</v>
      </c>
      <c r="BY445" s="2" t="s">
        <v>209</v>
      </c>
      <c r="BZ445" s="2" t="s">
        <v>196</v>
      </c>
      <c r="CA445" s="2" t="s">
        <v>2245</v>
      </c>
      <c r="CB445" s="2" t="s">
        <v>2665</v>
      </c>
      <c r="CC445" s="2" t="s">
        <v>212</v>
      </c>
      <c r="CD445" s="2" t="s">
        <v>199</v>
      </c>
      <c r="CE445" s="4"/>
      <c r="CF445" s="4">
        <v>1</v>
      </c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>
        <v>400</v>
      </c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>
        <v>400</v>
      </c>
      <c r="ET445" s="4">
        <v>8</v>
      </c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>
        <v>400</v>
      </c>
      <c r="FF445" s="4">
        <v>348</v>
      </c>
      <c r="FG445" s="4">
        <v>324</v>
      </c>
      <c r="FH445" s="4">
        <v>300</v>
      </c>
      <c r="FI445" s="4">
        <v>276</v>
      </c>
      <c r="FJ445" s="4">
        <v>252</v>
      </c>
      <c r="FK445" s="4">
        <v>228</v>
      </c>
      <c r="FL445" s="4">
        <v>204</v>
      </c>
      <c r="FM445" s="4">
        <v>180</v>
      </c>
      <c r="FN445" s="4">
        <v>556</v>
      </c>
      <c r="FO445" s="4">
        <v>532</v>
      </c>
      <c r="FP445" s="4">
        <v>506</v>
      </c>
      <c r="FQ445" s="4">
        <v>482</v>
      </c>
      <c r="FR445" s="4">
        <v>458</v>
      </c>
      <c r="FS445" s="4">
        <v>434</v>
      </c>
      <c r="FT445" s="19">
        <v>0.3</v>
      </c>
      <c r="FU445" s="20">
        <v>0</v>
      </c>
      <c r="FV445" s="20">
        <v>0</v>
      </c>
      <c r="FW445" s="20">
        <v>0</v>
      </c>
      <c r="FX445" s="20">
        <v>0</v>
      </c>
      <c r="FY445" s="20">
        <v>0</v>
      </c>
      <c r="FZ445" s="20">
        <v>0</v>
      </c>
      <c r="GA445" s="20">
        <v>0</v>
      </c>
      <c r="GB445" s="20">
        <v>0</v>
      </c>
      <c r="GC445" s="20">
        <v>0</v>
      </c>
      <c r="GD445" s="20">
        <v>0</v>
      </c>
      <c r="GE445" s="19">
        <v>12.9</v>
      </c>
      <c r="GF445" s="19">
        <v>14.5</v>
      </c>
      <c r="GG445" s="19">
        <v>13.5</v>
      </c>
      <c r="GH445" s="19">
        <v>12.5</v>
      </c>
      <c r="GI445" s="19">
        <v>11.5</v>
      </c>
      <c r="GJ445" s="19">
        <v>10.5</v>
      </c>
      <c r="GK445" s="19">
        <v>9.5</v>
      </c>
      <c r="GL445" s="19">
        <v>8.5</v>
      </c>
      <c r="GM445" s="19">
        <v>7.5</v>
      </c>
      <c r="GN445" s="19">
        <v>23.2</v>
      </c>
      <c r="GO445" s="19">
        <v>22.2</v>
      </c>
      <c r="GP445" s="19">
        <v>21.1</v>
      </c>
      <c r="GQ445" s="19">
        <v>20.1</v>
      </c>
      <c r="GR445" s="19">
        <v>19.1</v>
      </c>
      <c r="GS445" s="19">
        <v>18.1</v>
      </c>
    </row>
    <row r="446">
      <c r="A446" s="2" t="s">
        <v>2666</v>
      </c>
      <c r="B446" s="2" t="s">
        <v>591</v>
      </c>
      <c r="C446" s="2" t="s">
        <v>571</v>
      </c>
      <c r="D446" s="2" t="s">
        <v>593</v>
      </c>
      <c r="E446" s="2" t="s">
        <v>594</v>
      </c>
      <c r="F446" s="2" t="s">
        <v>2667</v>
      </c>
      <c r="G446" s="2" t="s">
        <v>2667</v>
      </c>
      <c r="H446" s="2" t="s">
        <v>2667</v>
      </c>
      <c r="I446" s="2" t="s">
        <v>2668</v>
      </c>
      <c r="J446" s="2" t="s">
        <v>559</v>
      </c>
      <c r="K446" s="2" t="s">
        <v>195</v>
      </c>
      <c r="L446" s="3">
        <v>57</v>
      </c>
      <c r="M446" s="3">
        <v>59.85</v>
      </c>
      <c r="N446" s="3">
        <v>119</v>
      </c>
      <c r="O446" s="2" t="s">
        <v>196</v>
      </c>
      <c r="P446" s="2" t="s">
        <v>841</v>
      </c>
      <c r="Q446" s="2" t="s">
        <v>198</v>
      </c>
      <c r="R446" s="2" t="s">
        <v>199</v>
      </c>
      <c r="S446" s="2" t="s">
        <v>199</v>
      </c>
      <c r="T446" s="2" t="s">
        <v>199</v>
      </c>
      <c r="U446" s="2" t="s">
        <v>280</v>
      </c>
      <c r="V446" s="2" t="s">
        <v>493</v>
      </c>
      <c r="W446" s="2" t="s">
        <v>203</v>
      </c>
      <c r="X446" s="2" t="s">
        <v>529</v>
      </c>
      <c r="Y446" s="2" t="s">
        <v>2400</v>
      </c>
      <c r="Z446" s="4">
        <v>21</v>
      </c>
      <c r="AA446" s="4">
        <f>=ROUNDDOWN(11.6666666666667,0)</f>
      </c>
      <c r="AB446" s="5">
        <v>1.8</v>
      </c>
      <c r="AC446" s="2" t="s">
        <v>199</v>
      </c>
      <c r="AD446" s="4"/>
      <c r="AE446" s="4"/>
      <c r="AF446" s="6">
        <v>63</v>
      </c>
      <c r="AG446" s="6"/>
      <c r="AH446" s="7">
        <v>1</v>
      </c>
      <c r="AI446" s="4"/>
      <c r="AJ446" s="4">
        <f>=ROUNDDOWN({0},0)</f>
      </c>
      <c r="AK446" s="5"/>
      <c r="AL446" s="2" t="s">
        <v>199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10</v>
      </c>
      <c r="BK446" s="8">
        <v>664.26</v>
      </c>
      <c r="BL446" s="2" t="s">
        <v>2669</v>
      </c>
      <c r="BM446" s="7"/>
      <c r="BN446" s="7"/>
      <c r="BO446" s="4"/>
      <c r="BP446" s="8"/>
      <c r="BQ446" s="4"/>
      <c r="BR446" s="8"/>
      <c r="BS446" s="7"/>
      <c r="BT446" s="7"/>
      <c r="BU446" s="2" t="s">
        <v>2670</v>
      </c>
      <c r="BV446" s="2" t="s">
        <v>199</v>
      </c>
      <c r="BW446" s="2" t="s">
        <v>199</v>
      </c>
      <c r="BX446" s="2" t="s">
        <v>208</v>
      </c>
      <c r="BY446" s="2" t="s">
        <v>209</v>
      </c>
      <c r="BZ446" s="2" t="s">
        <v>196</v>
      </c>
      <c r="CA446" s="2" t="s">
        <v>2400</v>
      </c>
      <c r="CB446" s="2" t="s">
        <v>1691</v>
      </c>
      <c r="CC446" s="2" t="s">
        <v>212</v>
      </c>
      <c r="CD446" s="2" t="s">
        <v>199</v>
      </c>
      <c r="CE446" s="4"/>
      <c r="CF446" s="4">
        <v>21</v>
      </c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>
        <v>25</v>
      </c>
      <c r="EU446" s="4">
        <v>21</v>
      </c>
      <c r="EV446" s="4">
        <v>19</v>
      </c>
      <c r="EW446" s="4">
        <v>17</v>
      </c>
      <c r="EX446" s="4">
        <v>15</v>
      </c>
      <c r="EY446" s="4">
        <v>13</v>
      </c>
      <c r="EZ446" s="4">
        <v>11</v>
      </c>
      <c r="FA446" s="4">
        <v>9</v>
      </c>
      <c r="FB446" s="4">
        <v>7</v>
      </c>
      <c r="FC446" s="4">
        <v>5</v>
      </c>
      <c r="FD446" s="4">
        <v>3</v>
      </c>
      <c r="FE446" s="4">
        <v>1</v>
      </c>
      <c r="FF446" s="4"/>
      <c r="FG446" s="4"/>
      <c r="FH446" s="4"/>
      <c r="FI446" s="4"/>
      <c r="FJ446" s="4"/>
      <c r="FK446" s="4"/>
      <c r="FL446" s="4"/>
      <c r="FM446" s="4"/>
      <c r="FN446" s="4"/>
      <c r="FO446" s="4">
        <v>93</v>
      </c>
      <c r="FP446" s="4">
        <v>91</v>
      </c>
      <c r="FQ446" s="4">
        <v>89</v>
      </c>
      <c r="FR446" s="4">
        <v>87</v>
      </c>
      <c r="FS446" s="4">
        <v>85</v>
      </c>
      <c r="FT446" s="19">
        <v>12.5</v>
      </c>
      <c r="FU446" s="19">
        <v>10.5</v>
      </c>
      <c r="FV446" s="19">
        <v>9.5</v>
      </c>
      <c r="FW446" s="19">
        <v>8.5</v>
      </c>
      <c r="FX446" s="19">
        <v>7.5</v>
      </c>
      <c r="FY446" s="19">
        <v>6.5</v>
      </c>
      <c r="FZ446" s="19">
        <v>5.5</v>
      </c>
      <c r="GA446" s="19">
        <v>4.5</v>
      </c>
      <c r="GB446" s="19">
        <v>3.5</v>
      </c>
      <c r="GC446" s="19">
        <v>2.5</v>
      </c>
      <c r="GD446" s="19">
        <v>1.5</v>
      </c>
      <c r="GE446" s="19">
        <v>0.5</v>
      </c>
      <c r="GF446" s="20">
        <v>0</v>
      </c>
      <c r="GG446" s="20">
        <v>0</v>
      </c>
      <c r="GH446" s="20">
        <v>0</v>
      </c>
      <c r="GI446" s="20">
        <v>0</v>
      </c>
      <c r="GJ446" s="20">
        <v>0</v>
      </c>
      <c r="GK446" s="20">
        <v>0</v>
      </c>
      <c r="GL446" s="20">
        <v>0</v>
      </c>
      <c r="GM446" s="20">
        <v>0</v>
      </c>
      <c r="GN446" s="20">
        <v>0</v>
      </c>
      <c r="GO446" s="19">
        <v>46.5</v>
      </c>
      <c r="GP446" s="19">
        <v>45.5</v>
      </c>
      <c r="GQ446" s="19">
        <v>44.5</v>
      </c>
      <c r="GR446" s="19">
        <v>43.5</v>
      </c>
      <c r="GS446" s="19">
        <v>42.5</v>
      </c>
    </row>
    <row r="447">
      <c r="A447" s="2" t="s">
        <v>2671</v>
      </c>
      <c r="B447" s="2" t="s">
        <v>245</v>
      </c>
      <c r="C447" s="2" t="s">
        <v>2672</v>
      </c>
      <c r="D447" s="2" t="s">
        <v>247</v>
      </c>
      <c r="E447" s="2" t="s">
        <v>248</v>
      </c>
      <c r="F447" s="2" t="s">
        <v>2673</v>
      </c>
      <c r="G447" s="2" t="s">
        <v>2673</v>
      </c>
      <c r="H447" s="2" t="s">
        <v>2673</v>
      </c>
      <c r="I447" s="2" t="s">
        <v>2674</v>
      </c>
      <c r="J447" s="2" t="s">
        <v>223</v>
      </c>
      <c r="K447" s="2" t="s">
        <v>371</v>
      </c>
      <c r="L447" s="3">
        <v>22.28</v>
      </c>
      <c r="M447" s="3">
        <v>23.39</v>
      </c>
      <c r="N447" s="3">
        <v>59.99</v>
      </c>
      <c r="O447" s="2" t="s">
        <v>196</v>
      </c>
      <c r="P447" s="2" t="s">
        <v>197</v>
      </c>
      <c r="Q447" s="2" t="s">
        <v>198</v>
      </c>
      <c r="R447" s="2" t="s">
        <v>199</v>
      </c>
      <c r="S447" s="2" t="s">
        <v>199</v>
      </c>
      <c r="T447" s="2" t="s">
        <v>300</v>
      </c>
      <c r="U447" s="2" t="s">
        <v>199</v>
      </c>
      <c r="V447" s="2" t="s">
        <v>202</v>
      </c>
      <c r="W447" s="2" t="s">
        <v>255</v>
      </c>
      <c r="X447" s="2" t="s">
        <v>199</v>
      </c>
      <c r="Y447" s="2" t="s">
        <v>2675</v>
      </c>
      <c r="Z447" s="4">
        <v>32</v>
      </c>
      <c r="AA447" s="4">
        <f>=ROUNDDOWN(10.6666666666667,0)</f>
      </c>
      <c r="AB447" s="5">
        <v>3</v>
      </c>
      <c r="AC447" s="2" t="s">
        <v>387</v>
      </c>
      <c r="AD447" s="4">
        <v>20</v>
      </c>
      <c r="AE447" s="4">
        <v>20</v>
      </c>
      <c r="AF447" s="6">
        <v>65</v>
      </c>
      <c r="AG447" s="6"/>
      <c r="AH447" s="7">
        <v>0.0323</v>
      </c>
      <c r="AI447" s="4"/>
      <c r="AJ447" s="4">
        <f>=ROUNDDOWN({0},0)</f>
      </c>
      <c r="AK447" s="5"/>
      <c r="AL447" s="2" t="s">
        <v>199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199</v>
      </c>
      <c r="AW447" s="8" t="s">
        <v>199</v>
      </c>
      <c r="AX447" s="4" t="s">
        <v>199</v>
      </c>
      <c r="AY447" s="8" t="s">
        <v>199</v>
      </c>
      <c r="AZ447" s="7" t="s">
        <v>199</v>
      </c>
      <c r="BA447" s="7" t="s">
        <v>199</v>
      </c>
      <c r="BB447" s="7"/>
      <c r="BC447" s="4" t="s">
        <v>199</v>
      </c>
      <c r="BD447" s="8" t="s">
        <v>199</v>
      </c>
      <c r="BE447" s="4" t="s">
        <v>199</v>
      </c>
      <c r="BF447" s="8" t="s">
        <v>199</v>
      </c>
      <c r="BG447" s="7" t="s">
        <v>199</v>
      </c>
      <c r="BH447" s="7" t="s">
        <v>199</v>
      </c>
      <c r="BI447" s="7"/>
      <c r="BJ447" s="4"/>
      <c r="BK447" s="8"/>
      <c r="BL447" s="2" t="s">
        <v>2676</v>
      </c>
      <c r="BM447" s="7"/>
      <c r="BN447" s="7"/>
      <c r="BO447" s="4"/>
      <c r="BP447" s="8"/>
      <c r="BQ447" s="4"/>
      <c r="BR447" s="8"/>
      <c r="BS447" s="7"/>
      <c r="BT447" s="7"/>
      <c r="BU447" s="2" t="s">
        <v>2677</v>
      </c>
      <c r="BV447" s="2" t="s">
        <v>199</v>
      </c>
      <c r="BW447" s="2" t="s">
        <v>199</v>
      </c>
      <c r="BX447" s="2" t="s">
        <v>260</v>
      </c>
      <c r="BY447" s="2" t="s">
        <v>209</v>
      </c>
      <c r="BZ447" s="2" t="s">
        <v>196</v>
      </c>
      <c r="CA447" s="2" t="s">
        <v>2678</v>
      </c>
      <c r="CB447" s="2" t="s">
        <v>2679</v>
      </c>
      <c r="CC447" s="2" t="s">
        <v>212</v>
      </c>
      <c r="CD447" s="2" t="s">
        <v>199</v>
      </c>
      <c r="CE447" s="4"/>
      <c r="CF447" s="4"/>
      <c r="CG447" s="4"/>
      <c r="CH447" s="4"/>
      <c r="CI447" s="4"/>
      <c r="CJ447" s="4"/>
      <c r="CK447" s="4"/>
      <c r="CL447" s="4">
        <v>32</v>
      </c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>
        <v>20</v>
      </c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>
        <v>32</v>
      </c>
      <c r="EU447" s="4">
        <v>30</v>
      </c>
      <c r="EV447" s="4">
        <v>28</v>
      </c>
      <c r="EW447" s="4">
        <v>46</v>
      </c>
      <c r="EX447" s="4">
        <v>44</v>
      </c>
      <c r="EY447" s="4">
        <v>42</v>
      </c>
      <c r="EZ447" s="4">
        <v>40</v>
      </c>
      <c r="FA447" s="4">
        <v>38</v>
      </c>
      <c r="FB447" s="4">
        <v>36</v>
      </c>
      <c r="FC447" s="4">
        <v>34</v>
      </c>
      <c r="FD447" s="4">
        <v>31</v>
      </c>
      <c r="FE447" s="4">
        <v>28</v>
      </c>
      <c r="FF447" s="4">
        <v>25</v>
      </c>
      <c r="FG447" s="4">
        <v>22</v>
      </c>
      <c r="FH447" s="4">
        <v>19</v>
      </c>
      <c r="FI447" s="4">
        <v>16</v>
      </c>
      <c r="FJ447" s="4">
        <v>13</v>
      </c>
      <c r="FK447" s="4">
        <v>10</v>
      </c>
      <c r="FL447" s="4">
        <v>7</v>
      </c>
      <c r="FM447" s="4">
        <v>4</v>
      </c>
      <c r="FN447" s="4">
        <v>1</v>
      </c>
      <c r="FO447" s="4"/>
      <c r="FP447" s="4"/>
      <c r="FQ447" s="4"/>
      <c r="FR447" s="4"/>
      <c r="FS447" s="4"/>
      <c r="FT447" s="19">
        <v>16</v>
      </c>
      <c r="FU447" s="19">
        <v>15</v>
      </c>
      <c r="FV447" s="19">
        <v>14</v>
      </c>
      <c r="FW447" s="19">
        <v>23</v>
      </c>
      <c r="FX447" s="19">
        <v>22</v>
      </c>
      <c r="FY447" s="19">
        <v>21</v>
      </c>
      <c r="FZ447" s="19">
        <v>20</v>
      </c>
      <c r="GA447" s="19">
        <v>19</v>
      </c>
      <c r="GB447" s="19">
        <v>12</v>
      </c>
      <c r="GC447" s="19">
        <v>11.3</v>
      </c>
      <c r="GD447" s="19">
        <v>10.3</v>
      </c>
      <c r="GE447" s="19">
        <v>9.3</v>
      </c>
      <c r="GF447" s="19">
        <v>8.3</v>
      </c>
      <c r="GG447" s="19">
        <v>7.3</v>
      </c>
      <c r="GH447" s="19">
        <v>6.3</v>
      </c>
      <c r="GI447" s="19">
        <v>5.3</v>
      </c>
      <c r="GJ447" s="19">
        <v>4.3</v>
      </c>
      <c r="GK447" s="19">
        <v>3.3</v>
      </c>
      <c r="GL447" s="19">
        <v>2.3</v>
      </c>
      <c r="GM447" s="19">
        <v>1.3</v>
      </c>
      <c r="GN447" s="19">
        <v>0.3</v>
      </c>
      <c r="GO447" s="20">
        <v>0</v>
      </c>
      <c r="GP447" s="20">
        <v>0</v>
      </c>
      <c r="GQ447" s="20">
        <v>0</v>
      </c>
      <c r="GR447" s="20">
        <v>0</v>
      </c>
      <c r="GS447" s="20">
        <v>0</v>
      </c>
    </row>
    <row r="448">
      <c r="A448" s="2" t="s">
        <v>2680</v>
      </c>
      <c r="B448" s="2" t="s">
        <v>245</v>
      </c>
      <c r="C448" s="2" t="s">
        <v>2672</v>
      </c>
      <c r="D448" s="2" t="s">
        <v>247</v>
      </c>
      <c r="E448" s="2" t="s">
        <v>248</v>
      </c>
      <c r="F448" s="2" t="s">
        <v>2673</v>
      </c>
      <c r="G448" s="2" t="s">
        <v>2673</v>
      </c>
      <c r="H448" s="2" t="s">
        <v>2673</v>
      </c>
      <c r="I448" s="2" t="s">
        <v>2674</v>
      </c>
      <c r="J448" s="2" t="s">
        <v>2681</v>
      </c>
      <c r="K448" s="2" t="s">
        <v>371</v>
      </c>
      <c r="L448" s="3">
        <v>18.57</v>
      </c>
      <c r="M448" s="3">
        <v>19.5</v>
      </c>
      <c r="N448" s="3">
        <v>49.99</v>
      </c>
      <c r="O448" s="2" t="s">
        <v>196</v>
      </c>
      <c r="P448" s="2" t="s">
        <v>197</v>
      </c>
      <c r="Q448" s="2" t="s">
        <v>198</v>
      </c>
      <c r="R448" s="2" t="s">
        <v>199</v>
      </c>
      <c r="S448" s="2" t="s">
        <v>199</v>
      </c>
      <c r="T448" s="2" t="s">
        <v>300</v>
      </c>
      <c r="U448" s="2" t="s">
        <v>199</v>
      </c>
      <c r="V448" s="2" t="s">
        <v>202</v>
      </c>
      <c r="W448" s="2" t="s">
        <v>255</v>
      </c>
      <c r="X448" s="2" t="s">
        <v>199</v>
      </c>
      <c r="Y448" s="2" t="s">
        <v>2675</v>
      </c>
      <c r="Z448" s="4">
        <v>36</v>
      </c>
      <c r="AA448" s="4">
        <f>=ROUNDDOWN(12,0)</f>
      </c>
      <c r="AB448" s="5">
        <v>3</v>
      </c>
      <c r="AC448" s="2" t="s">
        <v>387</v>
      </c>
      <c r="AD448" s="4">
        <v>40</v>
      </c>
      <c r="AE448" s="4">
        <v>40</v>
      </c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199</v>
      </c>
      <c r="AW448" s="8" t="s">
        <v>199</v>
      </c>
      <c r="AX448" s="4" t="s">
        <v>199</v>
      </c>
      <c r="AY448" s="8" t="s">
        <v>199</v>
      </c>
      <c r="AZ448" s="7" t="s">
        <v>199</v>
      </c>
      <c r="BA448" s="7" t="s">
        <v>199</v>
      </c>
      <c r="BB448" s="7"/>
      <c r="BC448" s="4" t="s">
        <v>199</v>
      </c>
      <c r="BD448" s="8" t="s">
        <v>199</v>
      </c>
      <c r="BE448" s="4" t="s">
        <v>199</v>
      </c>
      <c r="BF448" s="8" t="s">
        <v>199</v>
      </c>
      <c r="BG448" s="7" t="s">
        <v>199</v>
      </c>
      <c r="BH448" s="7" t="s">
        <v>199</v>
      </c>
      <c r="BI448" s="7"/>
      <c r="BJ448" s="4">
        <v>9</v>
      </c>
      <c r="BK448" s="8">
        <v>184.23</v>
      </c>
      <c r="BL448" s="2" t="s">
        <v>2682</v>
      </c>
      <c r="BM448" s="7"/>
      <c r="BN448" s="7"/>
      <c r="BO448" s="4"/>
      <c r="BP448" s="8"/>
      <c r="BQ448" s="4"/>
      <c r="BR448" s="8"/>
      <c r="BS448" s="7"/>
      <c r="BT448" s="7"/>
      <c r="BU448" s="2" t="s">
        <v>2677</v>
      </c>
      <c r="BV448" s="2" t="s">
        <v>199</v>
      </c>
      <c r="BW448" s="2" t="s">
        <v>199</v>
      </c>
      <c r="BX448" s="2" t="s">
        <v>260</v>
      </c>
      <c r="BY448" s="2" t="s">
        <v>209</v>
      </c>
      <c r="BZ448" s="2" t="s">
        <v>196</v>
      </c>
      <c r="CA448" s="2" t="s">
        <v>2678</v>
      </c>
      <c r="CB448" s="2" t="s">
        <v>2683</v>
      </c>
      <c r="CC448" s="2" t="s">
        <v>212</v>
      </c>
      <c r="CD448" s="2" t="s">
        <v>199</v>
      </c>
      <c r="CE448" s="4">
        <v>4</v>
      </c>
      <c r="CF448" s="4"/>
      <c r="CG448" s="4"/>
      <c r="CH448" s="4"/>
      <c r="CI448" s="4"/>
      <c r="CJ448" s="4"/>
      <c r="CK448" s="4"/>
      <c r="CL448" s="4">
        <v>32</v>
      </c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>
        <v>40</v>
      </c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>
        <v>36</v>
      </c>
      <c r="EU448" s="4">
        <v>34</v>
      </c>
      <c r="EV448" s="4">
        <v>32</v>
      </c>
      <c r="EW448" s="4">
        <v>70</v>
      </c>
      <c r="EX448" s="4">
        <v>68</v>
      </c>
      <c r="EY448" s="4">
        <v>66</v>
      </c>
      <c r="EZ448" s="4">
        <v>63</v>
      </c>
      <c r="FA448" s="4">
        <v>60</v>
      </c>
      <c r="FB448" s="4">
        <v>57</v>
      </c>
      <c r="FC448" s="4">
        <v>54</v>
      </c>
      <c r="FD448" s="4">
        <v>51</v>
      </c>
      <c r="FE448" s="4">
        <v>48</v>
      </c>
      <c r="FF448" s="4">
        <v>45</v>
      </c>
      <c r="FG448" s="4">
        <v>42</v>
      </c>
      <c r="FH448" s="4">
        <v>39</v>
      </c>
      <c r="FI448" s="4">
        <v>36</v>
      </c>
      <c r="FJ448" s="4">
        <v>33</v>
      </c>
      <c r="FK448" s="4">
        <v>30</v>
      </c>
      <c r="FL448" s="4">
        <v>27</v>
      </c>
      <c r="FM448" s="4">
        <v>24</v>
      </c>
      <c r="FN448" s="4">
        <v>21</v>
      </c>
      <c r="FO448" s="4">
        <v>18</v>
      </c>
      <c r="FP448" s="4">
        <v>15</v>
      </c>
      <c r="FQ448" s="4">
        <v>12</v>
      </c>
      <c r="FR448" s="4">
        <v>9</v>
      </c>
      <c r="FS448" s="4">
        <v>6</v>
      </c>
      <c r="FT448" s="19">
        <v>18</v>
      </c>
      <c r="FU448" s="19">
        <v>17</v>
      </c>
      <c r="FV448" s="19">
        <v>16</v>
      </c>
      <c r="FW448" s="19">
        <v>35</v>
      </c>
      <c r="FX448" s="19">
        <v>22.7</v>
      </c>
      <c r="FY448" s="19">
        <v>22</v>
      </c>
      <c r="FZ448" s="19">
        <v>21</v>
      </c>
      <c r="GA448" s="19">
        <v>20</v>
      </c>
      <c r="GB448" s="19">
        <v>19</v>
      </c>
      <c r="GC448" s="19">
        <v>18</v>
      </c>
      <c r="GD448" s="19">
        <v>17</v>
      </c>
      <c r="GE448" s="19">
        <v>16</v>
      </c>
      <c r="GF448" s="19">
        <v>15</v>
      </c>
      <c r="GG448" s="19">
        <v>14</v>
      </c>
      <c r="GH448" s="19">
        <v>13</v>
      </c>
      <c r="GI448" s="19">
        <v>12</v>
      </c>
      <c r="GJ448" s="19">
        <v>11</v>
      </c>
      <c r="GK448" s="19">
        <v>10</v>
      </c>
      <c r="GL448" s="19">
        <v>9</v>
      </c>
      <c r="GM448" s="19">
        <v>8</v>
      </c>
      <c r="GN448" s="19">
        <v>7</v>
      </c>
      <c r="GO448" s="19">
        <v>6</v>
      </c>
      <c r="GP448" s="19">
        <v>5</v>
      </c>
      <c r="GQ448" s="19">
        <v>4</v>
      </c>
      <c r="GR448" s="19">
        <v>3</v>
      </c>
      <c r="GS448" s="19">
        <v>2</v>
      </c>
    </row>
    <row r="449">
      <c r="A449" s="2" t="s">
        <v>2684</v>
      </c>
      <c r="B449" s="2" t="s">
        <v>245</v>
      </c>
      <c r="C449" s="2" t="s">
        <v>2672</v>
      </c>
      <c r="D449" s="2" t="s">
        <v>247</v>
      </c>
      <c r="E449" s="2" t="s">
        <v>248</v>
      </c>
      <c r="F449" s="2" t="s">
        <v>2673</v>
      </c>
      <c r="G449" s="2" t="s">
        <v>2673</v>
      </c>
      <c r="H449" s="2" t="s">
        <v>2673</v>
      </c>
      <c r="I449" s="2" t="s">
        <v>2674</v>
      </c>
      <c r="J449" s="2" t="s">
        <v>223</v>
      </c>
      <c r="K449" s="2" t="s">
        <v>252</v>
      </c>
      <c r="L449" s="3">
        <v>22.28</v>
      </c>
      <c r="M449" s="3">
        <v>23.39</v>
      </c>
      <c r="N449" s="3">
        <v>59.99</v>
      </c>
      <c r="O449" s="2" t="s">
        <v>196</v>
      </c>
      <c r="P449" s="2" t="s">
        <v>197</v>
      </c>
      <c r="Q449" s="2" t="s">
        <v>198</v>
      </c>
      <c r="R449" s="2" t="s">
        <v>199</v>
      </c>
      <c r="S449" s="2" t="s">
        <v>199</v>
      </c>
      <c r="T449" s="2" t="s">
        <v>300</v>
      </c>
      <c r="U449" s="2" t="s">
        <v>199</v>
      </c>
      <c r="V449" s="2" t="s">
        <v>202</v>
      </c>
      <c r="W449" s="2" t="s">
        <v>255</v>
      </c>
      <c r="X449" s="2" t="s">
        <v>199</v>
      </c>
      <c r="Y449" s="2" t="s">
        <v>2675</v>
      </c>
      <c r="Z449" s="4">
        <v>2</v>
      </c>
      <c r="AA449" s="4">
        <f>=ROUNDDOWN(1,0)</f>
      </c>
      <c r="AB449" s="5">
        <v>2</v>
      </c>
      <c r="AC449" s="2" t="s">
        <v>377</v>
      </c>
      <c r="AD449" s="4">
        <v>80</v>
      </c>
      <c r="AE449" s="4">
        <v>80</v>
      </c>
      <c r="AF449" s="6">
        <v>65</v>
      </c>
      <c r="AG449" s="6"/>
      <c r="AH449" s="7">
        <v>0.0323</v>
      </c>
      <c r="AI449" s="4"/>
      <c r="AJ449" s="4">
        <f>=ROUNDDOWN({0},0)</f>
      </c>
      <c r="AK449" s="5"/>
      <c r="AL449" s="2" t="s">
        <v>199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199</v>
      </c>
      <c r="AW449" s="8" t="s">
        <v>199</v>
      </c>
      <c r="AX449" s="4" t="s">
        <v>199</v>
      </c>
      <c r="AY449" s="8" t="s">
        <v>199</v>
      </c>
      <c r="AZ449" s="7" t="s">
        <v>199</v>
      </c>
      <c r="BA449" s="7" t="s">
        <v>199</v>
      </c>
      <c r="BB449" s="7"/>
      <c r="BC449" s="4" t="s">
        <v>199</v>
      </c>
      <c r="BD449" s="8" t="s">
        <v>199</v>
      </c>
      <c r="BE449" s="4" t="s">
        <v>199</v>
      </c>
      <c r="BF449" s="8" t="s">
        <v>199</v>
      </c>
      <c r="BG449" s="7" t="s">
        <v>199</v>
      </c>
      <c r="BH449" s="7" t="s">
        <v>199</v>
      </c>
      <c r="BI449" s="7"/>
      <c r="BJ449" s="4">
        <v>1</v>
      </c>
      <c r="BK449" s="8">
        <v>50.99</v>
      </c>
      <c r="BL449" s="2" t="s">
        <v>2685</v>
      </c>
      <c r="BM449" s="7"/>
      <c r="BN449" s="7"/>
      <c r="BO449" s="4"/>
      <c r="BP449" s="8"/>
      <c r="BQ449" s="4"/>
      <c r="BR449" s="8"/>
      <c r="BS449" s="7"/>
      <c r="BT449" s="7"/>
      <c r="BU449" s="2" t="s">
        <v>2677</v>
      </c>
      <c r="BV449" s="2" t="s">
        <v>199</v>
      </c>
      <c r="BW449" s="2" t="s">
        <v>199</v>
      </c>
      <c r="BX449" s="2" t="s">
        <v>260</v>
      </c>
      <c r="BY449" s="2" t="s">
        <v>209</v>
      </c>
      <c r="BZ449" s="2" t="s">
        <v>196</v>
      </c>
      <c r="CA449" s="2" t="s">
        <v>2678</v>
      </c>
      <c r="CB449" s="2" t="s">
        <v>912</v>
      </c>
      <c r="CC449" s="2" t="s">
        <v>212</v>
      </c>
      <c r="CD449" s="2" t="s">
        <v>199</v>
      </c>
      <c r="CE449" s="4">
        <v>2</v>
      </c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>
        <v>80</v>
      </c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>
        <v>2</v>
      </c>
      <c r="EU449" s="4"/>
      <c r="EV449" s="4"/>
      <c r="EW449" s="4"/>
      <c r="EX449" s="4"/>
      <c r="EY449" s="4"/>
      <c r="EZ449" s="4"/>
      <c r="FA449" s="4"/>
      <c r="FB449" s="4">
        <v>80</v>
      </c>
      <c r="FC449" s="4">
        <v>78</v>
      </c>
      <c r="FD449" s="4">
        <v>76</v>
      </c>
      <c r="FE449" s="4">
        <v>74</v>
      </c>
      <c r="FF449" s="4">
        <v>72</v>
      </c>
      <c r="FG449" s="4">
        <v>70</v>
      </c>
      <c r="FH449" s="4">
        <v>68</v>
      </c>
      <c r="FI449" s="4">
        <v>66</v>
      </c>
      <c r="FJ449" s="4">
        <v>64</v>
      </c>
      <c r="FK449" s="4">
        <v>62</v>
      </c>
      <c r="FL449" s="4">
        <v>60</v>
      </c>
      <c r="FM449" s="4">
        <v>58</v>
      </c>
      <c r="FN449" s="4">
        <v>56</v>
      </c>
      <c r="FO449" s="4">
        <v>54</v>
      </c>
      <c r="FP449" s="4">
        <v>52</v>
      </c>
      <c r="FQ449" s="4">
        <v>50</v>
      </c>
      <c r="FR449" s="4">
        <v>48</v>
      </c>
      <c r="FS449" s="4">
        <v>46</v>
      </c>
      <c r="FT449" s="19">
        <v>1</v>
      </c>
      <c r="FU449" s="20">
        <v>0</v>
      </c>
      <c r="FV449" s="20">
        <v>0</v>
      </c>
      <c r="FW449" s="20">
        <v>0</v>
      </c>
      <c r="FX449" s="20">
        <v>0</v>
      </c>
      <c r="FY449" s="20">
        <v>0</v>
      </c>
      <c r="FZ449" s="20">
        <v>0</v>
      </c>
      <c r="GA449" s="20">
        <v>0</v>
      </c>
      <c r="GB449" s="19">
        <v>40</v>
      </c>
      <c r="GC449" s="19">
        <v>39</v>
      </c>
      <c r="GD449" s="19">
        <v>38</v>
      </c>
      <c r="GE449" s="19">
        <v>37</v>
      </c>
      <c r="GF449" s="19">
        <v>36</v>
      </c>
      <c r="GG449" s="19">
        <v>35</v>
      </c>
      <c r="GH449" s="19">
        <v>34</v>
      </c>
      <c r="GI449" s="19">
        <v>33</v>
      </c>
      <c r="GJ449" s="19">
        <v>32</v>
      </c>
      <c r="GK449" s="19">
        <v>31</v>
      </c>
      <c r="GL449" s="19">
        <v>30</v>
      </c>
      <c r="GM449" s="19">
        <v>29</v>
      </c>
      <c r="GN449" s="19">
        <v>28</v>
      </c>
      <c r="GO449" s="19">
        <v>27</v>
      </c>
      <c r="GP449" s="19">
        <v>26</v>
      </c>
      <c r="GQ449" s="19">
        <v>25</v>
      </c>
      <c r="GR449" s="19">
        <v>24</v>
      </c>
      <c r="GS449" s="19">
        <v>23</v>
      </c>
    </row>
    <row r="450">
      <c r="A450" s="2" t="s">
        <v>2686</v>
      </c>
      <c r="B450" s="2" t="s">
        <v>245</v>
      </c>
      <c r="C450" s="2" t="s">
        <v>2672</v>
      </c>
      <c r="D450" s="2" t="s">
        <v>247</v>
      </c>
      <c r="E450" s="2" t="s">
        <v>248</v>
      </c>
      <c r="F450" s="2" t="s">
        <v>2673</v>
      </c>
      <c r="G450" s="2" t="s">
        <v>2673</v>
      </c>
      <c r="H450" s="2" t="s">
        <v>2673</v>
      </c>
      <c r="I450" s="2" t="s">
        <v>2674</v>
      </c>
      <c r="J450" s="2" t="s">
        <v>2681</v>
      </c>
      <c r="K450" s="2" t="s">
        <v>252</v>
      </c>
      <c r="L450" s="3">
        <v>18.57</v>
      </c>
      <c r="M450" s="3">
        <v>19.5</v>
      </c>
      <c r="N450" s="3">
        <v>49.99</v>
      </c>
      <c r="O450" s="2" t="s">
        <v>196</v>
      </c>
      <c r="P450" s="2" t="s">
        <v>197</v>
      </c>
      <c r="Q450" s="2" t="s">
        <v>198</v>
      </c>
      <c r="R450" s="2" t="s">
        <v>199</v>
      </c>
      <c r="S450" s="2" t="s">
        <v>199</v>
      </c>
      <c r="T450" s="2" t="s">
        <v>300</v>
      </c>
      <c r="U450" s="2" t="s">
        <v>199</v>
      </c>
      <c r="V450" s="2" t="s">
        <v>202</v>
      </c>
      <c r="W450" s="2" t="s">
        <v>255</v>
      </c>
      <c r="X450" s="2" t="s">
        <v>199</v>
      </c>
      <c r="Y450" s="2" t="s">
        <v>2675</v>
      </c>
      <c r="Z450" s="4"/>
      <c r="AA450" s="4">
        <f>=ROUNDDOWN({0},0)</f>
      </c>
      <c r="AB450" s="5">
        <v>4</v>
      </c>
      <c r="AC450" s="2" t="s">
        <v>377</v>
      </c>
      <c r="AD450" s="4">
        <v>112</v>
      </c>
      <c r="AE450" s="4">
        <v>112</v>
      </c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199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199</v>
      </c>
      <c r="AW450" s="8" t="s">
        <v>199</v>
      </c>
      <c r="AX450" s="4" t="s">
        <v>199</v>
      </c>
      <c r="AY450" s="8" t="s">
        <v>199</v>
      </c>
      <c r="AZ450" s="7" t="s">
        <v>199</v>
      </c>
      <c r="BA450" s="7" t="s">
        <v>199</v>
      </c>
      <c r="BB450" s="7"/>
      <c r="BC450" s="4" t="s">
        <v>199</v>
      </c>
      <c r="BD450" s="8" t="s">
        <v>199</v>
      </c>
      <c r="BE450" s="4" t="s">
        <v>199</v>
      </c>
      <c r="BF450" s="8" t="s">
        <v>199</v>
      </c>
      <c r="BG450" s="7" t="s">
        <v>199</v>
      </c>
      <c r="BH450" s="7" t="s">
        <v>199</v>
      </c>
      <c r="BI450" s="7"/>
      <c r="BJ450" s="4"/>
      <c r="BK450" s="8"/>
      <c r="BL450" s="2" t="s">
        <v>2687</v>
      </c>
      <c r="BM450" s="7"/>
      <c r="BN450" s="7"/>
      <c r="BO450" s="4"/>
      <c r="BP450" s="8"/>
      <c r="BQ450" s="4"/>
      <c r="BR450" s="8"/>
      <c r="BS450" s="7"/>
      <c r="BT450" s="7"/>
      <c r="BU450" s="2" t="s">
        <v>2677</v>
      </c>
      <c r="BV450" s="2" t="s">
        <v>199</v>
      </c>
      <c r="BW450" s="2" t="s">
        <v>199</v>
      </c>
      <c r="BX450" s="2" t="s">
        <v>260</v>
      </c>
      <c r="BY450" s="2" t="s">
        <v>209</v>
      </c>
      <c r="BZ450" s="2" t="s">
        <v>196</v>
      </c>
      <c r="CA450" s="2" t="s">
        <v>2678</v>
      </c>
      <c r="CB450" s="2" t="s">
        <v>2688</v>
      </c>
      <c r="CC450" s="2" t="s">
        <v>212</v>
      </c>
      <c r="CD450" s="2" t="s">
        <v>199</v>
      </c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>
        <v>112</v>
      </c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>
        <v>112</v>
      </c>
      <c r="FC450" s="4">
        <v>101</v>
      </c>
      <c r="FD450" s="4">
        <v>97</v>
      </c>
      <c r="FE450" s="4">
        <v>93</v>
      </c>
      <c r="FF450" s="4">
        <v>89</v>
      </c>
      <c r="FG450" s="4">
        <v>85</v>
      </c>
      <c r="FH450" s="4">
        <v>81</v>
      </c>
      <c r="FI450" s="4">
        <v>77</v>
      </c>
      <c r="FJ450" s="4">
        <v>73</v>
      </c>
      <c r="FK450" s="4">
        <v>69</v>
      </c>
      <c r="FL450" s="4">
        <v>65</v>
      </c>
      <c r="FM450" s="4">
        <v>61</v>
      </c>
      <c r="FN450" s="4">
        <v>57</v>
      </c>
      <c r="FO450" s="4">
        <v>53</v>
      </c>
      <c r="FP450" s="4">
        <v>49</v>
      </c>
      <c r="FQ450" s="4">
        <v>45</v>
      </c>
      <c r="FR450" s="4">
        <v>41</v>
      </c>
      <c r="FS450" s="4">
        <v>37</v>
      </c>
      <c r="FT450" s="20">
        <v>0</v>
      </c>
      <c r="FU450" s="20">
        <v>0</v>
      </c>
      <c r="FV450" s="20">
        <v>0</v>
      </c>
      <c r="FW450" s="20">
        <v>0</v>
      </c>
      <c r="FX450" s="20">
        <v>0</v>
      </c>
      <c r="FY450" s="20">
        <v>0</v>
      </c>
      <c r="FZ450" s="20">
        <v>0</v>
      </c>
      <c r="GA450" s="20">
        <v>0</v>
      </c>
      <c r="GB450" s="19">
        <v>18.7</v>
      </c>
      <c r="GC450" s="19">
        <v>25.3</v>
      </c>
      <c r="GD450" s="19">
        <v>24.3</v>
      </c>
      <c r="GE450" s="19">
        <v>23.3</v>
      </c>
      <c r="GF450" s="19">
        <v>22.3</v>
      </c>
      <c r="GG450" s="19">
        <v>21.3</v>
      </c>
      <c r="GH450" s="19">
        <v>20.3</v>
      </c>
      <c r="GI450" s="19">
        <v>19.3</v>
      </c>
      <c r="GJ450" s="19">
        <v>18.3</v>
      </c>
      <c r="GK450" s="19">
        <v>17.3</v>
      </c>
      <c r="GL450" s="19">
        <v>16.3</v>
      </c>
      <c r="GM450" s="19">
        <v>15.3</v>
      </c>
      <c r="GN450" s="19">
        <v>14.3</v>
      </c>
      <c r="GO450" s="19">
        <v>13.3</v>
      </c>
      <c r="GP450" s="19">
        <v>12.3</v>
      </c>
      <c r="GQ450" s="19">
        <v>11.3</v>
      </c>
      <c r="GR450" s="19">
        <v>10.3</v>
      </c>
      <c r="GS450" s="19">
        <v>9.3</v>
      </c>
    </row>
    <row r="451">
      <c r="A451" s="2" t="s">
        <v>2689</v>
      </c>
      <c r="B451" s="2" t="s">
        <v>245</v>
      </c>
      <c r="C451" s="2" t="s">
        <v>2672</v>
      </c>
      <c r="D451" s="2" t="s">
        <v>247</v>
      </c>
      <c r="E451" s="2" t="s">
        <v>248</v>
      </c>
      <c r="F451" s="2" t="s">
        <v>2673</v>
      </c>
      <c r="G451" s="2" t="s">
        <v>2673</v>
      </c>
      <c r="H451" s="2" t="s">
        <v>2673</v>
      </c>
      <c r="I451" s="2" t="s">
        <v>2674</v>
      </c>
      <c r="J451" s="2" t="s">
        <v>223</v>
      </c>
      <c r="K451" s="2" t="s">
        <v>233</v>
      </c>
      <c r="L451" s="3">
        <v>22.28</v>
      </c>
      <c r="M451" s="3">
        <v>23.39</v>
      </c>
      <c r="N451" s="3">
        <v>59.99</v>
      </c>
      <c r="O451" s="2" t="s">
        <v>196</v>
      </c>
      <c r="P451" s="2" t="s">
        <v>197</v>
      </c>
      <c r="Q451" s="2" t="s">
        <v>198</v>
      </c>
      <c r="R451" s="2" t="s">
        <v>199</v>
      </c>
      <c r="S451" s="2" t="s">
        <v>199</v>
      </c>
      <c r="T451" s="2" t="s">
        <v>300</v>
      </c>
      <c r="U451" s="2" t="s">
        <v>199</v>
      </c>
      <c r="V451" s="2" t="s">
        <v>202</v>
      </c>
      <c r="W451" s="2" t="s">
        <v>255</v>
      </c>
      <c r="X451" s="2" t="s">
        <v>199</v>
      </c>
      <c r="Y451" s="2" t="s">
        <v>2675</v>
      </c>
      <c r="Z451" s="4">
        <v>60</v>
      </c>
      <c r="AA451" s="4">
        <f>=ROUNDDOWN(22.2222222222222,0)</f>
      </c>
      <c r="AB451" s="5">
        <v>2.7</v>
      </c>
      <c r="AC451" s="2" t="s">
        <v>387</v>
      </c>
      <c r="AD451" s="4">
        <v>40</v>
      </c>
      <c r="AE451" s="4">
        <v>40</v>
      </c>
      <c r="AF451" s="6">
        <v>65</v>
      </c>
      <c r="AG451" s="6"/>
      <c r="AH451" s="7">
        <v>0</v>
      </c>
      <c r="AI451" s="4"/>
      <c r="AJ451" s="4">
        <f>=ROUNDDOWN({0},0)</f>
      </c>
      <c r="AK451" s="5"/>
      <c r="AL451" s="2" t="s">
        <v>199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199</v>
      </c>
      <c r="AW451" s="8" t="s">
        <v>199</v>
      </c>
      <c r="AX451" s="4" t="s">
        <v>199</v>
      </c>
      <c r="AY451" s="8" t="s">
        <v>199</v>
      </c>
      <c r="AZ451" s="7" t="s">
        <v>199</v>
      </c>
      <c r="BA451" s="7" t="s">
        <v>199</v>
      </c>
      <c r="BB451" s="7"/>
      <c r="BC451" s="4" t="s">
        <v>199</v>
      </c>
      <c r="BD451" s="8" t="s">
        <v>199</v>
      </c>
      <c r="BE451" s="4" t="s">
        <v>199</v>
      </c>
      <c r="BF451" s="8" t="s">
        <v>199</v>
      </c>
      <c r="BG451" s="7" t="s">
        <v>199</v>
      </c>
      <c r="BH451" s="7" t="s">
        <v>199</v>
      </c>
      <c r="BI451" s="7"/>
      <c r="BJ451" s="4"/>
      <c r="BK451" s="8"/>
      <c r="BL451" s="2" t="s">
        <v>199</v>
      </c>
      <c r="BM451" s="7"/>
      <c r="BN451" s="7"/>
      <c r="BO451" s="4"/>
      <c r="BP451" s="8"/>
      <c r="BQ451" s="4"/>
      <c r="BR451" s="8"/>
      <c r="BS451" s="7"/>
      <c r="BT451" s="7"/>
      <c r="BU451" s="2" t="s">
        <v>2677</v>
      </c>
      <c r="BV451" s="2" t="s">
        <v>199</v>
      </c>
      <c r="BW451" s="2" t="s">
        <v>199</v>
      </c>
      <c r="BX451" s="2" t="s">
        <v>260</v>
      </c>
      <c r="BY451" s="2" t="s">
        <v>209</v>
      </c>
      <c r="BZ451" s="2" t="s">
        <v>196</v>
      </c>
      <c r="CA451" s="2" t="s">
        <v>2678</v>
      </c>
      <c r="CB451" s="2" t="s">
        <v>2690</v>
      </c>
      <c r="CC451" s="2" t="s">
        <v>212</v>
      </c>
      <c r="CD451" s="2" t="s">
        <v>199</v>
      </c>
      <c r="CE451" s="4"/>
      <c r="CF451" s="4"/>
      <c r="CG451" s="4"/>
      <c r="CH451" s="4"/>
      <c r="CI451" s="4"/>
      <c r="CJ451" s="4"/>
      <c r="CK451" s="4"/>
      <c r="CL451" s="4">
        <v>60</v>
      </c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>
        <v>40</v>
      </c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>
        <v>60</v>
      </c>
      <c r="EU451" s="4">
        <v>57</v>
      </c>
      <c r="EV451" s="4">
        <v>54</v>
      </c>
      <c r="EW451" s="4">
        <v>91</v>
      </c>
      <c r="EX451" s="4">
        <v>88</v>
      </c>
      <c r="EY451" s="4">
        <v>85</v>
      </c>
      <c r="EZ451" s="4">
        <v>82</v>
      </c>
      <c r="FA451" s="4">
        <v>79</v>
      </c>
      <c r="FB451" s="4">
        <v>76</v>
      </c>
      <c r="FC451" s="4">
        <v>73</v>
      </c>
      <c r="FD451" s="4">
        <v>70</v>
      </c>
      <c r="FE451" s="4">
        <v>67</v>
      </c>
      <c r="FF451" s="4">
        <v>64</v>
      </c>
      <c r="FG451" s="4">
        <v>61</v>
      </c>
      <c r="FH451" s="4">
        <v>58</v>
      </c>
      <c r="FI451" s="4">
        <v>55</v>
      </c>
      <c r="FJ451" s="4">
        <v>52</v>
      </c>
      <c r="FK451" s="4">
        <v>49</v>
      </c>
      <c r="FL451" s="4">
        <v>46</v>
      </c>
      <c r="FM451" s="4">
        <v>43</v>
      </c>
      <c r="FN451" s="4">
        <v>40</v>
      </c>
      <c r="FO451" s="4">
        <v>37</v>
      </c>
      <c r="FP451" s="4">
        <v>34</v>
      </c>
      <c r="FQ451" s="4">
        <v>31</v>
      </c>
      <c r="FR451" s="4">
        <v>28</v>
      </c>
      <c r="FS451" s="4">
        <v>25</v>
      </c>
      <c r="FT451" s="19">
        <v>20</v>
      </c>
      <c r="FU451" s="19">
        <v>19</v>
      </c>
      <c r="FV451" s="19">
        <v>18</v>
      </c>
      <c r="FW451" s="19">
        <v>30.3</v>
      </c>
      <c r="FX451" s="19">
        <v>29.3</v>
      </c>
      <c r="FY451" s="19">
        <v>28.3</v>
      </c>
      <c r="FZ451" s="19">
        <v>27.3</v>
      </c>
      <c r="GA451" s="19">
        <v>26.3</v>
      </c>
      <c r="GB451" s="19">
        <v>25.3</v>
      </c>
      <c r="GC451" s="19">
        <v>24.3</v>
      </c>
      <c r="GD451" s="19">
        <v>23.3</v>
      </c>
      <c r="GE451" s="19">
        <v>22.3</v>
      </c>
      <c r="GF451" s="19">
        <v>21.3</v>
      </c>
      <c r="GG451" s="19">
        <v>20.3</v>
      </c>
      <c r="GH451" s="19">
        <v>19.3</v>
      </c>
      <c r="GI451" s="19">
        <v>18.3</v>
      </c>
      <c r="GJ451" s="19">
        <v>17.3</v>
      </c>
      <c r="GK451" s="19">
        <v>16.3</v>
      </c>
      <c r="GL451" s="19">
        <v>15.3</v>
      </c>
      <c r="GM451" s="19">
        <v>14.3</v>
      </c>
      <c r="GN451" s="19">
        <v>13.3</v>
      </c>
      <c r="GO451" s="19">
        <v>12.3</v>
      </c>
      <c r="GP451" s="19">
        <v>11.3</v>
      </c>
      <c r="GQ451" s="19">
        <v>10.3</v>
      </c>
      <c r="GR451" s="19">
        <v>9.3</v>
      </c>
      <c r="GS451" s="19">
        <v>8.3</v>
      </c>
    </row>
    <row r="452">
      <c r="A452" s="2" t="s">
        <v>2691</v>
      </c>
      <c r="B452" s="2" t="s">
        <v>245</v>
      </c>
      <c r="C452" s="2" t="s">
        <v>2672</v>
      </c>
      <c r="D452" s="2" t="s">
        <v>247</v>
      </c>
      <c r="E452" s="2" t="s">
        <v>248</v>
      </c>
      <c r="F452" s="2" t="s">
        <v>2673</v>
      </c>
      <c r="G452" s="2" t="s">
        <v>2673</v>
      </c>
      <c r="H452" s="2" t="s">
        <v>2673</v>
      </c>
      <c r="I452" s="2" t="s">
        <v>2674</v>
      </c>
      <c r="J452" s="2" t="s">
        <v>2681</v>
      </c>
      <c r="K452" s="2" t="s">
        <v>233</v>
      </c>
      <c r="L452" s="3">
        <v>18.57</v>
      </c>
      <c r="M452" s="3">
        <v>19.5</v>
      </c>
      <c r="N452" s="3">
        <v>49.99</v>
      </c>
      <c r="O452" s="2" t="s">
        <v>196</v>
      </c>
      <c r="P452" s="2" t="s">
        <v>197</v>
      </c>
      <c r="Q452" s="2" t="s">
        <v>198</v>
      </c>
      <c r="R452" s="2" t="s">
        <v>199</v>
      </c>
      <c r="S452" s="2" t="s">
        <v>199</v>
      </c>
      <c r="T452" s="2" t="s">
        <v>300</v>
      </c>
      <c r="U452" s="2" t="s">
        <v>199</v>
      </c>
      <c r="V452" s="2" t="s">
        <v>202</v>
      </c>
      <c r="W452" s="2" t="s">
        <v>255</v>
      </c>
      <c r="X452" s="2" t="s">
        <v>199</v>
      </c>
      <c r="Y452" s="2" t="s">
        <v>2675</v>
      </c>
      <c r="Z452" s="4">
        <v>52</v>
      </c>
      <c r="AA452" s="4">
        <f>=ROUNDDOWN(13,0)</f>
      </c>
      <c r="AB452" s="5">
        <v>4</v>
      </c>
      <c r="AC452" s="2" t="s">
        <v>387</v>
      </c>
      <c r="AD452" s="4">
        <v>72</v>
      </c>
      <c r="AE452" s="4">
        <v>72</v>
      </c>
      <c r="AF452" s="6">
        <v>65</v>
      </c>
      <c r="AG452" s="6"/>
      <c r="AH452" s="7">
        <v>0</v>
      </c>
      <c r="AI452" s="4"/>
      <c r="AJ452" s="4">
        <f>=ROUNDDOWN({0},0)</f>
      </c>
      <c r="AK452" s="5"/>
      <c r="AL452" s="2" t="s">
        <v>199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199</v>
      </c>
      <c r="AW452" s="8" t="s">
        <v>199</v>
      </c>
      <c r="AX452" s="4" t="s">
        <v>199</v>
      </c>
      <c r="AY452" s="8" t="s">
        <v>199</v>
      </c>
      <c r="AZ452" s="7" t="s">
        <v>199</v>
      </c>
      <c r="BA452" s="7" t="s">
        <v>199</v>
      </c>
      <c r="BB452" s="7"/>
      <c r="BC452" s="4" t="s">
        <v>199</v>
      </c>
      <c r="BD452" s="8" t="s">
        <v>199</v>
      </c>
      <c r="BE452" s="4" t="s">
        <v>199</v>
      </c>
      <c r="BF452" s="8" t="s">
        <v>199</v>
      </c>
      <c r="BG452" s="7" t="s">
        <v>199</v>
      </c>
      <c r="BH452" s="7" t="s">
        <v>199</v>
      </c>
      <c r="BI452" s="7"/>
      <c r="BJ452" s="4"/>
      <c r="BK452" s="8"/>
      <c r="BL452" s="2" t="s">
        <v>2552</v>
      </c>
      <c r="BM452" s="7"/>
      <c r="BN452" s="7"/>
      <c r="BO452" s="4"/>
      <c r="BP452" s="8"/>
      <c r="BQ452" s="4"/>
      <c r="BR452" s="8"/>
      <c r="BS452" s="7"/>
      <c r="BT452" s="7"/>
      <c r="BU452" s="2" t="s">
        <v>2677</v>
      </c>
      <c r="BV452" s="2" t="s">
        <v>199</v>
      </c>
      <c r="BW452" s="2" t="s">
        <v>199</v>
      </c>
      <c r="BX452" s="2" t="s">
        <v>260</v>
      </c>
      <c r="BY452" s="2" t="s">
        <v>209</v>
      </c>
      <c r="BZ452" s="2" t="s">
        <v>196</v>
      </c>
      <c r="CA452" s="2" t="s">
        <v>2678</v>
      </c>
      <c r="CB452" s="2" t="s">
        <v>2692</v>
      </c>
      <c r="CC452" s="2" t="s">
        <v>212</v>
      </c>
      <c r="CD452" s="2" t="s">
        <v>199</v>
      </c>
      <c r="CE452" s="4"/>
      <c r="CF452" s="4"/>
      <c r="CG452" s="4"/>
      <c r="CH452" s="4"/>
      <c r="CI452" s="4"/>
      <c r="CJ452" s="4"/>
      <c r="CK452" s="4"/>
      <c r="CL452" s="4">
        <v>52</v>
      </c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>
        <v>72</v>
      </c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>
        <v>52</v>
      </c>
      <c r="EU452" s="4">
        <v>48</v>
      </c>
      <c r="EV452" s="4">
        <v>44</v>
      </c>
      <c r="EW452" s="4">
        <v>112</v>
      </c>
      <c r="EX452" s="4">
        <v>108</v>
      </c>
      <c r="EY452" s="4">
        <v>104</v>
      </c>
      <c r="EZ452" s="4">
        <v>100</v>
      </c>
      <c r="FA452" s="4">
        <v>96</v>
      </c>
      <c r="FB452" s="4">
        <v>92</v>
      </c>
      <c r="FC452" s="4">
        <v>88</v>
      </c>
      <c r="FD452" s="4">
        <v>84</v>
      </c>
      <c r="FE452" s="4">
        <v>80</v>
      </c>
      <c r="FF452" s="4">
        <v>76</v>
      </c>
      <c r="FG452" s="4">
        <v>72</v>
      </c>
      <c r="FH452" s="4">
        <v>68</v>
      </c>
      <c r="FI452" s="4">
        <v>64</v>
      </c>
      <c r="FJ452" s="4">
        <v>60</v>
      </c>
      <c r="FK452" s="4">
        <v>56</v>
      </c>
      <c r="FL452" s="4">
        <v>52</v>
      </c>
      <c r="FM452" s="4">
        <v>48</v>
      </c>
      <c r="FN452" s="4">
        <v>44</v>
      </c>
      <c r="FO452" s="4">
        <v>40</v>
      </c>
      <c r="FP452" s="4">
        <v>36</v>
      </c>
      <c r="FQ452" s="4">
        <v>32</v>
      </c>
      <c r="FR452" s="4">
        <v>28</v>
      </c>
      <c r="FS452" s="4">
        <v>24</v>
      </c>
      <c r="FT452" s="19">
        <v>13</v>
      </c>
      <c r="FU452" s="19">
        <v>12</v>
      </c>
      <c r="FV452" s="19">
        <v>11</v>
      </c>
      <c r="FW452" s="19">
        <v>28</v>
      </c>
      <c r="FX452" s="19">
        <v>27</v>
      </c>
      <c r="FY452" s="19">
        <v>26</v>
      </c>
      <c r="FZ452" s="19">
        <v>25</v>
      </c>
      <c r="GA452" s="19">
        <v>24</v>
      </c>
      <c r="GB452" s="19">
        <v>23</v>
      </c>
      <c r="GC452" s="19">
        <v>22</v>
      </c>
      <c r="GD452" s="19">
        <v>21</v>
      </c>
      <c r="GE452" s="19">
        <v>20</v>
      </c>
      <c r="GF452" s="19">
        <v>19</v>
      </c>
      <c r="GG452" s="19">
        <v>18</v>
      </c>
      <c r="GH452" s="19">
        <v>17</v>
      </c>
      <c r="GI452" s="19">
        <v>16</v>
      </c>
      <c r="GJ452" s="19">
        <v>15</v>
      </c>
      <c r="GK452" s="19">
        <v>14</v>
      </c>
      <c r="GL452" s="19">
        <v>13</v>
      </c>
      <c r="GM452" s="19">
        <v>12</v>
      </c>
      <c r="GN452" s="19">
        <v>11</v>
      </c>
      <c r="GO452" s="19">
        <v>10</v>
      </c>
      <c r="GP452" s="19">
        <v>9</v>
      </c>
      <c r="GQ452" s="19">
        <v>8</v>
      </c>
      <c r="GR452" s="19">
        <v>7</v>
      </c>
      <c r="GS452" s="19">
        <v>6</v>
      </c>
    </row>
    <row r="453">
      <c r="A453" s="2" t="s">
        <v>2693</v>
      </c>
      <c r="B453" s="2" t="s">
        <v>630</v>
      </c>
      <c r="C453" s="2" t="s">
        <v>604</v>
      </c>
      <c r="D453" s="2" t="s">
        <v>228</v>
      </c>
      <c r="E453" s="2" t="s">
        <v>988</v>
      </c>
      <c r="F453" s="2" t="s">
        <v>2694</v>
      </c>
      <c r="G453" s="2" t="s">
        <v>2694</v>
      </c>
      <c r="H453" s="2" t="s">
        <v>2694</v>
      </c>
      <c r="I453" s="2" t="s">
        <v>2695</v>
      </c>
      <c r="J453" s="2" t="s">
        <v>241</v>
      </c>
      <c r="K453" s="2" t="s">
        <v>233</v>
      </c>
      <c r="L453" s="3">
        <v>75</v>
      </c>
      <c r="M453" s="3">
        <v>78.74</v>
      </c>
      <c r="N453" s="3">
        <v>149.99</v>
      </c>
      <c r="O453" s="2" t="s">
        <v>196</v>
      </c>
      <c r="P453" s="2" t="s">
        <v>197</v>
      </c>
      <c r="Q453" s="2" t="s">
        <v>198</v>
      </c>
      <c r="R453" s="2" t="s">
        <v>199</v>
      </c>
      <c r="S453" s="2" t="s">
        <v>2696</v>
      </c>
      <c r="T453" s="2" t="s">
        <v>1906</v>
      </c>
      <c r="U453" s="2" t="s">
        <v>637</v>
      </c>
      <c r="V453" s="2" t="s">
        <v>202</v>
      </c>
      <c r="W453" s="2" t="s">
        <v>2697</v>
      </c>
      <c r="X453" s="2" t="s">
        <v>203</v>
      </c>
      <c r="Y453" s="2" t="s">
        <v>204</v>
      </c>
      <c r="Z453" s="4">
        <v>143</v>
      </c>
      <c r="AA453" s="4">
        <f>=ROUNDDOWN(43.3333333333333,0)</f>
      </c>
      <c r="AB453" s="5">
        <v>3.3</v>
      </c>
      <c r="AC453" s="2" t="s">
        <v>199</v>
      </c>
      <c r="AD453" s="4"/>
      <c r="AE453" s="4"/>
      <c r="AF453" s="6">
        <v>67</v>
      </c>
      <c r="AG453" s="6"/>
      <c r="AH453" s="7">
        <v>1</v>
      </c>
      <c r="AI453" s="4"/>
      <c r="AJ453" s="4">
        <f>=ROUNDDOWN({0},0)</f>
      </c>
      <c r="AK453" s="5"/>
      <c r="AL453" s="2" t="s">
        <v>199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6</v>
      </c>
      <c r="BK453" s="8">
        <v>492.35</v>
      </c>
      <c r="BL453" s="2" t="s">
        <v>2698</v>
      </c>
      <c r="BM453" s="7"/>
      <c r="BN453" s="7"/>
      <c r="BO453" s="4"/>
      <c r="BP453" s="8"/>
      <c r="BQ453" s="4"/>
      <c r="BR453" s="8"/>
      <c r="BS453" s="7"/>
      <c r="BT453" s="7"/>
      <c r="BU453" s="2" t="s">
        <v>2699</v>
      </c>
      <c r="BV453" s="2" t="s">
        <v>199</v>
      </c>
      <c r="BW453" s="2" t="s">
        <v>199</v>
      </c>
      <c r="BX453" s="2" t="s">
        <v>208</v>
      </c>
      <c r="BY453" s="2" t="s">
        <v>209</v>
      </c>
      <c r="BZ453" s="2" t="s">
        <v>196</v>
      </c>
      <c r="CA453" s="2" t="s">
        <v>210</v>
      </c>
      <c r="CB453" s="2" t="s">
        <v>2700</v>
      </c>
      <c r="CC453" s="2" t="s">
        <v>212</v>
      </c>
      <c r="CD453" s="2" t="s">
        <v>199</v>
      </c>
      <c r="CE453" s="4">
        <v>61</v>
      </c>
      <c r="CF453" s="4"/>
      <c r="CG453" s="4"/>
      <c r="CH453" s="4">
        <v>82</v>
      </c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>
        <v>145</v>
      </c>
      <c r="EU453" s="4">
        <v>141</v>
      </c>
      <c r="EV453" s="4">
        <v>138</v>
      </c>
      <c r="EW453" s="4">
        <v>135</v>
      </c>
      <c r="EX453" s="4">
        <v>132</v>
      </c>
      <c r="EY453" s="4">
        <v>129</v>
      </c>
      <c r="EZ453" s="4">
        <v>126</v>
      </c>
      <c r="FA453" s="4">
        <v>123</v>
      </c>
      <c r="FB453" s="4">
        <v>120</v>
      </c>
      <c r="FC453" s="4">
        <v>117</v>
      </c>
      <c r="FD453" s="4">
        <v>114</v>
      </c>
      <c r="FE453" s="4">
        <v>111</v>
      </c>
      <c r="FF453" s="4">
        <v>108</v>
      </c>
      <c r="FG453" s="4">
        <v>105</v>
      </c>
      <c r="FH453" s="4">
        <v>102</v>
      </c>
      <c r="FI453" s="4">
        <v>99</v>
      </c>
      <c r="FJ453" s="4">
        <v>96</v>
      </c>
      <c r="FK453" s="4">
        <v>93</v>
      </c>
      <c r="FL453" s="4">
        <v>90</v>
      </c>
      <c r="FM453" s="4">
        <v>87</v>
      </c>
      <c r="FN453" s="4">
        <v>84</v>
      </c>
      <c r="FO453" s="4">
        <v>81</v>
      </c>
      <c r="FP453" s="4">
        <v>78</v>
      </c>
      <c r="FQ453" s="4">
        <v>75</v>
      </c>
      <c r="FR453" s="4">
        <v>72</v>
      </c>
      <c r="FS453" s="4">
        <v>69</v>
      </c>
      <c r="FT453" s="19">
        <v>48.3</v>
      </c>
      <c r="FU453" s="19">
        <v>47</v>
      </c>
      <c r="FV453" s="19">
        <v>46</v>
      </c>
      <c r="FW453" s="19">
        <v>45</v>
      </c>
      <c r="FX453" s="19">
        <v>44</v>
      </c>
      <c r="FY453" s="19">
        <v>43</v>
      </c>
      <c r="FZ453" s="19">
        <v>42</v>
      </c>
      <c r="GA453" s="19">
        <v>41</v>
      </c>
      <c r="GB453" s="19">
        <v>40</v>
      </c>
      <c r="GC453" s="19">
        <v>39</v>
      </c>
      <c r="GD453" s="19">
        <v>38</v>
      </c>
      <c r="GE453" s="19">
        <v>37</v>
      </c>
      <c r="GF453" s="19">
        <v>36</v>
      </c>
      <c r="GG453" s="19">
        <v>35</v>
      </c>
      <c r="GH453" s="19">
        <v>34</v>
      </c>
      <c r="GI453" s="19">
        <v>33</v>
      </c>
      <c r="GJ453" s="19">
        <v>32</v>
      </c>
      <c r="GK453" s="19">
        <v>31</v>
      </c>
      <c r="GL453" s="19">
        <v>30</v>
      </c>
      <c r="GM453" s="19">
        <v>29</v>
      </c>
      <c r="GN453" s="19">
        <v>28</v>
      </c>
      <c r="GO453" s="19">
        <v>27</v>
      </c>
      <c r="GP453" s="19">
        <v>26</v>
      </c>
      <c r="GQ453" s="19">
        <v>25</v>
      </c>
      <c r="GR453" s="19">
        <v>24</v>
      </c>
      <c r="GS453" s="19">
        <v>23</v>
      </c>
    </row>
    <row r="454">
      <c r="A454" s="2" t="s">
        <v>2701</v>
      </c>
      <c r="B454" s="2" t="s">
        <v>613</v>
      </c>
      <c r="C454" s="2" t="s">
        <v>246</v>
      </c>
      <c r="D454" s="2" t="s">
        <v>2702</v>
      </c>
      <c r="E454" s="2" t="s">
        <v>2703</v>
      </c>
      <c r="F454" s="2" t="s">
        <v>2704</v>
      </c>
      <c r="G454" s="2" t="s">
        <v>2705</v>
      </c>
      <c r="H454" s="2" t="s">
        <v>2706</v>
      </c>
      <c r="I454" s="2" t="s">
        <v>2703</v>
      </c>
      <c r="J454" s="2" t="s">
        <v>559</v>
      </c>
      <c r="K454" s="2" t="s">
        <v>2707</v>
      </c>
      <c r="L454" s="3">
        <v>142.86</v>
      </c>
      <c r="M454" s="3">
        <v>150</v>
      </c>
      <c r="N454" s="3">
        <v>299</v>
      </c>
      <c r="O454" s="2" t="s">
        <v>196</v>
      </c>
      <c r="P454" s="2" t="s">
        <v>841</v>
      </c>
      <c r="Q454" s="2" t="s">
        <v>198</v>
      </c>
      <c r="R454" s="2" t="s">
        <v>199</v>
      </c>
      <c r="S454" s="2" t="s">
        <v>199</v>
      </c>
      <c r="T454" s="2" t="s">
        <v>199</v>
      </c>
      <c r="U454" s="2" t="s">
        <v>280</v>
      </c>
      <c r="V454" s="2" t="s">
        <v>202</v>
      </c>
      <c r="W454" s="2" t="s">
        <v>623</v>
      </c>
      <c r="X454" s="2" t="s">
        <v>199</v>
      </c>
      <c r="Y454" s="2" t="s">
        <v>2708</v>
      </c>
      <c r="Z454" s="4">
        <v>211</v>
      </c>
      <c r="AA454" s="4">
        <f>=ROUNDDOWN(42.2,0)</f>
      </c>
      <c r="AB454" s="5">
        <v>5</v>
      </c>
      <c r="AC454" s="2" t="s">
        <v>236</v>
      </c>
      <c r="AD454" s="4">
        <v>120</v>
      </c>
      <c r="AE454" s="4">
        <v>120</v>
      </c>
      <c r="AF454" s="6">
        <v>68</v>
      </c>
      <c r="AG454" s="6"/>
      <c r="AH454" s="7">
        <v>1</v>
      </c>
      <c r="AI454" s="4"/>
      <c r="AJ454" s="4">
        <f>=ROUNDDOWN({0},0)</f>
      </c>
      <c r="AK454" s="5"/>
      <c r="AL454" s="2" t="s">
        <v>199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199</v>
      </c>
      <c r="BD454" s="8" t="s">
        <v>199</v>
      </c>
      <c r="BE454" s="4" t="s">
        <v>199</v>
      </c>
      <c r="BF454" s="8" t="s">
        <v>199</v>
      </c>
      <c r="BG454" s="7" t="s">
        <v>199</v>
      </c>
      <c r="BH454" s="7" t="s">
        <v>199</v>
      </c>
      <c r="BI454" s="7"/>
      <c r="BJ454" s="4">
        <v>16</v>
      </c>
      <c r="BK454" s="8">
        <v>2166.78</v>
      </c>
      <c r="BL454" s="2" t="s">
        <v>2709</v>
      </c>
      <c r="BM454" s="7"/>
      <c r="BN454" s="7"/>
      <c r="BO454" s="4"/>
      <c r="BP454" s="8"/>
      <c r="BQ454" s="4"/>
      <c r="BR454" s="8"/>
      <c r="BS454" s="7"/>
      <c r="BT454" s="7"/>
      <c r="BU454" s="2" t="s">
        <v>2710</v>
      </c>
      <c r="BV454" s="2" t="s">
        <v>199</v>
      </c>
      <c r="BW454" s="2" t="s">
        <v>199</v>
      </c>
      <c r="BX454" s="2" t="s">
        <v>208</v>
      </c>
      <c r="BY454" s="2" t="s">
        <v>209</v>
      </c>
      <c r="BZ454" s="2" t="s">
        <v>196</v>
      </c>
      <c r="CA454" s="2" t="s">
        <v>2708</v>
      </c>
      <c r="CB454" s="2" t="s">
        <v>2711</v>
      </c>
      <c r="CC454" s="2" t="s">
        <v>212</v>
      </c>
      <c r="CD454" s="2" t="s">
        <v>199</v>
      </c>
      <c r="CE454" s="4"/>
      <c r="CF454" s="4">
        <v>211</v>
      </c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>
        <v>120</v>
      </c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>
        <v>219</v>
      </c>
      <c r="EU454" s="4">
        <v>211</v>
      </c>
      <c r="EV454" s="4">
        <v>206</v>
      </c>
      <c r="EW454" s="4">
        <v>202</v>
      </c>
      <c r="EX454" s="4">
        <v>198</v>
      </c>
      <c r="EY454" s="4">
        <v>194</v>
      </c>
      <c r="EZ454" s="4">
        <v>190</v>
      </c>
      <c r="FA454" s="4">
        <v>186</v>
      </c>
      <c r="FB454" s="4">
        <v>181</v>
      </c>
      <c r="FC454" s="4">
        <v>177</v>
      </c>
      <c r="FD454" s="4">
        <v>292</v>
      </c>
      <c r="FE454" s="4">
        <v>287</v>
      </c>
      <c r="FF454" s="4">
        <v>282</v>
      </c>
      <c r="FG454" s="4">
        <v>277</v>
      </c>
      <c r="FH454" s="4">
        <v>272</v>
      </c>
      <c r="FI454" s="4">
        <v>267</v>
      </c>
      <c r="FJ454" s="4">
        <v>262</v>
      </c>
      <c r="FK454" s="4">
        <v>257</v>
      </c>
      <c r="FL454" s="4">
        <v>252</v>
      </c>
      <c r="FM454" s="4">
        <v>247</v>
      </c>
      <c r="FN454" s="4">
        <v>242</v>
      </c>
      <c r="FO454" s="4">
        <v>237</v>
      </c>
      <c r="FP454" s="4">
        <v>231</v>
      </c>
      <c r="FQ454" s="4">
        <v>226</v>
      </c>
      <c r="FR454" s="4">
        <v>220</v>
      </c>
      <c r="FS454" s="4">
        <v>214</v>
      </c>
      <c r="FT454" s="19">
        <v>43.8</v>
      </c>
      <c r="FU454" s="19">
        <v>52.8</v>
      </c>
      <c r="FV454" s="19">
        <v>51.5</v>
      </c>
      <c r="FW454" s="19">
        <v>50.5</v>
      </c>
      <c r="FX454" s="19">
        <v>49.5</v>
      </c>
      <c r="FY454" s="19">
        <v>48.5</v>
      </c>
      <c r="FZ454" s="19">
        <v>47.5</v>
      </c>
      <c r="GA454" s="19">
        <v>37.2</v>
      </c>
      <c r="GB454" s="19">
        <v>36.2</v>
      </c>
      <c r="GC454" s="19">
        <v>35.4</v>
      </c>
      <c r="GD454" s="19">
        <v>58.4</v>
      </c>
      <c r="GE454" s="19">
        <v>57.4</v>
      </c>
      <c r="GF454" s="19">
        <v>56.4</v>
      </c>
      <c r="GG454" s="19">
        <v>55.4</v>
      </c>
      <c r="GH454" s="19">
        <v>54.4</v>
      </c>
      <c r="GI454" s="19">
        <v>53.4</v>
      </c>
      <c r="GJ454" s="19">
        <v>52.4</v>
      </c>
      <c r="GK454" s="19">
        <v>51.4</v>
      </c>
      <c r="GL454" s="19">
        <v>50.4</v>
      </c>
      <c r="GM454" s="19">
        <v>49.4</v>
      </c>
      <c r="GN454" s="19">
        <v>40.3</v>
      </c>
      <c r="GO454" s="19">
        <v>39.5</v>
      </c>
      <c r="GP454" s="19">
        <v>38.5</v>
      </c>
      <c r="GQ454" s="19">
        <v>37.7</v>
      </c>
      <c r="GR454" s="19">
        <v>36.7</v>
      </c>
      <c r="GS454" s="19">
        <v>35.7</v>
      </c>
    </row>
    <row r="455">
      <c r="A455" s="2" t="s">
        <v>2712</v>
      </c>
      <c r="B455" s="2" t="s">
        <v>613</v>
      </c>
      <c r="C455" s="2" t="s">
        <v>246</v>
      </c>
      <c r="D455" s="2" t="s">
        <v>2702</v>
      </c>
      <c r="E455" s="2" t="s">
        <v>2703</v>
      </c>
      <c r="F455" s="2" t="s">
        <v>2704</v>
      </c>
      <c r="G455" s="2" t="s">
        <v>2705</v>
      </c>
      <c r="H455" s="2" t="s">
        <v>2706</v>
      </c>
      <c r="I455" s="2" t="s">
        <v>2703</v>
      </c>
      <c r="J455" s="2" t="s">
        <v>559</v>
      </c>
      <c r="K455" s="2" t="s">
        <v>371</v>
      </c>
      <c r="L455" s="3">
        <v>142.86</v>
      </c>
      <c r="M455" s="3">
        <v>150</v>
      </c>
      <c r="N455" s="3">
        <v>299</v>
      </c>
      <c r="O455" s="2" t="s">
        <v>196</v>
      </c>
      <c r="P455" s="2" t="s">
        <v>841</v>
      </c>
      <c r="Q455" s="2" t="s">
        <v>198</v>
      </c>
      <c r="R455" s="2" t="s">
        <v>199</v>
      </c>
      <c r="S455" s="2" t="s">
        <v>199</v>
      </c>
      <c r="T455" s="2" t="s">
        <v>199</v>
      </c>
      <c r="U455" s="2" t="s">
        <v>280</v>
      </c>
      <c r="V455" s="2" t="s">
        <v>202</v>
      </c>
      <c r="W455" s="2" t="s">
        <v>623</v>
      </c>
      <c r="X455" s="2" t="s">
        <v>203</v>
      </c>
      <c r="Y455" s="2" t="s">
        <v>2713</v>
      </c>
      <c r="Z455" s="4">
        <v>50</v>
      </c>
      <c r="AA455" s="4">
        <f>=ROUNDDOWN(50,0)</f>
      </c>
      <c r="AB455" s="5">
        <v>1</v>
      </c>
      <c r="AC455" s="2" t="s">
        <v>199</v>
      </c>
      <c r="AD455" s="4"/>
      <c r="AE455" s="4"/>
      <c r="AF455" s="6">
        <v>68</v>
      </c>
      <c r="AG455" s="6"/>
      <c r="AH455" s="7">
        <v>1</v>
      </c>
      <c r="AI455" s="4"/>
      <c r="AJ455" s="4">
        <f>=ROUNDDOWN({0},0)</f>
      </c>
      <c r="AK455" s="5"/>
      <c r="AL455" s="2" t="s">
        <v>199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199</v>
      </c>
      <c r="BD455" s="8" t="s">
        <v>199</v>
      </c>
      <c r="BE455" s="4" t="s">
        <v>199</v>
      </c>
      <c r="BF455" s="8" t="s">
        <v>199</v>
      </c>
      <c r="BG455" s="7" t="s">
        <v>199</v>
      </c>
      <c r="BH455" s="7" t="s">
        <v>199</v>
      </c>
      <c r="BI455" s="7"/>
      <c r="BJ455" s="4">
        <v>8</v>
      </c>
      <c r="BK455" s="8">
        <v>1130.1</v>
      </c>
      <c r="BL455" s="2" t="s">
        <v>2714</v>
      </c>
      <c r="BM455" s="7"/>
      <c r="BN455" s="7"/>
      <c r="BO455" s="4"/>
      <c r="BP455" s="8"/>
      <c r="BQ455" s="4"/>
      <c r="BR455" s="8"/>
      <c r="BS455" s="7"/>
      <c r="BT455" s="7"/>
      <c r="BU455" s="2" t="s">
        <v>2710</v>
      </c>
      <c r="BV455" s="2" t="s">
        <v>199</v>
      </c>
      <c r="BW455" s="2" t="s">
        <v>199</v>
      </c>
      <c r="BX455" s="2" t="s">
        <v>208</v>
      </c>
      <c r="BY455" s="2" t="s">
        <v>209</v>
      </c>
      <c r="BZ455" s="2" t="s">
        <v>196</v>
      </c>
      <c r="CA455" s="2" t="s">
        <v>2715</v>
      </c>
      <c r="CB455" s="2" t="s">
        <v>1522</v>
      </c>
      <c r="CC455" s="2" t="s">
        <v>212</v>
      </c>
      <c r="CD455" s="2" t="s">
        <v>199</v>
      </c>
      <c r="CE455" s="4"/>
      <c r="CF455" s="4">
        <v>50</v>
      </c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>
        <v>50</v>
      </c>
      <c r="EU455" s="4">
        <v>49</v>
      </c>
      <c r="EV455" s="4">
        <v>48</v>
      </c>
      <c r="EW455" s="4">
        <v>47</v>
      </c>
      <c r="EX455" s="4">
        <v>46</v>
      </c>
      <c r="EY455" s="4">
        <v>45</v>
      </c>
      <c r="EZ455" s="4">
        <v>44</v>
      </c>
      <c r="FA455" s="4">
        <v>43</v>
      </c>
      <c r="FB455" s="4">
        <v>42</v>
      </c>
      <c r="FC455" s="4">
        <v>41</v>
      </c>
      <c r="FD455" s="4">
        <v>40</v>
      </c>
      <c r="FE455" s="4">
        <v>39</v>
      </c>
      <c r="FF455" s="4">
        <v>38</v>
      </c>
      <c r="FG455" s="4">
        <v>37</v>
      </c>
      <c r="FH455" s="4">
        <v>36</v>
      </c>
      <c r="FI455" s="4">
        <v>35</v>
      </c>
      <c r="FJ455" s="4">
        <v>34</v>
      </c>
      <c r="FK455" s="4">
        <v>33</v>
      </c>
      <c r="FL455" s="4">
        <v>32</v>
      </c>
      <c r="FM455" s="4">
        <v>31</v>
      </c>
      <c r="FN455" s="4">
        <v>30</v>
      </c>
      <c r="FO455" s="4">
        <v>29</v>
      </c>
      <c r="FP455" s="4">
        <v>28</v>
      </c>
      <c r="FQ455" s="4">
        <v>27</v>
      </c>
      <c r="FR455" s="4">
        <v>26</v>
      </c>
      <c r="FS455" s="4">
        <v>25</v>
      </c>
      <c r="FT455" s="19">
        <v>50</v>
      </c>
      <c r="FU455" s="19">
        <v>49</v>
      </c>
      <c r="FV455" s="19">
        <v>48</v>
      </c>
      <c r="FW455" s="19">
        <v>47</v>
      </c>
      <c r="FX455" s="19">
        <v>46</v>
      </c>
      <c r="FY455" s="19">
        <v>45</v>
      </c>
      <c r="FZ455" s="19">
        <v>44</v>
      </c>
      <c r="GA455" s="19">
        <v>43</v>
      </c>
      <c r="GB455" s="19">
        <v>42</v>
      </c>
      <c r="GC455" s="19">
        <v>41</v>
      </c>
      <c r="GD455" s="19">
        <v>40</v>
      </c>
      <c r="GE455" s="19">
        <v>39</v>
      </c>
      <c r="GF455" s="19">
        <v>38</v>
      </c>
      <c r="GG455" s="19">
        <v>37</v>
      </c>
      <c r="GH455" s="19">
        <v>36</v>
      </c>
      <c r="GI455" s="19">
        <v>35</v>
      </c>
      <c r="GJ455" s="19">
        <v>34</v>
      </c>
      <c r="GK455" s="19">
        <v>33</v>
      </c>
      <c r="GL455" s="19">
        <v>32</v>
      </c>
      <c r="GM455" s="19">
        <v>31</v>
      </c>
      <c r="GN455" s="19">
        <v>30</v>
      </c>
      <c r="GO455" s="19">
        <v>29</v>
      </c>
      <c r="GP455" s="19">
        <v>28</v>
      </c>
      <c r="GQ455" s="19">
        <v>27</v>
      </c>
      <c r="GR455" s="19">
        <v>26</v>
      </c>
      <c r="GS455" s="19">
        <v>25</v>
      </c>
    </row>
    <row r="456">
      <c r="A456" s="2" t="s">
        <v>2716</v>
      </c>
      <c r="B456" s="2" t="s">
        <v>672</v>
      </c>
      <c r="C456" s="2" t="s">
        <v>2446</v>
      </c>
      <c r="D456" s="2" t="s">
        <v>673</v>
      </c>
      <c r="E456" s="2" t="s">
        <v>674</v>
      </c>
      <c r="F456" s="2" t="s">
        <v>2717</v>
      </c>
      <c r="G456" s="2" t="s">
        <v>2718</v>
      </c>
      <c r="H456" s="2" t="s">
        <v>2719</v>
      </c>
      <c r="I456" s="2" t="s">
        <v>2720</v>
      </c>
      <c r="J456" s="2" t="s">
        <v>679</v>
      </c>
      <c r="K456" s="2" t="s">
        <v>723</v>
      </c>
      <c r="L456" s="3">
        <v>16.28</v>
      </c>
      <c r="M456" s="3">
        <v>17.09</v>
      </c>
      <c r="N456" s="3">
        <v>36.99</v>
      </c>
      <c r="O456" s="2" t="s">
        <v>196</v>
      </c>
      <c r="P456" s="2" t="s">
        <v>197</v>
      </c>
      <c r="Q456" s="2" t="s">
        <v>198</v>
      </c>
      <c r="R456" s="2" t="s">
        <v>199</v>
      </c>
      <c r="S456" s="2" t="s">
        <v>2721</v>
      </c>
      <c r="T456" s="2" t="s">
        <v>199</v>
      </c>
      <c r="U456" s="2" t="s">
        <v>199</v>
      </c>
      <c r="V456" s="2" t="s">
        <v>202</v>
      </c>
      <c r="W456" s="2" t="s">
        <v>203</v>
      </c>
      <c r="X456" s="2" t="s">
        <v>2452</v>
      </c>
      <c r="Y456" s="2" t="s">
        <v>2390</v>
      </c>
      <c r="Z456" s="4">
        <v>459</v>
      </c>
      <c r="AA456" s="4">
        <f>=ROUNDDOWN(38.25,0)</f>
      </c>
      <c r="AB456" s="5">
        <v>12</v>
      </c>
      <c r="AC456" s="2" t="s">
        <v>892</v>
      </c>
      <c r="AD456" s="4">
        <v>40</v>
      </c>
      <c r="AE456" s="4">
        <v>40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6</v>
      </c>
      <c r="BK456" s="8">
        <v>103.17</v>
      </c>
      <c r="BL456" s="2" t="s">
        <v>2722</v>
      </c>
      <c r="BM456" s="7"/>
      <c r="BN456" s="7"/>
      <c r="BO456" s="4"/>
      <c r="BP456" s="8"/>
      <c r="BQ456" s="4"/>
      <c r="BR456" s="8"/>
      <c r="BS456" s="7"/>
      <c r="BT456" s="7"/>
      <c r="BU456" s="2" t="s">
        <v>2723</v>
      </c>
      <c r="BV456" s="2" t="s">
        <v>199</v>
      </c>
      <c r="BW456" s="2" t="s">
        <v>199</v>
      </c>
      <c r="BX456" s="2" t="s">
        <v>208</v>
      </c>
      <c r="BY456" s="2" t="s">
        <v>209</v>
      </c>
      <c r="BZ456" s="2" t="s">
        <v>196</v>
      </c>
      <c r="CA456" s="2" t="s">
        <v>521</v>
      </c>
      <c r="CB456" s="2" t="s">
        <v>2724</v>
      </c>
      <c r="CC456" s="2" t="s">
        <v>212</v>
      </c>
      <c r="CD456" s="2" t="s">
        <v>199</v>
      </c>
      <c r="CE456" s="4">
        <v>459</v>
      </c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>
        <v>40</v>
      </c>
      <c r="EN456" s="4"/>
      <c r="EO456" s="4"/>
      <c r="EP456" s="4"/>
      <c r="EQ456" s="4"/>
      <c r="ER456" s="4"/>
      <c r="ES456" s="4"/>
      <c r="ET456" s="4">
        <v>459</v>
      </c>
      <c r="EU456" s="4">
        <v>447</v>
      </c>
      <c r="EV456" s="4">
        <v>437</v>
      </c>
      <c r="EW456" s="4">
        <v>427</v>
      </c>
      <c r="EX456" s="4">
        <v>417</v>
      </c>
      <c r="EY456" s="4">
        <v>405</v>
      </c>
      <c r="EZ456" s="4">
        <v>393</v>
      </c>
      <c r="FA456" s="4">
        <v>381</v>
      </c>
      <c r="FB456" s="4">
        <v>367</v>
      </c>
      <c r="FC456" s="4">
        <v>355</v>
      </c>
      <c r="FD456" s="4">
        <v>343</v>
      </c>
      <c r="FE456" s="4">
        <v>331</v>
      </c>
      <c r="FF456" s="4">
        <v>319</v>
      </c>
      <c r="FG456" s="4">
        <v>307</v>
      </c>
      <c r="FH456" s="4">
        <v>295</v>
      </c>
      <c r="FI456" s="4">
        <v>283</v>
      </c>
      <c r="FJ456" s="4">
        <v>311</v>
      </c>
      <c r="FK456" s="4">
        <v>299</v>
      </c>
      <c r="FL456" s="4">
        <v>287</v>
      </c>
      <c r="FM456" s="4">
        <v>275</v>
      </c>
      <c r="FN456" s="4">
        <v>263</v>
      </c>
      <c r="FO456" s="4">
        <v>251</v>
      </c>
      <c r="FP456" s="4">
        <v>237</v>
      </c>
      <c r="FQ456" s="4">
        <v>225</v>
      </c>
      <c r="FR456" s="4">
        <v>213</v>
      </c>
      <c r="FS456" s="4">
        <v>201</v>
      </c>
      <c r="FT456" s="19">
        <v>45.9</v>
      </c>
      <c r="FU456" s="19">
        <v>44.7</v>
      </c>
      <c r="FV456" s="19">
        <v>39.7</v>
      </c>
      <c r="FW456" s="19">
        <v>35.6</v>
      </c>
      <c r="FX456" s="19">
        <v>34.8</v>
      </c>
      <c r="FY456" s="19">
        <v>33.8</v>
      </c>
      <c r="FZ456" s="19">
        <v>32.8</v>
      </c>
      <c r="GA456" s="19">
        <v>31.8</v>
      </c>
      <c r="GB456" s="19">
        <v>30.6</v>
      </c>
      <c r="GC456" s="19">
        <v>29.6</v>
      </c>
      <c r="GD456" s="19">
        <v>28.6</v>
      </c>
      <c r="GE456" s="19">
        <v>27.6</v>
      </c>
      <c r="GF456" s="19">
        <v>26.6</v>
      </c>
      <c r="GG456" s="19">
        <v>25.6</v>
      </c>
      <c r="GH456" s="19">
        <v>24.6</v>
      </c>
      <c r="GI456" s="19">
        <v>23.6</v>
      </c>
      <c r="GJ456" s="19">
        <v>25.9</v>
      </c>
      <c r="GK456" s="19">
        <v>24.9</v>
      </c>
      <c r="GL456" s="19">
        <v>23.9</v>
      </c>
      <c r="GM456" s="19">
        <v>22.9</v>
      </c>
      <c r="GN456" s="19">
        <v>21.9</v>
      </c>
      <c r="GO456" s="19">
        <v>20.9</v>
      </c>
      <c r="GP456" s="19">
        <v>19.8</v>
      </c>
      <c r="GQ456" s="19">
        <v>18.8</v>
      </c>
      <c r="GR456" s="19">
        <v>17.8</v>
      </c>
      <c r="GS456" s="19">
        <v>16.8</v>
      </c>
    </row>
    <row r="457">
      <c r="A457" s="2" t="s">
        <v>2725</v>
      </c>
      <c r="B457" s="2" t="s">
        <v>630</v>
      </c>
      <c r="C457" s="2" t="s">
        <v>719</v>
      </c>
      <c r="D457" s="2" t="s">
        <v>228</v>
      </c>
      <c r="E457" s="2" t="s">
        <v>487</v>
      </c>
      <c r="F457" s="2" t="s">
        <v>2726</v>
      </c>
      <c r="G457" s="2" t="s">
        <v>2726</v>
      </c>
      <c r="H457" s="2" t="s">
        <v>2726</v>
      </c>
      <c r="I457" s="2" t="s">
        <v>1896</v>
      </c>
      <c r="J457" s="2" t="s">
        <v>251</v>
      </c>
      <c r="K457" s="2" t="s">
        <v>233</v>
      </c>
      <c r="L457" s="3">
        <v>135</v>
      </c>
      <c r="M457" s="3">
        <v>141.74</v>
      </c>
      <c r="N457" s="3">
        <v>279.99</v>
      </c>
      <c r="O457" s="2" t="s">
        <v>196</v>
      </c>
      <c r="P457" s="2" t="s">
        <v>517</v>
      </c>
      <c r="Q457" s="2" t="s">
        <v>198</v>
      </c>
      <c r="R457" s="2" t="s">
        <v>199</v>
      </c>
      <c r="S457" s="2" t="s">
        <v>2727</v>
      </c>
      <c r="T457" s="2" t="s">
        <v>636</v>
      </c>
      <c r="U457" s="2" t="s">
        <v>254</v>
      </c>
      <c r="V457" s="2" t="s">
        <v>728</v>
      </c>
      <c r="W457" s="2" t="s">
        <v>1440</v>
      </c>
      <c r="X457" s="2" t="s">
        <v>529</v>
      </c>
      <c r="Y457" s="2" t="s">
        <v>204</v>
      </c>
      <c r="Z457" s="4">
        <v>63</v>
      </c>
      <c r="AA457" s="4">
        <f>=ROUNDDOWN(31.5,0)</f>
      </c>
      <c r="AB457" s="5">
        <v>2</v>
      </c>
      <c r="AC457" s="2" t="s">
        <v>199</v>
      </c>
      <c r="AD457" s="4"/>
      <c r="AE457" s="4"/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199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3</v>
      </c>
      <c r="BK457" s="8">
        <v>572.89</v>
      </c>
      <c r="BL457" s="2" t="s">
        <v>2728</v>
      </c>
      <c r="BM457" s="7"/>
      <c r="BN457" s="7"/>
      <c r="BO457" s="4"/>
      <c r="BP457" s="8"/>
      <c r="BQ457" s="4"/>
      <c r="BR457" s="8"/>
      <c r="BS457" s="7"/>
      <c r="BT457" s="7"/>
      <c r="BU457" s="2" t="s">
        <v>2729</v>
      </c>
      <c r="BV457" s="2" t="s">
        <v>199</v>
      </c>
      <c r="BW457" s="2" t="s">
        <v>199</v>
      </c>
      <c r="BX457" s="2" t="s">
        <v>208</v>
      </c>
      <c r="BY457" s="2" t="s">
        <v>209</v>
      </c>
      <c r="BZ457" s="2" t="s">
        <v>196</v>
      </c>
      <c r="CA457" s="2" t="s">
        <v>210</v>
      </c>
      <c r="CB457" s="2" t="s">
        <v>2730</v>
      </c>
      <c r="CC457" s="2" t="s">
        <v>212</v>
      </c>
      <c r="CD457" s="2" t="s">
        <v>199</v>
      </c>
      <c r="CE457" s="4">
        <v>63</v>
      </c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>
        <v>63</v>
      </c>
      <c r="EU457" s="4">
        <v>57</v>
      </c>
      <c r="EV457" s="4">
        <v>55</v>
      </c>
      <c r="EW457" s="4">
        <v>53</v>
      </c>
      <c r="EX457" s="4">
        <v>51</v>
      </c>
      <c r="EY457" s="4">
        <v>49</v>
      </c>
      <c r="EZ457" s="4">
        <v>47</v>
      </c>
      <c r="FA457" s="4">
        <v>45</v>
      </c>
      <c r="FB457" s="4">
        <v>43</v>
      </c>
      <c r="FC457" s="4">
        <v>41</v>
      </c>
      <c r="FD457" s="4">
        <v>39</v>
      </c>
      <c r="FE457" s="4">
        <v>37</v>
      </c>
      <c r="FF457" s="4">
        <v>35</v>
      </c>
      <c r="FG457" s="4">
        <v>33</v>
      </c>
      <c r="FH457" s="4">
        <v>31</v>
      </c>
      <c r="FI457" s="4">
        <v>29</v>
      </c>
      <c r="FJ457" s="4">
        <v>27</v>
      </c>
      <c r="FK457" s="4">
        <v>25</v>
      </c>
      <c r="FL457" s="4">
        <v>23</v>
      </c>
      <c r="FM457" s="4">
        <v>21</v>
      </c>
      <c r="FN457" s="4">
        <v>68</v>
      </c>
      <c r="FO457" s="4">
        <v>66</v>
      </c>
      <c r="FP457" s="4">
        <v>64</v>
      </c>
      <c r="FQ457" s="4">
        <v>62</v>
      </c>
      <c r="FR457" s="4">
        <v>60</v>
      </c>
      <c r="FS457" s="4">
        <v>58</v>
      </c>
      <c r="FT457" s="19">
        <v>21</v>
      </c>
      <c r="FU457" s="19">
        <v>28.5</v>
      </c>
      <c r="FV457" s="19">
        <v>27.5</v>
      </c>
      <c r="FW457" s="19">
        <v>26.5</v>
      </c>
      <c r="FX457" s="19">
        <v>25.5</v>
      </c>
      <c r="FY457" s="19">
        <v>24.5</v>
      </c>
      <c r="FZ457" s="19">
        <v>23.5</v>
      </c>
      <c r="GA457" s="19">
        <v>22.5</v>
      </c>
      <c r="GB457" s="19">
        <v>21.5</v>
      </c>
      <c r="GC457" s="19">
        <v>20.5</v>
      </c>
      <c r="GD457" s="19">
        <v>19.5</v>
      </c>
      <c r="GE457" s="19">
        <v>18.5</v>
      </c>
      <c r="GF457" s="19">
        <v>17.5</v>
      </c>
      <c r="GG457" s="19">
        <v>16.5</v>
      </c>
      <c r="GH457" s="19">
        <v>15.5</v>
      </c>
      <c r="GI457" s="19">
        <v>14.5</v>
      </c>
      <c r="GJ457" s="19">
        <v>13.5</v>
      </c>
      <c r="GK457" s="19">
        <v>12.5</v>
      </c>
      <c r="GL457" s="19">
        <v>11.5</v>
      </c>
      <c r="GM457" s="19">
        <v>10.5</v>
      </c>
      <c r="GN457" s="19">
        <v>34</v>
      </c>
      <c r="GO457" s="19">
        <v>33</v>
      </c>
      <c r="GP457" s="19">
        <v>32</v>
      </c>
      <c r="GQ457" s="19">
        <v>31</v>
      </c>
      <c r="GR457" s="19">
        <v>30</v>
      </c>
      <c r="GS457" s="19">
        <v>29</v>
      </c>
    </row>
    <row r="458">
      <c r="A458" s="2" t="s">
        <v>2731</v>
      </c>
      <c r="B458" s="2" t="s">
        <v>188</v>
      </c>
      <c r="C458" s="2" t="s">
        <v>189</v>
      </c>
      <c r="D458" s="2" t="s">
        <v>1963</v>
      </c>
      <c r="E458" s="2" t="s">
        <v>2732</v>
      </c>
      <c r="F458" s="2" t="s">
        <v>2733</v>
      </c>
      <c r="G458" s="2" t="s">
        <v>2733</v>
      </c>
      <c r="H458" s="2" t="s">
        <v>2733</v>
      </c>
      <c r="I458" s="2" t="s">
        <v>2734</v>
      </c>
      <c r="J458" s="2" t="s">
        <v>2735</v>
      </c>
      <c r="K458" s="2" t="s">
        <v>233</v>
      </c>
      <c r="L458" s="3">
        <v>21.62</v>
      </c>
      <c r="M458" s="3">
        <v>22.7</v>
      </c>
      <c r="N458" s="3">
        <v>46.99</v>
      </c>
      <c r="O458" s="2" t="s">
        <v>196</v>
      </c>
      <c r="P458" s="2" t="s">
        <v>621</v>
      </c>
      <c r="Q458" s="2" t="s">
        <v>198</v>
      </c>
      <c r="R458" s="2" t="s">
        <v>199</v>
      </c>
      <c r="S458" s="2" t="s">
        <v>199</v>
      </c>
      <c r="T458" s="2" t="s">
        <v>201</v>
      </c>
      <c r="U458" s="2" t="s">
        <v>199</v>
      </c>
      <c r="V458" s="2" t="s">
        <v>202</v>
      </c>
      <c r="W458" s="2" t="s">
        <v>203</v>
      </c>
      <c r="X458" s="2" t="s">
        <v>199</v>
      </c>
      <c r="Y458" s="2" t="s">
        <v>547</v>
      </c>
      <c r="Z458" s="4">
        <v>2118</v>
      </c>
      <c r="AA458" s="4">
        <f>=ROUNDDOWN(52.95,0)</f>
      </c>
      <c r="AB458" s="5">
        <v>40</v>
      </c>
      <c r="AC458" s="2" t="s">
        <v>199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216</v>
      </c>
      <c r="BK458" s="8">
        <v>5217.22</v>
      </c>
      <c r="BL458" s="2" t="s">
        <v>2736</v>
      </c>
      <c r="BM458" s="7"/>
      <c r="BN458" s="7"/>
      <c r="BO458" s="4"/>
      <c r="BP458" s="8"/>
      <c r="BQ458" s="4"/>
      <c r="BR458" s="8"/>
      <c r="BS458" s="7"/>
      <c r="BT458" s="7"/>
      <c r="BU458" s="2" t="s">
        <v>2737</v>
      </c>
      <c r="BV458" s="2" t="s">
        <v>199</v>
      </c>
      <c r="BW458" s="2" t="s">
        <v>199</v>
      </c>
      <c r="BX458" s="2" t="s">
        <v>208</v>
      </c>
      <c r="BY458" s="2" t="s">
        <v>209</v>
      </c>
      <c r="BZ458" s="2" t="s">
        <v>196</v>
      </c>
      <c r="CA458" s="2" t="s">
        <v>461</v>
      </c>
      <c r="CB458" s="2" t="s">
        <v>2738</v>
      </c>
      <c r="CC458" s="2" t="s">
        <v>212</v>
      </c>
      <c r="CD458" s="2" t="s">
        <v>199</v>
      </c>
      <c r="CE458" s="4">
        <v>1824</v>
      </c>
      <c r="CF458" s="4">
        <v>294</v>
      </c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>
        <v>2138</v>
      </c>
      <c r="EU458" s="4">
        <v>2075</v>
      </c>
      <c r="EV458" s="4">
        <v>2029</v>
      </c>
      <c r="EW458" s="4">
        <v>1983</v>
      </c>
      <c r="EX458" s="4">
        <v>1937</v>
      </c>
      <c r="EY458" s="4">
        <v>1891</v>
      </c>
      <c r="EZ458" s="4">
        <v>1845</v>
      </c>
      <c r="FA458" s="4">
        <v>1799</v>
      </c>
      <c r="FB458" s="4">
        <v>1753</v>
      </c>
      <c r="FC458" s="4">
        <v>1707</v>
      </c>
      <c r="FD458" s="4">
        <v>1661</v>
      </c>
      <c r="FE458" s="4">
        <v>1615</v>
      </c>
      <c r="FF458" s="4">
        <v>1569</v>
      </c>
      <c r="FG458" s="4">
        <v>1523</v>
      </c>
      <c r="FH458" s="4">
        <v>1477</v>
      </c>
      <c r="FI458" s="4">
        <v>1431</v>
      </c>
      <c r="FJ458" s="4">
        <v>1385</v>
      </c>
      <c r="FK458" s="4">
        <v>1339</v>
      </c>
      <c r="FL458" s="4">
        <v>1305</v>
      </c>
      <c r="FM458" s="4">
        <v>1271</v>
      </c>
      <c r="FN458" s="4">
        <v>1237</v>
      </c>
      <c r="FO458" s="4">
        <v>1202</v>
      </c>
      <c r="FP458" s="4">
        <v>1157</v>
      </c>
      <c r="FQ458" s="4">
        <v>1112</v>
      </c>
      <c r="FR458" s="4">
        <v>1067</v>
      </c>
      <c r="FS458" s="4">
        <v>1022</v>
      </c>
      <c r="FT458" s="19">
        <v>42.8</v>
      </c>
      <c r="FU458" s="19">
        <v>45.1</v>
      </c>
      <c r="FV458" s="19">
        <v>44.1</v>
      </c>
      <c r="FW458" s="19">
        <v>43.1</v>
      </c>
      <c r="FX458" s="19">
        <v>42.1</v>
      </c>
      <c r="FY458" s="19">
        <v>41.1</v>
      </c>
      <c r="FZ458" s="19">
        <v>40.1</v>
      </c>
      <c r="GA458" s="19">
        <v>39.1</v>
      </c>
      <c r="GB458" s="19">
        <v>38.1</v>
      </c>
      <c r="GC458" s="19">
        <v>37.1</v>
      </c>
      <c r="GD458" s="19">
        <v>36.1</v>
      </c>
      <c r="GE458" s="19">
        <v>35.1</v>
      </c>
      <c r="GF458" s="19">
        <v>34.1</v>
      </c>
      <c r="GG458" s="19">
        <v>33.1</v>
      </c>
      <c r="GH458" s="19">
        <v>34.3</v>
      </c>
      <c r="GI458" s="19">
        <v>35.8</v>
      </c>
      <c r="GJ458" s="19">
        <v>37.4</v>
      </c>
      <c r="GK458" s="19">
        <v>39.4</v>
      </c>
      <c r="GL458" s="19">
        <v>35.3</v>
      </c>
      <c r="GM458" s="19">
        <v>31.8</v>
      </c>
      <c r="GN458" s="19">
        <v>29.5</v>
      </c>
      <c r="GO458" s="19">
        <v>26.7</v>
      </c>
      <c r="GP458" s="19">
        <v>25.7</v>
      </c>
      <c r="GQ458" s="19">
        <v>23.2</v>
      </c>
      <c r="GR458" s="19">
        <v>21.3</v>
      </c>
      <c r="GS458" s="19">
        <v>19.3</v>
      </c>
    </row>
    <row r="459">
      <c r="A459" s="2" t="s">
        <v>2739</v>
      </c>
      <c r="B459" s="2" t="s">
        <v>245</v>
      </c>
      <c r="C459" s="2" t="s">
        <v>1007</v>
      </c>
      <c r="D459" s="2" t="s">
        <v>247</v>
      </c>
      <c r="E459" s="2" t="s">
        <v>248</v>
      </c>
      <c r="F459" s="2" t="s">
        <v>2740</v>
      </c>
      <c r="G459" s="2" t="s">
        <v>2740</v>
      </c>
      <c r="H459" s="2" t="s">
        <v>2740</v>
      </c>
      <c r="I459" s="2" t="s">
        <v>1627</v>
      </c>
      <c r="J459" s="2" t="s">
        <v>214</v>
      </c>
      <c r="K459" s="2" t="s">
        <v>2741</v>
      </c>
      <c r="L459" s="3">
        <v>15.4</v>
      </c>
      <c r="M459" s="3">
        <v>16.17</v>
      </c>
      <c r="N459" s="3">
        <v>34.99</v>
      </c>
      <c r="O459" s="2" t="s">
        <v>196</v>
      </c>
      <c r="P459" s="2" t="s">
        <v>197</v>
      </c>
      <c r="Q459" s="2" t="s">
        <v>198</v>
      </c>
      <c r="R459" s="2" t="s">
        <v>199</v>
      </c>
      <c r="S459" s="2" t="s">
        <v>2742</v>
      </c>
      <c r="T459" s="2" t="s">
        <v>386</v>
      </c>
      <c r="U459" s="2" t="s">
        <v>637</v>
      </c>
      <c r="V459" s="2" t="s">
        <v>1630</v>
      </c>
      <c r="W459" s="2" t="s">
        <v>510</v>
      </c>
      <c r="X459" s="2" t="s">
        <v>199</v>
      </c>
      <c r="Y459" s="2" t="s">
        <v>2743</v>
      </c>
      <c r="Z459" s="4">
        <v>212</v>
      </c>
      <c r="AA459" s="4">
        <f>=ROUNDDOWN(141.333333333333,0)</f>
      </c>
      <c r="AB459" s="5">
        <v>1.5</v>
      </c>
      <c r="AC459" s="2" t="s">
        <v>199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199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20</v>
      </c>
      <c r="BK459" s="8">
        <v>334.47</v>
      </c>
      <c r="BL459" s="2" t="s">
        <v>2744</v>
      </c>
      <c r="BM459" s="7"/>
      <c r="BN459" s="7"/>
      <c r="BO459" s="4"/>
      <c r="BP459" s="8"/>
      <c r="BQ459" s="4"/>
      <c r="BR459" s="8"/>
      <c r="BS459" s="7"/>
      <c r="BT459" s="7"/>
      <c r="BU459" s="2" t="s">
        <v>2745</v>
      </c>
      <c r="BV459" s="2" t="s">
        <v>199</v>
      </c>
      <c r="BW459" s="2" t="s">
        <v>199</v>
      </c>
      <c r="BX459" s="2" t="s">
        <v>208</v>
      </c>
      <c r="BY459" s="2" t="s">
        <v>209</v>
      </c>
      <c r="BZ459" s="2" t="s">
        <v>196</v>
      </c>
      <c r="CA459" s="2" t="s">
        <v>2746</v>
      </c>
      <c r="CB459" s="2" t="s">
        <v>2747</v>
      </c>
      <c r="CC459" s="2" t="s">
        <v>212</v>
      </c>
      <c r="CD459" s="2" t="s">
        <v>199</v>
      </c>
      <c r="CE459" s="4">
        <v>212</v>
      </c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>
        <v>213</v>
      </c>
      <c r="EU459" s="4">
        <v>212</v>
      </c>
      <c r="EV459" s="4">
        <v>211</v>
      </c>
      <c r="EW459" s="4">
        <v>210</v>
      </c>
      <c r="EX459" s="4">
        <v>209</v>
      </c>
      <c r="EY459" s="4">
        <v>208</v>
      </c>
      <c r="EZ459" s="4">
        <v>207</v>
      </c>
      <c r="FA459" s="4">
        <v>206</v>
      </c>
      <c r="FB459" s="4">
        <v>205</v>
      </c>
      <c r="FC459" s="4">
        <v>204</v>
      </c>
      <c r="FD459" s="4">
        <v>203</v>
      </c>
      <c r="FE459" s="4">
        <v>202</v>
      </c>
      <c r="FF459" s="4">
        <v>201</v>
      </c>
      <c r="FG459" s="4">
        <v>200</v>
      </c>
      <c r="FH459" s="4">
        <v>199</v>
      </c>
      <c r="FI459" s="4">
        <v>198</v>
      </c>
      <c r="FJ459" s="4">
        <v>197</v>
      </c>
      <c r="FK459" s="4">
        <v>196</v>
      </c>
      <c r="FL459" s="4">
        <v>195</v>
      </c>
      <c r="FM459" s="4">
        <v>191</v>
      </c>
      <c r="FN459" s="4">
        <v>187</v>
      </c>
      <c r="FO459" s="4">
        <v>183</v>
      </c>
      <c r="FP459" s="4">
        <v>179</v>
      </c>
      <c r="FQ459" s="4">
        <v>175</v>
      </c>
      <c r="FR459" s="4">
        <v>171</v>
      </c>
      <c r="FS459" s="4">
        <v>167</v>
      </c>
      <c r="FT459" s="19">
        <v>213</v>
      </c>
      <c r="FU459" s="19">
        <v>212</v>
      </c>
      <c r="FV459" s="19">
        <v>211</v>
      </c>
      <c r="FW459" s="19">
        <v>210</v>
      </c>
      <c r="FX459" s="19">
        <v>209</v>
      </c>
      <c r="FY459" s="19">
        <v>208</v>
      </c>
      <c r="FZ459" s="19">
        <v>207</v>
      </c>
      <c r="GA459" s="19">
        <v>206</v>
      </c>
      <c r="GB459" s="19">
        <v>205</v>
      </c>
      <c r="GC459" s="19">
        <v>204</v>
      </c>
      <c r="GD459" s="19">
        <v>203</v>
      </c>
      <c r="GE459" s="19">
        <v>202</v>
      </c>
      <c r="GF459" s="19">
        <v>201</v>
      </c>
      <c r="GG459" s="19">
        <v>200</v>
      </c>
      <c r="GH459" s="19">
        <v>199</v>
      </c>
      <c r="GI459" s="19">
        <v>99</v>
      </c>
      <c r="GJ459" s="19">
        <v>98.5</v>
      </c>
      <c r="GK459" s="19">
        <v>65.3</v>
      </c>
      <c r="GL459" s="19">
        <v>48.8</v>
      </c>
      <c r="GM459" s="19">
        <v>47.8</v>
      </c>
      <c r="GN459" s="19">
        <v>46.8</v>
      </c>
      <c r="GO459" s="19">
        <v>45.8</v>
      </c>
      <c r="GP459" s="19">
        <v>44.8</v>
      </c>
      <c r="GQ459" s="19">
        <v>35</v>
      </c>
      <c r="GR459" s="19">
        <v>34.2</v>
      </c>
      <c r="GS459" s="19">
        <v>33.4</v>
      </c>
    </row>
    <row r="460">
      <c r="A460" s="2" t="s">
        <v>2748</v>
      </c>
      <c r="B460" s="2" t="s">
        <v>245</v>
      </c>
      <c r="C460" s="2" t="s">
        <v>1625</v>
      </c>
      <c r="D460" s="2" t="s">
        <v>247</v>
      </c>
      <c r="E460" s="2" t="s">
        <v>248</v>
      </c>
      <c r="F460" s="2" t="s">
        <v>2749</v>
      </c>
      <c r="G460" s="2" t="s">
        <v>2749</v>
      </c>
      <c r="H460" s="2" t="s">
        <v>2749</v>
      </c>
      <c r="I460" s="2" t="s">
        <v>297</v>
      </c>
      <c r="J460" s="2" t="s">
        <v>214</v>
      </c>
      <c r="K460" s="2" t="s">
        <v>656</v>
      </c>
      <c r="L460" s="3">
        <v>23.04</v>
      </c>
      <c r="M460" s="3">
        <v>24.19</v>
      </c>
      <c r="N460" s="3">
        <v>47.99</v>
      </c>
      <c r="O460" s="2" t="s">
        <v>196</v>
      </c>
      <c r="P460" s="2" t="s">
        <v>197</v>
      </c>
      <c r="Q460" s="2" t="s">
        <v>198</v>
      </c>
      <c r="R460" s="2" t="s">
        <v>199</v>
      </c>
      <c r="S460" s="2" t="s">
        <v>2750</v>
      </c>
      <c r="T460" s="2" t="s">
        <v>1978</v>
      </c>
      <c r="U460" s="2" t="s">
        <v>637</v>
      </c>
      <c r="V460" s="2" t="s">
        <v>202</v>
      </c>
      <c r="W460" s="2" t="s">
        <v>203</v>
      </c>
      <c r="X460" s="2" t="s">
        <v>510</v>
      </c>
      <c r="Y460" s="2" t="s">
        <v>2751</v>
      </c>
      <c r="Z460" s="4">
        <v>44</v>
      </c>
      <c r="AA460" s="4">
        <f>=ROUNDDOWN(11,0)</f>
      </c>
      <c r="AB460" s="5">
        <v>4</v>
      </c>
      <c r="AC460" s="2" t="s">
        <v>199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199</v>
      </c>
      <c r="AW460" s="8" t="s">
        <v>199</v>
      </c>
      <c r="AX460" s="4" t="s">
        <v>199</v>
      </c>
      <c r="AY460" s="8" t="s">
        <v>199</v>
      </c>
      <c r="AZ460" s="7" t="s">
        <v>199</v>
      </c>
      <c r="BA460" s="7" t="s">
        <v>199</v>
      </c>
      <c r="BB460" s="7"/>
      <c r="BC460" s="4" t="s">
        <v>199</v>
      </c>
      <c r="BD460" s="8" t="s">
        <v>199</v>
      </c>
      <c r="BE460" s="4" t="s">
        <v>199</v>
      </c>
      <c r="BF460" s="8" t="s">
        <v>199</v>
      </c>
      <c r="BG460" s="7" t="s">
        <v>199</v>
      </c>
      <c r="BH460" s="7" t="s">
        <v>199</v>
      </c>
      <c r="BI460" s="7"/>
      <c r="BJ460" s="4">
        <v>23</v>
      </c>
      <c r="BK460" s="8">
        <v>583.84</v>
      </c>
      <c r="BL460" s="2" t="s">
        <v>2752</v>
      </c>
      <c r="BM460" s="7"/>
      <c r="BN460" s="7"/>
      <c r="BO460" s="4"/>
      <c r="BP460" s="8"/>
      <c r="BQ460" s="4"/>
      <c r="BR460" s="8"/>
      <c r="BS460" s="7"/>
      <c r="BT460" s="7"/>
      <c r="BU460" s="2" t="s">
        <v>2753</v>
      </c>
      <c r="BV460" s="2" t="s">
        <v>199</v>
      </c>
      <c r="BW460" s="2" t="s">
        <v>199</v>
      </c>
      <c r="BX460" s="2" t="s">
        <v>208</v>
      </c>
      <c r="BY460" s="2" t="s">
        <v>209</v>
      </c>
      <c r="BZ460" s="2" t="s">
        <v>196</v>
      </c>
      <c r="CA460" s="2" t="s">
        <v>2754</v>
      </c>
      <c r="CB460" s="2" t="s">
        <v>1691</v>
      </c>
      <c r="CC460" s="2" t="s">
        <v>212</v>
      </c>
      <c r="CD460" s="2" t="s">
        <v>199</v>
      </c>
      <c r="CE460" s="4">
        <v>3</v>
      </c>
      <c r="CF460" s="4">
        <v>41</v>
      </c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>
        <v>44</v>
      </c>
      <c r="EU460" s="4">
        <v>43</v>
      </c>
      <c r="EV460" s="4">
        <v>42</v>
      </c>
      <c r="EW460" s="4">
        <v>41</v>
      </c>
      <c r="EX460" s="4">
        <v>38</v>
      </c>
      <c r="EY460" s="4">
        <v>37</v>
      </c>
      <c r="EZ460" s="4">
        <v>36</v>
      </c>
      <c r="FA460" s="4">
        <v>35</v>
      </c>
      <c r="FB460" s="4">
        <v>34</v>
      </c>
      <c r="FC460" s="4">
        <v>33</v>
      </c>
      <c r="FD460" s="4">
        <v>32</v>
      </c>
      <c r="FE460" s="4">
        <v>31</v>
      </c>
      <c r="FF460" s="4">
        <v>30</v>
      </c>
      <c r="FG460" s="4">
        <v>29</v>
      </c>
      <c r="FH460" s="4">
        <v>28</v>
      </c>
      <c r="FI460" s="4">
        <v>27</v>
      </c>
      <c r="FJ460" s="4">
        <v>26</v>
      </c>
      <c r="FK460" s="4">
        <v>25</v>
      </c>
      <c r="FL460" s="4">
        <v>24</v>
      </c>
      <c r="FM460" s="4">
        <v>23</v>
      </c>
      <c r="FN460" s="4">
        <v>22</v>
      </c>
      <c r="FO460" s="4">
        <v>21</v>
      </c>
      <c r="FP460" s="4">
        <v>20</v>
      </c>
      <c r="FQ460" s="4">
        <v>19</v>
      </c>
      <c r="FR460" s="4">
        <v>18</v>
      </c>
      <c r="FS460" s="4">
        <v>17</v>
      </c>
      <c r="FT460" s="19">
        <v>22</v>
      </c>
      <c r="FU460" s="19">
        <v>21.5</v>
      </c>
      <c r="FV460" s="19">
        <v>21</v>
      </c>
      <c r="FW460" s="19">
        <v>20.5</v>
      </c>
      <c r="FX460" s="19">
        <v>38</v>
      </c>
      <c r="FY460" s="19">
        <v>37</v>
      </c>
      <c r="FZ460" s="19">
        <v>36</v>
      </c>
      <c r="GA460" s="19">
        <v>35</v>
      </c>
      <c r="GB460" s="19">
        <v>34</v>
      </c>
      <c r="GC460" s="19">
        <v>33</v>
      </c>
      <c r="GD460" s="19">
        <v>32</v>
      </c>
      <c r="GE460" s="19">
        <v>31</v>
      </c>
      <c r="GF460" s="19">
        <v>30</v>
      </c>
      <c r="GG460" s="19">
        <v>29</v>
      </c>
      <c r="GH460" s="19">
        <v>28</v>
      </c>
      <c r="GI460" s="19">
        <v>27</v>
      </c>
      <c r="GJ460" s="19">
        <v>26</v>
      </c>
      <c r="GK460" s="19">
        <v>25</v>
      </c>
      <c r="GL460" s="19">
        <v>24</v>
      </c>
      <c r="GM460" s="19">
        <v>23</v>
      </c>
      <c r="GN460" s="19">
        <v>22</v>
      </c>
      <c r="GO460" s="19">
        <v>21</v>
      </c>
      <c r="GP460" s="19">
        <v>20</v>
      </c>
      <c r="GQ460" s="19">
        <v>19</v>
      </c>
      <c r="GR460" s="19">
        <v>18</v>
      </c>
      <c r="GS460" s="19">
        <v>17</v>
      </c>
    </row>
    <row r="461">
      <c r="A461" s="2" t="s">
        <v>2755</v>
      </c>
      <c r="B461" s="2" t="s">
        <v>245</v>
      </c>
      <c r="C461" s="2" t="s">
        <v>1625</v>
      </c>
      <c r="D461" s="2" t="s">
        <v>247</v>
      </c>
      <c r="E461" s="2" t="s">
        <v>248</v>
      </c>
      <c r="F461" s="2" t="s">
        <v>2749</v>
      </c>
      <c r="G461" s="2" t="s">
        <v>2749</v>
      </c>
      <c r="H461" s="2" t="s">
        <v>2749</v>
      </c>
      <c r="I461" s="2" t="s">
        <v>297</v>
      </c>
      <c r="J461" s="2" t="s">
        <v>223</v>
      </c>
      <c r="K461" s="2" t="s">
        <v>656</v>
      </c>
      <c r="L461" s="3">
        <v>31.2</v>
      </c>
      <c r="M461" s="3">
        <v>32.76</v>
      </c>
      <c r="N461" s="3">
        <v>64.99</v>
      </c>
      <c r="O461" s="2" t="s">
        <v>196</v>
      </c>
      <c r="P461" s="2" t="s">
        <v>197</v>
      </c>
      <c r="Q461" s="2" t="s">
        <v>198</v>
      </c>
      <c r="R461" s="2" t="s">
        <v>199</v>
      </c>
      <c r="S461" s="2" t="s">
        <v>2750</v>
      </c>
      <c r="T461" s="2" t="s">
        <v>1978</v>
      </c>
      <c r="U461" s="2" t="s">
        <v>254</v>
      </c>
      <c r="V461" s="2" t="s">
        <v>202</v>
      </c>
      <c r="W461" s="2" t="s">
        <v>203</v>
      </c>
      <c r="X461" s="2" t="s">
        <v>510</v>
      </c>
      <c r="Y461" s="2" t="s">
        <v>2751</v>
      </c>
      <c r="Z461" s="4">
        <v>234</v>
      </c>
      <c r="AA461" s="4">
        <f>=ROUNDDOWN(26,0)</f>
      </c>
      <c r="AB461" s="5">
        <v>9</v>
      </c>
      <c r="AC461" s="2" t="s">
        <v>199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199</v>
      </c>
      <c r="AW461" s="8" t="s">
        <v>199</v>
      </c>
      <c r="AX461" s="4" t="s">
        <v>199</v>
      </c>
      <c r="AY461" s="8" t="s">
        <v>199</v>
      </c>
      <c r="AZ461" s="7" t="s">
        <v>199</v>
      </c>
      <c r="BA461" s="7" t="s">
        <v>199</v>
      </c>
      <c r="BB461" s="7"/>
      <c r="BC461" s="4" t="s">
        <v>199</v>
      </c>
      <c r="BD461" s="8" t="s">
        <v>199</v>
      </c>
      <c r="BE461" s="4" t="s">
        <v>199</v>
      </c>
      <c r="BF461" s="8" t="s">
        <v>199</v>
      </c>
      <c r="BG461" s="7" t="s">
        <v>199</v>
      </c>
      <c r="BH461" s="7" t="s">
        <v>199</v>
      </c>
      <c r="BI461" s="7"/>
      <c r="BJ461" s="4">
        <v>73</v>
      </c>
      <c r="BK461" s="8">
        <v>2538.12</v>
      </c>
      <c r="BL461" s="2" t="s">
        <v>2756</v>
      </c>
      <c r="BM461" s="7"/>
      <c r="BN461" s="7"/>
      <c r="BO461" s="4"/>
      <c r="BP461" s="8"/>
      <c r="BQ461" s="4"/>
      <c r="BR461" s="8"/>
      <c r="BS461" s="7"/>
      <c r="BT461" s="7"/>
      <c r="BU461" s="2" t="s">
        <v>2753</v>
      </c>
      <c r="BV461" s="2" t="s">
        <v>199</v>
      </c>
      <c r="BW461" s="2" t="s">
        <v>199</v>
      </c>
      <c r="BX461" s="2" t="s">
        <v>208</v>
      </c>
      <c r="BY461" s="2" t="s">
        <v>209</v>
      </c>
      <c r="BZ461" s="2" t="s">
        <v>196</v>
      </c>
      <c r="CA461" s="2" t="s">
        <v>2754</v>
      </c>
      <c r="CB461" s="2" t="s">
        <v>1859</v>
      </c>
      <c r="CC461" s="2" t="s">
        <v>212</v>
      </c>
      <c r="CD461" s="2" t="s">
        <v>199</v>
      </c>
      <c r="CE461" s="4">
        <v>66</v>
      </c>
      <c r="CF461" s="4">
        <v>168</v>
      </c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>
        <v>241</v>
      </c>
      <c r="EU461" s="4">
        <v>234</v>
      </c>
      <c r="EV461" s="4">
        <v>227</v>
      </c>
      <c r="EW461" s="4">
        <v>219</v>
      </c>
      <c r="EX461" s="4">
        <v>212</v>
      </c>
      <c r="EY461" s="4">
        <v>208</v>
      </c>
      <c r="EZ461" s="4">
        <v>203</v>
      </c>
      <c r="FA461" s="4">
        <v>199</v>
      </c>
      <c r="FB461" s="4">
        <v>195</v>
      </c>
      <c r="FC461" s="4">
        <v>191</v>
      </c>
      <c r="FD461" s="4">
        <v>187</v>
      </c>
      <c r="FE461" s="4">
        <v>183</v>
      </c>
      <c r="FF461" s="4">
        <v>179</v>
      </c>
      <c r="FG461" s="4">
        <v>175</v>
      </c>
      <c r="FH461" s="4">
        <v>173</v>
      </c>
      <c r="FI461" s="4">
        <v>171</v>
      </c>
      <c r="FJ461" s="4">
        <v>169</v>
      </c>
      <c r="FK461" s="4">
        <v>167</v>
      </c>
      <c r="FL461" s="4">
        <v>165</v>
      </c>
      <c r="FM461" s="4">
        <v>163</v>
      </c>
      <c r="FN461" s="4">
        <v>161</v>
      </c>
      <c r="FO461" s="4">
        <v>159</v>
      </c>
      <c r="FP461" s="4">
        <v>157</v>
      </c>
      <c r="FQ461" s="4">
        <v>155</v>
      </c>
      <c r="FR461" s="4">
        <v>153</v>
      </c>
      <c r="FS461" s="4">
        <v>150</v>
      </c>
      <c r="FT461" s="19">
        <v>34.4</v>
      </c>
      <c r="FU461" s="19">
        <v>39</v>
      </c>
      <c r="FV461" s="19">
        <v>37.8</v>
      </c>
      <c r="FW461" s="19">
        <v>43.8</v>
      </c>
      <c r="FX461" s="19">
        <v>53</v>
      </c>
      <c r="FY461" s="19">
        <v>52</v>
      </c>
      <c r="FZ461" s="19">
        <v>50.8</v>
      </c>
      <c r="GA461" s="19">
        <v>49.8</v>
      </c>
      <c r="GB461" s="19">
        <v>48.8</v>
      </c>
      <c r="GC461" s="19">
        <v>47.8</v>
      </c>
      <c r="GD461" s="19">
        <v>46.8</v>
      </c>
      <c r="GE461" s="19">
        <v>61</v>
      </c>
      <c r="GF461" s="19">
        <v>89.5</v>
      </c>
      <c r="GG461" s="19">
        <v>87.5</v>
      </c>
      <c r="GH461" s="19">
        <v>86.5</v>
      </c>
      <c r="GI461" s="19">
        <v>85.5</v>
      </c>
      <c r="GJ461" s="19">
        <v>84.5</v>
      </c>
      <c r="GK461" s="19">
        <v>83.5</v>
      </c>
      <c r="GL461" s="19">
        <v>82.5</v>
      </c>
      <c r="GM461" s="19">
        <v>81.5</v>
      </c>
      <c r="GN461" s="19">
        <v>80.5</v>
      </c>
      <c r="GO461" s="19">
        <v>79.5</v>
      </c>
      <c r="GP461" s="19">
        <v>78.5</v>
      </c>
      <c r="GQ461" s="19">
        <v>51.7</v>
      </c>
      <c r="GR461" s="19">
        <v>51</v>
      </c>
      <c r="GS461" s="19">
        <v>50</v>
      </c>
    </row>
    <row r="462">
      <c r="A462" s="2" t="s">
        <v>2757</v>
      </c>
      <c r="B462" s="2" t="s">
        <v>245</v>
      </c>
      <c r="C462" s="2" t="s">
        <v>1625</v>
      </c>
      <c r="D462" s="2" t="s">
        <v>247</v>
      </c>
      <c r="E462" s="2" t="s">
        <v>248</v>
      </c>
      <c r="F462" s="2" t="s">
        <v>2749</v>
      </c>
      <c r="G462" s="2" t="s">
        <v>2749</v>
      </c>
      <c r="H462" s="2" t="s">
        <v>2749</v>
      </c>
      <c r="I462" s="2" t="s">
        <v>297</v>
      </c>
      <c r="J462" s="2" t="s">
        <v>251</v>
      </c>
      <c r="K462" s="2" t="s">
        <v>656</v>
      </c>
      <c r="L462" s="3">
        <v>31.85</v>
      </c>
      <c r="M462" s="3">
        <v>33.44</v>
      </c>
      <c r="N462" s="3">
        <v>64.99</v>
      </c>
      <c r="O462" s="2" t="s">
        <v>196</v>
      </c>
      <c r="P462" s="2" t="s">
        <v>197</v>
      </c>
      <c r="Q462" s="2" t="s">
        <v>198</v>
      </c>
      <c r="R462" s="2" t="s">
        <v>199</v>
      </c>
      <c r="S462" s="2" t="s">
        <v>2750</v>
      </c>
      <c r="T462" s="2" t="s">
        <v>1978</v>
      </c>
      <c r="U462" s="2" t="s">
        <v>254</v>
      </c>
      <c r="V462" s="2" t="s">
        <v>202</v>
      </c>
      <c r="W462" s="2" t="s">
        <v>203</v>
      </c>
      <c r="X462" s="2" t="s">
        <v>510</v>
      </c>
      <c r="Y462" s="2" t="s">
        <v>2751</v>
      </c>
      <c r="Z462" s="4">
        <v>79</v>
      </c>
      <c r="AA462" s="4">
        <f>=ROUNDDOWN(26.3333333333333,0)</f>
      </c>
      <c r="AB462" s="5">
        <v>3</v>
      </c>
      <c r="AC462" s="2" t="s">
        <v>199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199</v>
      </c>
      <c r="AW462" s="8" t="s">
        <v>199</v>
      </c>
      <c r="AX462" s="4" t="s">
        <v>199</v>
      </c>
      <c r="AY462" s="8" t="s">
        <v>199</v>
      </c>
      <c r="AZ462" s="7" t="s">
        <v>199</v>
      </c>
      <c r="BA462" s="7" t="s">
        <v>199</v>
      </c>
      <c r="BB462" s="7"/>
      <c r="BC462" s="4" t="s">
        <v>199</v>
      </c>
      <c r="BD462" s="8" t="s">
        <v>199</v>
      </c>
      <c r="BE462" s="4" t="s">
        <v>199</v>
      </c>
      <c r="BF462" s="8" t="s">
        <v>199</v>
      </c>
      <c r="BG462" s="7" t="s">
        <v>199</v>
      </c>
      <c r="BH462" s="7" t="s">
        <v>199</v>
      </c>
      <c r="BI462" s="7"/>
      <c r="BJ462" s="4">
        <v>33</v>
      </c>
      <c r="BK462" s="8">
        <v>1157.72</v>
      </c>
      <c r="BL462" s="2" t="s">
        <v>1693</v>
      </c>
      <c r="BM462" s="7"/>
      <c r="BN462" s="7"/>
      <c r="BO462" s="4"/>
      <c r="BP462" s="8"/>
      <c r="BQ462" s="4"/>
      <c r="BR462" s="8"/>
      <c r="BS462" s="7"/>
      <c r="BT462" s="7"/>
      <c r="BU462" s="2" t="s">
        <v>2753</v>
      </c>
      <c r="BV462" s="2" t="s">
        <v>199</v>
      </c>
      <c r="BW462" s="2" t="s">
        <v>199</v>
      </c>
      <c r="BX462" s="2" t="s">
        <v>208</v>
      </c>
      <c r="BY462" s="2" t="s">
        <v>209</v>
      </c>
      <c r="BZ462" s="2" t="s">
        <v>196</v>
      </c>
      <c r="CA462" s="2" t="s">
        <v>2754</v>
      </c>
      <c r="CB462" s="2" t="s">
        <v>2758</v>
      </c>
      <c r="CC462" s="2" t="s">
        <v>212</v>
      </c>
      <c r="CD462" s="2" t="s">
        <v>199</v>
      </c>
      <c r="CE462" s="4">
        <v>19</v>
      </c>
      <c r="CF462" s="4">
        <v>60</v>
      </c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>
        <v>79</v>
      </c>
      <c r="EU462" s="4">
        <v>77</v>
      </c>
      <c r="EV462" s="4">
        <v>75</v>
      </c>
      <c r="EW462" s="4">
        <v>73</v>
      </c>
      <c r="EX462" s="4">
        <v>71</v>
      </c>
      <c r="EY462" s="4">
        <v>70</v>
      </c>
      <c r="EZ462" s="4">
        <v>69</v>
      </c>
      <c r="FA462" s="4">
        <v>68</v>
      </c>
      <c r="FB462" s="4">
        <v>67</v>
      </c>
      <c r="FC462" s="4">
        <v>66</v>
      </c>
      <c r="FD462" s="4">
        <v>65</v>
      </c>
      <c r="FE462" s="4">
        <v>64</v>
      </c>
      <c r="FF462" s="4">
        <v>63</v>
      </c>
      <c r="FG462" s="4">
        <v>62</v>
      </c>
      <c r="FH462" s="4">
        <v>61</v>
      </c>
      <c r="FI462" s="4">
        <v>60</v>
      </c>
      <c r="FJ462" s="4">
        <v>59</v>
      </c>
      <c r="FK462" s="4">
        <v>58</v>
      </c>
      <c r="FL462" s="4">
        <v>57</v>
      </c>
      <c r="FM462" s="4">
        <v>56</v>
      </c>
      <c r="FN462" s="4">
        <v>55</v>
      </c>
      <c r="FO462" s="4">
        <v>54</v>
      </c>
      <c r="FP462" s="4">
        <v>53</v>
      </c>
      <c r="FQ462" s="4">
        <v>52</v>
      </c>
      <c r="FR462" s="4">
        <v>51</v>
      </c>
      <c r="FS462" s="4">
        <v>50</v>
      </c>
      <c r="FT462" s="19">
        <v>39.5</v>
      </c>
      <c r="FU462" s="19">
        <v>38.5</v>
      </c>
      <c r="FV462" s="19">
        <v>37.5</v>
      </c>
      <c r="FW462" s="19">
        <v>73</v>
      </c>
      <c r="FX462" s="19">
        <v>71</v>
      </c>
      <c r="FY462" s="19">
        <v>70</v>
      </c>
      <c r="FZ462" s="19">
        <v>69</v>
      </c>
      <c r="GA462" s="19">
        <v>68</v>
      </c>
      <c r="GB462" s="19">
        <v>67</v>
      </c>
      <c r="GC462" s="19">
        <v>66</v>
      </c>
      <c r="GD462" s="19">
        <v>65</v>
      </c>
      <c r="GE462" s="19">
        <v>64</v>
      </c>
      <c r="GF462" s="19">
        <v>63</v>
      </c>
      <c r="GG462" s="19">
        <v>62</v>
      </c>
      <c r="GH462" s="19">
        <v>61</v>
      </c>
      <c r="GI462" s="19">
        <v>60</v>
      </c>
      <c r="GJ462" s="19">
        <v>59</v>
      </c>
      <c r="GK462" s="19">
        <v>58</v>
      </c>
      <c r="GL462" s="19">
        <v>57</v>
      </c>
      <c r="GM462" s="19">
        <v>56</v>
      </c>
      <c r="GN462" s="19">
        <v>55</v>
      </c>
      <c r="GO462" s="19">
        <v>54</v>
      </c>
      <c r="GP462" s="19">
        <v>53</v>
      </c>
      <c r="GQ462" s="19">
        <v>52</v>
      </c>
      <c r="GR462" s="19">
        <v>51</v>
      </c>
      <c r="GS462" s="19">
        <v>50</v>
      </c>
    </row>
    <row r="463">
      <c r="A463" s="2" t="s">
        <v>2759</v>
      </c>
      <c r="B463" s="2" t="s">
        <v>245</v>
      </c>
      <c r="C463" s="2" t="s">
        <v>1625</v>
      </c>
      <c r="D463" s="2" t="s">
        <v>247</v>
      </c>
      <c r="E463" s="2" t="s">
        <v>248</v>
      </c>
      <c r="F463" s="2" t="s">
        <v>2749</v>
      </c>
      <c r="G463" s="2" t="s">
        <v>2749</v>
      </c>
      <c r="H463" s="2" t="s">
        <v>2749</v>
      </c>
      <c r="I463" s="2" t="s">
        <v>297</v>
      </c>
      <c r="J463" s="2" t="s">
        <v>194</v>
      </c>
      <c r="K463" s="2" t="s">
        <v>405</v>
      </c>
      <c r="L463" s="3">
        <v>21.62</v>
      </c>
      <c r="M463" s="3">
        <v>22.7</v>
      </c>
      <c r="N463" s="3">
        <v>46.99</v>
      </c>
      <c r="O463" s="2" t="s">
        <v>196</v>
      </c>
      <c r="P463" s="2" t="s">
        <v>197</v>
      </c>
      <c r="Q463" s="2" t="s">
        <v>198</v>
      </c>
      <c r="R463" s="2" t="s">
        <v>199</v>
      </c>
      <c r="S463" s="2" t="s">
        <v>2760</v>
      </c>
      <c r="T463" s="2" t="s">
        <v>1978</v>
      </c>
      <c r="U463" s="2" t="s">
        <v>637</v>
      </c>
      <c r="V463" s="2" t="s">
        <v>202</v>
      </c>
      <c r="W463" s="2" t="s">
        <v>203</v>
      </c>
      <c r="X463" s="2" t="s">
        <v>510</v>
      </c>
      <c r="Y463" s="2" t="s">
        <v>2761</v>
      </c>
      <c r="Z463" s="4"/>
      <c r="AA463" s="4">
        <f>=ROUNDDOWN({0},0)</f>
      </c>
      <c r="AB463" s="5">
        <v>11</v>
      </c>
      <c r="AC463" s="2" t="s">
        <v>199</v>
      </c>
      <c r="AD463" s="4"/>
      <c r="AE463" s="4"/>
      <c r="AF463" s="6">
        <v>65</v>
      </c>
      <c r="AG463" s="6"/>
      <c r="AH463" s="7">
        <v>0</v>
      </c>
      <c r="AI463" s="4"/>
      <c r="AJ463" s="4">
        <f>=ROUNDDOWN({0},0)</f>
      </c>
      <c r="AK463" s="5"/>
      <c r="AL463" s="2" t="s">
        <v>199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199</v>
      </c>
      <c r="AW463" s="8" t="s">
        <v>199</v>
      </c>
      <c r="AX463" s="4" t="s">
        <v>199</v>
      </c>
      <c r="AY463" s="8" t="s">
        <v>199</v>
      </c>
      <c r="AZ463" s="7" t="s">
        <v>199</v>
      </c>
      <c r="BA463" s="7" t="s">
        <v>199</v>
      </c>
      <c r="BB463" s="7"/>
      <c r="BC463" s="4" t="s">
        <v>199</v>
      </c>
      <c r="BD463" s="8" t="s">
        <v>199</v>
      </c>
      <c r="BE463" s="4" t="s">
        <v>199</v>
      </c>
      <c r="BF463" s="8" t="s">
        <v>199</v>
      </c>
      <c r="BG463" s="7" t="s">
        <v>199</v>
      </c>
      <c r="BH463" s="7" t="s">
        <v>199</v>
      </c>
      <c r="BI463" s="7"/>
      <c r="BJ463" s="4"/>
      <c r="BK463" s="8"/>
      <c r="BL463" s="2" t="s">
        <v>684</v>
      </c>
      <c r="BM463" s="7"/>
      <c r="BN463" s="7"/>
      <c r="BO463" s="4"/>
      <c r="BP463" s="8"/>
      <c r="BQ463" s="4"/>
      <c r="BR463" s="8"/>
      <c r="BS463" s="7"/>
      <c r="BT463" s="7"/>
      <c r="BU463" s="2" t="s">
        <v>2753</v>
      </c>
      <c r="BV463" s="2" t="s">
        <v>199</v>
      </c>
      <c r="BW463" s="2" t="s">
        <v>199</v>
      </c>
      <c r="BX463" s="2" t="s">
        <v>208</v>
      </c>
      <c r="BY463" s="2" t="s">
        <v>209</v>
      </c>
      <c r="BZ463" s="2" t="s">
        <v>196</v>
      </c>
      <c r="CA463" s="2" t="s">
        <v>2762</v>
      </c>
      <c r="CB463" s="2" t="s">
        <v>369</v>
      </c>
      <c r="CC463" s="2" t="s">
        <v>212</v>
      </c>
      <c r="CD463" s="2" t="s">
        <v>199</v>
      </c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>
        <v>36</v>
      </c>
      <c r="FR463" s="4">
        <v>27</v>
      </c>
      <c r="FS463" s="4">
        <v>25</v>
      </c>
      <c r="FT463" s="20">
        <v>0</v>
      </c>
      <c r="FU463" s="20">
        <v>0</v>
      </c>
      <c r="FV463" s="20">
        <v>0</v>
      </c>
      <c r="FW463" s="20">
        <v>0</v>
      </c>
      <c r="FX463" s="20">
        <v>0</v>
      </c>
      <c r="FY463" s="20">
        <v>0</v>
      </c>
      <c r="FZ463" s="20">
        <v>0</v>
      </c>
      <c r="GA463" s="20">
        <v>0</v>
      </c>
      <c r="GB463" s="20">
        <v>0</v>
      </c>
      <c r="GC463" s="20">
        <v>0</v>
      </c>
      <c r="GD463" s="20">
        <v>0</v>
      </c>
      <c r="GE463" s="20">
        <v>0</v>
      </c>
      <c r="GF463" s="20">
        <v>0</v>
      </c>
      <c r="GG463" s="20">
        <v>0</v>
      </c>
      <c r="GH463" s="20">
        <v>0</v>
      </c>
      <c r="GI463" s="20">
        <v>0</v>
      </c>
      <c r="GJ463" s="20">
        <v>0</v>
      </c>
      <c r="GK463" s="20">
        <v>0</v>
      </c>
      <c r="GL463" s="20">
        <v>0</v>
      </c>
      <c r="GM463" s="20">
        <v>0</v>
      </c>
      <c r="GN463" s="20">
        <v>0</v>
      </c>
      <c r="GO463" s="20">
        <v>0</v>
      </c>
      <c r="GP463" s="20">
        <v>0</v>
      </c>
      <c r="GQ463" s="19">
        <v>9</v>
      </c>
      <c r="GR463" s="19">
        <v>13.5</v>
      </c>
      <c r="GS463" s="19">
        <v>12.5</v>
      </c>
    </row>
    <row r="464">
      <c r="A464" s="2" t="s">
        <v>2763</v>
      </c>
      <c r="B464" s="2" t="s">
        <v>245</v>
      </c>
      <c r="C464" s="2" t="s">
        <v>1625</v>
      </c>
      <c r="D464" s="2" t="s">
        <v>247</v>
      </c>
      <c r="E464" s="2" t="s">
        <v>248</v>
      </c>
      <c r="F464" s="2" t="s">
        <v>2749</v>
      </c>
      <c r="G464" s="2" t="s">
        <v>2749</v>
      </c>
      <c r="H464" s="2" t="s">
        <v>2749</v>
      </c>
      <c r="I464" s="2" t="s">
        <v>297</v>
      </c>
      <c r="J464" s="2" t="s">
        <v>214</v>
      </c>
      <c r="K464" s="2" t="s">
        <v>405</v>
      </c>
      <c r="L464" s="3">
        <v>23.04</v>
      </c>
      <c r="M464" s="3">
        <v>24.19</v>
      </c>
      <c r="N464" s="3">
        <v>47.99</v>
      </c>
      <c r="O464" s="2" t="s">
        <v>196</v>
      </c>
      <c r="P464" s="2" t="s">
        <v>197</v>
      </c>
      <c r="Q464" s="2" t="s">
        <v>198</v>
      </c>
      <c r="R464" s="2" t="s">
        <v>199</v>
      </c>
      <c r="S464" s="2" t="s">
        <v>2760</v>
      </c>
      <c r="T464" s="2" t="s">
        <v>1978</v>
      </c>
      <c r="U464" s="2" t="s">
        <v>637</v>
      </c>
      <c r="V464" s="2" t="s">
        <v>202</v>
      </c>
      <c r="W464" s="2" t="s">
        <v>203</v>
      </c>
      <c r="X464" s="2" t="s">
        <v>510</v>
      </c>
      <c r="Y464" s="2" t="s">
        <v>2761</v>
      </c>
      <c r="Z464" s="4"/>
      <c r="AA464" s="4">
        <f>=ROUNDDOWN({0},0)</f>
      </c>
      <c r="AB464" s="5">
        <v>9</v>
      </c>
      <c r="AC464" s="2" t="s">
        <v>199</v>
      </c>
      <c r="AD464" s="4"/>
      <c r="AE464" s="4"/>
      <c r="AF464" s="6">
        <v>65</v>
      </c>
      <c r="AG464" s="6"/>
      <c r="AH464" s="7">
        <v>0.0645</v>
      </c>
      <c r="AI464" s="4"/>
      <c r="AJ464" s="4">
        <f>=ROUNDDOWN({0},0)</f>
      </c>
      <c r="AK464" s="5"/>
      <c r="AL464" s="2" t="s">
        <v>199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199</v>
      </c>
      <c r="AW464" s="8" t="s">
        <v>199</v>
      </c>
      <c r="AX464" s="4" t="s">
        <v>199</v>
      </c>
      <c r="AY464" s="8" t="s">
        <v>199</v>
      </c>
      <c r="AZ464" s="7" t="s">
        <v>199</v>
      </c>
      <c r="BA464" s="7" t="s">
        <v>199</v>
      </c>
      <c r="BB464" s="7"/>
      <c r="BC464" s="4" t="s">
        <v>199</v>
      </c>
      <c r="BD464" s="8" t="s">
        <v>199</v>
      </c>
      <c r="BE464" s="4" t="s">
        <v>199</v>
      </c>
      <c r="BF464" s="8" t="s">
        <v>199</v>
      </c>
      <c r="BG464" s="7" t="s">
        <v>199</v>
      </c>
      <c r="BH464" s="7" t="s">
        <v>199</v>
      </c>
      <c r="BI464" s="7"/>
      <c r="BJ464" s="4">
        <v>5</v>
      </c>
      <c r="BK464" s="8">
        <v>132.5</v>
      </c>
      <c r="BL464" s="2" t="s">
        <v>2764</v>
      </c>
      <c r="BM464" s="7"/>
      <c r="BN464" s="7"/>
      <c r="BO464" s="4"/>
      <c r="BP464" s="8"/>
      <c r="BQ464" s="4"/>
      <c r="BR464" s="8"/>
      <c r="BS464" s="7"/>
      <c r="BT464" s="7"/>
      <c r="BU464" s="2" t="s">
        <v>2753</v>
      </c>
      <c r="BV464" s="2" t="s">
        <v>199</v>
      </c>
      <c r="BW464" s="2" t="s">
        <v>199</v>
      </c>
      <c r="BX464" s="2" t="s">
        <v>208</v>
      </c>
      <c r="BY464" s="2" t="s">
        <v>209</v>
      </c>
      <c r="BZ464" s="2" t="s">
        <v>196</v>
      </c>
      <c r="CA464" s="2" t="s">
        <v>2762</v>
      </c>
      <c r="CB464" s="2" t="s">
        <v>1576</v>
      </c>
      <c r="CC464" s="2" t="s">
        <v>212</v>
      </c>
      <c r="CD464" s="2" t="s">
        <v>199</v>
      </c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>
        <v>40</v>
      </c>
      <c r="FR464" s="4">
        <v>31</v>
      </c>
      <c r="FS464" s="4">
        <v>28</v>
      </c>
      <c r="FT464" s="20">
        <v>0</v>
      </c>
      <c r="FU464" s="20">
        <v>0</v>
      </c>
      <c r="FV464" s="20">
        <v>0</v>
      </c>
      <c r="FW464" s="20">
        <v>0</v>
      </c>
      <c r="FX464" s="20">
        <v>0</v>
      </c>
      <c r="FY464" s="20">
        <v>0</v>
      </c>
      <c r="FZ464" s="20">
        <v>0</v>
      </c>
      <c r="GA464" s="20">
        <v>0</v>
      </c>
      <c r="GB464" s="20">
        <v>0</v>
      </c>
      <c r="GC464" s="20">
        <v>0</v>
      </c>
      <c r="GD464" s="20">
        <v>0</v>
      </c>
      <c r="GE464" s="20">
        <v>0</v>
      </c>
      <c r="GF464" s="20">
        <v>0</v>
      </c>
      <c r="GG464" s="20">
        <v>0</v>
      </c>
      <c r="GH464" s="20">
        <v>0</v>
      </c>
      <c r="GI464" s="20">
        <v>0</v>
      </c>
      <c r="GJ464" s="20">
        <v>0</v>
      </c>
      <c r="GK464" s="20">
        <v>0</v>
      </c>
      <c r="GL464" s="20">
        <v>0</v>
      </c>
      <c r="GM464" s="20">
        <v>0</v>
      </c>
      <c r="GN464" s="20">
        <v>0</v>
      </c>
      <c r="GO464" s="20">
        <v>0</v>
      </c>
      <c r="GP464" s="20">
        <v>0</v>
      </c>
      <c r="GQ464" s="19">
        <v>10</v>
      </c>
      <c r="GR464" s="19">
        <v>10.3</v>
      </c>
      <c r="GS464" s="19">
        <v>9.3</v>
      </c>
    </row>
    <row r="465">
      <c r="A465" s="2" t="s">
        <v>2765</v>
      </c>
      <c r="B465" s="2" t="s">
        <v>245</v>
      </c>
      <c r="C465" s="2" t="s">
        <v>1625</v>
      </c>
      <c r="D465" s="2" t="s">
        <v>247</v>
      </c>
      <c r="E465" s="2" t="s">
        <v>248</v>
      </c>
      <c r="F465" s="2" t="s">
        <v>2749</v>
      </c>
      <c r="G465" s="2" t="s">
        <v>2749</v>
      </c>
      <c r="H465" s="2" t="s">
        <v>2749</v>
      </c>
      <c r="I465" s="2" t="s">
        <v>297</v>
      </c>
      <c r="J465" s="2" t="s">
        <v>223</v>
      </c>
      <c r="K465" s="2" t="s">
        <v>405</v>
      </c>
      <c r="L465" s="3">
        <v>31.2</v>
      </c>
      <c r="M465" s="3">
        <v>32.76</v>
      </c>
      <c r="N465" s="3">
        <v>64.99</v>
      </c>
      <c r="O465" s="2" t="s">
        <v>196</v>
      </c>
      <c r="P465" s="2" t="s">
        <v>197</v>
      </c>
      <c r="Q465" s="2" t="s">
        <v>198</v>
      </c>
      <c r="R465" s="2" t="s">
        <v>199</v>
      </c>
      <c r="S465" s="2" t="s">
        <v>2760</v>
      </c>
      <c r="T465" s="2" t="s">
        <v>1978</v>
      </c>
      <c r="U465" s="2" t="s">
        <v>254</v>
      </c>
      <c r="V465" s="2" t="s">
        <v>202</v>
      </c>
      <c r="W465" s="2" t="s">
        <v>203</v>
      </c>
      <c r="X465" s="2" t="s">
        <v>510</v>
      </c>
      <c r="Y465" s="2" t="s">
        <v>2761</v>
      </c>
      <c r="Z465" s="4">
        <v>31</v>
      </c>
      <c r="AA465" s="4">
        <f>=ROUNDDOWN(3.44444444444444,0)</f>
      </c>
      <c r="AB465" s="5">
        <v>9</v>
      </c>
      <c r="AC465" s="2" t="s">
        <v>199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199</v>
      </c>
      <c r="AW465" s="8" t="s">
        <v>199</v>
      </c>
      <c r="AX465" s="4" t="s">
        <v>199</v>
      </c>
      <c r="AY465" s="8" t="s">
        <v>199</v>
      </c>
      <c r="AZ465" s="7" t="s">
        <v>199</v>
      </c>
      <c r="BA465" s="7" t="s">
        <v>199</v>
      </c>
      <c r="BB465" s="7"/>
      <c r="BC465" s="4" t="s">
        <v>199</v>
      </c>
      <c r="BD465" s="8" t="s">
        <v>199</v>
      </c>
      <c r="BE465" s="4" t="s">
        <v>199</v>
      </c>
      <c r="BF465" s="8" t="s">
        <v>199</v>
      </c>
      <c r="BG465" s="7" t="s">
        <v>199</v>
      </c>
      <c r="BH465" s="7" t="s">
        <v>199</v>
      </c>
      <c r="BI465" s="7"/>
      <c r="BJ465" s="4">
        <v>111</v>
      </c>
      <c r="BK465" s="8">
        <v>3830.99</v>
      </c>
      <c r="BL465" s="2" t="s">
        <v>304</v>
      </c>
      <c r="BM465" s="7"/>
      <c r="BN465" s="7"/>
      <c r="BO465" s="4"/>
      <c r="BP465" s="8"/>
      <c r="BQ465" s="4"/>
      <c r="BR465" s="8"/>
      <c r="BS465" s="7"/>
      <c r="BT465" s="7"/>
      <c r="BU465" s="2" t="s">
        <v>2753</v>
      </c>
      <c r="BV465" s="2" t="s">
        <v>199</v>
      </c>
      <c r="BW465" s="2" t="s">
        <v>199</v>
      </c>
      <c r="BX465" s="2" t="s">
        <v>208</v>
      </c>
      <c r="BY465" s="2" t="s">
        <v>209</v>
      </c>
      <c r="BZ465" s="2" t="s">
        <v>196</v>
      </c>
      <c r="CA465" s="2" t="s">
        <v>2762</v>
      </c>
      <c r="CB465" s="2" t="s">
        <v>381</v>
      </c>
      <c r="CC465" s="2" t="s">
        <v>212</v>
      </c>
      <c r="CD465" s="2" t="s">
        <v>199</v>
      </c>
      <c r="CE465" s="4"/>
      <c r="CF465" s="4">
        <v>31</v>
      </c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>
        <v>32</v>
      </c>
      <c r="EU465" s="4">
        <v>22</v>
      </c>
      <c r="EV465" s="4">
        <v>12</v>
      </c>
      <c r="EW465" s="4">
        <v>1</v>
      </c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>
        <v>24</v>
      </c>
      <c r="FR465" s="4">
        <v>22</v>
      </c>
      <c r="FS465" s="4">
        <v>20</v>
      </c>
      <c r="FT465" s="19">
        <v>3.2</v>
      </c>
      <c r="FU465" s="19">
        <v>2.8</v>
      </c>
      <c r="FV465" s="19">
        <v>2</v>
      </c>
      <c r="FW465" s="19">
        <v>0.2</v>
      </c>
      <c r="FX465" s="20">
        <v>0</v>
      </c>
      <c r="FY465" s="20">
        <v>0</v>
      </c>
      <c r="FZ465" s="20">
        <v>0</v>
      </c>
      <c r="GA465" s="20">
        <v>0</v>
      </c>
      <c r="GB465" s="20">
        <v>0</v>
      </c>
      <c r="GC465" s="20">
        <v>0</v>
      </c>
      <c r="GD465" s="20">
        <v>0</v>
      </c>
      <c r="GE465" s="20">
        <v>0</v>
      </c>
      <c r="GF465" s="20">
        <v>0</v>
      </c>
      <c r="GG465" s="20">
        <v>0</v>
      </c>
      <c r="GH465" s="20">
        <v>0</v>
      </c>
      <c r="GI465" s="20">
        <v>0</v>
      </c>
      <c r="GJ465" s="20">
        <v>0</v>
      </c>
      <c r="GK465" s="20">
        <v>0</v>
      </c>
      <c r="GL465" s="20">
        <v>0</v>
      </c>
      <c r="GM465" s="20">
        <v>0</v>
      </c>
      <c r="GN465" s="20">
        <v>0</v>
      </c>
      <c r="GO465" s="20">
        <v>0</v>
      </c>
      <c r="GP465" s="20">
        <v>0</v>
      </c>
      <c r="GQ465" s="19">
        <v>12</v>
      </c>
      <c r="GR465" s="19">
        <v>11</v>
      </c>
      <c r="GS465" s="19">
        <v>10</v>
      </c>
    </row>
    <row r="466">
      <c r="A466" s="2" t="s">
        <v>2766</v>
      </c>
      <c r="B466" s="2" t="s">
        <v>245</v>
      </c>
      <c r="C466" s="2" t="s">
        <v>1625</v>
      </c>
      <c r="D466" s="2" t="s">
        <v>247</v>
      </c>
      <c r="E466" s="2" t="s">
        <v>248</v>
      </c>
      <c r="F466" s="2" t="s">
        <v>2749</v>
      </c>
      <c r="G466" s="2" t="s">
        <v>2749</v>
      </c>
      <c r="H466" s="2" t="s">
        <v>2749</v>
      </c>
      <c r="I466" s="2" t="s">
        <v>297</v>
      </c>
      <c r="J466" s="2" t="s">
        <v>194</v>
      </c>
      <c r="K466" s="2" t="s">
        <v>1104</v>
      </c>
      <c r="L466" s="3">
        <v>21.62</v>
      </c>
      <c r="M466" s="3">
        <v>22.7</v>
      </c>
      <c r="N466" s="3">
        <v>46.99</v>
      </c>
      <c r="O466" s="2" t="s">
        <v>196</v>
      </c>
      <c r="P466" s="2" t="s">
        <v>197</v>
      </c>
      <c r="Q466" s="2" t="s">
        <v>198</v>
      </c>
      <c r="R466" s="2" t="s">
        <v>199</v>
      </c>
      <c r="S466" s="2" t="s">
        <v>2767</v>
      </c>
      <c r="T466" s="2" t="s">
        <v>1978</v>
      </c>
      <c r="U466" s="2" t="s">
        <v>637</v>
      </c>
      <c r="V466" s="2" t="s">
        <v>202</v>
      </c>
      <c r="W466" s="2" t="s">
        <v>203</v>
      </c>
      <c r="X466" s="2" t="s">
        <v>510</v>
      </c>
      <c r="Y466" s="2" t="s">
        <v>204</v>
      </c>
      <c r="Z466" s="4"/>
      <c r="AA466" s="4">
        <f>=ROUNDDOWN({0},0)</f>
      </c>
      <c r="AB466" s="5">
        <v>8</v>
      </c>
      <c r="AC466" s="2" t="s">
        <v>199</v>
      </c>
      <c r="AD466" s="4"/>
      <c r="AE466" s="4"/>
      <c r="AF466" s="6">
        <v>65</v>
      </c>
      <c r="AG466" s="6"/>
      <c r="AH466" s="7">
        <v>0.1613</v>
      </c>
      <c r="AI466" s="4"/>
      <c r="AJ466" s="4">
        <f>=ROUNDDOWN({0},0)</f>
      </c>
      <c r="AK466" s="5"/>
      <c r="AL466" s="2" t="s">
        <v>199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199</v>
      </c>
      <c r="BD466" s="8" t="s">
        <v>199</v>
      </c>
      <c r="BE466" s="4" t="s">
        <v>199</v>
      </c>
      <c r="BF466" s="8" t="s">
        <v>199</v>
      </c>
      <c r="BG466" s="7" t="s">
        <v>199</v>
      </c>
      <c r="BH466" s="7" t="s">
        <v>199</v>
      </c>
      <c r="BI466" s="7"/>
      <c r="BJ466" s="4">
        <v>47</v>
      </c>
      <c r="BK466" s="8">
        <v>1097.39</v>
      </c>
      <c r="BL466" s="2" t="s">
        <v>2768</v>
      </c>
      <c r="BM466" s="7"/>
      <c r="BN466" s="7"/>
      <c r="BO466" s="4"/>
      <c r="BP466" s="8"/>
      <c r="BQ466" s="4"/>
      <c r="BR466" s="8"/>
      <c r="BS466" s="7"/>
      <c r="BT466" s="7"/>
      <c r="BU466" s="2" t="s">
        <v>2753</v>
      </c>
      <c r="BV466" s="2" t="s">
        <v>199</v>
      </c>
      <c r="BW466" s="2" t="s">
        <v>199</v>
      </c>
      <c r="BX466" s="2" t="s">
        <v>208</v>
      </c>
      <c r="BY466" s="2" t="s">
        <v>209</v>
      </c>
      <c r="BZ466" s="2" t="s">
        <v>196</v>
      </c>
      <c r="CA466" s="2" t="s">
        <v>210</v>
      </c>
      <c r="CB466" s="2" t="s">
        <v>2769</v>
      </c>
      <c r="CC466" s="2" t="s">
        <v>212</v>
      </c>
      <c r="CD466" s="2" t="s">
        <v>199</v>
      </c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>
        <v>203</v>
      </c>
      <c r="FR466" s="4">
        <v>194</v>
      </c>
      <c r="FS466" s="4">
        <v>192</v>
      </c>
      <c r="FT466" s="20">
        <v>0</v>
      </c>
      <c r="FU466" s="20">
        <v>0</v>
      </c>
      <c r="FV466" s="20">
        <v>0</v>
      </c>
      <c r="FW466" s="20">
        <v>0</v>
      </c>
      <c r="FX466" s="20">
        <v>0</v>
      </c>
      <c r="FY466" s="20">
        <v>0</v>
      </c>
      <c r="FZ466" s="20">
        <v>0</v>
      </c>
      <c r="GA466" s="20">
        <v>0</v>
      </c>
      <c r="GB466" s="20">
        <v>0</v>
      </c>
      <c r="GC466" s="20">
        <v>0</v>
      </c>
      <c r="GD466" s="20">
        <v>0</v>
      </c>
      <c r="GE466" s="20">
        <v>0</v>
      </c>
      <c r="GF466" s="20">
        <v>0</v>
      </c>
      <c r="GG466" s="20">
        <v>0</v>
      </c>
      <c r="GH466" s="20">
        <v>0</v>
      </c>
      <c r="GI466" s="20">
        <v>0</v>
      </c>
      <c r="GJ466" s="20">
        <v>0</v>
      </c>
      <c r="GK466" s="20">
        <v>0</v>
      </c>
      <c r="GL466" s="20">
        <v>0</v>
      </c>
      <c r="GM466" s="20">
        <v>0</v>
      </c>
      <c r="GN466" s="20">
        <v>0</v>
      </c>
      <c r="GO466" s="20">
        <v>0</v>
      </c>
      <c r="GP466" s="20">
        <v>0</v>
      </c>
      <c r="GQ466" s="19">
        <v>50.8</v>
      </c>
      <c r="GR466" s="19">
        <v>97</v>
      </c>
      <c r="GS466" s="19">
        <v>96</v>
      </c>
    </row>
    <row r="467">
      <c r="A467" s="2" t="s">
        <v>2770</v>
      </c>
      <c r="B467" s="2" t="s">
        <v>245</v>
      </c>
      <c r="C467" s="2" t="s">
        <v>1625</v>
      </c>
      <c r="D467" s="2" t="s">
        <v>247</v>
      </c>
      <c r="E467" s="2" t="s">
        <v>248</v>
      </c>
      <c r="F467" s="2" t="s">
        <v>2749</v>
      </c>
      <c r="G467" s="2" t="s">
        <v>2749</v>
      </c>
      <c r="H467" s="2" t="s">
        <v>2749</v>
      </c>
      <c r="I467" s="2" t="s">
        <v>297</v>
      </c>
      <c r="J467" s="2" t="s">
        <v>285</v>
      </c>
      <c r="K467" s="2" t="s">
        <v>1115</v>
      </c>
      <c r="L467" s="3">
        <v>25.3</v>
      </c>
      <c r="M467" s="3">
        <v>26.56</v>
      </c>
      <c r="N467" s="3">
        <v>54.99</v>
      </c>
      <c r="O467" s="2" t="s">
        <v>196</v>
      </c>
      <c r="P467" s="2" t="s">
        <v>197</v>
      </c>
      <c r="Q467" s="2" t="s">
        <v>198</v>
      </c>
      <c r="R467" s="2" t="s">
        <v>199</v>
      </c>
      <c r="S467" s="2" t="s">
        <v>2771</v>
      </c>
      <c r="T467" s="2" t="s">
        <v>1978</v>
      </c>
      <c r="U467" s="2" t="s">
        <v>254</v>
      </c>
      <c r="V467" s="2" t="s">
        <v>202</v>
      </c>
      <c r="W467" s="2" t="s">
        <v>203</v>
      </c>
      <c r="X467" s="2" t="s">
        <v>510</v>
      </c>
      <c r="Y467" s="2" t="s">
        <v>204</v>
      </c>
      <c r="Z467" s="4"/>
      <c r="AA467" s="4">
        <f>=ROUNDDOWN({0},0)</f>
      </c>
      <c r="AB467" s="5">
        <v>19</v>
      </c>
      <c r="AC467" s="2" t="s">
        <v>199</v>
      </c>
      <c r="AD467" s="4"/>
      <c r="AE467" s="4"/>
      <c r="AF467" s="6">
        <v>65</v>
      </c>
      <c r="AG467" s="6"/>
      <c r="AH467" s="7">
        <v>0.0323</v>
      </c>
      <c r="AI467" s="4"/>
      <c r="AJ467" s="4">
        <f>=ROUNDDOWN({0},0)</f>
      </c>
      <c r="AK467" s="5"/>
      <c r="AL467" s="2" t="s">
        <v>199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199</v>
      </c>
      <c r="BD467" s="8" t="s">
        <v>199</v>
      </c>
      <c r="BE467" s="4" t="s">
        <v>199</v>
      </c>
      <c r="BF467" s="8" t="s">
        <v>199</v>
      </c>
      <c r="BG467" s="7" t="s">
        <v>199</v>
      </c>
      <c r="BH467" s="7" t="s">
        <v>199</v>
      </c>
      <c r="BI467" s="7"/>
      <c r="BJ467" s="4">
        <v>5</v>
      </c>
      <c r="BK467" s="8">
        <v>137.7</v>
      </c>
      <c r="BL467" s="2" t="s">
        <v>2772</v>
      </c>
      <c r="BM467" s="7"/>
      <c r="BN467" s="7"/>
      <c r="BO467" s="4"/>
      <c r="BP467" s="8"/>
      <c r="BQ467" s="4"/>
      <c r="BR467" s="8"/>
      <c r="BS467" s="7"/>
      <c r="BT467" s="7"/>
      <c r="BU467" s="2" t="s">
        <v>2753</v>
      </c>
      <c r="BV467" s="2" t="s">
        <v>199</v>
      </c>
      <c r="BW467" s="2" t="s">
        <v>199</v>
      </c>
      <c r="BX467" s="2" t="s">
        <v>208</v>
      </c>
      <c r="BY467" s="2" t="s">
        <v>209</v>
      </c>
      <c r="BZ467" s="2" t="s">
        <v>196</v>
      </c>
      <c r="CA467" s="2" t="s">
        <v>210</v>
      </c>
      <c r="CB467" s="2" t="s">
        <v>2373</v>
      </c>
      <c r="CC467" s="2" t="s">
        <v>212</v>
      </c>
      <c r="CD467" s="2" t="s">
        <v>199</v>
      </c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>
        <v>214</v>
      </c>
      <c r="FR467" s="4">
        <v>188</v>
      </c>
      <c r="FS467" s="4">
        <v>182</v>
      </c>
      <c r="FT467" s="20">
        <v>0</v>
      </c>
      <c r="FU467" s="20">
        <v>0</v>
      </c>
      <c r="FV467" s="20">
        <v>0</v>
      </c>
      <c r="FW467" s="20">
        <v>0</v>
      </c>
      <c r="FX467" s="20">
        <v>0</v>
      </c>
      <c r="FY467" s="20">
        <v>0</v>
      </c>
      <c r="FZ467" s="20">
        <v>0</v>
      </c>
      <c r="GA467" s="20">
        <v>0</v>
      </c>
      <c r="GB467" s="20">
        <v>0</v>
      </c>
      <c r="GC467" s="20">
        <v>0</v>
      </c>
      <c r="GD467" s="20">
        <v>0</v>
      </c>
      <c r="GE467" s="20">
        <v>0</v>
      </c>
      <c r="GF467" s="20">
        <v>0</v>
      </c>
      <c r="GG467" s="20">
        <v>0</v>
      </c>
      <c r="GH467" s="20">
        <v>0</v>
      </c>
      <c r="GI467" s="20">
        <v>0</v>
      </c>
      <c r="GJ467" s="20">
        <v>0</v>
      </c>
      <c r="GK467" s="20">
        <v>0</v>
      </c>
      <c r="GL467" s="20">
        <v>0</v>
      </c>
      <c r="GM467" s="20">
        <v>0</v>
      </c>
      <c r="GN467" s="20">
        <v>0</v>
      </c>
      <c r="GO467" s="20">
        <v>0</v>
      </c>
      <c r="GP467" s="20">
        <v>0</v>
      </c>
      <c r="GQ467" s="19">
        <v>19.5</v>
      </c>
      <c r="GR467" s="19">
        <v>31.3</v>
      </c>
      <c r="GS467" s="19">
        <v>30.3</v>
      </c>
    </row>
    <row r="468">
      <c r="A468" s="2" t="s">
        <v>2773</v>
      </c>
      <c r="B468" s="2" t="s">
        <v>245</v>
      </c>
      <c r="C468" s="2" t="s">
        <v>1625</v>
      </c>
      <c r="D468" s="2" t="s">
        <v>247</v>
      </c>
      <c r="E468" s="2" t="s">
        <v>248</v>
      </c>
      <c r="F468" s="2" t="s">
        <v>2749</v>
      </c>
      <c r="G468" s="2" t="s">
        <v>2749</v>
      </c>
      <c r="H468" s="2" t="s">
        <v>2749</v>
      </c>
      <c r="I468" s="2" t="s">
        <v>297</v>
      </c>
      <c r="J468" s="2" t="s">
        <v>251</v>
      </c>
      <c r="K468" s="2" t="s">
        <v>371</v>
      </c>
      <c r="L468" s="3">
        <v>31.85</v>
      </c>
      <c r="M468" s="3">
        <v>33.44</v>
      </c>
      <c r="N468" s="3">
        <v>64.99</v>
      </c>
      <c r="O468" s="2" t="s">
        <v>196</v>
      </c>
      <c r="P468" s="2" t="s">
        <v>517</v>
      </c>
      <c r="Q468" s="2" t="s">
        <v>198</v>
      </c>
      <c r="R468" s="2" t="s">
        <v>199</v>
      </c>
      <c r="S468" s="2" t="s">
        <v>2774</v>
      </c>
      <c r="T468" s="2" t="s">
        <v>1978</v>
      </c>
      <c r="U468" s="2" t="s">
        <v>254</v>
      </c>
      <c r="V468" s="2" t="s">
        <v>202</v>
      </c>
      <c r="W468" s="2" t="s">
        <v>203</v>
      </c>
      <c r="X468" s="2" t="s">
        <v>510</v>
      </c>
      <c r="Y468" s="2" t="s">
        <v>204</v>
      </c>
      <c r="Z468" s="4">
        <v>237</v>
      </c>
      <c r="AA468" s="4">
        <f>=ROUNDDOWN(14.8125,0)</f>
      </c>
      <c r="AB468" s="5">
        <v>16</v>
      </c>
      <c r="AC468" s="2" t="s">
        <v>199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199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199</v>
      </c>
      <c r="BD468" s="8" t="s">
        <v>199</v>
      </c>
      <c r="BE468" s="4" t="s">
        <v>199</v>
      </c>
      <c r="BF468" s="8" t="s">
        <v>199</v>
      </c>
      <c r="BG468" s="7" t="s">
        <v>199</v>
      </c>
      <c r="BH468" s="7" t="s">
        <v>199</v>
      </c>
      <c r="BI468" s="7"/>
      <c r="BJ468" s="4">
        <v>88</v>
      </c>
      <c r="BK468" s="8">
        <v>3074.8</v>
      </c>
      <c r="BL468" s="2" t="s">
        <v>2775</v>
      </c>
      <c r="BM468" s="7"/>
      <c r="BN468" s="7"/>
      <c r="BO468" s="4"/>
      <c r="BP468" s="8"/>
      <c r="BQ468" s="4"/>
      <c r="BR468" s="8"/>
      <c r="BS468" s="7"/>
      <c r="BT468" s="7"/>
      <c r="BU468" s="2" t="s">
        <v>2753</v>
      </c>
      <c r="BV468" s="2" t="s">
        <v>199</v>
      </c>
      <c r="BW468" s="2" t="s">
        <v>199</v>
      </c>
      <c r="BX468" s="2" t="s">
        <v>208</v>
      </c>
      <c r="BY468" s="2" t="s">
        <v>209</v>
      </c>
      <c r="BZ468" s="2" t="s">
        <v>196</v>
      </c>
      <c r="CA468" s="2" t="s">
        <v>2776</v>
      </c>
      <c r="CB468" s="2" t="s">
        <v>2129</v>
      </c>
      <c r="CC468" s="2" t="s">
        <v>212</v>
      </c>
      <c r="CD468" s="2" t="s">
        <v>199</v>
      </c>
      <c r="CE468" s="4"/>
      <c r="CF468" s="4">
        <v>237</v>
      </c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>
        <v>245</v>
      </c>
      <c r="EU468" s="4">
        <v>233</v>
      </c>
      <c r="EV468" s="4">
        <v>227</v>
      </c>
      <c r="EW468" s="4">
        <v>221</v>
      </c>
      <c r="EX468" s="4">
        <v>214</v>
      </c>
      <c r="EY468" s="4">
        <v>210</v>
      </c>
      <c r="EZ468" s="4">
        <v>205</v>
      </c>
      <c r="FA468" s="4">
        <v>199</v>
      </c>
      <c r="FB468" s="4">
        <v>193</v>
      </c>
      <c r="FC468" s="4">
        <v>187</v>
      </c>
      <c r="FD468" s="4">
        <v>182</v>
      </c>
      <c r="FE468" s="4">
        <v>177</v>
      </c>
      <c r="FF468" s="4">
        <v>172</v>
      </c>
      <c r="FG468" s="4">
        <v>167</v>
      </c>
      <c r="FH468" s="4">
        <v>163</v>
      </c>
      <c r="FI468" s="4">
        <v>159</v>
      </c>
      <c r="FJ468" s="4">
        <v>155</v>
      </c>
      <c r="FK468" s="4">
        <v>151</v>
      </c>
      <c r="FL468" s="4">
        <v>147</v>
      </c>
      <c r="FM468" s="4">
        <v>143</v>
      </c>
      <c r="FN468" s="4">
        <v>139</v>
      </c>
      <c r="FO468" s="4">
        <v>135</v>
      </c>
      <c r="FP468" s="4">
        <v>131</v>
      </c>
      <c r="FQ468" s="4">
        <v>217</v>
      </c>
      <c r="FR468" s="4">
        <v>213</v>
      </c>
      <c r="FS468" s="4">
        <v>208</v>
      </c>
      <c r="FT468" s="19">
        <v>30.6</v>
      </c>
      <c r="FU468" s="19">
        <v>38.8</v>
      </c>
      <c r="FV468" s="19">
        <v>37.8</v>
      </c>
      <c r="FW468" s="19">
        <v>36.8</v>
      </c>
      <c r="FX468" s="19">
        <v>42.8</v>
      </c>
      <c r="FY468" s="19">
        <v>35</v>
      </c>
      <c r="FZ468" s="19">
        <v>34.2</v>
      </c>
      <c r="GA468" s="19">
        <v>33.2</v>
      </c>
      <c r="GB468" s="19">
        <v>38.6</v>
      </c>
      <c r="GC468" s="19">
        <v>37.4</v>
      </c>
      <c r="GD468" s="19">
        <v>36.4</v>
      </c>
      <c r="GE468" s="19">
        <v>44.3</v>
      </c>
      <c r="GF468" s="19">
        <v>43</v>
      </c>
      <c r="GG468" s="19">
        <v>41.8</v>
      </c>
      <c r="GH468" s="19">
        <v>40.8</v>
      </c>
      <c r="GI468" s="19">
        <v>39.8</v>
      </c>
      <c r="GJ468" s="19">
        <v>38.8</v>
      </c>
      <c r="GK468" s="19">
        <v>37.8</v>
      </c>
      <c r="GL468" s="19">
        <v>36.8</v>
      </c>
      <c r="GM468" s="19">
        <v>35.8</v>
      </c>
      <c r="GN468" s="19">
        <v>34.8</v>
      </c>
      <c r="GO468" s="19">
        <v>33.8</v>
      </c>
      <c r="GP468" s="19">
        <v>32.8</v>
      </c>
      <c r="GQ468" s="19">
        <v>43.4</v>
      </c>
      <c r="GR468" s="19">
        <v>42.6</v>
      </c>
      <c r="GS468" s="19">
        <v>34.7</v>
      </c>
    </row>
    <row r="469">
      <c r="A469" s="2" t="s">
        <v>2777</v>
      </c>
      <c r="B469" s="2" t="s">
        <v>245</v>
      </c>
      <c r="C469" s="2" t="s">
        <v>1625</v>
      </c>
      <c r="D469" s="2" t="s">
        <v>247</v>
      </c>
      <c r="E469" s="2" t="s">
        <v>248</v>
      </c>
      <c r="F469" s="2" t="s">
        <v>2749</v>
      </c>
      <c r="G469" s="2" t="s">
        <v>2749</v>
      </c>
      <c r="H469" s="2" t="s">
        <v>2749</v>
      </c>
      <c r="I469" s="2" t="s">
        <v>297</v>
      </c>
      <c r="J469" s="2" t="s">
        <v>194</v>
      </c>
      <c r="K469" s="2" t="s">
        <v>1727</v>
      </c>
      <c r="L469" s="3">
        <v>24</v>
      </c>
      <c r="M469" s="3">
        <v>25.2</v>
      </c>
      <c r="N469" s="3">
        <v>49.99</v>
      </c>
      <c r="O469" s="2" t="s">
        <v>196</v>
      </c>
      <c r="P469" s="2" t="s">
        <v>197</v>
      </c>
      <c r="Q469" s="2" t="s">
        <v>198</v>
      </c>
      <c r="R469" s="2" t="s">
        <v>199</v>
      </c>
      <c r="S469" s="2" t="s">
        <v>2778</v>
      </c>
      <c r="T469" s="2" t="s">
        <v>1978</v>
      </c>
      <c r="U469" s="2" t="s">
        <v>637</v>
      </c>
      <c r="V469" s="2" t="s">
        <v>638</v>
      </c>
      <c r="W469" s="2" t="s">
        <v>203</v>
      </c>
      <c r="X469" s="2" t="s">
        <v>510</v>
      </c>
      <c r="Y469" s="2" t="s">
        <v>2630</v>
      </c>
      <c r="Z469" s="4">
        <v>94</v>
      </c>
      <c r="AA469" s="4">
        <f>=ROUNDDOWN(23.5,0)</f>
      </c>
      <c r="AB469" s="5">
        <v>4</v>
      </c>
      <c r="AC469" s="2" t="s">
        <v>199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199</v>
      </c>
      <c r="AW469" s="8" t="s">
        <v>199</v>
      </c>
      <c r="AX469" s="4" t="s">
        <v>199</v>
      </c>
      <c r="AY469" s="8" t="s">
        <v>199</v>
      </c>
      <c r="AZ469" s="7" t="s">
        <v>199</v>
      </c>
      <c r="BA469" s="7" t="s">
        <v>199</v>
      </c>
      <c r="BB469" s="7"/>
      <c r="BC469" s="4" t="s">
        <v>199</v>
      </c>
      <c r="BD469" s="8" t="s">
        <v>199</v>
      </c>
      <c r="BE469" s="4" t="s">
        <v>199</v>
      </c>
      <c r="BF469" s="8" t="s">
        <v>199</v>
      </c>
      <c r="BG469" s="7" t="s">
        <v>199</v>
      </c>
      <c r="BH469" s="7" t="s">
        <v>199</v>
      </c>
      <c r="BI469" s="7"/>
      <c r="BJ469" s="4">
        <v>47</v>
      </c>
      <c r="BK469" s="8">
        <v>1247.77</v>
      </c>
      <c r="BL469" s="2" t="s">
        <v>327</v>
      </c>
      <c r="BM469" s="7"/>
      <c r="BN469" s="7"/>
      <c r="BO469" s="4"/>
      <c r="BP469" s="8"/>
      <c r="BQ469" s="4"/>
      <c r="BR469" s="8"/>
      <c r="BS469" s="7"/>
      <c r="BT469" s="7"/>
      <c r="BU469" s="2" t="s">
        <v>2753</v>
      </c>
      <c r="BV469" s="2" t="s">
        <v>199</v>
      </c>
      <c r="BW469" s="2" t="s">
        <v>199</v>
      </c>
      <c r="BX469" s="2" t="s">
        <v>208</v>
      </c>
      <c r="BY469" s="2" t="s">
        <v>209</v>
      </c>
      <c r="BZ469" s="2" t="s">
        <v>196</v>
      </c>
      <c r="CA469" s="2" t="s">
        <v>2762</v>
      </c>
      <c r="CB469" s="2" t="s">
        <v>2262</v>
      </c>
      <c r="CC469" s="2" t="s">
        <v>212</v>
      </c>
      <c r="CD469" s="2" t="s">
        <v>199</v>
      </c>
      <c r="CE469" s="4">
        <v>19</v>
      </c>
      <c r="CF469" s="4">
        <v>75</v>
      </c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>
        <v>95</v>
      </c>
      <c r="EU469" s="4">
        <v>93</v>
      </c>
      <c r="EV469" s="4">
        <v>90</v>
      </c>
      <c r="EW469" s="4">
        <v>87</v>
      </c>
      <c r="EX469" s="4">
        <v>84</v>
      </c>
      <c r="EY469" s="4">
        <v>83</v>
      </c>
      <c r="EZ469" s="4">
        <v>81</v>
      </c>
      <c r="FA469" s="4">
        <v>79</v>
      </c>
      <c r="FB469" s="4">
        <v>77</v>
      </c>
      <c r="FC469" s="4">
        <v>75</v>
      </c>
      <c r="FD469" s="4">
        <v>74</v>
      </c>
      <c r="FE469" s="4">
        <v>73</v>
      </c>
      <c r="FF469" s="4">
        <v>72</v>
      </c>
      <c r="FG469" s="4">
        <v>71</v>
      </c>
      <c r="FH469" s="4">
        <v>70</v>
      </c>
      <c r="FI469" s="4">
        <v>69</v>
      </c>
      <c r="FJ469" s="4">
        <v>68</v>
      </c>
      <c r="FK469" s="4">
        <v>67</v>
      </c>
      <c r="FL469" s="4">
        <v>66</v>
      </c>
      <c r="FM469" s="4">
        <v>65</v>
      </c>
      <c r="FN469" s="4">
        <v>64</v>
      </c>
      <c r="FO469" s="4">
        <v>63</v>
      </c>
      <c r="FP469" s="4">
        <v>62</v>
      </c>
      <c r="FQ469" s="4">
        <v>61</v>
      </c>
      <c r="FR469" s="4">
        <v>60</v>
      </c>
      <c r="FS469" s="4">
        <v>59</v>
      </c>
      <c r="FT469" s="19">
        <v>31.7</v>
      </c>
      <c r="FU469" s="19">
        <v>46.5</v>
      </c>
      <c r="FV469" s="19">
        <v>45</v>
      </c>
      <c r="FW469" s="19">
        <v>43.5</v>
      </c>
      <c r="FX469" s="19">
        <v>42</v>
      </c>
      <c r="FY469" s="19">
        <v>41.5</v>
      </c>
      <c r="FZ469" s="19">
        <v>40.5</v>
      </c>
      <c r="GA469" s="19">
        <v>39.5</v>
      </c>
      <c r="GB469" s="19">
        <v>77</v>
      </c>
      <c r="GC469" s="19">
        <v>75</v>
      </c>
      <c r="GD469" s="19">
        <v>74</v>
      </c>
      <c r="GE469" s="19">
        <v>73</v>
      </c>
      <c r="GF469" s="19">
        <v>72</v>
      </c>
      <c r="GG469" s="19">
        <v>71</v>
      </c>
      <c r="GH469" s="19">
        <v>70</v>
      </c>
      <c r="GI469" s="19">
        <v>69</v>
      </c>
      <c r="GJ469" s="19">
        <v>68</v>
      </c>
      <c r="GK469" s="19">
        <v>67</v>
      </c>
      <c r="GL469" s="19">
        <v>66</v>
      </c>
      <c r="GM469" s="19">
        <v>65</v>
      </c>
      <c r="GN469" s="19">
        <v>64</v>
      </c>
      <c r="GO469" s="19">
        <v>63</v>
      </c>
      <c r="GP469" s="19">
        <v>62</v>
      </c>
      <c r="GQ469" s="19">
        <v>61</v>
      </c>
      <c r="GR469" s="19">
        <v>60</v>
      </c>
      <c r="GS469" s="19">
        <v>59</v>
      </c>
    </row>
    <row r="470">
      <c r="A470" s="2" t="s">
        <v>2779</v>
      </c>
      <c r="B470" s="2" t="s">
        <v>245</v>
      </c>
      <c r="C470" s="2" t="s">
        <v>1625</v>
      </c>
      <c r="D470" s="2" t="s">
        <v>247</v>
      </c>
      <c r="E470" s="2" t="s">
        <v>248</v>
      </c>
      <c r="F470" s="2" t="s">
        <v>2749</v>
      </c>
      <c r="G470" s="2" t="s">
        <v>2749</v>
      </c>
      <c r="H470" s="2" t="s">
        <v>2749</v>
      </c>
      <c r="I470" s="2" t="s">
        <v>297</v>
      </c>
      <c r="J470" s="2" t="s">
        <v>285</v>
      </c>
      <c r="K470" s="2" t="s">
        <v>1727</v>
      </c>
      <c r="L470" s="3">
        <v>28.2</v>
      </c>
      <c r="M470" s="3">
        <v>29.61</v>
      </c>
      <c r="N470" s="3">
        <v>59.99</v>
      </c>
      <c r="O470" s="2" t="s">
        <v>196</v>
      </c>
      <c r="P470" s="2" t="s">
        <v>197</v>
      </c>
      <c r="Q470" s="2" t="s">
        <v>198</v>
      </c>
      <c r="R470" s="2" t="s">
        <v>199</v>
      </c>
      <c r="S470" s="2" t="s">
        <v>2778</v>
      </c>
      <c r="T470" s="2" t="s">
        <v>1978</v>
      </c>
      <c r="U470" s="2" t="s">
        <v>254</v>
      </c>
      <c r="V470" s="2" t="s">
        <v>638</v>
      </c>
      <c r="W470" s="2" t="s">
        <v>203</v>
      </c>
      <c r="X470" s="2" t="s">
        <v>510</v>
      </c>
      <c r="Y470" s="2" t="s">
        <v>2630</v>
      </c>
      <c r="Z470" s="4">
        <v>116</v>
      </c>
      <c r="AA470" s="4">
        <f>=ROUNDDOWN(16.5714285714286,0)</f>
      </c>
      <c r="AB470" s="5">
        <v>7</v>
      </c>
      <c r="AC470" s="2" t="s">
        <v>199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199</v>
      </c>
      <c r="AW470" s="8" t="s">
        <v>199</v>
      </c>
      <c r="AX470" s="4" t="s">
        <v>199</v>
      </c>
      <c r="AY470" s="8" t="s">
        <v>199</v>
      </c>
      <c r="AZ470" s="7" t="s">
        <v>199</v>
      </c>
      <c r="BA470" s="7" t="s">
        <v>199</v>
      </c>
      <c r="BB470" s="7"/>
      <c r="BC470" s="4" t="s">
        <v>199</v>
      </c>
      <c r="BD470" s="8" t="s">
        <v>199</v>
      </c>
      <c r="BE470" s="4" t="s">
        <v>199</v>
      </c>
      <c r="BF470" s="8" t="s">
        <v>199</v>
      </c>
      <c r="BG470" s="7" t="s">
        <v>199</v>
      </c>
      <c r="BH470" s="7" t="s">
        <v>199</v>
      </c>
      <c r="BI470" s="7"/>
      <c r="BJ470" s="4">
        <v>95</v>
      </c>
      <c r="BK470" s="8">
        <v>2877.6</v>
      </c>
      <c r="BL470" s="2" t="s">
        <v>1646</v>
      </c>
      <c r="BM470" s="7"/>
      <c r="BN470" s="7"/>
      <c r="BO470" s="4"/>
      <c r="BP470" s="8"/>
      <c r="BQ470" s="4"/>
      <c r="BR470" s="8"/>
      <c r="BS470" s="7"/>
      <c r="BT470" s="7"/>
      <c r="BU470" s="2" t="s">
        <v>2753</v>
      </c>
      <c r="BV470" s="2" t="s">
        <v>199</v>
      </c>
      <c r="BW470" s="2" t="s">
        <v>199</v>
      </c>
      <c r="BX470" s="2" t="s">
        <v>208</v>
      </c>
      <c r="BY470" s="2" t="s">
        <v>209</v>
      </c>
      <c r="BZ470" s="2" t="s">
        <v>196</v>
      </c>
      <c r="CA470" s="2" t="s">
        <v>2762</v>
      </c>
      <c r="CB470" s="2" t="s">
        <v>1109</v>
      </c>
      <c r="CC470" s="2" t="s">
        <v>212</v>
      </c>
      <c r="CD470" s="2" t="s">
        <v>199</v>
      </c>
      <c r="CE470" s="4">
        <v>10</v>
      </c>
      <c r="CF470" s="4">
        <v>106</v>
      </c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>
        <v>116</v>
      </c>
      <c r="EU470" s="4">
        <v>109</v>
      </c>
      <c r="EV470" s="4">
        <v>103</v>
      </c>
      <c r="EW470" s="4">
        <v>97</v>
      </c>
      <c r="EX470" s="4">
        <v>91</v>
      </c>
      <c r="EY470" s="4">
        <v>89</v>
      </c>
      <c r="EZ470" s="4">
        <v>86</v>
      </c>
      <c r="FA470" s="4">
        <v>83</v>
      </c>
      <c r="FB470" s="4">
        <v>80</v>
      </c>
      <c r="FC470" s="4">
        <v>77</v>
      </c>
      <c r="FD470" s="4">
        <v>75</v>
      </c>
      <c r="FE470" s="4">
        <v>73</v>
      </c>
      <c r="FF470" s="4">
        <v>71</v>
      </c>
      <c r="FG470" s="4">
        <v>69</v>
      </c>
      <c r="FH470" s="4">
        <v>67</v>
      </c>
      <c r="FI470" s="4">
        <v>65</v>
      </c>
      <c r="FJ470" s="4">
        <v>63</v>
      </c>
      <c r="FK470" s="4">
        <v>61</v>
      </c>
      <c r="FL470" s="4">
        <v>59</v>
      </c>
      <c r="FM470" s="4">
        <v>57</v>
      </c>
      <c r="FN470" s="4">
        <v>55</v>
      </c>
      <c r="FO470" s="4">
        <v>53</v>
      </c>
      <c r="FP470" s="4">
        <v>51</v>
      </c>
      <c r="FQ470" s="4">
        <v>49</v>
      </c>
      <c r="FR470" s="4">
        <v>47</v>
      </c>
      <c r="FS470" s="4">
        <v>45</v>
      </c>
      <c r="FT470" s="19">
        <v>19.3</v>
      </c>
      <c r="FU470" s="19">
        <v>21.8</v>
      </c>
      <c r="FV470" s="19">
        <v>25.8</v>
      </c>
      <c r="FW470" s="19">
        <v>24.3</v>
      </c>
      <c r="FX470" s="19">
        <v>30.3</v>
      </c>
      <c r="FY470" s="19">
        <v>29.7</v>
      </c>
      <c r="FZ470" s="19">
        <v>28.7</v>
      </c>
      <c r="GA470" s="19">
        <v>41.5</v>
      </c>
      <c r="GB470" s="19">
        <v>40</v>
      </c>
      <c r="GC470" s="19">
        <v>38.5</v>
      </c>
      <c r="GD470" s="19">
        <v>37.5</v>
      </c>
      <c r="GE470" s="19">
        <v>36.5</v>
      </c>
      <c r="GF470" s="19">
        <v>35.5</v>
      </c>
      <c r="GG470" s="19">
        <v>34.5</v>
      </c>
      <c r="GH470" s="19">
        <v>33.5</v>
      </c>
      <c r="GI470" s="19">
        <v>32.5</v>
      </c>
      <c r="GJ470" s="19">
        <v>31.5</v>
      </c>
      <c r="GK470" s="19">
        <v>30.5</v>
      </c>
      <c r="GL470" s="19">
        <v>29.5</v>
      </c>
      <c r="GM470" s="19">
        <v>28.5</v>
      </c>
      <c r="GN470" s="19">
        <v>27.5</v>
      </c>
      <c r="GO470" s="19">
        <v>26.5</v>
      </c>
      <c r="GP470" s="19">
        <v>25.5</v>
      </c>
      <c r="GQ470" s="19">
        <v>24.5</v>
      </c>
      <c r="GR470" s="19">
        <v>23.5</v>
      </c>
      <c r="GS470" s="19">
        <v>22.5</v>
      </c>
    </row>
    <row r="471">
      <c r="A471" s="2" t="s">
        <v>2780</v>
      </c>
      <c r="B471" s="2" t="s">
        <v>245</v>
      </c>
      <c r="C471" s="2" t="s">
        <v>1625</v>
      </c>
      <c r="D471" s="2" t="s">
        <v>247</v>
      </c>
      <c r="E471" s="2" t="s">
        <v>248</v>
      </c>
      <c r="F471" s="2" t="s">
        <v>2749</v>
      </c>
      <c r="G471" s="2" t="s">
        <v>2749</v>
      </c>
      <c r="H471" s="2" t="s">
        <v>2749</v>
      </c>
      <c r="I471" s="2" t="s">
        <v>297</v>
      </c>
      <c r="J471" s="2" t="s">
        <v>194</v>
      </c>
      <c r="K471" s="2" t="s">
        <v>1585</v>
      </c>
      <c r="L471" s="3">
        <v>24</v>
      </c>
      <c r="M471" s="3">
        <v>25.2</v>
      </c>
      <c r="N471" s="3">
        <v>49.99</v>
      </c>
      <c r="O471" s="2" t="s">
        <v>196</v>
      </c>
      <c r="P471" s="2" t="s">
        <v>197</v>
      </c>
      <c r="Q471" s="2" t="s">
        <v>198</v>
      </c>
      <c r="R471" s="2" t="s">
        <v>199</v>
      </c>
      <c r="S471" s="2" t="s">
        <v>2781</v>
      </c>
      <c r="T471" s="2" t="s">
        <v>1978</v>
      </c>
      <c r="U471" s="2" t="s">
        <v>637</v>
      </c>
      <c r="V471" s="2" t="s">
        <v>681</v>
      </c>
      <c r="W471" s="2" t="s">
        <v>203</v>
      </c>
      <c r="X471" s="2" t="s">
        <v>510</v>
      </c>
      <c r="Y471" s="2" t="s">
        <v>204</v>
      </c>
      <c r="Z471" s="4"/>
      <c r="AA471" s="4">
        <f>=ROUNDDOWN({0},0)</f>
      </c>
      <c r="AB471" s="5">
        <v>24</v>
      </c>
      <c r="AC471" s="2" t="s">
        <v>199</v>
      </c>
      <c r="AD471" s="4"/>
      <c r="AE471" s="4"/>
      <c r="AF471" s="6">
        <v>65</v>
      </c>
      <c r="AG471" s="6"/>
      <c r="AH471" s="7">
        <v>0</v>
      </c>
      <c r="AI471" s="4"/>
      <c r="AJ471" s="4">
        <f>=ROUNDDOWN({0},0)</f>
      </c>
      <c r="AK471" s="5"/>
      <c r="AL471" s="2" t="s">
        <v>199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199</v>
      </c>
      <c r="AW471" s="8" t="s">
        <v>199</v>
      </c>
      <c r="AX471" s="4" t="s">
        <v>199</v>
      </c>
      <c r="AY471" s="8" t="s">
        <v>199</v>
      </c>
      <c r="AZ471" s="7" t="s">
        <v>199</v>
      </c>
      <c r="BA471" s="7" t="s">
        <v>199</v>
      </c>
      <c r="BB471" s="7"/>
      <c r="BC471" s="4" t="s">
        <v>199</v>
      </c>
      <c r="BD471" s="8" t="s">
        <v>199</v>
      </c>
      <c r="BE471" s="4" t="s">
        <v>199</v>
      </c>
      <c r="BF471" s="8" t="s">
        <v>199</v>
      </c>
      <c r="BG471" s="7" t="s">
        <v>199</v>
      </c>
      <c r="BH471" s="7" t="s">
        <v>199</v>
      </c>
      <c r="BI471" s="7"/>
      <c r="BJ471" s="4">
        <v>3</v>
      </c>
      <c r="BK471" s="8">
        <v>77.49</v>
      </c>
      <c r="BL471" s="2" t="s">
        <v>2782</v>
      </c>
      <c r="BM471" s="7"/>
      <c r="BN471" s="7"/>
      <c r="BO471" s="4"/>
      <c r="BP471" s="8"/>
      <c r="BQ471" s="4"/>
      <c r="BR471" s="8"/>
      <c r="BS471" s="7"/>
      <c r="BT471" s="7"/>
      <c r="BU471" s="2" t="s">
        <v>2753</v>
      </c>
      <c r="BV471" s="2" t="s">
        <v>199</v>
      </c>
      <c r="BW471" s="2" t="s">
        <v>199</v>
      </c>
      <c r="BX471" s="2" t="s">
        <v>208</v>
      </c>
      <c r="BY471" s="2" t="s">
        <v>209</v>
      </c>
      <c r="BZ471" s="2" t="s">
        <v>196</v>
      </c>
      <c r="CA471" s="2" t="s">
        <v>1572</v>
      </c>
      <c r="CB471" s="2" t="s">
        <v>2783</v>
      </c>
      <c r="CC471" s="2" t="s">
        <v>212</v>
      </c>
      <c r="CD471" s="2" t="s">
        <v>199</v>
      </c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>
        <v>236</v>
      </c>
      <c r="FR471" s="4">
        <v>210</v>
      </c>
      <c r="FS471" s="4">
        <v>205</v>
      </c>
      <c r="FT471" s="20">
        <v>0</v>
      </c>
      <c r="FU471" s="20">
        <v>0</v>
      </c>
      <c r="FV471" s="20">
        <v>0</v>
      </c>
      <c r="FW471" s="20">
        <v>0</v>
      </c>
      <c r="FX471" s="20">
        <v>0</v>
      </c>
      <c r="FY471" s="20">
        <v>0</v>
      </c>
      <c r="FZ471" s="20">
        <v>0</v>
      </c>
      <c r="GA471" s="20">
        <v>0</v>
      </c>
      <c r="GB471" s="20">
        <v>0</v>
      </c>
      <c r="GC471" s="20">
        <v>0</v>
      </c>
      <c r="GD471" s="20">
        <v>0</v>
      </c>
      <c r="GE471" s="20">
        <v>0</v>
      </c>
      <c r="GF471" s="20">
        <v>0</v>
      </c>
      <c r="GG471" s="20">
        <v>0</v>
      </c>
      <c r="GH471" s="9"/>
      <c r="GI471" s="20">
        <v>0</v>
      </c>
      <c r="GJ471" s="20">
        <v>0</v>
      </c>
      <c r="GK471" s="20">
        <v>0</v>
      </c>
      <c r="GL471" s="20">
        <v>0</v>
      </c>
      <c r="GM471" s="20">
        <v>0</v>
      </c>
      <c r="GN471" s="20">
        <v>0</v>
      </c>
      <c r="GO471" s="20">
        <v>0</v>
      </c>
      <c r="GP471" s="20">
        <v>0</v>
      </c>
      <c r="GQ471" s="19">
        <v>23.6</v>
      </c>
      <c r="GR471" s="19">
        <v>42</v>
      </c>
      <c r="GS471" s="19">
        <v>34.2</v>
      </c>
    </row>
    <row r="472">
      <c r="A472" s="2" t="s">
        <v>2784</v>
      </c>
      <c r="B472" s="2" t="s">
        <v>245</v>
      </c>
      <c r="C472" s="2" t="s">
        <v>1625</v>
      </c>
      <c r="D472" s="2" t="s">
        <v>247</v>
      </c>
      <c r="E472" s="2" t="s">
        <v>248</v>
      </c>
      <c r="F472" s="2" t="s">
        <v>2749</v>
      </c>
      <c r="G472" s="2" t="s">
        <v>2749</v>
      </c>
      <c r="H472" s="2" t="s">
        <v>2749</v>
      </c>
      <c r="I472" s="2" t="s">
        <v>297</v>
      </c>
      <c r="J472" s="2" t="s">
        <v>285</v>
      </c>
      <c r="K472" s="2" t="s">
        <v>1585</v>
      </c>
      <c r="L472" s="3">
        <v>28.2</v>
      </c>
      <c r="M472" s="3">
        <v>29.61</v>
      </c>
      <c r="N472" s="3">
        <v>59.99</v>
      </c>
      <c r="O472" s="2" t="s">
        <v>196</v>
      </c>
      <c r="P472" s="2" t="s">
        <v>197</v>
      </c>
      <c r="Q472" s="2" t="s">
        <v>198</v>
      </c>
      <c r="R472" s="2" t="s">
        <v>199</v>
      </c>
      <c r="S472" s="2" t="s">
        <v>2781</v>
      </c>
      <c r="T472" s="2" t="s">
        <v>1978</v>
      </c>
      <c r="U472" s="2" t="s">
        <v>254</v>
      </c>
      <c r="V472" s="2" t="s">
        <v>681</v>
      </c>
      <c r="W472" s="2" t="s">
        <v>203</v>
      </c>
      <c r="X472" s="2" t="s">
        <v>510</v>
      </c>
      <c r="Y472" s="2" t="s">
        <v>204</v>
      </c>
      <c r="Z472" s="4"/>
      <c r="AA472" s="4">
        <f>=ROUNDDOWN({0},0)</f>
      </c>
      <c r="AB472" s="5">
        <v>28</v>
      </c>
      <c r="AC472" s="2" t="s">
        <v>199</v>
      </c>
      <c r="AD472" s="4"/>
      <c r="AE472" s="4"/>
      <c r="AF472" s="6">
        <v>65</v>
      </c>
      <c r="AG472" s="6"/>
      <c r="AH472" s="7">
        <v>0</v>
      </c>
      <c r="AI472" s="4"/>
      <c r="AJ472" s="4">
        <f>=ROUNDDOWN({0},0)</f>
      </c>
      <c r="AK472" s="5"/>
      <c r="AL472" s="2" t="s">
        <v>199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199</v>
      </c>
      <c r="AW472" s="8" t="s">
        <v>199</v>
      </c>
      <c r="AX472" s="4" t="s">
        <v>199</v>
      </c>
      <c r="AY472" s="8" t="s">
        <v>199</v>
      </c>
      <c r="AZ472" s="7" t="s">
        <v>199</v>
      </c>
      <c r="BA472" s="7" t="s">
        <v>199</v>
      </c>
      <c r="BB472" s="7"/>
      <c r="BC472" s="4" t="s">
        <v>199</v>
      </c>
      <c r="BD472" s="8" t="s">
        <v>199</v>
      </c>
      <c r="BE472" s="4" t="s">
        <v>199</v>
      </c>
      <c r="BF472" s="8" t="s">
        <v>199</v>
      </c>
      <c r="BG472" s="7" t="s">
        <v>199</v>
      </c>
      <c r="BH472" s="7" t="s">
        <v>199</v>
      </c>
      <c r="BI472" s="7"/>
      <c r="BJ472" s="4"/>
      <c r="BK472" s="8"/>
      <c r="BL472" s="2" t="s">
        <v>199</v>
      </c>
      <c r="BM472" s="7"/>
      <c r="BN472" s="7"/>
      <c r="BO472" s="4"/>
      <c r="BP472" s="8"/>
      <c r="BQ472" s="4"/>
      <c r="BR472" s="8"/>
      <c r="BS472" s="7"/>
      <c r="BT472" s="7"/>
      <c r="BU472" s="2" t="s">
        <v>2753</v>
      </c>
      <c r="BV472" s="2" t="s">
        <v>199</v>
      </c>
      <c r="BW472" s="2" t="s">
        <v>199</v>
      </c>
      <c r="BX472" s="2" t="s">
        <v>208</v>
      </c>
      <c r="BY472" s="2" t="s">
        <v>209</v>
      </c>
      <c r="BZ472" s="2" t="s">
        <v>196</v>
      </c>
      <c r="CA472" s="2" t="s">
        <v>1572</v>
      </c>
      <c r="CB472" s="2" t="s">
        <v>1760</v>
      </c>
      <c r="CC472" s="2" t="s">
        <v>212</v>
      </c>
      <c r="CD472" s="2" t="s">
        <v>199</v>
      </c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>
        <v>327</v>
      </c>
      <c r="FR472" s="4">
        <v>293</v>
      </c>
      <c r="FS472" s="4">
        <v>284</v>
      </c>
      <c r="FT472" s="20">
        <v>0</v>
      </c>
      <c r="FU472" s="20">
        <v>0</v>
      </c>
      <c r="FV472" s="20">
        <v>0</v>
      </c>
      <c r="FW472" s="20">
        <v>0</v>
      </c>
      <c r="FX472" s="20">
        <v>0</v>
      </c>
      <c r="FY472" s="20">
        <v>0</v>
      </c>
      <c r="FZ472" s="20">
        <v>0</v>
      </c>
      <c r="GA472" s="20">
        <v>0</v>
      </c>
      <c r="GB472" s="20">
        <v>0</v>
      </c>
      <c r="GC472" s="20">
        <v>0</v>
      </c>
      <c r="GD472" s="20">
        <v>0</v>
      </c>
      <c r="GE472" s="20">
        <v>0</v>
      </c>
      <c r="GF472" s="20">
        <v>0</v>
      </c>
      <c r="GG472" s="20">
        <v>0</v>
      </c>
      <c r="GH472" s="20">
        <v>0</v>
      </c>
      <c r="GI472" s="20">
        <v>0</v>
      </c>
      <c r="GJ472" s="20">
        <v>0</v>
      </c>
      <c r="GK472" s="20">
        <v>0</v>
      </c>
      <c r="GL472" s="20">
        <v>0</v>
      </c>
      <c r="GM472" s="20">
        <v>0</v>
      </c>
      <c r="GN472" s="20">
        <v>0</v>
      </c>
      <c r="GO472" s="20">
        <v>0</v>
      </c>
      <c r="GP472" s="20">
        <v>0</v>
      </c>
      <c r="GQ472" s="19">
        <v>21.8</v>
      </c>
      <c r="GR472" s="19">
        <v>32.6</v>
      </c>
      <c r="GS472" s="19">
        <v>31.6</v>
      </c>
    </row>
    <row r="473">
      <c r="A473" s="2" t="s">
        <v>2785</v>
      </c>
      <c r="B473" s="2" t="s">
        <v>245</v>
      </c>
      <c r="C473" s="2" t="s">
        <v>1625</v>
      </c>
      <c r="D473" s="2" t="s">
        <v>247</v>
      </c>
      <c r="E473" s="2" t="s">
        <v>248</v>
      </c>
      <c r="F473" s="2" t="s">
        <v>2749</v>
      </c>
      <c r="G473" s="2" t="s">
        <v>2749</v>
      </c>
      <c r="H473" s="2" t="s">
        <v>2749</v>
      </c>
      <c r="I473" s="2" t="s">
        <v>297</v>
      </c>
      <c r="J473" s="2" t="s">
        <v>219</v>
      </c>
      <c r="K473" s="2" t="s">
        <v>1585</v>
      </c>
      <c r="L473" s="3">
        <v>31.85</v>
      </c>
      <c r="M473" s="3">
        <v>33.44</v>
      </c>
      <c r="N473" s="3">
        <v>64.99</v>
      </c>
      <c r="O473" s="2" t="s">
        <v>196</v>
      </c>
      <c r="P473" s="2" t="s">
        <v>621</v>
      </c>
      <c r="Q473" s="2" t="s">
        <v>198</v>
      </c>
      <c r="R473" s="2" t="s">
        <v>199</v>
      </c>
      <c r="S473" s="2" t="s">
        <v>2781</v>
      </c>
      <c r="T473" s="2" t="s">
        <v>1978</v>
      </c>
      <c r="U473" s="2" t="s">
        <v>254</v>
      </c>
      <c r="V473" s="2" t="s">
        <v>681</v>
      </c>
      <c r="W473" s="2" t="s">
        <v>203</v>
      </c>
      <c r="X473" s="2" t="s">
        <v>510</v>
      </c>
      <c r="Y473" s="2" t="s">
        <v>204</v>
      </c>
      <c r="Z473" s="4">
        <v>384</v>
      </c>
      <c r="AA473" s="4">
        <f>=ROUNDDOWN(18.2857142857143,0)</f>
      </c>
      <c r="AB473" s="5">
        <v>21</v>
      </c>
      <c r="AC473" s="2" t="s">
        <v>199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199</v>
      </c>
      <c r="AW473" s="8" t="s">
        <v>199</v>
      </c>
      <c r="AX473" s="4" t="s">
        <v>199</v>
      </c>
      <c r="AY473" s="8" t="s">
        <v>199</v>
      </c>
      <c r="AZ473" s="7" t="s">
        <v>199</v>
      </c>
      <c r="BA473" s="7" t="s">
        <v>199</v>
      </c>
      <c r="BB473" s="7"/>
      <c r="BC473" s="4" t="s">
        <v>199</v>
      </c>
      <c r="BD473" s="8" t="s">
        <v>199</v>
      </c>
      <c r="BE473" s="4" t="s">
        <v>199</v>
      </c>
      <c r="BF473" s="8" t="s">
        <v>199</v>
      </c>
      <c r="BG473" s="7" t="s">
        <v>199</v>
      </c>
      <c r="BH473" s="7" t="s">
        <v>199</v>
      </c>
      <c r="BI473" s="7"/>
      <c r="BJ473" s="4">
        <v>192</v>
      </c>
      <c r="BK473" s="8">
        <v>6506.49</v>
      </c>
      <c r="BL473" s="2" t="s">
        <v>2786</v>
      </c>
      <c r="BM473" s="7"/>
      <c r="BN473" s="7"/>
      <c r="BO473" s="4"/>
      <c r="BP473" s="8"/>
      <c r="BQ473" s="4"/>
      <c r="BR473" s="8"/>
      <c r="BS473" s="7"/>
      <c r="BT473" s="7"/>
      <c r="BU473" s="2" t="s">
        <v>2753</v>
      </c>
      <c r="BV473" s="2" t="s">
        <v>199</v>
      </c>
      <c r="BW473" s="2" t="s">
        <v>199</v>
      </c>
      <c r="BX473" s="2" t="s">
        <v>208</v>
      </c>
      <c r="BY473" s="2" t="s">
        <v>209</v>
      </c>
      <c r="BZ473" s="2" t="s">
        <v>196</v>
      </c>
      <c r="CA473" s="2" t="s">
        <v>1572</v>
      </c>
      <c r="CB473" s="2" t="s">
        <v>717</v>
      </c>
      <c r="CC473" s="2" t="s">
        <v>212</v>
      </c>
      <c r="CD473" s="2" t="s">
        <v>199</v>
      </c>
      <c r="CE473" s="4"/>
      <c r="CF473" s="4">
        <v>384</v>
      </c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>
        <v>387</v>
      </c>
      <c r="EU473" s="4">
        <v>372</v>
      </c>
      <c r="EV473" s="4">
        <v>358</v>
      </c>
      <c r="EW473" s="4">
        <v>344</v>
      </c>
      <c r="EX473" s="4">
        <v>329</v>
      </c>
      <c r="EY473" s="4">
        <v>321</v>
      </c>
      <c r="EZ473" s="4">
        <v>312</v>
      </c>
      <c r="FA473" s="4">
        <v>303</v>
      </c>
      <c r="FB473" s="4">
        <v>294</v>
      </c>
      <c r="FC473" s="4">
        <v>285</v>
      </c>
      <c r="FD473" s="4">
        <v>279</v>
      </c>
      <c r="FE473" s="4">
        <v>273</v>
      </c>
      <c r="FF473" s="4">
        <v>267</v>
      </c>
      <c r="FG473" s="4">
        <v>261</v>
      </c>
      <c r="FH473" s="4">
        <v>256</v>
      </c>
      <c r="FI473" s="4">
        <v>251</v>
      </c>
      <c r="FJ473" s="4">
        <v>246</v>
      </c>
      <c r="FK473" s="4">
        <v>241</v>
      </c>
      <c r="FL473" s="4">
        <v>236</v>
      </c>
      <c r="FM473" s="4">
        <v>231</v>
      </c>
      <c r="FN473" s="4">
        <v>226</v>
      </c>
      <c r="FO473" s="4">
        <v>221</v>
      </c>
      <c r="FP473" s="4">
        <v>216</v>
      </c>
      <c r="FQ473" s="4">
        <v>211</v>
      </c>
      <c r="FR473" s="4">
        <v>206</v>
      </c>
      <c r="FS473" s="4">
        <v>201</v>
      </c>
      <c r="FT473" s="19">
        <v>27.6</v>
      </c>
      <c r="FU473" s="19">
        <v>28.6</v>
      </c>
      <c r="FV473" s="19">
        <v>29.8</v>
      </c>
      <c r="FW473" s="19">
        <v>34.4</v>
      </c>
      <c r="FX473" s="19">
        <v>36.6</v>
      </c>
      <c r="FY473" s="19">
        <v>35.7</v>
      </c>
      <c r="FZ473" s="19">
        <v>39</v>
      </c>
      <c r="GA473" s="19">
        <v>37.9</v>
      </c>
      <c r="GB473" s="19">
        <v>42</v>
      </c>
      <c r="GC473" s="19">
        <v>47.5</v>
      </c>
      <c r="GD473" s="19">
        <v>46.5</v>
      </c>
      <c r="GE473" s="19">
        <v>45.5</v>
      </c>
      <c r="GF473" s="19">
        <v>53.4</v>
      </c>
      <c r="GG473" s="19">
        <v>52.2</v>
      </c>
      <c r="GH473" s="19">
        <v>51.2</v>
      </c>
      <c r="GI473" s="19">
        <v>50.2</v>
      </c>
      <c r="GJ473" s="19">
        <v>49.2</v>
      </c>
      <c r="GK473" s="19">
        <v>48.2</v>
      </c>
      <c r="GL473" s="19">
        <v>47.2</v>
      </c>
      <c r="GM473" s="19">
        <v>46.2</v>
      </c>
      <c r="GN473" s="19">
        <v>45.2</v>
      </c>
      <c r="GO473" s="19">
        <v>44.2</v>
      </c>
      <c r="GP473" s="19">
        <v>43.2</v>
      </c>
      <c r="GQ473" s="19">
        <v>42.2</v>
      </c>
      <c r="GR473" s="19">
        <v>41.2</v>
      </c>
      <c r="GS473" s="19">
        <v>40.2</v>
      </c>
    </row>
    <row r="474">
      <c r="A474" s="2" t="s">
        <v>2787</v>
      </c>
      <c r="B474" s="2" t="s">
        <v>245</v>
      </c>
      <c r="C474" s="2" t="s">
        <v>1625</v>
      </c>
      <c r="D474" s="2" t="s">
        <v>247</v>
      </c>
      <c r="E474" s="2" t="s">
        <v>248</v>
      </c>
      <c r="F474" s="2" t="s">
        <v>2749</v>
      </c>
      <c r="G474" s="2" t="s">
        <v>2749</v>
      </c>
      <c r="H474" s="2" t="s">
        <v>2749</v>
      </c>
      <c r="I474" s="2" t="s">
        <v>297</v>
      </c>
      <c r="J474" s="2" t="s">
        <v>223</v>
      </c>
      <c r="K474" s="2" t="s">
        <v>1585</v>
      </c>
      <c r="L474" s="3">
        <v>34.5</v>
      </c>
      <c r="M474" s="3">
        <v>36.22</v>
      </c>
      <c r="N474" s="3">
        <v>74.99</v>
      </c>
      <c r="O474" s="2" t="s">
        <v>196</v>
      </c>
      <c r="P474" s="2" t="s">
        <v>517</v>
      </c>
      <c r="Q474" s="2" t="s">
        <v>198</v>
      </c>
      <c r="R474" s="2" t="s">
        <v>199</v>
      </c>
      <c r="S474" s="2" t="s">
        <v>2781</v>
      </c>
      <c r="T474" s="2" t="s">
        <v>1978</v>
      </c>
      <c r="U474" s="2" t="s">
        <v>254</v>
      </c>
      <c r="V474" s="2" t="s">
        <v>681</v>
      </c>
      <c r="W474" s="2" t="s">
        <v>203</v>
      </c>
      <c r="X474" s="2" t="s">
        <v>510</v>
      </c>
      <c r="Y474" s="2" t="s">
        <v>204</v>
      </c>
      <c r="Z474" s="4">
        <v>384</v>
      </c>
      <c r="AA474" s="4">
        <f>=ROUNDDOWN(24,0)</f>
      </c>
      <c r="AB474" s="5">
        <v>16</v>
      </c>
      <c r="AC474" s="2" t="s">
        <v>199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199</v>
      </c>
      <c r="AW474" s="8" t="s">
        <v>199</v>
      </c>
      <c r="AX474" s="4" t="s">
        <v>199</v>
      </c>
      <c r="AY474" s="8" t="s">
        <v>199</v>
      </c>
      <c r="AZ474" s="7" t="s">
        <v>199</v>
      </c>
      <c r="BA474" s="7" t="s">
        <v>199</v>
      </c>
      <c r="BB474" s="7"/>
      <c r="BC474" s="4" t="s">
        <v>199</v>
      </c>
      <c r="BD474" s="8" t="s">
        <v>199</v>
      </c>
      <c r="BE474" s="4" t="s">
        <v>199</v>
      </c>
      <c r="BF474" s="8" t="s">
        <v>199</v>
      </c>
      <c r="BG474" s="7" t="s">
        <v>199</v>
      </c>
      <c r="BH474" s="7" t="s">
        <v>199</v>
      </c>
      <c r="BI474" s="7"/>
      <c r="BJ474" s="4">
        <v>102</v>
      </c>
      <c r="BK474" s="8">
        <v>3836.91</v>
      </c>
      <c r="BL474" s="2" t="s">
        <v>2788</v>
      </c>
      <c r="BM474" s="7"/>
      <c r="BN474" s="7"/>
      <c r="BO474" s="4"/>
      <c r="BP474" s="8"/>
      <c r="BQ474" s="4"/>
      <c r="BR474" s="8"/>
      <c r="BS474" s="7"/>
      <c r="BT474" s="7"/>
      <c r="BU474" s="2" t="s">
        <v>2753</v>
      </c>
      <c r="BV474" s="2" t="s">
        <v>199</v>
      </c>
      <c r="BW474" s="2" t="s">
        <v>199</v>
      </c>
      <c r="BX474" s="2" t="s">
        <v>208</v>
      </c>
      <c r="BY474" s="2" t="s">
        <v>209</v>
      </c>
      <c r="BZ474" s="2" t="s">
        <v>196</v>
      </c>
      <c r="CA474" s="2" t="s">
        <v>1572</v>
      </c>
      <c r="CB474" s="2" t="s">
        <v>1838</v>
      </c>
      <c r="CC474" s="2" t="s">
        <v>212</v>
      </c>
      <c r="CD474" s="2" t="s">
        <v>199</v>
      </c>
      <c r="CE474" s="4">
        <v>117</v>
      </c>
      <c r="CF474" s="4">
        <v>267</v>
      </c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>
        <v>384</v>
      </c>
      <c r="EU474" s="4">
        <v>375</v>
      </c>
      <c r="EV474" s="4">
        <v>365</v>
      </c>
      <c r="EW474" s="4">
        <v>354</v>
      </c>
      <c r="EX474" s="4">
        <v>344</v>
      </c>
      <c r="EY474" s="4">
        <v>338</v>
      </c>
      <c r="EZ474" s="4">
        <v>333</v>
      </c>
      <c r="FA474" s="4">
        <v>328</v>
      </c>
      <c r="FB474" s="4">
        <v>323</v>
      </c>
      <c r="FC474" s="4">
        <v>318</v>
      </c>
      <c r="FD474" s="4">
        <v>313</v>
      </c>
      <c r="FE474" s="4">
        <v>308</v>
      </c>
      <c r="FF474" s="4">
        <v>303</v>
      </c>
      <c r="FG474" s="4">
        <v>298</v>
      </c>
      <c r="FH474" s="4">
        <v>295</v>
      </c>
      <c r="FI474" s="4">
        <v>292</v>
      </c>
      <c r="FJ474" s="4">
        <v>289</v>
      </c>
      <c r="FK474" s="4">
        <v>286</v>
      </c>
      <c r="FL474" s="4">
        <v>283</v>
      </c>
      <c r="FM474" s="4">
        <v>280</v>
      </c>
      <c r="FN474" s="4">
        <v>277</v>
      </c>
      <c r="FO474" s="4">
        <v>274</v>
      </c>
      <c r="FP474" s="4">
        <v>271</v>
      </c>
      <c r="FQ474" s="4">
        <v>268</v>
      </c>
      <c r="FR474" s="4">
        <v>265</v>
      </c>
      <c r="FS474" s="4">
        <v>262</v>
      </c>
      <c r="FT474" s="19">
        <v>38.4</v>
      </c>
      <c r="FU474" s="19">
        <v>41.7</v>
      </c>
      <c r="FV474" s="19">
        <v>45.6</v>
      </c>
      <c r="FW474" s="19">
        <v>59</v>
      </c>
      <c r="FX474" s="19">
        <v>68.8</v>
      </c>
      <c r="FY474" s="19">
        <v>67.6</v>
      </c>
      <c r="FZ474" s="19">
        <v>66.6</v>
      </c>
      <c r="GA474" s="19">
        <v>65.6</v>
      </c>
      <c r="GB474" s="19">
        <v>64.6</v>
      </c>
      <c r="GC474" s="19">
        <v>63.6</v>
      </c>
      <c r="GD474" s="19">
        <v>78.3</v>
      </c>
      <c r="GE474" s="19">
        <v>77</v>
      </c>
      <c r="GF474" s="19">
        <v>75.8</v>
      </c>
      <c r="GG474" s="19">
        <v>99.3</v>
      </c>
      <c r="GH474" s="19">
        <v>98.3</v>
      </c>
      <c r="GI474" s="19">
        <v>97.3</v>
      </c>
      <c r="GJ474" s="19">
        <v>96.3</v>
      </c>
      <c r="GK474" s="19">
        <v>95.3</v>
      </c>
      <c r="GL474" s="19">
        <v>94.3</v>
      </c>
      <c r="GM474" s="19">
        <v>93.3</v>
      </c>
      <c r="GN474" s="19">
        <v>92.3</v>
      </c>
      <c r="GO474" s="19">
        <v>91.3</v>
      </c>
      <c r="GP474" s="19">
        <v>90.3</v>
      </c>
      <c r="GQ474" s="19">
        <v>89.3</v>
      </c>
      <c r="GR474" s="19">
        <v>88.3</v>
      </c>
      <c r="GS474" s="19">
        <v>87.3</v>
      </c>
    </row>
    <row r="475">
      <c r="A475" s="2" t="s">
        <v>2789</v>
      </c>
      <c r="B475" s="2" t="s">
        <v>245</v>
      </c>
      <c r="C475" s="2" t="s">
        <v>1625</v>
      </c>
      <c r="D475" s="2" t="s">
        <v>247</v>
      </c>
      <c r="E475" s="2" t="s">
        <v>248</v>
      </c>
      <c r="F475" s="2" t="s">
        <v>2749</v>
      </c>
      <c r="G475" s="2" t="s">
        <v>2749</v>
      </c>
      <c r="H475" s="2" t="s">
        <v>2749</v>
      </c>
      <c r="I475" s="2" t="s">
        <v>297</v>
      </c>
      <c r="J475" s="2" t="s">
        <v>194</v>
      </c>
      <c r="K475" s="2" t="s">
        <v>2790</v>
      </c>
      <c r="L475" s="3">
        <v>24</v>
      </c>
      <c r="M475" s="3">
        <v>25.2</v>
      </c>
      <c r="N475" s="3">
        <v>49.99</v>
      </c>
      <c r="O475" s="2" t="s">
        <v>196</v>
      </c>
      <c r="P475" s="2" t="s">
        <v>197</v>
      </c>
      <c r="Q475" s="2" t="s">
        <v>198</v>
      </c>
      <c r="R475" s="2" t="s">
        <v>199</v>
      </c>
      <c r="S475" s="2" t="s">
        <v>2791</v>
      </c>
      <c r="T475" s="2" t="s">
        <v>1978</v>
      </c>
      <c r="U475" s="2" t="s">
        <v>637</v>
      </c>
      <c r="V475" s="2" t="s">
        <v>1547</v>
      </c>
      <c r="W475" s="2" t="s">
        <v>203</v>
      </c>
      <c r="X475" s="2" t="s">
        <v>510</v>
      </c>
      <c r="Y475" s="2" t="s">
        <v>2630</v>
      </c>
      <c r="Z475" s="4">
        <v>24</v>
      </c>
      <c r="AA475" s="4">
        <f>=ROUNDDOWN(2.4,0)</f>
      </c>
      <c r="AB475" s="5">
        <v>10</v>
      </c>
      <c r="AC475" s="2" t="s">
        <v>199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199</v>
      </c>
      <c r="BD475" s="8" t="s">
        <v>199</v>
      </c>
      <c r="BE475" s="4" t="s">
        <v>199</v>
      </c>
      <c r="BF475" s="8" t="s">
        <v>199</v>
      </c>
      <c r="BG475" s="7" t="s">
        <v>199</v>
      </c>
      <c r="BH475" s="7" t="s">
        <v>199</v>
      </c>
      <c r="BI475" s="7"/>
      <c r="BJ475" s="4">
        <v>139</v>
      </c>
      <c r="BK475" s="8">
        <v>3632.22</v>
      </c>
      <c r="BL475" s="2" t="s">
        <v>304</v>
      </c>
      <c r="BM475" s="7"/>
      <c r="BN475" s="7"/>
      <c r="BO475" s="4"/>
      <c r="BP475" s="8"/>
      <c r="BQ475" s="4"/>
      <c r="BR475" s="8"/>
      <c r="BS475" s="7"/>
      <c r="BT475" s="7"/>
      <c r="BU475" s="2" t="s">
        <v>2753</v>
      </c>
      <c r="BV475" s="2" t="s">
        <v>199</v>
      </c>
      <c r="BW475" s="2" t="s">
        <v>199</v>
      </c>
      <c r="BX475" s="2" t="s">
        <v>208</v>
      </c>
      <c r="BY475" s="2" t="s">
        <v>209</v>
      </c>
      <c r="BZ475" s="2" t="s">
        <v>196</v>
      </c>
      <c r="CA475" s="2" t="s">
        <v>2762</v>
      </c>
      <c r="CB475" s="2" t="s">
        <v>2262</v>
      </c>
      <c r="CC475" s="2" t="s">
        <v>212</v>
      </c>
      <c r="CD475" s="2" t="s">
        <v>199</v>
      </c>
      <c r="CE475" s="4"/>
      <c r="CF475" s="4">
        <v>24</v>
      </c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>
        <v>25</v>
      </c>
      <c r="EU475" s="4">
        <v>19</v>
      </c>
      <c r="EV475" s="4">
        <v>12</v>
      </c>
      <c r="EW475" s="4">
        <v>4</v>
      </c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>
        <v>30</v>
      </c>
      <c r="FR475" s="4">
        <v>23</v>
      </c>
      <c r="FS475" s="4">
        <v>21</v>
      </c>
      <c r="FT475" s="19">
        <v>3.6</v>
      </c>
      <c r="FU475" s="19">
        <v>3.2</v>
      </c>
      <c r="FV475" s="19">
        <v>2</v>
      </c>
      <c r="FW475" s="19">
        <v>1</v>
      </c>
      <c r="FX475" s="20">
        <v>0</v>
      </c>
      <c r="FY475" s="20">
        <v>0</v>
      </c>
      <c r="FZ475" s="20">
        <v>0</v>
      </c>
      <c r="GA475" s="20">
        <v>0</v>
      </c>
      <c r="GB475" s="20">
        <v>0</v>
      </c>
      <c r="GC475" s="20">
        <v>0</v>
      </c>
      <c r="GD475" s="20">
        <v>0</v>
      </c>
      <c r="GE475" s="20">
        <v>0</v>
      </c>
      <c r="GF475" s="20">
        <v>0</v>
      </c>
      <c r="GG475" s="20">
        <v>0</v>
      </c>
      <c r="GH475" s="20">
        <v>0</v>
      </c>
      <c r="GI475" s="20">
        <v>0</v>
      </c>
      <c r="GJ475" s="20">
        <v>0</v>
      </c>
      <c r="GK475" s="20">
        <v>0</v>
      </c>
      <c r="GL475" s="20">
        <v>0</v>
      </c>
      <c r="GM475" s="20">
        <v>0</v>
      </c>
      <c r="GN475" s="20">
        <v>0</v>
      </c>
      <c r="GO475" s="20">
        <v>0</v>
      </c>
      <c r="GP475" s="20">
        <v>0</v>
      </c>
      <c r="GQ475" s="19">
        <v>10</v>
      </c>
      <c r="GR475" s="19">
        <v>11.5</v>
      </c>
      <c r="GS475" s="19">
        <v>10.5</v>
      </c>
    </row>
    <row r="476">
      <c r="A476" s="2" t="s">
        <v>2792</v>
      </c>
      <c r="B476" s="2" t="s">
        <v>245</v>
      </c>
      <c r="C476" s="2" t="s">
        <v>1625</v>
      </c>
      <c r="D476" s="2" t="s">
        <v>247</v>
      </c>
      <c r="E476" s="2" t="s">
        <v>248</v>
      </c>
      <c r="F476" s="2" t="s">
        <v>2749</v>
      </c>
      <c r="G476" s="2" t="s">
        <v>2749</v>
      </c>
      <c r="H476" s="2" t="s">
        <v>2749</v>
      </c>
      <c r="I476" s="2" t="s">
        <v>297</v>
      </c>
      <c r="J476" s="2" t="s">
        <v>194</v>
      </c>
      <c r="K476" s="2" t="s">
        <v>252</v>
      </c>
      <c r="L476" s="3">
        <v>21.62</v>
      </c>
      <c r="M476" s="3">
        <v>22.7</v>
      </c>
      <c r="N476" s="3">
        <v>46.99</v>
      </c>
      <c r="O476" s="2" t="s">
        <v>196</v>
      </c>
      <c r="P476" s="2" t="s">
        <v>197</v>
      </c>
      <c r="Q476" s="2" t="s">
        <v>198</v>
      </c>
      <c r="R476" s="2" t="s">
        <v>199</v>
      </c>
      <c r="S476" s="2" t="s">
        <v>2793</v>
      </c>
      <c r="T476" s="2" t="s">
        <v>1978</v>
      </c>
      <c r="U476" s="2" t="s">
        <v>637</v>
      </c>
      <c r="V476" s="2" t="s">
        <v>202</v>
      </c>
      <c r="W476" s="2" t="s">
        <v>203</v>
      </c>
      <c r="X476" s="2" t="s">
        <v>510</v>
      </c>
      <c r="Y476" s="2" t="s">
        <v>204</v>
      </c>
      <c r="Z476" s="4">
        <v>150</v>
      </c>
      <c r="AA476" s="4">
        <f>=ROUNDDOWN(10,0)</f>
      </c>
      <c r="AB476" s="5">
        <v>15</v>
      </c>
      <c r="AC476" s="2" t="s">
        <v>199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199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199</v>
      </c>
      <c r="BD476" s="8" t="s">
        <v>199</v>
      </c>
      <c r="BE476" s="4" t="s">
        <v>199</v>
      </c>
      <c r="BF476" s="8" t="s">
        <v>199</v>
      </c>
      <c r="BG476" s="7" t="s">
        <v>199</v>
      </c>
      <c r="BH476" s="7" t="s">
        <v>199</v>
      </c>
      <c r="BI476" s="7"/>
      <c r="BJ476" s="4">
        <v>55</v>
      </c>
      <c r="BK476" s="8">
        <v>1360.74</v>
      </c>
      <c r="BL476" s="2" t="s">
        <v>2794</v>
      </c>
      <c r="BM476" s="7"/>
      <c r="BN476" s="7"/>
      <c r="BO476" s="4"/>
      <c r="BP476" s="8"/>
      <c r="BQ476" s="4"/>
      <c r="BR476" s="8"/>
      <c r="BS476" s="7"/>
      <c r="BT476" s="7"/>
      <c r="BU476" s="2" t="s">
        <v>2753</v>
      </c>
      <c r="BV476" s="2" t="s">
        <v>199</v>
      </c>
      <c r="BW476" s="2" t="s">
        <v>199</v>
      </c>
      <c r="BX476" s="2" t="s">
        <v>208</v>
      </c>
      <c r="BY476" s="2" t="s">
        <v>209</v>
      </c>
      <c r="BZ476" s="2" t="s">
        <v>196</v>
      </c>
      <c r="CA476" s="2" t="s">
        <v>210</v>
      </c>
      <c r="CB476" s="2" t="s">
        <v>1443</v>
      </c>
      <c r="CC476" s="2" t="s">
        <v>212</v>
      </c>
      <c r="CD476" s="2" t="s">
        <v>199</v>
      </c>
      <c r="CE476" s="4"/>
      <c r="CF476" s="4">
        <v>150</v>
      </c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>
        <v>150</v>
      </c>
      <c r="EU476" s="4">
        <v>147</v>
      </c>
      <c r="EV476" s="4">
        <v>143</v>
      </c>
      <c r="EW476" s="4">
        <v>139</v>
      </c>
      <c r="EX476" s="4">
        <v>134</v>
      </c>
      <c r="EY476" s="4">
        <v>132</v>
      </c>
      <c r="EZ476" s="4">
        <v>129</v>
      </c>
      <c r="FA476" s="4">
        <v>126</v>
      </c>
      <c r="FB476" s="4">
        <v>123</v>
      </c>
      <c r="FC476" s="4">
        <v>120</v>
      </c>
      <c r="FD476" s="4">
        <v>118</v>
      </c>
      <c r="FE476" s="4">
        <v>116</v>
      </c>
      <c r="FF476" s="4">
        <v>114</v>
      </c>
      <c r="FG476" s="4">
        <v>112</v>
      </c>
      <c r="FH476" s="4">
        <v>111</v>
      </c>
      <c r="FI476" s="4">
        <v>110</v>
      </c>
      <c r="FJ476" s="4">
        <v>109</v>
      </c>
      <c r="FK476" s="4">
        <v>108</v>
      </c>
      <c r="FL476" s="4">
        <v>105</v>
      </c>
      <c r="FM476" s="4">
        <v>102</v>
      </c>
      <c r="FN476" s="4">
        <v>99</v>
      </c>
      <c r="FO476" s="4">
        <v>96</v>
      </c>
      <c r="FP476" s="4">
        <v>93</v>
      </c>
      <c r="FQ476" s="4">
        <v>90</v>
      </c>
      <c r="FR476" s="4">
        <v>87</v>
      </c>
      <c r="FS476" s="4">
        <v>84</v>
      </c>
      <c r="FT476" s="19">
        <v>37.5</v>
      </c>
      <c r="FU476" s="19">
        <v>36.8</v>
      </c>
      <c r="FV476" s="19">
        <v>35.8</v>
      </c>
      <c r="FW476" s="19">
        <v>46.3</v>
      </c>
      <c r="FX476" s="19">
        <v>44.7</v>
      </c>
      <c r="FY476" s="19">
        <v>44</v>
      </c>
      <c r="FZ476" s="19">
        <v>43</v>
      </c>
      <c r="GA476" s="19">
        <v>63</v>
      </c>
      <c r="GB476" s="19">
        <v>61.5</v>
      </c>
      <c r="GC476" s="19">
        <v>60</v>
      </c>
      <c r="GD476" s="19">
        <v>59</v>
      </c>
      <c r="GE476" s="19">
        <v>58</v>
      </c>
      <c r="GF476" s="19">
        <v>114</v>
      </c>
      <c r="GG476" s="19">
        <v>112</v>
      </c>
      <c r="GH476" s="19">
        <v>55.5</v>
      </c>
      <c r="GI476" s="19">
        <v>55</v>
      </c>
      <c r="GJ476" s="19">
        <v>54.5</v>
      </c>
      <c r="GK476" s="19">
        <v>36</v>
      </c>
      <c r="GL476" s="19">
        <v>35</v>
      </c>
      <c r="GM476" s="19">
        <v>34</v>
      </c>
      <c r="GN476" s="19">
        <v>33</v>
      </c>
      <c r="GO476" s="19">
        <v>32</v>
      </c>
      <c r="GP476" s="19">
        <v>31</v>
      </c>
      <c r="GQ476" s="19">
        <v>30</v>
      </c>
      <c r="GR476" s="19">
        <v>29</v>
      </c>
      <c r="GS476" s="19">
        <v>28</v>
      </c>
    </row>
    <row r="477">
      <c r="A477" s="2" t="s">
        <v>2795</v>
      </c>
      <c r="B477" s="2" t="s">
        <v>245</v>
      </c>
      <c r="C477" s="2" t="s">
        <v>1625</v>
      </c>
      <c r="D477" s="2" t="s">
        <v>247</v>
      </c>
      <c r="E477" s="2" t="s">
        <v>248</v>
      </c>
      <c r="F477" s="2" t="s">
        <v>2749</v>
      </c>
      <c r="G477" s="2" t="s">
        <v>2749</v>
      </c>
      <c r="H477" s="2" t="s">
        <v>2749</v>
      </c>
      <c r="I477" s="2" t="s">
        <v>297</v>
      </c>
      <c r="J477" s="2" t="s">
        <v>285</v>
      </c>
      <c r="K477" s="2" t="s">
        <v>438</v>
      </c>
      <c r="L477" s="3">
        <v>25.3</v>
      </c>
      <c r="M477" s="3">
        <v>26.56</v>
      </c>
      <c r="N477" s="3">
        <v>54.99</v>
      </c>
      <c r="O477" s="2" t="s">
        <v>196</v>
      </c>
      <c r="P477" s="2" t="s">
        <v>197</v>
      </c>
      <c r="Q477" s="2" t="s">
        <v>198</v>
      </c>
      <c r="R477" s="2" t="s">
        <v>199</v>
      </c>
      <c r="S477" s="2" t="s">
        <v>2796</v>
      </c>
      <c r="T477" s="2" t="s">
        <v>1978</v>
      </c>
      <c r="U477" s="2" t="s">
        <v>254</v>
      </c>
      <c r="V477" s="2" t="s">
        <v>202</v>
      </c>
      <c r="W477" s="2" t="s">
        <v>203</v>
      </c>
      <c r="X477" s="2" t="s">
        <v>510</v>
      </c>
      <c r="Y477" s="2" t="s">
        <v>204</v>
      </c>
      <c r="Z477" s="4">
        <v>12</v>
      </c>
      <c r="AA477" s="4">
        <f>=ROUNDDOWN(1,0)</f>
      </c>
      <c r="AB477" s="5">
        <v>12</v>
      </c>
      <c r="AC477" s="2" t="s">
        <v>199</v>
      </c>
      <c r="AD477" s="4"/>
      <c r="AE477" s="4"/>
      <c r="AF477" s="6">
        <v>65</v>
      </c>
      <c r="AG477" s="6"/>
      <c r="AH477" s="7">
        <v>0.2903</v>
      </c>
      <c r="AI477" s="4"/>
      <c r="AJ477" s="4">
        <f>=ROUNDDOWN({0},0)</f>
      </c>
      <c r="AK477" s="5"/>
      <c r="AL477" s="2" t="s">
        <v>199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199</v>
      </c>
      <c r="AW477" s="8" t="s">
        <v>199</v>
      </c>
      <c r="AX477" s="4" t="s">
        <v>199</v>
      </c>
      <c r="AY477" s="8" t="s">
        <v>199</v>
      </c>
      <c r="AZ477" s="7" t="s">
        <v>199</v>
      </c>
      <c r="BA477" s="7" t="s">
        <v>199</v>
      </c>
      <c r="BB477" s="7"/>
      <c r="BC477" s="4" t="s">
        <v>199</v>
      </c>
      <c r="BD477" s="8" t="s">
        <v>199</v>
      </c>
      <c r="BE477" s="4" t="s">
        <v>199</v>
      </c>
      <c r="BF477" s="8" t="s">
        <v>199</v>
      </c>
      <c r="BG477" s="7" t="s">
        <v>199</v>
      </c>
      <c r="BH477" s="7" t="s">
        <v>199</v>
      </c>
      <c r="BI477" s="7"/>
      <c r="BJ477" s="4">
        <v>61</v>
      </c>
      <c r="BK477" s="8">
        <v>1727.42</v>
      </c>
      <c r="BL477" s="2" t="s">
        <v>2797</v>
      </c>
      <c r="BM477" s="7"/>
      <c r="BN477" s="7"/>
      <c r="BO477" s="4"/>
      <c r="BP477" s="8"/>
      <c r="BQ477" s="4"/>
      <c r="BR477" s="8"/>
      <c r="BS477" s="7"/>
      <c r="BT477" s="7"/>
      <c r="BU477" s="2" t="s">
        <v>2753</v>
      </c>
      <c r="BV477" s="2" t="s">
        <v>199</v>
      </c>
      <c r="BW477" s="2" t="s">
        <v>199</v>
      </c>
      <c r="BX477" s="2" t="s">
        <v>208</v>
      </c>
      <c r="BY477" s="2" t="s">
        <v>209</v>
      </c>
      <c r="BZ477" s="2" t="s">
        <v>196</v>
      </c>
      <c r="CA477" s="2" t="s">
        <v>210</v>
      </c>
      <c r="CB477" s="2" t="s">
        <v>446</v>
      </c>
      <c r="CC477" s="2" t="s">
        <v>212</v>
      </c>
      <c r="CD477" s="2" t="s">
        <v>199</v>
      </c>
      <c r="CE477" s="4">
        <v>1</v>
      </c>
      <c r="CF477" s="4">
        <v>11</v>
      </c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>
        <v>12</v>
      </c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>
        <v>80</v>
      </c>
      <c r="FR477" s="4">
        <v>70</v>
      </c>
      <c r="FS477" s="4">
        <v>66</v>
      </c>
      <c r="FT477" s="19">
        <v>1.5</v>
      </c>
      <c r="FU477" s="20">
        <v>0</v>
      </c>
      <c r="FV477" s="20">
        <v>0</v>
      </c>
      <c r="FW477" s="20">
        <v>0</v>
      </c>
      <c r="FX477" s="20">
        <v>0</v>
      </c>
      <c r="FY477" s="20">
        <v>0</v>
      </c>
      <c r="FZ477" s="20">
        <v>0</v>
      </c>
      <c r="GA477" s="20">
        <v>0</v>
      </c>
      <c r="GB477" s="20">
        <v>0</v>
      </c>
      <c r="GC477" s="20">
        <v>0</v>
      </c>
      <c r="GD477" s="20">
        <v>0</v>
      </c>
      <c r="GE477" s="20">
        <v>0</v>
      </c>
      <c r="GF477" s="20">
        <v>0</v>
      </c>
      <c r="GG477" s="20">
        <v>0</v>
      </c>
      <c r="GH477" s="20">
        <v>0</v>
      </c>
      <c r="GI477" s="20">
        <v>0</v>
      </c>
      <c r="GJ477" s="20">
        <v>0</v>
      </c>
      <c r="GK477" s="20">
        <v>0</v>
      </c>
      <c r="GL477" s="20">
        <v>0</v>
      </c>
      <c r="GM477" s="20">
        <v>0</v>
      </c>
      <c r="GN477" s="20">
        <v>0</v>
      </c>
      <c r="GO477" s="20">
        <v>0</v>
      </c>
      <c r="GP477" s="20">
        <v>0</v>
      </c>
      <c r="GQ477" s="19">
        <v>13.3</v>
      </c>
      <c r="GR477" s="19">
        <v>17.5</v>
      </c>
      <c r="GS477" s="19">
        <v>16.5</v>
      </c>
    </row>
    <row r="478">
      <c r="A478" s="2" t="s">
        <v>2798</v>
      </c>
      <c r="B478" s="2" t="s">
        <v>245</v>
      </c>
      <c r="C478" s="2" t="s">
        <v>1625</v>
      </c>
      <c r="D478" s="2" t="s">
        <v>247</v>
      </c>
      <c r="E478" s="2" t="s">
        <v>248</v>
      </c>
      <c r="F478" s="2" t="s">
        <v>2749</v>
      </c>
      <c r="G478" s="2" t="s">
        <v>2749</v>
      </c>
      <c r="H478" s="2" t="s">
        <v>2749</v>
      </c>
      <c r="I478" s="2" t="s">
        <v>297</v>
      </c>
      <c r="J478" s="2" t="s">
        <v>251</v>
      </c>
      <c r="K478" s="2" t="s">
        <v>438</v>
      </c>
      <c r="L478" s="3">
        <v>31.85</v>
      </c>
      <c r="M478" s="3">
        <v>33.44</v>
      </c>
      <c r="N478" s="3">
        <v>64.99</v>
      </c>
      <c r="O478" s="2" t="s">
        <v>196</v>
      </c>
      <c r="P478" s="2" t="s">
        <v>197</v>
      </c>
      <c r="Q478" s="2" t="s">
        <v>198</v>
      </c>
      <c r="R478" s="2" t="s">
        <v>199</v>
      </c>
      <c r="S478" s="2" t="s">
        <v>2796</v>
      </c>
      <c r="T478" s="2" t="s">
        <v>1978</v>
      </c>
      <c r="U478" s="2" t="s">
        <v>254</v>
      </c>
      <c r="V478" s="2" t="s">
        <v>202</v>
      </c>
      <c r="W478" s="2" t="s">
        <v>203</v>
      </c>
      <c r="X478" s="2" t="s">
        <v>510</v>
      </c>
      <c r="Y478" s="2" t="s">
        <v>204</v>
      </c>
      <c r="Z478" s="4">
        <v>7</v>
      </c>
      <c r="AA478" s="4">
        <f>=ROUNDDOWN(0.777777777777778,0)</f>
      </c>
      <c r="AB478" s="5">
        <v>9</v>
      </c>
      <c r="AC478" s="2" t="s">
        <v>199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199</v>
      </c>
      <c r="AW478" s="8" t="s">
        <v>199</v>
      </c>
      <c r="AX478" s="4" t="s">
        <v>199</v>
      </c>
      <c r="AY478" s="8" t="s">
        <v>199</v>
      </c>
      <c r="AZ478" s="7" t="s">
        <v>199</v>
      </c>
      <c r="BA478" s="7" t="s">
        <v>199</v>
      </c>
      <c r="BB478" s="7"/>
      <c r="BC478" s="4" t="s">
        <v>199</v>
      </c>
      <c r="BD478" s="8" t="s">
        <v>199</v>
      </c>
      <c r="BE478" s="4" t="s">
        <v>199</v>
      </c>
      <c r="BF478" s="8" t="s">
        <v>199</v>
      </c>
      <c r="BG478" s="7" t="s">
        <v>199</v>
      </c>
      <c r="BH478" s="7" t="s">
        <v>199</v>
      </c>
      <c r="BI478" s="7"/>
      <c r="BJ478" s="4">
        <v>53</v>
      </c>
      <c r="BK478" s="8">
        <v>1817.18</v>
      </c>
      <c r="BL478" s="2" t="s">
        <v>1346</v>
      </c>
      <c r="BM478" s="7"/>
      <c r="BN478" s="7"/>
      <c r="BO478" s="4"/>
      <c r="BP478" s="8"/>
      <c r="BQ478" s="4"/>
      <c r="BR478" s="8"/>
      <c r="BS478" s="7"/>
      <c r="BT478" s="7"/>
      <c r="BU478" s="2" t="s">
        <v>2753</v>
      </c>
      <c r="BV478" s="2" t="s">
        <v>199</v>
      </c>
      <c r="BW478" s="2" t="s">
        <v>199</v>
      </c>
      <c r="BX478" s="2" t="s">
        <v>208</v>
      </c>
      <c r="BY478" s="2" t="s">
        <v>209</v>
      </c>
      <c r="BZ478" s="2" t="s">
        <v>196</v>
      </c>
      <c r="CA478" s="2" t="s">
        <v>2776</v>
      </c>
      <c r="CB478" s="2" t="s">
        <v>2129</v>
      </c>
      <c r="CC478" s="2" t="s">
        <v>212</v>
      </c>
      <c r="CD478" s="2" t="s">
        <v>199</v>
      </c>
      <c r="CE478" s="4"/>
      <c r="CF478" s="4">
        <v>7</v>
      </c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>
        <v>24</v>
      </c>
      <c r="EU478" s="4">
        <v>14</v>
      </c>
      <c r="EV478" s="4">
        <v>9</v>
      </c>
      <c r="EW478" s="4">
        <v>4</v>
      </c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>
        <v>63</v>
      </c>
      <c r="FR478" s="4">
        <v>60</v>
      </c>
      <c r="FS478" s="4">
        <v>57</v>
      </c>
      <c r="FT478" s="19">
        <v>4</v>
      </c>
      <c r="FU478" s="19">
        <v>3.5</v>
      </c>
      <c r="FV478" s="19">
        <v>2.3</v>
      </c>
      <c r="FW478" s="19">
        <v>1</v>
      </c>
      <c r="FX478" s="20">
        <v>0</v>
      </c>
      <c r="FY478" s="20">
        <v>0</v>
      </c>
      <c r="FZ478" s="20">
        <v>0</v>
      </c>
      <c r="GA478" s="20">
        <v>0</v>
      </c>
      <c r="GB478" s="20">
        <v>0</v>
      </c>
      <c r="GC478" s="20">
        <v>0</v>
      </c>
      <c r="GD478" s="20">
        <v>0</v>
      </c>
      <c r="GE478" s="20">
        <v>0</v>
      </c>
      <c r="GF478" s="20">
        <v>0</v>
      </c>
      <c r="GG478" s="20">
        <v>0</v>
      </c>
      <c r="GH478" s="20">
        <v>0</v>
      </c>
      <c r="GI478" s="20">
        <v>0</v>
      </c>
      <c r="GJ478" s="20">
        <v>0</v>
      </c>
      <c r="GK478" s="20">
        <v>0</v>
      </c>
      <c r="GL478" s="20">
        <v>0</v>
      </c>
      <c r="GM478" s="20">
        <v>0</v>
      </c>
      <c r="GN478" s="20">
        <v>0</v>
      </c>
      <c r="GO478" s="20">
        <v>0</v>
      </c>
      <c r="GP478" s="20">
        <v>0</v>
      </c>
      <c r="GQ478" s="19">
        <v>21</v>
      </c>
      <c r="GR478" s="19">
        <v>20</v>
      </c>
      <c r="GS478" s="19">
        <v>19</v>
      </c>
    </row>
    <row r="479">
      <c r="A479" s="2" t="s">
        <v>2799</v>
      </c>
      <c r="B479" s="2" t="s">
        <v>245</v>
      </c>
      <c r="C479" s="2" t="s">
        <v>1625</v>
      </c>
      <c r="D479" s="2" t="s">
        <v>247</v>
      </c>
      <c r="E479" s="2" t="s">
        <v>248</v>
      </c>
      <c r="F479" s="2" t="s">
        <v>2749</v>
      </c>
      <c r="G479" s="2" t="s">
        <v>2749</v>
      </c>
      <c r="H479" s="2" t="s">
        <v>2749</v>
      </c>
      <c r="I479" s="2" t="s">
        <v>297</v>
      </c>
      <c r="J479" s="2" t="s">
        <v>194</v>
      </c>
      <c r="K479" s="2" t="s">
        <v>2800</v>
      </c>
      <c r="L479" s="3">
        <v>21.62</v>
      </c>
      <c r="M479" s="3">
        <v>22.7</v>
      </c>
      <c r="N479" s="3">
        <v>46.99</v>
      </c>
      <c r="O479" s="2" t="s">
        <v>196</v>
      </c>
      <c r="P479" s="2" t="s">
        <v>621</v>
      </c>
      <c r="Q479" s="2" t="s">
        <v>198</v>
      </c>
      <c r="R479" s="2" t="s">
        <v>199</v>
      </c>
      <c r="S479" s="2" t="s">
        <v>2801</v>
      </c>
      <c r="T479" s="2" t="s">
        <v>1978</v>
      </c>
      <c r="U479" s="2" t="s">
        <v>637</v>
      </c>
      <c r="V479" s="2" t="s">
        <v>202</v>
      </c>
      <c r="W479" s="2" t="s">
        <v>203</v>
      </c>
      <c r="X479" s="2" t="s">
        <v>510</v>
      </c>
      <c r="Y479" s="2" t="s">
        <v>204</v>
      </c>
      <c r="Z479" s="4">
        <v>353</v>
      </c>
      <c r="AA479" s="4">
        <f>=ROUNDDOWN(11.7666666666667,0)</f>
      </c>
      <c r="AB479" s="5">
        <v>30</v>
      </c>
      <c r="AC479" s="2" t="s">
        <v>199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199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199</v>
      </c>
      <c r="AW479" s="8" t="s">
        <v>199</v>
      </c>
      <c r="AX479" s="4" t="s">
        <v>199</v>
      </c>
      <c r="AY479" s="8" t="s">
        <v>199</v>
      </c>
      <c r="AZ479" s="7" t="s">
        <v>199</v>
      </c>
      <c r="BA479" s="7" t="s">
        <v>199</v>
      </c>
      <c r="BB479" s="7"/>
      <c r="BC479" s="4" t="s">
        <v>199</v>
      </c>
      <c r="BD479" s="8" t="s">
        <v>199</v>
      </c>
      <c r="BE479" s="4" t="s">
        <v>199</v>
      </c>
      <c r="BF479" s="8" t="s">
        <v>199</v>
      </c>
      <c r="BG479" s="7" t="s">
        <v>199</v>
      </c>
      <c r="BH479" s="7" t="s">
        <v>199</v>
      </c>
      <c r="BI479" s="7"/>
      <c r="BJ479" s="4">
        <v>94</v>
      </c>
      <c r="BK479" s="8">
        <v>2274.92</v>
      </c>
      <c r="BL479" s="2" t="s">
        <v>2802</v>
      </c>
      <c r="BM479" s="7"/>
      <c r="BN479" s="7"/>
      <c r="BO479" s="4"/>
      <c r="BP479" s="8"/>
      <c r="BQ479" s="4"/>
      <c r="BR479" s="8"/>
      <c r="BS479" s="7"/>
      <c r="BT479" s="7"/>
      <c r="BU479" s="2" t="s">
        <v>2753</v>
      </c>
      <c r="BV479" s="2" t="s">
        <v>199</v>
      </c>
      <c r="BW479" s="2" t="s">
        <v>199</v>
      </c>
      <c r="BX479" s="2" t="s">
        <v>208</v>
      </c>
      <c r="BY479" s="2" t="s">
        <v>209</v>
      </c>
      <c r="BZ479" s="2" t="s">
        <v>196</v>
      </c>
      <c r="CA479" s="2" t="s">
        <v>210</v>
      </c>
      <c r="CB479" s="2" t="s">
        <v>2803</v>
      </c>
      <c r="CC479" s="2" t="s">
        <v>212</v>
      </c>
      <c r="CD479" s="2" t="s">
        <v>199</v>
      </c>
      <c r="CE479" s="4"/>
      <c r="CF479" s="4">
        <v>353</v>
      </c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>
        <v>359</v>
      </c>
      <c r="EU479" s="4">
        <v>348</v>
      </c>
      <c r="EV479" s="4">
        <v>340</v>
      </c>
      <c r="EW479" s="4">
        <v>331</v>
      </c>
      <c r="EX479" s="4">
        <v>320</v>
      </c>
      <c r="EY479" s="4">
        <v>316</v>
      </c>
      <c r="EZ479" s="4">
        <v>310</v>
      </c>
      <c r="FA479" s="4">
        <v>304</v>
      </c>
      <c r="FB479" s="4">
        <v>298</v>
      </c>
      <c r="FC479" s="4">
        <v>292</v>
      </c>
      <c r="FD479" s="4">
        <v>289</v>
      </c>
      <c r="FE479" s="4">
        <v>286</v>
      </c>
      <c r="FF479" s="4">
        <v>283</v>
      </c>
      <c r="FG479" s="4">
        <v>280</v>
      </c>
      <c r="FH479" s="4">
        <v>278</v>
      </c>
      <c r="FI479" s="4">
        <v>276</v>
      </c>
      <c r="FJ479" s="4">
        <v>274</v>
      </c>
      <c r="FK479" s="4">
        <v>272</v>
      </c>
      <c r="FL479" s="4">
        <v>270</v>
      </c>
      <c r="FM479" s="4">
        <v>268</v>
      </c>
      <c r="FN479" s="4">
        <v>266</v>
      </c>
      <c r="FO479" s="4">
        <v>264</v>
      </c>
      <c r="FP479" s="4">
        <v>262</v>
      </c>
      <c r="FQ479" s="4">
        <v>260</v>
      </c>
      <c r="FR479" s="4">
        <v>258</v>
      </c>
      <c r="FS479" s="4">
        <v>256</v>
      </c>
      <c r="FT479" s="19">
        <v>35.9</v>
      </c>
      <c r="FU479" s="19">
        <v>43.5</v>
      </c>
      <c r="FV479" s="19">
        <v>42.5</v>
      </c>
      <c r="FW479" s="19">
        <v>47.3</v>
      </c>
      <c r="FX479" s="19">
        <v>53.3</v>
      </c>
      <c r="FY479" s="19">
        <v>52.7</v>
      </c>
      <c r="FZ479" s="19">
        <v>62</v>
      </c>
      <c r="GA479" s="19">
        <v>76</v>
      </c>
      <c r="GB479" s="19">
        <v>74.5</v>
      </c>
      <c r="GC479" s="19">
        <v>97.3</v>
      </c>
      <c r="GD479" s="19">
        <v>96.3</v>
      </c>
      <c r="GE479" s="19">
        <v>143</v>
      </c>
      <c r="GF479" s="19">
        <v>141.5</v>
      </c>
      <c r="GG479" s="19">
        <v>140</v>
      </c>
      <c r="GH479" s="19">
        <v>139</v>
      </c>
      <c r="GI479" s="19">
        <v>138</v>
      </c>
      <c r="GJ479" s="19">
        <v>137</v>
      </c>
      <c r="GK479" s="19">
        <v>136</v>
      </c>
      <c r="GL479" s="19">
        <v>135</v>
      </c>
      <c r="GM479" s="19">
        <v>134</v>
      </c>
      <c r="GN479" s="19">
        <v>133</v>
      </c>
      <c r="GO479" s="19">
        <v>132</v>
      </c>
      <c r="GP479" s="19">
        <v>131</v>
      </c>
      <c r="GQ479" s="19">
        <v>130</v>
      </c>
      <c r="GR479" s="19">
        <v>129</v>
      </c>
      <c r="GS479" s="19">
        <v>128</v>
      </c>
    </row>
    <row r="480">
      <c r="A480" s="2" t="s">
        <v>2804</v>
      </c>
      <c r="B480" s="2" t="s">
        <v>245</v>
      </c>
      <c r="C480" s="2" t="s">
        <v>1625</v>
      </c>
      <c r="D480" s="2" t="s">
        <v>247</v>
      </c>
      <c r="E480" s="2" t="s">
        <v>248</v>
      </c>
      <c r="F480" s="2" t="s">
        <v>2749</v>
      </c>
      <c r="G480" s="2" t="s">
        <v>2749</v>
      </c>
      <c r="H480" s="2" t="s">
        <v>2749</v>
      </c>
      <c r="I480" s="2" t="s">
        <v>297</v>
      </c>
      <c r="J480" s="2" t="s">
        <v>214</v>
      </c>
      <c r="K480" s="2" t="s">
        <v>2800</v>
      </c>
      <c r="L480" s="3">
        <v>23.04</v>
      </c>
      <c r="M480" s="3">
        <v>24.19</v>
      </c>
      <c r="N480" s="3">
        <v>47.99</v>
      </c>
      <c r="O480" s="2" t="s">
        <v>196</v>
      </c>
      <c r="P480" s="2" t="s">
        <v>197</v>
      </c>
      <c r="Q480" s="2" t="s">
        <v>198</v>
      </c>
      <c r="R480" s="2" t="s">
        <v>199</v>
      </c>
      <c r="S480" s="2" t="s">
        <v>2801</v>
      </c>
      <c r="T480" s="2" t="s">
        <v>1978</v>
      </c>
      <c r="U480" s="2" t="s">
        <v>637</v>
      </c>
      <c r="V480" s="2" t="s">
        <v>202</v>
      </c>
      <c r="W480" s="2" t="s">
        <v>203</v>
      </c>
      <c r="X480" s="2" t="s">
        <v>510</v>
      </c>
      <c r="Y480" s="2" t="s">
        <v>204</v>
      </c>
      <c r="Z480" s="4">
        <v>348</v>
      </c>
      <c r="AA480" s="4">
        <f>=ROUNDDOWN(19.3333333333333,0)</f>
      </c>
      <c r="AB480" s="5">
        <v>18</v>
      </c>
      <c r="AC480" s="2" t="s">
        <v>199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199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199</v>
      </c>
      <c r="AW480" s="8" t="s">
        <v>199</v>
      </c>
      <c r="AX480" s="4" t="s">
        <v>199</v>
      </c>
      <c r="AY480" s="8" t="s">
        <v>199</v>
      </c>
      <c r="AZ480" s="7" t="s">
        <v>199</v>
      </c>
      <c r="BA480" s="7" t="s">
        <v>199</v>
      </c>
      <c r="BB480" s="7"/>
      <c r="BC480" s="4" t="s">
        <v>199</v>
      </c>
      <c r="BD480" s="8" t="s">
        <v>199</v>
      </c>
      <c r="BE480" s="4" t="s">
        <v>199</v>
      </c>
      <c r="BF480" s="8" t="s">
        <v>199</v>
      </c>
      <c r="BG480" s="7" t="s">
        <v>199</v>
      </c>
      <c r="BH480" s="7" t="s">
        <v>199</v>
      </c>
      <c r="BI480" s="7"/>
      <c r="BJ480" s="4">
        <v>67</v>
      </c>
      <c r="BK480" s="8">
        <v>1675.67</v>
      </c>
      <c r="BL480" s="2" t="s">
        <v>1553</v>
      </c>
      <c r="BM480" s="7"/>
      <c r="BN480" s="7"/>
      <c r="BO480" s="4"/>
      <c r="BP480" s="8"/>
      <c r="BQ480" s="4"/>
      <c r="BR480" s="8"/>
      <c r="BS480" s="7"/>
      <c r="BT480" s="7"/>
      <c r="BU480" s="2" t="s">
        <v>2753</v>
      </c>
      <c r="BV480" s="2" t="s">
        <v>199</v>
      </c>
      <c r="BW480" s="2" t="s">
        <v>199</v>
      </c>
      <c r="BX480" s="2" t="s">
        <v>208</v>
      </c>
      <c r="BY480" s="2" t="s">
        <v>209</v>
      </c>
      <c r="BZ480" s="2" t="s">
        <v>196</v>
      </c>
      <c r="CA480" s="2" t="s">
        <v>210</v>
      </c>
      <c r="CB480" s="2" t="s">
        <v>2805</v>
      </c>
      <c r="CC480" s="2" t="s">
        <v>212</v>
      </c>
      <c r="CD480" s="2" t="s">
        <v>199</v>
      </c>
      <c r="CE480" s="4">
        <v>147</v>
      </c>
      <c r="CF480" s="4">
        <v>201</v>
      </c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>
        <v>348</v>
      </c>
      <c r="EU480" s="4">
        <v>285</v>
      </c>
      <c r="EV480" s="4">
        <v>279</v>
      </c>
      <c r="EW480" s="4">
        <v>273</v>
      </c>
      <c r="EX480" s="4">
        <v>262</v>
      </c>
      <c r="EY480" s="4">
        <v>257</v>
      </c>
      <c r="EZ480" s="4">
        <v>251</v>
      </c>
      <c r="FA480" s="4">
        <v>246</v>
      </c>
      <c r="FB480" s="4">
        <v>241</v>
      </c>
      <c r="FC480" s="4">
        <v>236</v>
      </c>
      <c r="FD480" s="4">
        <v>231</v>
      </c>
      <c r="FE480" s="4">
        <v>226</v>
      </c>
      <c r="FF480" s="4">
        <v>221</v>
      </c>
      <c r="FG480" s="4">
        <v>216</v>
      </c>
      <c r="FH480" s="4">
        <v>212</v>
      </c>
      <c r="FI480" s="4">
        <v>208</v>
      </c>
      <c r="FJ480" s="4">
        <v>204</v>
      </c>
      <c r="FK480" s="4">
        <v>200</v>
      </c>
      <c r="FL480" s="4">
        <v>196</v>
      </c>
      <c r="FM480" s="4">
        <v>192</v>
      </c>
      <c r="FN480" s="4">
        <v>188</v>
      </c>
      <c r="FO480" s="4">
        <v>184</v>
      </c>
      <c r="FP480" s="4">
        <v>180</v>
      </c>
      <c r="FQ480" s="4">
        <v>176</v>
      </c>
      <c r="FR480" s="4">
        <v>172</v>
      </c>
      <c r="FS480" s="4">
        <v>166</v>
      </c>
      <c r="FT480" s="19">
        <v>15.8</v>
      </c>
      <c r="FU480" s="19">
        <v>40.7</v>
      </c>
      <c r="FV480" s="19">
        <v>39.9</v>
      </c>
      <c r="FW480" s="19">
        <v>39</v>
      </c>
      <c r="FX480" s="19">
        <v>52.4</v>
      </c>
      <c r="FY480" s="19">
        <v>51.4</v>
      </c>
      <c r="FZ480" s="19">
        <v>50.2</v>
      </c>
      <c r="GA480" s="19">
        <v>49.2</v>
      </c>
      <c r="GB480" s="19">
        <v>48.2</v>
      </c>
      <c r="GC480" s="19">
        <v>47.2</v>
      </c>
      <c r="GD480" s="19">
        <v>46.2</v>
      </c>
      <c r="GE480" s="19">
        <v>56.5</v>
      </c>
      <c r="GF480" s="19">
        <v>55.3</v>
      </c>
      <c r="GG480" s="19">
        <v>54</v>
      </c>
      <c r="GH480" s="19">
        <v>53</v>
      </c>
      <c r="GI480" s="19">
        <v>52</v>
      </c>
      <c r="GJ480" s="19">
        <v>51</v>
      </c>
      <c r="GK480" s="19">
        <v>50</v>
      </c>
      <c r="GL480" s="19">
        <v>49</v>
      </c>
      <c r="GM480" s="19">
        <v>48</v>
      </c>
      <c r="GN480" s="19">
        <v>47</v>
      </c>
      <c r="GO480" s="19">
        <v>46</v>
      </c>
      <c r="GP480" s="19">
        <v>36</v>
      </c>
      <c r="GQ480" s="19">
        <v>29.3</v>
      </c>
      <c r="GR480" s="19">
        <v>28.7</v>
      </c>
      <c r="GS480" s="19">
        <v>27.7</v>
      </c>
    </row>
    <row r="481">
      <c r="A481" s="2" t="s">
        <v>2806</v>
      </c>
      <c r="B481" s="2" t="s">
        <v>245</v>
      </c>
      <c r="C481" s="2" t="s">
        <v>1625</v>
      </c>
      <c r="D481" s="2" t="s">
        <v>247</v>
      </c>
      <c r="E481" s="2" t="s">
        <v>248</v>
      </c>
      <c r="F481" s="2" t="s">
        <v>2749</v>
      </c>
      <c r="G481" s="2" t="s">
        <v>2749</v>
      </c>
      <c r="H481" s="2" t="s">
        <v>2749</v>
      </c>
      <c r="I481" s="2" t="s">
        <v>297</v>
      </c>
      <c r="J481" s="2" t="s">
        <v>214</v>
      </c>
      <c r="K481" s="2" t="s">
        <v>665</v>
      </c>
      <c r="L481" s="3">
        <v>23.04</v>
      </c>
      <c r="M481" s="3">
        <v>24.19</v>
      </c>
      <c r="N481" s="3">
        <v>47.99</v>
      </c>
      <c r="O481" s="2" t="s">
        <v>196</v>
      </c>
      <c r="P481" s="2" t="s">
        <v>197</v>
      </c>
      <c r="Q481" s="2" t="s">
        <v>198</v>
      </c>
      <c r="R481" s="2" t="s">
        <v>199</v>
      </c>
      <c r="S481" s="2" t="s">
        <v>2807</v>
      </c>
      <c r="T481" s="2" t="s">
        <v>1978</v>
      </c>
      <c r="U481" s="2" t="s">
        <v>637</v>
      </c>
      <c r="V481" s="2" t="s">
        <v>202</v>
      </c>
      <c r="W481" s="2" t="s">
        <v>203</v>
      </c>
      <c r="X481" s="2" t="s">
        <v>510</v>
      </c>
      <c r="Y481" s="2" t="s">
        <v>2751</v>
      </c>
      <c r="Z481" s="4">
        <v>195</v>
      </c>
      <c r="AA481" s="4">
        <f>=ROUNDDOWN(27.8571428571429,0)</f>
      </c>
      <c r="AB481" s="5">
        <v>7</v>
      </c>
      <c r="AC481" s="2" t="s">
        <v>199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199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199</v>
      </c>
      <c r="AW481" s="8" t="s">
        <v>199</v>
      </c>
      <c r="AX481" s="4" t="s">
        <v>199</v>
      </c>
      <c r="AY481" s="8" t="s">
        <v>199</v>
      </c>
      <c r="AZ481" s="7" t="s">
        <v>199</v>
      </c>
      <c r="BA481" s="7" t="s">
        <v>199</v>
      </c>
      <c r="BB481" s="7"/>
      <c r="BC481" s="4" t="s">
        <v>199</v>
      </c>
      <c r="BD481" s="8" t="s">
        <v>199</v>
      </c>
      <c r="BE481" s="4" t="s">
        <v>199</v>
      </c>
      <c r="BF481" s="8" t="s">
        <v>199</v>
      </c>
      <c r="BG481" s="7" t="s">
        <v>199</v>
      </c>
      <c r="BH481" s="7" t="s">
        <v>199</v>
      </c>
      <c r="BI481" s="7"/>
      <c r="BJ481" s="4">
        <v>74</v>
      </c>
      <c r="BK481" s="8">
        <v>1878.95</v>
      </c>
      <c r="BL481" s="2" t="s">
        <v>327</v>
      </c>
      <c r="BM481" s="7"/>
      <c r="BN481" s="7"/>
      <c r="BO481" s="4"/>
      <c r="BP481" s="8"/>
      <c r="BQ481" s="4"/>
      <c r="BR481" s="8"/>
      <c r="BS481" s="7"/>
      <c r="BT481" s="7"/>
      <c r="BU481" s="2" t="s">
        <v>2753</v>
      </c>
      <c r="BV481" s="2" t="s">
        <v>199</v>
      </c>
      <c r="BW481" s="2" t="s">
        <v>199</v>
      </c>
      <c r="BX481" s="2" t="s">
        <v>208</v>
      </c>
      <c r="BY481" s="2" t="s">
        <v>209</v>
      </c>
      <c r="BZ481" s="2" t="s">
        <v>196</v>
      </c>
      <c r="CA481" s="2" t="s">
        <v>2754</v>
      </c>
      <c r="CB481" s="2" t="s">
        <v>2808</v>
      </c>
      <c r="CC481" s="2" t="s">
        <v>212</v>
      </c>
      <c r="CD481" s="2" t="s">
        <v>199</v>
      </c>
      <c r="CE481" s="4">
        <v>63</v>
      </c>
      <c r="CF481" s="4">
        <v>132</v>
      </c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>
        <v>197</v>
      </c>
      <c r="EU481" s="4">
        <v>193</v>
      </c>
      <c r="EV481" s="4">
        <v>191</v>
      </c>
      <c r="EW481" s="4">
        <v>189</v>
      </c>
      <c r="EX481" s="4">
        <v>184</v>
      </c>
      <c r="EY481" s="4">
        <v>183</v>
      </c>
      <c r="EZ481" s="4">
        <v>181</v>
      </c>
      <c r="FA481" s="4">
        <v>179</v>
      </c>
      <c r="FB481" s="4">
        <v>177</v>
      </c>
      <c r="FC481" s="4">
        <v>175</v>
      </c>
      <c r="FD481" s="4">
        <v>173</v>
      </c>
      <c r="FE481" s="4">
        <v>171</v>
      </c>
      <c r="FF481" s="4">
        <v>169</v>
      </c>
      <c r="FG481" s="4">
        <v>167</v>
      </c>
      <c r="FH481" s="4">
        <v>165</v>
      </c>
      <c r="FI481" s="4">
        <v>163</v>
      </c>
      <c r="FJ481" s="4">
        <v>161</v>
      </c>
      <c r="FK481" s="4">
        <v>159</v>
      </c>
      <c r="FL481" s="4">
        <v>157</v>
      </c>
      <c r="FM481" s="4">
        <v>155</v>
      </c>
      <c r="FN481" s="4">
        <v>153</v>
      </c>
      <c r="FO481" s="4">
        <v>151</v>
      </c>
      <c r="FP481" s="4">
        <v>149</v>
      </c>
      <c r="FQ481" s="4">
        <v>147</v>
      </c>
      <c r="FR481" s="4">
        <v>145</v>
      </c>
      <c r="FS481" s="4">
        <v>143</v>
      </c>
      <c r="FT481" s="19">
        <v>65.7</v>
      </c>
      <c r="FU481" s="19">
        <v>96.5</v>
      </c>
      <c r="FV481" s="19">
        <v>95.5</v>
      </c>
      <c r="FW481" s="19">
        <v>94.5</v>
      </c>
      <c r="FX481" s="19">
        <v>92</v>
      </c>
      <c r="FY481" s="19">
        <v>91.5</v>
      </c>
      <c r="FZ481" s="19">
        <v>90.5</v>
      </c>
      <c r="GA481" s="19">
        <v>89.5</v>
      </c>
      <c r="GB481" s="19">
        <v>88.5</v>
      </c>
      <c r="GC481" s="19">
        <v>87.5</v>
      </c>
      <c r="GD481" s="19">
        <v>86.5</v>
      </c>
      <c r="GE481" s="19">
        <v>85.5</v>
      </c>
      <c r="GF481" s="19">
        <v>84.5</v>
      </c>
      <c r="GG481" s="19">
        <v>83.5</v>
      </c>
      <c r="GH481" s="19">
        <v>82.5</v>
      </c>
      <c r="GI481" s="19">
        <v>81.5</v>
      </c>
      <c r="GJ481" s="19">
        <v>80.5</v>
      </c>
      <c r="GK481" s="19">
        <v>79.5</v>
      </c>
      <c r="GL481" s="19">
        <v>78.5</v>
      </c>
      <c r="GM481" s="19">
        <v>77.5</v>
      </c>
      <c r="GN481" s="19">
        <v>76.5</v>
      </c>
      <c r="GO481" s="19">
        <v>75.5</v>
      </c>
      <c r="GP481" s="19">
        <v>74.5</v>
      </c>
      <c r="GQ481" s="19">
        <v>73.5</v>
      </c>
      <c r="GR481" s="19">
        <v>72.5</v>
      </c>
      <c r="GS481" s="19">
        <v>71.5</v>
      </c>
    </row>
    <row r="482">
      <c r="A482" s="2" t="s">
        <v>2809</v>
      </c>
      <c r="B482" s="2" t="s">
        <v>245</v>
      </c>
      <c r="C482" s="2" t="s">
        <v>1625</v>
      </c>
      <c r="D482" s="2" t="s">
        <v>247</v>
      </c>
      <c r="E482" s="2" t="s">
        <v>248</v>
      </c>
      <c r="F482" s="2" t="s">
        <v>2749</v>
      </c>
      <c r="G482" s="2" t="s">
        <v>2749</v>
      </c>
      <c r="H482" s="2" t="s">
        <v>2749</v>
      </c>
      <c r="I482" s="2" t="s">
        <v>297</v>
      </c>
      <c r="J482" s="2" t="s">
        <v>219</v>
      </c>
      <c r="K482" s="2" t="s">
        <v>665</v>
      </c>
      <c r="L482" s="3">
        <v>28.2</v>
      </c>
      <c r="M482" s="3">
        <v>29.61</v>
      </c>
      <c r="N482" s="3">
        <v>59.99</v>
      </c>
      <c r="O482" s="2" t="s">
        <v>196</v>
      </c>
      <c r="P482" s="2" t="s">
        <v>621</v>
      </c>
      <c r="Q482" s="2" t="s">
        <v>198</v>
      </c>
      <c r="R482" s="2" t="s">
        <v>199</v>
      </c>
      <c r="S482" s="2" t="s">
        <v>2807</v>
      </c>
      <c r="T482" s="2" t="s">
        <v>1978</v>
      </c>
      <c r="U482" s="2" t="s">
        <v>254</v>
      </c>
      <c r="V482" s="2" t="s">
        <v>202</v>
      </c>
      <c r="W482" s="2" t="s">
        <v>203</v>
      </c>
      <c r="X482" s="2" t="s">
        <v>510</v>
      </c>
      <c r="Y482" s="2" t="s">
        <v>2810</v>
      </c>
      <c r="Z482" s="4">
        <v>412</v>
      </c>
      <c r="AA482" s="4">
        <f>=ROUNDDOWN(14.7142857142857,0)</f>
      </c>
      <c r="AB482" s="5">
        <v>28</v>
      </c>
      <c r="AC482" s="2" t="s">
        <v>199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199</v>
      </c>
      <c r="AW482" s="8" t="s">
        <v>199</v>
      </c>
      <c r="AX482" s="4" t="s">
        <v>199</v>
      </c>
      <c r="AY482" s="8" t="s">
        <v>199</v>
      </c>
      <c r="AZ482" s="7" t="s">
        <v>199</v>
      </c>
      <c r="BA482" s="7" t="s">
        <v>199</v>
      </c>
      <c r="BB482" s="7"/>
      <c r="BC482" s="4" t="s">
        <v>199</v>
      </c>
      <c r="BD482" s="8" t="s">
        <v>199</v>
      </c>
      <c r="BE482" s="4" t="s">
        <v>199</v>
      </c>
      <c r="BF482" s="8" t="s">
        <v>199</v>
      </c>
      <c r="BG482" s="7" t="s">
        <v>199</v>
      </c>
      <c r="BH482" s="7" t="s">
        <v>199</v>
      </c>
      <c r="BI482" s="7"/>
      <c r="BJ482" s="4">
        <v>169</v>
      </c>
      <c r="BK482" s="8">
        <v>5251.17</v>
      </c>
      <c r="BL482" s="2" t="s">
        <v>1553</v>
      </c>
      <c r="BM482" s="7"/>
      <c r="BN482" s="7"/>
      <c r="BO482" s="4"/>
      <c r="BP482" s="8"/>
      <c r="BQ482" s="4"/>
      <c r="BR482" s="8"/>
      <c r="BS482" s="7"/>
      <c r="BT482" s="7"/>
      <c r="BU482" s="2" t="s">
        <v>2753</v>
      </c>
      <c r="BV482" s="2" t="s">
        <v>199</v>
      </c>
      <c r="BW482" s="2" t="s">
        <v>199</v>
      </c>
      <c r="BX482" s="2" t="s">
        <v>208</v>
      </c>
      <c r="BY482" s="2" t="s">
        <v>209</v>
      </c>
      <c r="BZ482" s="2" t="s">
        <v>196</v>
      </c>
      <c r="CA482" s="2" t="s">
        <v>2754</v>
      </c>
      <c r="CB482" s="2" t="s">
        <v>2811</v>
      </c>
      <c r="CC482" s="2" t="s">
        <v>212</v>
      </c>
      <c r="CD482" s="2" t="s">
        <v>199</v>
      </c>
      <c r="CE482" s="4"/>
      <c r="CF482" s="4">
        <v>412</v>
      </c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>
        <v>421</v>
      </c>
      <c r="EU482" s="4">
        <v>399</v>
      </c>
      <c r="EV482" s="4">
        <v>377</v>
      </c>
      <c r="EW482" s="4">
        <v>356</v>
      </c>
      <c r="EX482" s="4">
        <v>333</v>
      </c>
      <c r="EY482" s="4">
        <v>319</v>
      </c>
      <c r="EZ482" s="4">
        <v>303</v>
      </c>
      <c r="FA482" s="4">
        <v>290</v>
      </c>
      <c r="FB482" s="4">
        <v>277</v>
      </c>
      <c r="FC482" s="4">
        <v>264</v>
      </c>
      <c r="FD482" s="4">
        <v>255</v>
      </c>
      <c r="FE482" s="4">
        <v>246</v>
      </c>
      <c r="FF482" s="4">
        <v>237</v>
      </c>
      <c r="FG482" s="4">
        <v>228</v>
      </c>
      <c r="FH482" s="4">
        <v>221</v>
      </c>
      <c r="FI482" s="4">
        <v>214</v>
      </c>
      <c r="FJ482" s="4">
        <v>207</v>
      </c>
      <c r="FK482" s="4">
        <v>200</v>
      </c>
      <c r="FL482" s="4">
        <v>193</v>
      </c>
      <c r="FM482" s="4">
        <v>186</v>
      </c>
      <c r="FN482" s="4">
        <v>179</v>
      </c>
      <c r="FO482" s="4">
        <v>172</v>
      </c>
      <c r="FP482" s="4">
        <v>165</v>
      </c>
      <c r="FQ482" s="4">
        <v>158</v>
      </c>
      <c r="FR482" s="4">
        <v>151</v>
      </c>
      <c r="FS482" s="4">
        <v>143</v>
      </c>
      <c r="FT482" s="19">
        <v>19.1</v>
      </c>
      <c r="FU482" s="19">
        <v>20</v>
      </c>
      <c r="FV482" s="19">
        <v>20.9</v>
      </c>
      <c r="FW482" s="19">
        <v>22.3</v>
      </c>
      <c r="FX482" s="19">
        <v>23.8</v>
      </c>
      <c r="FY482" s="19">
        <v>22.8</v>
      </c>
      <c r="FZ482" s="19">
        <v>25.3</v>
      </c>
      <c r="GA482" s="19">
        <v>26.4</v>
      </c>
      <c r="GB482" s="19">
        <v>27.7</v>
      </c>
      <c r="GC482" s="19">
        <v>29.3</v>
      </c>
      <c r="GD482" s="19">
        <v>31.9</v>
      </c>
      <c r="GE482" s="19">
        <v>30.8</v>
      </c>
      <c r="GF482" s="19">
        <v>29.6</v>
      </c>
      <c r="GG482" s="19">
        <v>32.6</v>
      </c>
      <c r="GH482" s="19">
        <v>31.6</v>
      </c>
      <c r="GI482" s="19">
        <v>30.6</v>
      </c>
      <c r="GJ482" s="19">
        <v>29.6</v>
      </c>
      <c r="GK482" s="19">
        <v>28.6</v>
      </c>
      <c r="GL482" s="19">
        <v>27.6</v>
      </c>
      <c r="GM482" s="19">
        <v>26.6</v>
      </c>
      <c r="GN482" s="19">
        <v>25.6</v>
      </c>
      <c r="GO482" s="19">
        <v>24.6</v>
      </c>
      <c r="GP482" s="19">
        <v>20.6</v>
      </c>
      <c r="GQ482" s="19">
        <v>19.8</v>
      </c>
      <c r="GR482" s="19">
        <v>18.9</v>
      </c>
      <c r="GS482" s="19">
        <v>17.9</v>
      </c>
    </row>
    <row r="483">
      <c r="A483" s="2" t="s">
        <v>2812</v>
      </c>
      <c r="B483" s="2" t="s">
        <v>245</v>
      </c>
      <c r="C483" s="2" t="s">
        <v>1625</v>
      </c>
      <c r="D483" s="2" t="s">
        <v>247</v>
      </c>
      <c r="E483" s="2" t="s">
        <v>248</v>
      </c>
      <c r="F483" s="2" t="s">
        <v>2749</v>
      </c>
      <c r="G483" s="2" t="s">
        <v>2749</v>
      </c>
      <c r="H483" s="2" t="s">
        <v>2749</v>
      </c>
      <c r="I483" s="2" t="s">
        <v>297</v>
      </c>
      <c r="J483" s="2" t="s">
        <v>194</v>
      </c>
      <c r="K483" s="2" t="s">
        <v>865</v>
      </c>
      <c r="L483" s="3">
        <v>21.62</v>
      </c>
      <c r="M483" s="3">
        <v>22.7</v>
      </c>
      <c r="N483" s="3">
        <v>46.99</v>
      </c>
      <c r="O483" s="2" t="s">
        <v>196</v>
      </c>
      <c r="P483" s="2" t="s">
        <v>197</v>
      </c>
      <c r="Q483" s="2" t="s">
        <v>198</v>
      </c>
      <c r="R483" s="2" t="s">
        <v>199</v>
      </c>
      <c r="S483" s="2" t="s">
        <v>2813</v>
      </c>
      <c r="T483" s="2" t="s">
        <v>1978</v>
      </c>
      <c r="U483" s="2" t="s">
        <v>637</v>
      </c>
      <c r="V483" s="2" t="s">
        <v>202</v>
      </c>
      <c r="W483" s="2" t="s">
        <v>203</v>
      </c>
      <c r="X483" s="2" t="s">
        <v>510</v>
      </c>
      <c r="Y483" s="2" t="s">
        <v>204</v>
      </c>
      <c r="Z483" s="4">
        <v>198</v>
      </c>
      <c r="AA483" s="4">
        <f>=ROUNDDOWN(15.2307692307692,0)</f>
      </c>
      <c r="AB483" s="5">
        <v>13</v>
      </c>
      <c r="AC483" s="2" t="s">
        <v>199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199</v>
      </c>
      <c r="AW483" s="8" t="s">
        <v>199</v>
      </c>
      <c r="AX483" s="4" t="s">
        <v>199</v>
      </c>
      <c r="AY483" s="8" t="s">
        <v>199</v>
      </c>
      <c r="AZ483" s="7" t="s">
        <v>199</v>
      </c>
      <c r="BA483" s="7" t="s">
        <v>199</v>
      </c>
      <c r="BB483" s="7"/>
      <c r="BC483" s="4" t="s">
        <v>199</v>
      </c>
      <c r="BD483" s="8" t="s">
        <v>199</v>
      </c>
      <c r="BE483" s="4" t="s">
        <v>199</v>
      </c>
      <c r="BF483" s="8" t="s">
        <v>199</v>
      </c>
      <c r="BG483" s="7" t="s">
        <v>199</v>
      </c>
      <c r="BH483" s="7" t="s">
        <v>199</v>
      </c>
      <c r="BI483" s="7"/>
      <c r="BJ483" s="4">
        <v>37</v>
      </c>
      <c r="BK483" s="8">
        <v>897.38</v>
      </c>
      <c r="BL483" s="2" t="s">
        <v>2814</v>
      </c>
      <c r="BM483" s="7"/>
      <c r="BN483" s="7"/>
      <c r="BO483" s="4"/>
      <c r="BP483" s="8"/>
      <c r="BQ483" s="4"/>
      <c r="BR483" s="8"/>
      <c r="BS483" s="7"/>
      <c r="BT483" s="7"/>
      <c r="BU483" s="2" t="s">
        <v>2753</v>
      </c>
      <c r="BV483" s="2" t="s">
        <v>199</v>
      </c>
      <c r="BW483" s="2" t="s">
        <v>199</v>
      </c>
      <c r="BX483" s="2" t="s">
        <v>208</v>
      </c>
      <c r="BY483" s="2" t="s">
        <v>209</v>
      </c>
      <c r="BZ483" s="2" t="s">
        <v>196</v>
      </c>
      <c r="CA483" s="2" t="s">
        <v>210</v>
      </c>
      <c r="CB483" s="2" t="s">
        <v>2815</v>
      </c>
      <c r="CC483" s="2" t="s">
        <v>212</v>
      </c>
      <c r="CD483" s="2" t="s">
        <v>199</v>
      </c>
      <c r="CE483" s="4">
        <v>68</v>
      </c>
      <c r="CF483" s="4">
        <v>130</v>
      </c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>
        <v>199</v>
      </c>
      <c r="EU483" s="4">
        <v>196</v>
      </c>
      <c r="EV483" s="4">
        <v>193</v>
      </c>
      <c r="EW483" s="4">
        <v>190</v>
      </c>
      <c r="EX483" s="4">
        <v>186</v>
      </c>
      <c r="EY483" s="4">
        <v>184</v>
      </c>
      <c r="EZ483" s="4">
        <v>182</v>
      </c>
      <c r="FA483" s="4">
        <v>180</v>
      </c>
      <c r="FB483" s="4">
        <v>178</v>
      </c>
      <c r="FC483" s="4">
        <v>176</v>
      </c>
      <c r="FD483" s="4">
        <v>175</v>
      </c>
      <c r="FE483" s="4">
        <v>174</v>
      </c>
      <c r="FF483" s="4">
        <v>173</v>
      </c>
      <c r="FG483" s="4">
        <v>172</v>
      </c>
      <c r="FH483" s="4">
        <v>169</v>
      </c>
      <c r="FI483" s="4">
        <v>166</v>
      </c>
      <c r="FJ483" s="4">
        <v>163</v>
      </c>
      <c r="FK483" s="4">
        <v>160</v>
      </c>
      <c r="FL483" s="4">
        <v>157</v>
      </c>
      <c r="FM483" s="4">
        <v>154</v>
      </c>
      <c r="FN483" s="4">
        <v>151</v>
      </c>
      <c r="FO483" s="4">
        <v>148</v>
      </c>
      <c r="FP483" s="4">
        <v>145</v>
      </c>
      <c r="FQ483" s="4">
        <v>204</v>
      </c>
      <c r="FR483" s="4">
        <v>201</v>
      </c>
      <c r="FS483" s="4">
        <v>198</v>
      </c>
      <c r="FT483" s="19">
        <v>66.3</v>
      </c>
      <c r="FU483" s="19">
        <v>65.3</v>
      </c>
      <c r="FV483" s="19">
        <v>64.3</v>
      </c>
      <c r="FW483" s="19">
        <v>95</v>
      </c>
      <c r="FX483" s="19">
        <v>93</v>
      </c>
      <c r="FY483" s="19">
        <v>92</v>
      </c>
      <c r="FZ483" s="19">
        <v>91</v>
      </c>
      <c r="GA483" s="19">
        <v>90</v>
      </c>
      <c r="GB483" s="19">
        <v>178</v>
      </c>
      <c r="GC483" s="19">
        <v>176</v>
      </c>
      <c r="GD483" s="19">
        <v>87.5</v>
      </c>
      <c r="GE483" s="19">
        <v>87</v>
      </c>
      <c r="GF483" s="19">
        <v>86.5</v>
      </c>
      <c r="GG483" s="19">
        <v>57.3</v>
      </c>
      <c r="GH483" s="19">
        <v>56.3</v>
      </c>
      <c r="GI483" s="19">
        <v>55.3</v>
      </c>
      <c r="GJ483" s="19">
        <v>54.3</v>
      </c>
      <c r="GK483" s="19">
        <v>53.3</v>
      </c>
      <c r="GL483" s="19">
        <v>52.3</v>
      </c>
      <c r="GM483" s="19">
        <v>51.3</v>
      </c>
      <c r="GN483" s="19">
        <v>50.3</v>
      </c>
      <c r="GO483" s="19">
        <v>49.3</v>
      </c>
      <c r="GP483" s="19">
        <v>48.3</v>
      </c>
      <c r="GQ483" s="19">
        <v>68</v>
      </c>
      <c r="GR483" s="19">
        <v>67</v>
      </c>
      <c r="GS483" s="19">
        <v>66</v>
      </c>
    </row>
    <row r="484">
      <c r="A484" s="2" t="s">
        <v>2816</v>
      </c>
      <c r="B484" s="2" t="s">
        <v>245</v>
      </c>
      <c r="C484" s="2" t="s">
        <v>1625</v>
      </c>
      <c r="D484" s="2" t="s">
        <v>247</v>
      </c>
      <c r="E484" s="2" t="s">
        <v>248</v>
      </c>
      <c r="F484" s="2" t="s">
        <v>2749</v>
      </c>
      <c r="G484" s="2" t="s">
        <v>2749</v>
      </c>
      <c r="H484" s="2" t="s">
        <v>2749</v>
      </c>
      <c r="I484" s="2" t="s">
        <v>297</v>
      </c>
      <c r="J484" s="2" t="s">
        <v>214</v>
      </c>
      <c r="K484" s="2" t="s">
        <v>865</v>
      </c>
      <c r="L484" s="3">
        <v>23.04</v>
      </c>
      <c r="M484" s="3">
        <v>24.19</v>
      </c>
      <c r="N484" s="3">
        <v>47.99</v>
      </c>
      <c r="O484" s="2" t="s">
        <v>196</v>
      </c>
      <c r="P484" s="2" t="s">
        <v>197</v>
      </c>
      <c r="Q484" s="2" t="s">
        <v>198</v>
      </c>
      <c r="R484" s="2" t="s">
        <v>199</v>
      </c>
      <c r="S484" s="2" t="s">
        <v>2813</v>
      </c>
      <c r="T484" s="2" t="s">
        <v>1978</v>
      </c>
      <c r="U484" s="2" t="s">
        <v>637</v>
      </c>
      <c r="V484" s="2" t="s">
        <v>202</v>
      </c>
      <c r="W484" s="2" t="s">
        <v>203</v>
      </c>
      <c r="X484" s="2" t="s">
        <v>510</v>
      </c>
      <c r="Y484" s="2" t="s">
        <v>204</v>
      </c>
      <c r="Z484" s="4">
        <v>80</v>
      </c>
      <c r="AA484" s="4">
        <f>=ROUNDDOWN(20,0)</f>
      </c>
      <c r="AB484" s="5">
        <v>4</v>
      </c>
      <c r="AC484" s="2" t="s">
        <v>199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199</v>
      </c>
      <c r="AW484" s="8" t="s">
        <v>199</v>
      </c>
      <c r="AX484" s="4" t="s">
        <v>199</v>
      </c>
      <c r="AY484" s="8" t="s">
        <v>199</v>
      </c>
      <c r="AZ484" s="7" t="s">
        <v>199</v>
      </c>
      <c r="BA484" s="7" t="s">
        <v>199</v>
      </c>
      <c r="BB484" s="7"/>
      <c r="BC484" s="4" t="s">
        <v>199</v>
      </c>
      <c r="BD484" s="8" t="s">
        <v>199</v>
      </c>
      <c r="BE484" s="4" t="s">
        <v>199</v>
      </c>
      <c r="BF484" s="8" t="s">
        <v>199</v>
      </c>
      <c r="BG484" s="7" t="s">
        <v>199</v>
      </c>
      <c r="BH484" s="7" t="s">
        <v>199</v>
      </c>
      <c r="BI484" s="7"/>
      <c r="BJ484" s="4">
        <v>34</v>
      </c>
      <c r="BK484" s="8">
        <v>860.13</v>
      </c>
      <c r="BL484" s="2" t="s">
        <v>2817</v>
      </c>
      <c r="BM484" s="7"/>
      <c r="BN484" s="7"/>
      <c r="BO484" s="4"/>
      <c r="BP484" s="8"/>
      <c r="BQ484" s="4"/>
      <c r="BR484" s="8"/>
      <c r="BS484" s="7"/>
      <c r="BT484" s="7"/>
      <c r="BU484" s="2" t="s">
        <v>2753</v>
      </c>
      <c r="BV484" s="2" t="s">
        <v>199</v>
      </c>
      <c r="BW484" s="2" t="s">
        <v>199</v>
      </c>
      <c r="BX484" s="2" t="s">
        <v>208</v>
      </c>
      <c r="BY484" s="2" t="s">
        <v>209</v>
      </c>
      <c r="BZ484" s="2" t="s">
        <v>196</v>
      </c>
      <c r="CA484" s="2" t="s">
        <v>2776</v>
      </c>
      <c r="CB484" s="2" t="s">
        <v>2818</v>
      </c>
      <c r="CC484" s="2" t="s">
        <v>212</v>
      </c>
      <c r="CD484" s="2" t="s">
        <v>199</v>
      </c>
      <c r="CE484" s="4">
        <v>39</v>
      </c>
      <c r="CF484" s="4">
        <v>41</v>
      </c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>
        <v>81</v>
      </c>
      <c r="EU484" s="4">
        <v>77</v>
      </c>
      <c r="EV484" s="4">
        <v>75</v>
      </c>
      <c r="EW484" s="4">
        <v>73</v>
      </c>
      <c r="EX484" s="4">
        <v>70</v>
      </c>
      <c r="EY484" s="4">
        <v>69</v>
      </c>
      <c r="EZ484" s="4">
        <v>67</v>
      </c>
      <c r="FA484" s="4">
        <v>66</v>
      </c>
      <c r="FB484" s="4">
        <v>65</v>
      </c>
      <c r="FC484" s="4">
        <v>64</v>
      </c>
      <c r="FD484" s="4">
        <v>63</v>
      </c>
      <c r="FE484" s="4">
        <v>62</v>
      </c>
      <c r="FF484" s="4">
        <v>61</v>
      </c>
      <c r="FG484" s="4">
        <v>60</v>
      </c>
      <c r="FH484" s="4">
        <v>59</v>
      </c>
      <c r="FI484" s="4">
        <v>58</v>
      </c>
      <c r="FJ484" s="4">
        <v>57</v>
      </c>
      <c r="FK484" s="4">
        <v>56</v>
      </c>
      <c r="FL484" s="4">
        <v>55</v>
      </c>
      <c r="FM484" s="4">
        <v>54</v>
      </c>
      <c r="FN484" s="4">
        <v>53</v>
      </c>
      <c r="FO484" s="4">
        <v>52</v>
      </c>
      <c r="FP484" s="4">
        <v>51</v>
      </c>
      <c r="FQ484" s="4">
        <v>59</v>
      </c>
      <c r="FR484" s="4">
        <v>58</v>
      </c>
      <c r="FS484" s="4">
        <v>56</v>
      </c>
      <c r="FT484" s="19">
        <v>27</v>
      </c>
      <c r="FU484" s="19">
        <v>38.5</v>
      </c>
      <c r="FV484" s="19">
        <v>37.5</v>
      </c>
      <c r="FW484" s="19">
        <v>36.5</v>
      </c>
      <c r="FX484" s="19">
        <v>70</v>
      </c>
      <c r="FY484" s="19">
        <v>69</v>
      </c>
      <c r="FZ484" s="19">
        <v>67</v>
      </c>
      <c r="GA484" s="19">
        <v>66</v>
      </c>
      <c r="GB484" s="19">
        <v>65</v>
      </c>
      <c r="GC484" s="19">
        <v>64</v>
      </c>
      <c r="GD484" s="19">
        <v>63</v>
      </c>
      <c r="GE484" s="19">
        <v>62</v>
      </c>
      <c r="GF484" s="19">
        <v>61</v>
      </c>
      <c r="GG484" s="19">
        <v>60</v>
      </c>
      <c r="GH484" s="19">
        <v>59</v>
      </c>
      <c r="GI484" s="19">
        <v>58</v>
      </c>
      <c r="GJ484" s="19">
        <v>57</v>
      </c>
      <c r="GK484" s="19">
        <v>56</v>
      </c>
      <c r="GL484" s="19">
        <v>55</v>
      </c>
      <c r="GM484" s="19">
        <v>54</v>
      </c>
      <c r="GN484" s="19">
        <v>53</v>
      </c>
      <c r="GO484" s="19">
        <v>52</v>
      </c>
      <c r="GP484" s="19">
        <v>25.5</v>
      </c>
      <c r="GQ484" s="19">
        <v>29.5</v>
      </c>
      <c r="GR484" s="19">
        <v>29</v>
      </c>
      <c r="GS484" s="19">
        <v>28</v>
      </c>
    </row>
    <row r="485">
      <c r="A485" s="2" t="s">
        <v>2819</v>
      </c>
      <c r="B485" s="2" t="s">
        <v>245</v>
      </c>
      <c r="C485" s="2" t="s">
        <v>1625</v>
      </c>
      <c r="D485" s="2" t="s">
        <v>247</v>
      </c>
      <c r="E485" s="2" t="s">
        <v>248</v>
      </c>
      <c r="F485" s="2" t="s">
        <v>2749</v>
      </c>
      <c r="G485" s="2" t="s">
        <v>2749</v>
      </c>
      <c r="H485" s="2" t="s">
        <v>2749</v>
      </c>
      <c r="I485" s="2" t="s">
        <v>297</v>
      </c>
      <c r="J485" s="2" t="s">
        <v>285</v>
      </c>
      <c r="K485" s="2" t="s">
        <v>865</v>
      </c>
      <c r="L485" s="3">
        <v>25.3</v>
      </c>
      <c r="M485" s="3">
        <v>26.56</v>
      </c>
      <c r="N485" s="3">
        <v>54.99</v>
      </c>
      <c r="O485" s="2" t="s">
        <v>196</v>
      </c>
      <c r="P485" s="2" t="s">
        <v>197</v>
      </c>
      <c r="Q485" s="2" t="s">
        <v>198</v>
      </c>
      <c r="R485" s="2" t="s">
        <v>199</v>
      </c>
      <c r="S485" s="2" t="s">
        <v>2813</v>
      </c>
      <c r="T485" s="2" t="s">
        <v>1978</v>
      </c>
      <c r="U485" s="2" t="s">
        <v>254</v>
      </c>
      <c r="V485" s="2" t="s">
        <v>202</v>
      </c>
      <c r="W485" s="2" t="s">
        <v>203</v>
      </c>
      <c r="X485" s="2" t="s">
        <v>510</v>
      </c>
      <c r="Y485" s="2" t="s">
        <v>204</v>
      </c>
      <c r="Z485" s="4">
        <v>61</v>
      </c>
      <c r="AA485" s="4">
        <f>=ROUNDDOWN(10.1666666666667,0)</f>
      </c>
      <c r="AB485" s="5">
        <v>6</v>
      </c>
      <c r="AC485" s="2" t="s">
        <v>199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199</v>
      </c>
      <c r="AW485" s="8" t="s">
        <v>199</v>
      </c>
      <c r="AX485" s="4" t="s">
        <v>199</v>
      </c>
      <c r="AY485" s="8" t="s">
        <v>199</v>
      </c>
      <c r="AZ485" s="7" t="s">
        <v>199</v>
      </c>
      <c r="BA485" s="7" t="s">
        <v>199</v>
      </c>
      <c r="BB485" s="7"/>
      <c r="BC485" s="4" t="s">
        <v>199</v>
      </c>
      <c r="BD485" s="8" t="s">
        <v>199</v>
      </c>
      <c r="BE485" s="4" t="s">
        <v>199</v>
      </c>
      <c r="BF485" s="8" t="s">
        <v>199</v>
      </c>
      <c r="BG485" s="7" t="s">
        <v>199</v>
      </c>
      <c r="BH485" s="7" t="s">
        <v>199</v>
      </c>
      <c r="BI485" s="7"/>
      <c r="BJ485" s="4">
        <v>74</v>
      </c>
      <c r="BK485" s="8">
        <v>2073.29</v>
      </c>
      <c r="BL485" s="2" t="s">
        <v>2820</v>
      </c>
      <c r="BM485" s="7"/>
      <c r="BN485" s="7"/>
      <c r="BO485" s="4"/>
      <c r="BP485" s="8"/>
      <c r="BQ485" s="4"/>
      <c r="BR485" s="8"/>
      <c r="BS485" s="7"/>
      <c r="BT485" s="7"/>
      <c r="BU485" s="2" t="s">
        <v>2753</v>
      </c>
      <c r="BV485" s="2" t="s">
        <v>199</v>
      </c>
      <c r="BW485" s="2" t="s">
        <v>199</v>
      </c>
      <c r="BX485" s="2" t="s">
        <v>208</v>
      </c>
      <c r="BY485" s="2" t="s">
        <v>209</v>
      </c>
      <c r="BZ485" s="2" t="s">
        <v>196</v>
      </c>
      <c r="CA485" s="2" t="s">
        <v>210</v>
      </c>
      <c r="CB485" s="2" t="s">
        <v>2821</v>
      </c>
      <c r="CC485" s="2" t="s">
        <v>212</v>
      </c>
      <c r="CD485" s="2" t="s">
        <v>199</v>
      </c>
      <c r="CE485" s="4"/>
      <c r="CF485" s="4">
        <v>61</v>
      </c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>
        <v>61</v>
      </c>
      <c r="EU485" s="4">
        <v>58</v>
      </c>
      <c r="EV485" s="4">
        <v>55</v>
      </c>
      <c r="EW485" s="4">
        <v>52</v>
      </c>
      <c r="EX485" s="4">
        <v>48</v>
      </c>
      <c r="EY485" s="4">
        <v>46</v>
      </c>
      <c r="EZ485" s="4">
        <v>44</v>
      </c>
      <c r="FA485" s="4">
        <v>42</v>
      </c>
      <c r="FB485" s="4">
        <v>40</v>
      </c>
      <c r="FC485" s="4">
        <v>38</v>
      </c>
      <c r="FD485" s="4">
        <v>36</v>
      </c>
      <c r="FE485" s="4">
        <v>34</v>
      </c>
      <c r="FF485" s="4">
        <v>32</v>
      </c>
      <c r="FG485" s="4">
        <v>30</v>
      </c>
      <c r="FH485" s="4">
        <v>29</v>
      </c>
      <c r="FI485" s="4">
        <v>28</v>
      </c>
      <c r="FJ485" s="4">
        <v>27</v>
      </c>
      <c r="FK485" s="4">
        <v>26</v>
      </c>
      <c r="FL485" s="4">
        <v>25</v>
      </c>
      <c r="FM485" s="4">
        <v>24</v>
      </c>
      <c r="FN485" s="4">
        <v>23</v>
      </c>
      <c r="FO485" s="4">
        <v>22</v>
      </c>
      <c r="FP485" s="4">
        <v>21</v>
      </c>
      <c r="FQ485" s="4">
        <v>78</v>
      </c>
      <c r="FR485" s="4">
        <v>77</v>
      </c>
      <c r="FS485" s="4">
        <v>76</v>
      </c>
      <c r="FT485" s="19">
        <v>20.3</v>
      </c>
      <c r="FU485" s="19">
        <v>19.3</v>
      </c>
      <c r="FV485" s="19">
        <v>18.3</v>
      </c>
      <c r="FW485" s="19">
        <v>26</v>
      </c>
      <c r="FX485" s="19">
        <v>24</v>
      </c>
      <c r="FY485" s="19">
        <v>23</v>
      </c>
      <c r="FZ485" s="19">
        <v>22</v>
      </c>
      <c r="GA485" s="19">
        <v>21</v>
      </c>
      <c r="GB485" s="19">
        <v>20</v>
      </c>
      <c r="GC485" s="19">
        <v>19</v>
      </c>
      <c r="GD485" s="19">
        <v>18</v>
      </c>
      <c r="GE485" s="19">
        <v>17</v>
      </c>
      <c r="GF485" s="19">
        <v>32</v>
      </c>
      <c r="GG485" s="19">
        <v>30</v>
      </c>
      <c r="GH485" s="19">
        <v>29</v>
      </c>
      <c r="GI485" s="19">
        <v>28</v>
      </c>
      <c r="GJ485" s="19">
        <v>27</v>
      </c>
      <c r="GK485" s="19">
        <v>26</v>
      </c>
      <c r="GL485" s="19">
        <v>25</v>
      </c>
      <c r="GM485" s="19">
        <v>24</v>
      </c>
      <c r="GN485" s="19">
        <v>23</v>
      </c>
      <c r="GO485" s="19">
        <v>22</v>
      </c>
      <c r="GP485" s="19">
        <v>21</v>
      </c>
      <c r="GQ485" s="19">
        <v>78</v>
      </c>
      <c r="GR485" s="19">
        <v>77</v>
      </c>
      <c r="GS485" s="19">
        <v>76</v>
      </c>
    </row>
    <row r="486">
      <c r="A486" s="2" t="s">
        <v>2822</v>
      </c>
      <c r="B486" s="2" t="s">
        <v>245</v>
      </c>
      <c r="C486" s="2" t="s">
        <v>1625</v>
      </c>
      <c r="D486" s="2" t="s">
        <v>247</v>
      </c>
      <c r="E486" s="2" t="s">
        <v>248</v>
      </c>
      <c r="F486" s="2" t="s">
        <v>2749</v>
      </c>
      <c r="G486" s="2" t="s">
        <v>2749</v>
      </c>
      <c r="H486" s="2" t="s">
        <v>2749</v>
      </c>
      <c r="I486" s="2" t="s">
        <v>297</v>
      </c>
      <c r="J486" s="2" t="s">
        <v>223</v>
      </c>
      <c r="K486" s="2" t="s">
        <v>865</v>
      </c>
      <c r="L486" s="3">
        <v>31.2</v>
      </c>
      <c r="M486" s="3">
        <v>32.76</v>
      </c>
      <c r="N486" s="3">
        <v>64.99</v>
      </c>
      <c r="O486" s="2" t="s">
        <v>196</v>
      </c>
      <c r="P486" s="2" t="s">
        <v>197</v>
      </c>
      <c r="Q486" s="2" t="s">
        <v>198</v>
      </c>
      <c r="R486" s="2" t="s">
        <v>199</v>
      </c>
      <c r="S486" s="2" t="s">
        <v>2813</v>
      </c>
      <c r="T486" s="2" t="s">
        <v>1978</v>
      </c>
      <c r="U486" s="2" t="s">
        <v>254</v>
      </c>
      <c r="V486" s="2" t="s">
        <v>202</v>
      </c>
      <c r="W486" s="2" t="s">
        <v>203</v>
      </c>
      <c r="X486" s="2" t="s">
        <v>510</v>
      </c>
      <c r="Y486" s="2" t="s">
        <v>204</v>
      </c>
      <c r="Z486" s="4">
        <v>203</v>
      </c>
      <c r="AA486" s="4">
        <f>=ROUNDDOWN(15.6153846153846,0)</f>
      </c>
      <c r="AB486" s="5">
        <v>13</v>
      </c>
      <c r="AC486" s="2" t="s">
        <v>199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199</v>
      </c>
      <c r="AW486" s="8" t="s">
        <v>199</v>
      </c>
      <c r="AX486" s="4" t="s">
        <v>199</v>
      </c>
      <c r="AY486" s="8" t="s">
        <v>199</v>
      </c>
      <c r="AZ486" s="7" t="s">
        <v>199</v>
      </c>
      <c r="BA486" s="7" t="s">
        <v>199</v>
      </c>
      <c r="BB486" s="7"/>
      <c r="BC486" s="4" t="s">
        <v>199</v>
      </c>
      <c r="BD486" s="8" t="s">
        <v>199</v>
      </c>
      <c r="BE486" s="4" t="s">
        <v>199</v>
      </c>
      <c r="BF486" s="8" t="s">
        <v>199</v>
      </c>
      <c r="BG486" s="7" t="s">
        <v>199</v>
      </c>
      <c r="BH486" s="7" t="s">
        <v>199</v>
      </c>
      <c r="BI486" s="7"/>
      <c r="BJ486" s="4">
        <v>88</v>
      </c>
      <c r="BK486" s="8">
        <v>3070.78</v>
      </c>
      <c r="BL486" s="2" t="s">
        <v>1827</v>
      </c>
      <c r="BM486" s="7"/>
      <c r="BN486" s="7"/>
      <c r="BO486" s="4"/>
      <c r="BP486" s="8"/>
      <c r="BQ486" s="4"/>
      <c r="BR486" s="8"/>
      <c r="BS486" s="7"/>
      <c r="BT486" s="7"/>
      <c r="BU486" s="2" t="s">
        <v>2753</v>
      </c>
      <c r="BV486" s="2" t="s">
        <v>199</v>
      </c>
      <c r="BW486" s="2" t="s">
        <v>199</v>
      </c>
      <c r="BX486" s="2" t="s">
        <v>208</v>
      </c>
      <c r="BY486" s="2" t="s">
        <v>209</v>
      </c>
      <c r="BZ486" s="2" t="s">
        <v>196</v>
      </c>
      <c r="CA486" s="2" t="s">
        <v>210</v>
      </c>
      <c r="CB486" s="2" t="s">
        <v>2823</v>
      </c>
      <c r="CC486" s="2" t="s">
        <v>212</v>
      </c>
      <c r="CD486" s="2" t="s">
        <v>199</v>
      </c>
      <c r="CE486" s="4">
        <v>51</v>
      </c>
      <c r="CF486" s="4">
        <v>152</v>
      </c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>
        <v>205</v>
      </c>
      <c r="EU486" s="4">
        <v>192</v>
      </c>
      <c r="EV486" s="4">
        <v>182</v>
      </c>
      <c r="EW486" s="4">
        <v>171</v>
      </c>
      <c r="EX486" s="4">
        <v>161</v>
      </c>
      <c r="EY486" s="4">
        <v>154</v>
      </c>
      <c r="EZ486" s="4">
        <v>148</v>
      </c>
      <c r="FA486" s="4">
        <v>143</v>
      </c>
      <c r="FB486" s="4">
        <v>138</v>
      </c>
      <c r="FC486" s="4">
        <v>133</v>
      </c>
      <c r="FD486" s="4">
        <v>128</v>
      </c>
      <c r="FE486" s="4">
        <v>123</v>
      </c>
      <c r="FF486" s="4">
        <v>118</v>
      </c>
      <c r="FG486" s="4">
        <v>113</v>
      </c>
      <c r="FH486" s="4">
        <v>110</v>
      </c>
      <c r="FI486" s="4">
        <v>107</v>
      </c>
      <c r="FJ486" s="4">
        <v>104</v>
      </c>
      <c r="FK486" s="4">
        <v>101</v>
      </c>
      <c r="FL486" s="4">
        <v>98</v>
      </c>
      <c r="FM486" s="4">
        <v>95</v>
      </c>
      <c r="FN486" s="4">
        <v>92</v>
      </c>
      <c r="FO486" s="4">
        <v>89</v>
      </c>
      <c r="FP486" s="4">
        <v>86</v>
      </c>
      <c r="FQ486" s="4">
        <v>177</v>
      </c>
      <c r="FR486" s="4">
        <v>174</v>
      </c>
      <c r="FS486" s="4">
        <v>170</v>
      </c>
      <c r="FT486" s="19">
        <v>18.6</v>
      </c>
      <c r="FU486" s="19">
        <v>19.2</v>
      </c>
      <c r="FV486" s="19">
        <v>22.8</v>
      </c>
      <c r="FW486" s="19">
        <v>24.4</v>
      </c>
      <c r="FX486" s="19">
        <v>26.8</v>
      </c>
      <c r="FY486" s="19">
        <v>30.8</v>
      </c>
      <c r="FZ486" s="19">
        <v>29.6</v>
      </c>
      <c r="GA486" s="19">
        <v>28.6</v>
      </c>
      <c r="GB486" s="19">
        <v>27.6</v>
      </c>
      <c r="GC486" s="19">
        <v>26.6</v>
      </c>
      <c r="GD486" s="19">
        <v>32</v>
      </c>
      <c r="GE486" s="19">
        <v>30.8</v>
      </c>
      <c r="GF486" s="19">
        <v>29.5</v>
      </c>
      <c r="GG486" s="19">
        <v>37.7</v>
      </c>
      <c r="GH486" s="19">
        <v>36.7</v>
      </c>
      <c r="GI486" s="19">
        <v>35.7</v>
      </c>
      <c r="GJ486" s="19">
        <v>34.7</v>
      </c>
      <c r="GK486" s="19">
        <v>33.7</v>
      </c>
      <c r="GL486" s="19">
        <v>32.7</v>
      </c>
      <c r="GM486" s="19">
        <v>31.7</v>
      </c>
      <c r="GN486" s="19">
        <v>30.7</v>
      </c>
      <c r="GO486" s="19">
        <v>29.7</v>
      </c>
      <c r="GP486" s="19">
        <v>21.5</v>
      </c>
      <c r="GQ486" s="19">
        <v>44.3</v>
      </c>
      <c r="GR486" s="19">
        <v>43.5</v>
      </c>
      <c r="GS486" s="19">
        <v>42.5</v>
      </c>
    </row>
    <row r="487">
      <c r="A487" s="2" t="s">
        <v>2824</v>
      </c>
      <c r="B487" s="2" t="s">
        <v>245</v>
      </c>
      <c r="C487" s="2" t="s">
        <v>1625</v>
      </c>
      <c r="D487" s="2" t="s">
        <v>247</v>
      </c>
      <c r="E487" s="2" t="s">
        <v>248</v>
      </c>
      <c r="F487" s="2" t="s">
        <v>2749</v>
      </c>
      <c r="G487" s="2" t="s">
        <v>2749</v>
      </c>
      <c r="H487" s="2" t="s">
        <v>2749</v>
      </c>
      <c r="I487" s="2" t="s">
        <v>297</v>
      </c>
      <c r="J487" s="2" t="s">
        <v>251</v>
      </c>
      <c r="K487" s="2" t="s">
        <v>865</v>
      </c>
      <c r="L487" s="3">
        <v>31.85</v>
      </c>
      <c r="M487" s="3">
        <v>33.44</v>
      </c>
      <c r="N487" s="3">
        <v>64.99</v>
      </c>
      <c r="O487" s="2" t="s">
        <v>196</v>
      </c>
      <c r="P487" s="2" t="s">
        <v>197</v>
      </c>
      <c r="Q487" s="2" t="s">
        <v>198</v>
      </c>
      <c r="R487" s="2" t="s">
        <v>199</v>
      </c>
      <c r="S487" s="2" t="s">
        <v>2813</v>
      </c>
      <c r="T487" s="2" t="s">
        <v>1978</v>
      </c>
      <c r="U487" s="2" t="s">
        <v>254</v>
      </c>
      <c r="V487" s="2" t="s">
        <v>202</v>
      </c>
      <c r="W487" s="2" t="s">
        <v>203</v>
      </c>
      <c r="X487" s="2" t="s">
        <v>510</v>
      </c>
      <c r="Y487" s="2" t="s">
        <v>204</v>
      </c>
      <c r="Z487" s="4">
        <v>60</v>
      </c>
      <c r="AA487" s="4">
        <f>=ROUNDDOWN(15,0)</f>
      </c>
      <c r="AB487" s="5">
        <v>4</v>
      </c>
      <c r="AC487" s="2" t="s">
        <v>199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199</v>
      </c>
      <c r="AW487" s="8" t="s">
        <v>199</v>
      </c>
      <c r="AX487" s="4" t="s">
        <v>199</v>
      </c>
      <c r="AY487" s="8" t="s">
        <v>199</v>
      </c>
      <c r="AZ487" s="7" t="s">
        <v>199</v>
      </c>
      <c r="BA487" s="7" t="s">
        <v>199</v>
      </c>
      <c r="BB487" s="7"/>
      <c r="BC487" s="4" t="s">
        <v>199</v>
      </c>
      <c r="BD487" s="8" t="s">
        <v>199</v>
      </c>
      <c r="BE487" s="4" t="s">
        <v>199</v>
      </c>
      <c r="BF487" s="8" t="s">
        <v>199</v>
      </c>
      <c r="BG487" s="7" t="s">
        <v>199</v>
      </c>
      <c r="BH487" s="7" t="s">
        <v>199</v>
      </c>
      <c r="BI487" s="7"/>
      <c r="BJ487" s="4">
        <v>44</v>
      </c>
      <c r="BK487" s="8">
        <v>1524.76</v>
      </c>
      <c r="BL487" s="2" t="s">
        <v>1643</v>
      </c>
      <c r="BM487" s="7"/>
      <c r="BN487" s="7"/>
      <c r="BO487" s="4"/>
      <c r="BP487" s="8"/>
      <c r="BQ487" s="4"/>
      <c r="BR487" s="8"/>
      <c r="BS487" s="7"/>
      <c r="BT487" s="7"/>
      <c r="BU487" s="2" t="s">
        <v>2753</v>
      </c>
      <c r="BV487" s="2" t="s">
        <v>199</v>
      </c>
      <c r="BW487" s="2" t="s">
        <v>199</v>
      </c>
      <c r="BX487" s="2" t="s">
        <v>208</v>
      </c>
      <c r="BY487" s="2" t="s">
        <v>209</v>
      </c>
      <c r="BZ487" s="2" t="s">
        <v>196</v>
      </c>
      <c r="CA487" s="2" t="s">
        <v>2776</v>
      </c>
      <c r="CB487" s="2" t="s">
        <v>2825</v>
      </c>
      <c r="CC487" s="2" t="s">
        <v>212</v>
      </c>
      <c r="CD487" s="2" t="s">
        <v>199</v>
      </c>
      <c r="CE487" s="4"/>
      <c r="CF487" s="4">
        <v>60</v>
      </c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>
        <v>60</v>
      </c>
      <c r="EU487" s="4">
        <v>58</v>
      </c>
      <c r="EV487" s="4">
        <v>55</v>
      </c>
      <c r="EW487" s="4">
        <v>52</v>
      </c>
      <c r="EX487" s="4">
        <v>49</v>
      </c>
      <c r="EY487" s="4">
        <v>47</v>
      </c>
      <c r="EZ487" s="4">
        <v>45</v>
      </c>
      <c r="FA487" s="4">
        <v>43</v>
      </c>
      <c r="FB487" s="4">
        <v>41</v>
      </c>
      <c r="FC487" s="4">
        <v>39</v>
      </c>
      <c r="FD487" s="4">
        <v>38</v>
      </c>
      <c r="FE487" s="4">
        <v>37</v>
      </c>
      <c r="FF487" s="4">
        <v>36</v>
      </c>
      <c r="FG487" s="4">
        <v>35</v>
      </c>
      <c r="FH487" s="4">
        <v>34</v>
      </c>
      <c r="FI487" s="4">
        <v>33</v>
      </c>
      <c r="FJ487" s="4">
        <v>32</v>
      </c>
      <c r="FK487" s="4">
        <v>31</v>
      </c>
      <c r="FL487" s="4">
        <v>30</v>
      </c>
      <c r="FM487" s="4">
        <v>29</v>
      </c>
      <c r="FN487" s="4">
        <v>28</v>
      </c>
      <c r="FO487" s="4">
        <v>27</v>
      </c>
      <c r="FP487" s="4">
        <v>26</v>
      </c>
      <c r="FQ487" s="4">
        <v>33</v>
      </c>
      <c r="FR487" s="4">
        <v>32</v>
      </c>
      <c r="FS487" s="4">
        <v>31</v>
      </c>
      <c r="FT487" s="19">
        <v>20</v>
      </c>
      <c r="FU487" s="19">
        <v>19.3</v>
      </c>
      <c r="FV487" s="19">
        <v>27.5</v>
      </c>
      <c r="FW487" s="19">
        <v>26</v>
      </c>
      <c r="FX487" s="19">
        <v>24.5</v>
      </c>
      <c r="FY487" s="19">
        <v>23.5</v>
      </c>
      <c r="FZ487" s="19">
        <v>22.5</v>
      </c>
      <c r="GA487" s="19">
        <v>21.5</v>
      </c>
      <c r="GB487" s="19">
        <v>41</v>
      </c>
      <c r="GC487" s="19">
        <v>39</v>
      </c>
      <c r="GD487" s="19">
        <v>38</v>
      </c>
      <c r="GE487" s="19">
        <v>37</v>
      </c>
      <c r="GF487" s="19">
        <v>36</v>
      </c>
      <c r="GG487" s="19">
        <v>35</v>
      </c>
      <c r="GH487" s="19">
        <v>34</v>
      </c>
      <c r="GI487" s="19">
        <v>33</v>
      </c>
      <c r="GJ487" s="19">
        <v>32</v>
      </c>
      <c r="GK487" s="19">
        <v>31</v>
      </c>
      <c r="GL487" s="19">
        <v>30</v>
      </c>
      <c r="GM487" s="19">
        <v>29</v>
      </c>
      <c r="GN487" s="19">
        <v>28</v>
      </c>
      <c r="GO487" s="19">
        <v>27</v>
      </c>
      <c r="GP487" s="19">
        <v>26</v>
      </c>
      <c r="GQ487" s="19">
        <v>33</v>
      </c>
      <c r="GR487" s="19">
        <v>32</v>
      </c>
      <c r="GS487" s="19">
        <v>31</v>
      </c>
    </row>
    <row r="488">
      <c r="A488" s="2" t="s">
        <v>2826</v>
      </c>
      <c r="B488" s="2" t="s">
        <v>245</v>
      </c>
      <c r="C488" s="2" t="s">
        <v>1007</v>
      </c>
      <c r="D488" s="2" t="s">
        <v>247</v>
      </c>
      <c r="E488" s="2" t="s">
        <v>248</v>
      </c>
      <c r="F488" s="2" t="s">
        <v>386</v>
      </c>
      <c r="G488" s="2" t="s">
        <v>386</v>
      </c>
      <c r="H488" s="2" t="s">
        <v>386</v>
      </c>
      <c r="I488" s="2" t="s">
        <v>2827</v>
      </c>
      <c r="J488" s="2" t="s">
        <v>194</v>
      </c>
      <c r="K488" s="2" t="s">
        <v>195</v>
      </c>
      <c r="L488" s="3">
        <v>11.18</v>
      </c>
      <c r="M488" s="3">
        <v>11.74</v>
      </c>
      <c r="N488" s="3">
        <v>27.99</v>
      </c>
      <c r="O488" s="2" t="s">
        <v>196</v>
      </c>
      <c r="P488" s="2" t="s">
        <v>197</v>
      </c>
      <c r="Q488" s="2" t="s">
        <v>198</v>
      </c>
      <c r="R488" s="2" t="s">
        <v>199</v>
      </c>
      <c r="S488" s="2" t="s">
        <v>2828</v>
      </c>
      <c r="T488" s="2" t="s">
        <v>386</v>
      </c>
      <c r="U488" s="2" t="s">
        <v>637</v>
      </c>
      <c r="V488" s="2" t="s">
        <v>202</v>
      </c>
      <c r="W488" s="2" t="s">
        <v>203</v>
      </c>
      <c r="X488" s="2" t="s">
        <v>199</v>
      </c>
      <c r="Y488" s="2" t="s">
        <v>1236</v>
      </c>
      <c r="Z488" s="4"/>
      <c r="AA488" s="4">
        <f>=ROUNDDOWN({0},0)</f>
      </c>
      <c r="AB488" s="5">
        <v>3</v>
      </c>
      <c r="AC488" s="2" t="s">
        <v>398</v>
      </c>
      <c r="AD488" s="4">
        <v>130</v>
      </c>
      <c r="AE488" s="4">
        <v>130</v>
      </c>
      <c r="AF488" s="6">
        <v>65</v>
      </c>
      <c r="AG488" s="6"/>
      <c r="AH488" s="7">
        <v>0.1935</v>
      </c>
      <c r="AI488" s="4"/>
      <c r="AJ488" s="4">
        <f>=ROUNDDOWN({0},0)</f>
      </c>
      <c r="AK488" s="5"/>
      <c r="AL488" s="2" t="s">
        <v>199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199</v>
      </c>
      <c r="AW488" s="8" t="s">
        <v>199</v>
      </c>
      <c r="AX488" s="4" t="s">
        <v>199</v>
      </c>
      <c r="AY488" s="8" t="s">
        <v>199</v>
      </c>
      <c r="AZ488" s="7" t="s">
        <v>199</v>
      </c>
      <c r="BA488" s="7" t="s">
        <v>199</v>
      </c>
      <c r="BB488" s="7"/>
      <c r="BC488" s="4" t="s">
        <v>199</v>
      </c>
      <c r="BD488" s="8" t="s">
        <v>199</v>
      </c>
      <c r="BE488" s="4" t="s">
        <v>199</v>
      </c>
      <c r="BF488" s="8" t="s">
        <v>199</v>
      </c>
      <c r="BG488" s="7" t="s">
        <v>199</v>
      </c>
      <c r="BH488" s="7" t="s">
        <v>199</v>
      </c>
      <c r="BI488" s="7"/>
      <c r="BJ488" s="4">
        <v>58</v>
      </c>
      <c r="BK488" s="8">
        <v>643.06</v>
      </c>
      <c r="BL488" s="2" t="s">
        <v>2752</v>
      </c>
      <c r="BM488" s="7"/>
      <c r="BN488" s="7"/>
      <c r="BO488" s="4"/>
      <c r="BP488" s="8"/>
      <c r="BQ488" s="4"/>
      <c r="BR488" s="8"/>
      <c r="BS488" s="7"/>
      <c r="BT488" s="7"/>
      <c r="BU488" s="2" t="s">
        <v>2829</v>
      </c>
      <c r="BV488" s="2" t="s">
        <v>199</v>
      </c>
      <c r="BW488" s="2" t="s">
        <v>199</v>
      </c>
      <c r="BX488" s="2" t="s">
        <v>208</v>
      </c>
      <c r="BY488" s="2" t="s">
        <v>209</v>
      </c>
      <c r="BZ488" s="2" t="s">
        <v>196</v>
      </c>
      <c r="CA488" s="2" t="s">
        <v>1409</v>
      </c>
      <c r="CB488" s="2" t="s">
        <v>199</v>
      </c>
      <c r="CC488" s="2" t="s">
        <v>212</v>
      </c>
      <c r="CD488" s="2" t="s">
        <v>199</v>
      </c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>
        <v>130</v>
      </c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>
        <v>150</v>
      </c>
      <c r="FN488" s="4">
        <v>140</v>
      </c>
      <c r="FO488" s="4">
        <v>137</v>
      </c>
      <c r="FP488" s="4">
        <v>134</v>
      </c>
      <c r="FQ488" s="4">
        <v>131</v>
      </c>
      <c r="FR488" s="4">
        <v>128</v>
      </c>
      <c r="FS488" s="4">
        <v>125</v>
      </c>
      <c r="FT488" s="20">
        <v>0</v>
      </c>
      <c r="FU488" s="20">
        <v>0</v>
      </c>
      <c r="FV488" s="20">
        <v>0</v>
      </c>
      <c r="FW488" s="20">
        <v>0</v>
      </c>
      <c r="FX488" s="20">
        <v>0</v>
      </c>
      <c r="FY488" s="20">
        <v>0</v>
      </c>
      <c r="FZ488" s="20">
        <v>0</v>
      </c>
      <c r="GA488" s="20">
        <v>0</v>
      </c>
      <c r="GB488" s="20">
        <v>0</v>
      </c>
      <c r="GC488" s="20">
        <v>0</v>
      </c>
      <c r="GD488" s="20">
        <v>0</v>
      </c>
      <c r="GE488" s="20">
        <v>0</v>
      </c>
      <c r="GF488" s="20">
        <v>0</v>
      </c>
      <c r="GG488" s="20">
        <v>0</v>
      </c>
      <c r="GH488" s="20">
        <v>0</v>
      </c>
      <c r="GI488" s="20">
        <v>0</v>
      </c>
      <c r="GJ488" s="20">
        <v>0</v>
      </c>
      <c r="GK488" s="20">
        <v>0</v>
      </c>
      <c r="GL488" s="20">
        <v>0</v>
      </c>
      <c r="GM488" s="19">
        <v>30</v>
      </c>
      <c r="GN488" s="19">
        <v>46.7</v>
      </c>
      <c r="GO488" s="19">
        <v>45.7</v>
      </c>
      <c r="GP488" s="19">
        <v>44.7</v>
      </c>
      <c r="GQ488" s="19">
        <v>43.7</v>
      </c>
      <c r="GR488" s="19">
        <v>42.7</v>
      </c>
      <c r="GS488" s="19">
        <v>41.7</v>
      </c>
    </row>
    <row r="489">
      <c r="A489" s="2" t="s">
        <v>2830</v>
      </c>
      <c r="B489" s="2" t="s">
        <v>245</v>
      </c>
      <c r="C489" s="2" t="s">
        <v>1007</v>
      </c>
      <c r="D489" s="2" t="s">
        <v>247</v>
      </c>
      <c r="E489" s="2" t="s">
        <v>248</v>
      </c>
      <c r="F489" s="2" t="s">
        <v>386</v>
      </c>
      <c r="G489" s="2" t="s">
        <v>386</v>
      </c>
      <c r="H489" s="2" t="s">
        <v>386</v>
      </c>
      <c r="I489" s="2" t="s">
        <v>2827</v>
      </c>
      <c r="J489" s="2" t="s">
        <v>214</v>
      </c>
      <c r="K489" s="2" t="s">
        <v>195</v>
      </c>
      <c r="L489" s="3">
        <v>11.18</v>
      </c>
      <c r="M489" s="3">
        <v>11.74</v>
      </c>
      <c r="N489" s="3">
        <v>27.99</v>
      </c>
      <c r="O489" s="2" t="s">
        <v>196</v>
      </c>
      <c r="P489" s="2" t="s">
        <v>197</v>
      </c>
      <c r="Q489" s="2" t="s">
        <v>198</v>
      </c>
      <c r="R489" s="2" t="s">
        <v>199</v>
      </c>
      <c r="S489" s="2" t="s">
        <v>2828</v>
      </c>
      <c r="T489" s="2" t="s">
        <v>386</v>
      </c>
      <c r="U489" s="2" t="s">
        <v>637</v>
      </c>
      <c r="V489" s="2" t="s">
        <v>202</v>
      </c>
      <c r="W489" s="2" t="s">
        <v>203</v>
      </c>
      <c r="X489" s="2" t="s">
        <v>199</v>
      </c>
      <c r="Y489" s="2" t="s">
        <v>1236</v>
      </c>
      <c r="Z489" s="4">
        <v>128</v>
      </c>
      <c r="AA489" s="4">
        <f>=ROUNDDOWN(64,0)</f>
      </c>
      <c r="AB489" s="5">
        <v>2</v>
      </c>
      <c r="AC489" s="2" t="s">
        <v>398</v>
      </c>
      <c r="AD489" s="4">
        <v>90</v>
      </c>
      <c r="AE489" s="4">
        <v>90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199</v>
      </c>
      <c r="AW489" s="8" t="s">
        <v>199</v>
      </c>
      <c r="AX489" s="4" t="s">
        <v>199</v>
      </c>
      <c r="AY489" s="8" t="s">
        <v>199</v>
      </c>
      <c r="AZ489" s="7" t="s">
        <v>199</v>
      </c>
      <c r="BA489" s="7" t="s">
        <v>199</v>
      </c>
      <c r="BB489" s="7"/>
      <c r="BC489" s="4" t="s">
        <v>199</v>
      </c>
      <c r="BD489" s="8" t="s">
        <v>199</v>
      </c>
      <c r="BE489" s="4" t="s">
        <v>199</v>
      </c>
      <c r="BF489" s="8" t="s">
        <v>199</v>
      </c>
      <c r="BG489" s="7" t="s">
        <v>199</v>
      </c>
      <c r="BH489" s="7" t="s">
        <v>199</v>
      </c>
      <c r="BI489" s="7"/>
      <c r="BJ489" s="4">
        <v>57</v>
      </c>
      <c r="BK489" s="8">
        <v>626.36</v>
      </c>
      <c r="BL489" s="2" t="s">
        <v>1174</v>
      </c>
      <c r="BM489" s="7"/>
      <c r="BN489" s="7"/>
      <c r="BO489" s="4"/>
      <c r="BP489" s="8"/>
      <c r="BQ489" s="4"/>
      <c r="BR489" s="8"/>
      <c r="BS489" s="7"/>
      <c r="BT489" s="7"/>
      <c r="BU489" s="2" t="s">
        <v>2829</v>
      </c>
      <c r="BV489" s="2" t="s">
        <v>199</v>
      </c>
      <c r="BW489" s="2" t="s">
        <v>199</v>
      </c>
      <c r="BX489" s="2" t="s">
        <v>208</v>
      </c>
      <c r="BY489" s="2" t="s">
        <v>209</v>
      </c>
      <c r="BZ489" s="2" t="s">
        <v>196</v>
      </c>
      <c r="CA489" s="2" t="s">
        <v>1409</v>
      </c>
      <c r="CB489" s="2" t="s">
        <v>1341</v>
      </c>
      <c r="CC489" s="2" t="s">
        <v>212</v>
      </c>
      <c r="CD489" s="2" t="s">
        <v>199</v>
      </c>
      <c r="CE489" s="4">
        <v>128</v>
      </c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>
        <v>90</v>
      </c>
      <c r="ER489" s="4"/>
      <c r="ES489" s="4"/>
      <c r="ET489" s="4">
        <v>129</v>
      </c>
      <c r="EU489" s="4">
        <v>126</v>
      </c>
      <c r="EV489" s="4">
        <v>124</v>
      </c>
      <c r="EW489" s="4">
        <v>122</v>
      </c>
      <c r="EX489" s="4">
        <v>120</v>
      </c>
      <c r="EY489" s="4">
        <v>118</v>
      </c>
      <c r="EZ489" s="4">
        <v>116</v>
      </c>
      <c r="FA489" s="4">
        <v>114</v>
      </c>
      <c r="FB489" s="4">
        <v>112</v>
      </c>
      <c r="FC489" s="4">
        <v>110</v>
      </c>
      <c r="FD489" s="4">
        <v>108</v>
      </c>
      <c r="FE489" s="4">
        <v>106</v>
      </c>
      <c r="FF489" s="4">
        <v>104</v>
      </c>
      <c r="FG489" s="4">
        <v>102</v>
      </c>
      <c r="FH489" s="4">
        <v>100</v>
      </c>
      <c r="FI489" s="4">
        <v>98</v>
      </c>
      <c r="FJ489" s="4">
        <v>96</v>
      </c>
      <c r="FK489" s="4">
        <v>94</v>
      </c>
      <c r="FL489" s="4">
        <v>92</v>
      </c>
      <c r="FM489" s="4">
        <v>117</v>
      </c>
      <c r="FN489" s="4">
        <v>110</v>
      </c>
      <c r="FO489" s="4">
        <v>103</v>
      </c>
      <c r="FP489" s="4">
        <v>96</v>
      </c>
      <c r="FQ489" s="4">
        <v>89</v>
      </c>
      <c r="FR489" s="4">
        <v>82</v>
      </c>
      <c r="FS489" s="4">
        <v>75</v>
      </c>
      <c r="FT489" s="19">
        <v>64.5</v>
      </c>
      <c r="FU489" s="19">
        <v>63</v>
      </c>
      <c r="FV489" s="19">
        <v>62</v>
      </c>
      <c r="FW489" s="19">
        <v>61</v>
      </c>
      <c r="FX489" s="19">
        <v>60</v>
      </c>
      <c r="FY489" s="19">
        <v>59</v>
      </c>
      <c r="FZ489" s="19">
        <v>58</v>
      </c>
      <c r="GA489" s="19">
        <v>57</v>
      </c>
      <c r="GB489" s="19">
        <v>56</v>
      </c>
      <c r="GC489" s="19">
        <v>55</v>
      </c>
      <c r="GD489" s="19">
        <v>54</v>
      </c>
      <c r="GE489" s="19">
        <v>53</v>
      </c>
      <c r="GF489" s="19">
        <v>52</v>
      </c>
      <c r="GG489" s="19">
        <v>51</v>
      </c>
      <c r="GH489" s="19">
        <v>50</v>
      </c>
      <c r="GI489" s="19">
        <v>32.7</v>
      </c>
      <c r="GJ489" s="19">
        <v>24</v>
      </c>
      <c r="GK489" s="19">
        <v>18.8</v>
      </c>
      <c r="GL489" s="19">
        <v>15.3</v>
      </c>
      <c r="GM489" s="19">
        <v>16.7</v>
      </c>
      <c r="GN489" s="19">
        <v>15.7</v>
      </c>
      <c r="GO489" s="19">
        <v>14.7</v>
      </c>
      <c r="GP489" s="19">
        <v>12</v>
      </c>
      <c r="GQ489" s="19">
        <v>9.9</v>
      </c>
      <c r="GR489" s="19">
        <v>9.1</v>
      </c>
      <c r="GS489" s="19">
        <v>8.3</v>
      </c>
    </row>
    <row r="490">
      <c r="A490" s="2" t="s">
        <v>2831</v>
      </c>
      <c r="B490" s="2" t="s">
        <v>245</v>
      </c>
      <c r="C490" s="2" t="s">
        <v>1007</v>
      </c>
      <c r="D490" s="2" t="s">
        <v>247</v>
      </c>
      <c r="E490" s="2" t="s">
        <v>248</v>
      </c>
      <c r="F490" s="2" t="s">
        <v>386</v>
      </c>
      <c r="G490" s="2" t="s">
        <v>386</v>
      </c>
      <c r="H490" s="2" t="s">
        <v>386</v>
      </c>
      <c r="I490" s="2" t="s">
        <v>2827</v>
      </c>
      <c r="J490" s="2" t="s">
        <v>219</v>
      </c>
      <c r="K490" s="2" t="s">
        <v>195</v>
      </c>
      <c r="L490" s="3">
        <v>14.21</v>
      </c>
      <c r="M490" s="3">
        <v>14.92</v>
      </c>
      <c r="N490" s="3">
        <v>32.99</v>
      </c>
      <c r="O490" s="2" t="s">
        <v>196</v>
      </c>
      <c r="P490" s="2" t="s">
        <v>197</v>
      </c>
      <c r="Q490" s="2" t="s">
        <v>198</v>
      </c>
      <c r="R490" s="2" t="s">
        <v>199</v>
      </c>
      <c r="S490" s="2" t="s">
        <v>2828</v>
      </c>
      <c r="T490" s="2" t="s">
        <v>386</v>
      </c>
      <c r="U490" s="2" t="s">
        <v>254</v>
      </c>
      <c r="V490" s="2" t="s">
        <v>202</v>
      </c>
      <c r="W490" s="2" t="s">
        <v>203</v>
      </c>
      <c r="X490" s="2" t="s">
        <v>199</v>
      </c>
      <c r="Y490" s="2" t="s">
        <v>1236</v>
      </c>
      <c r="Z490" s="4">
        <v>1</v>
      </c>
      <c r="AA490" s="4">
        <f>=ROUNDDOWN(0.25,0)</f>
      </c>
      <c r="AB490" s="5">
        <v>4</v>
      </c>
      <c r="AC490" s="2" t="s">
        <v>398</v>
      </c>
      <c r="AD490" s="4">
        <v>180</v>
      </c>
      <c r="AE490" s="4">
        <v>180</v>
      </c>
      <c r="AF490" s="6">
        <v>65</v>
      </c>
      <c r="AG490" s="6"/>
      <c r="AH490" s="7">
        <v>0.129</v>
      </c>
      <c r="AI490" s="4"/>
      <c r="AJ490" s="4">
        <f>=ROUNDDOWN({0},0)</f>
      </c>
      <c r="AK490" s="5"/>
      <c r="AL490" s="2" t="s">
        <v>199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199</v>
      </c>
      <c r="AW490" s="8" t="s">
        <v>199</v>
      </c>
      <c r="AX490" s="4" t="s">
        <v>199</v>
      </c>
      <c r="AY490" s="8" t="s">
        <v>199</v>
      </c>
      <c r="AZ490" s="7" t="s">
        <v>199</v>
      </c>
      <c r="BA490" s="7" t="s">
        <v>199</v>
      </c>
      <c r="BB490" s="7"/>
      <c r="BC490" s="4" t="s">
        <v>199</v>
      </c>
      <c r="BD490" s="8" t="s">
        <v>199</v>
      </c>
      <c r="BE490" s="4" t="s">
        <v>199</v>
      </c>
      <c r="BF490" s="8" t="s">
        <v>199</v>
      </c>
      <c r="BG490" s="7" t="s">
        <v>199</v>
      </c>
      <c r="BH490" s="7" t="s">
        <v>199</v>
      </c>
      <c r="BI490" s="7"/>
      <c r="BJ490" s="4">
        <v>127</v>
      </c>
      <c r="BK490" s="8">
        <v>1765.03</v>
      </c>
      <c r="BL490" s="2" t="s">
        <v>1328</v>
      </c>
      <c r="BM490" s="7"/>
      <c r="BN490" s="7"/>
      <c r="BO490" s="4"/>
      <c r="BP490" s="8"/>
      <c r="BQ490" s="4"/>
      <c r="BR490" s="8"/>
      <c r="BS490" s="7"/>
      <c r="BT490" s="7"/>
      <c r="BU490" s="2" t="s">
        <v>2829</v>
      </c>
      <c r="BV490" s="2" t="s">
        <v>199</v>
      </c>
      <c r="BW490" s="2" t="s">
        <v>199</v>
      </c>
      <c r="BX490" s="2" t="s">
        <v>208</v>
      </c>
      <c r="BY490" s="2" t="s">
        <v>209</v>
      </c>
      <c r="BZ490" s="2" t="s">
        <v>196</v>
      </c>
      <c r="CA490" s="2" t="s">
        <v>1409</v>
      </c>
      <c r="CB490" s="2" t="s">
        <v>1341</v>
      </c>
      <c r="CC490" s="2" t="s">
        <v>212</v>
      </c>
      <c r="CD490" s="2" t="s">
        <v>199</v>
      </c>
      <c r="CE490" s="4">
        <v>1</v>
      </c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>
        <v>180</v>
      </c>
      <c r="ER490" s="4"/>
      <c r="ES490" s="4"/>
      <c r="ET490" s="4">
        <v>1</v>
      </c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>
        <v>150</v>
      </c>
      <c r="FN490" s="4">
        <v>139</v>
      </c>
      <c r="FO490" s="4">
        <v>135</v>
      </c>
      <c r="FP490" s="4">
        <v>130</v>
      </c>
      <c r="FQ490" s="4">
        <v>126</v>
      </c>
      <c r="FR490" s="4">
        <v>122</v>
      </c>
      <c r="FS490" s="4">
        <v>118</v>
      </c>
      <c r="FT490" s="19">
        <v>0.3</v>
      </c>
      <c r="FU490" s="20">
        <v>0</v>
      </c>
      <c r="FV490" s="20">
        <v>0</v>
      </c>
      <c r="FW490" s="20">
        <v>0</v>
      </c>
      <c r="FX490" s="20">
        <v>0</v>
      </c>
      <c r="FY490" s="20">
        <v>0</v>
      </c>
      <c r="FZ490" s="20">
        <v>0</v>
      </c>
      <c r="GA490" s="20">
        <v>0</v>
      </c>
      <c r="GB490" s="20">
        <v>0</v>
      </c>
      <c r="GC490" s="20">
        <v>0</v>
      </c>
      <c r="GD490" s="20">
        <v>0</v>
      </c>
      <c r="GE490" s="20">
        <v>0</v>
      </c>
      <c r="GF490" s="20">
        <v>0</v>
      </c>
      <c r="GG490" s="20">
        <v>0</v>
      </c>
      <c r="GH490" s="20">
        <v>0</v>
      </c>
      <c r="GI490" s="20">
        <v>0</v>
      </c>
      <c r="GJ490" s="20">
        <v>0</v>
      </c>
      <c r="GK490" s="20">
        <v>0</v>
      </c>
      <c r="GL490" s="20">
        <v>0</v>
      </c>
      <c r="GM490" s="19">
        <v>25</v>
      </c>
      <c r="GN490" s="9"/>
      <c r="GO490" s="19">
        <v>33.8</v>
      </c>
      <c r="GP490" s="19">
        <v>32.5</v>
      </c>
      <c r="GQ490" s="9"/>
      <c r="GR490" s="19">
        <v>30.5</v>
      </c>
      <c r="GS490" s="19">
        <v>23.6</v>
      </c>
    </row>
    <row r="491">
      <c r="A491" s="2" t="s">
        <v>2832</v>
      </c>
      <c r="B491" s="2" t="s">
        <v>245</v>
      </c>
      <c r="C491" s="2" t="s">
        <v>1007</v>
      </c>
      <c r="D491" s="2" t="s">
        <v>247</v>
      </c>
      <c r="E491" s="2" t="s">
        <v>248</v>
      </c>
      <c r="F491" s="2" t="s">
        <v>386</v>
      </c>
      <c r="G491" s="2" t="s">
        <v>386</v>
      </c>
      <c r="H491" s="2" t="s">
        <v>386</v>
      </c>
      <c r="I491" s="2" t="s">
        <v>2827</v>
      </c>
      <c r="J491" s="2" t="s">
        <v>223</v>
      </c>
      <c r="K491" s="2" t="s">
        <v>195</v>
      </c>
      <c r="L491" s="3">
        <v>16.75</v>
      </c>
      <c r="M491" s="3">
        <v>17.59</v>
      </c>
      <c r="N491" s="3">
        <v>37.99</v>
      </c>
      <c r="O491" s="2" t="s">
        <v>196</v>
      </c>
      <c r="P491" s="2" t="s">
        <v>197</v>
      </c>
      <c r="Q491" s="2" t="s">
        <v>198</v>
      </c>
      <c r="R491" s="2" t="s">
        <v>199</v>
      </c>
      <c r="S491" s="2" t="s">
        <v>2828</v>
      </c>
      <c r="T491" s="2" t="s">
        <v>386</v>
      </c>
      <c r="U491" s="2" t="s">
        <v>254</v>
      </c>
      <c r="V491" s="2" t="s">
        <v>202</v>
      </c>
      <c r="W491" s="2" t="s">
        <v>203</v>
      </c>
      <c r="X491" s="2" t="s">
        <v>199</v>
      </c>
      <c r="Y491" s="2" t="s">
        <v>1236</v>
      </c>
      <c r="Z491" s="4">
        <v>89</v>
      </c>
      <c r="AA491" s="4">
        <f>=ROUNDDOWN(44.5,0)</f>
      </c>
      <c r="AB491" s="5">
        <v>2</v>
      </c>
      <c r="AC491" s="2" t="s">
        <v>199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199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199</v>
      </c>
      <c r="AW491" s="8" t="s">
        <v>199</v>
      </c>
      <c r="AX491" s="4" t="s">
        <v>199</v>
      </c>
      <c r="AY491" s="8" t="s">
        <v>199</v>
      </c>
      <c r="AZ491" s="7" t="s">
        <v>199</v>
      </c>
      <c r="BA491" s="7" t="s">
        <v>199</v>
      </c>
      <c r="BB491" s="7"/>
      <c r="BC491" s="4" t="s">
        <v>199</v>
      </c>
      <c r="BD491" s="8" t="s">
        <v>199</v>
      </c>
      <c r="BE491" s="4" t="s">
        <v>199</v>
      </c>
      <c r="BF491" s="8" t="s">
        <v>199</v>
      </c>
      <c r="BG491" s="7" t="s">
        <v>199</v>
      </c>
      <c r="BH491" s="7" t="s">
        <v>199</v>
      </c>
      <c r="BI491" s="7"/>
      <c r="BJ491" s="4">
        <v>83</v>
      </c>
      <c r="BK491" s="8">
        <v>1384.21</v>
      </c>
      <c r="BL491" s="2" t="s">
        <v>1346</v>
      </c>
      <c r="BM491" s="7"/>
      <c r="BN491" s="7"/>
      <c r="BO491" s="4"/>
      <c r="BP491" s="8"/>
      <c r="BQ491" s="4"/>
      <c r="BR491" s="8"/>
      <c r="BS491" s="7"/>
      <c r="BT491" s="7"/>
      <c r="BU491" s="2" t="s">
        <v>2829</v>
      </c>
      <c r="BV491" s="2" t="s">
        <v>199</v>
      </c>
      <c r="BW491" s="2" t="s">
        <v>199</v>
      </c>
      <c r="BX491" s="2" t="s">
        <v>208</v>
      </c>
      <c r="BY491" s="2" t="s">
        <v>209</v>
      </c>
      <c r="BZ491" s="2" t="s">
        <v>196</v>
      </c>
      <c r="CA491" s="2" t="s">
        <v>1409</v>
      </c>
      <c r="CB491" s="2" t="s">
        <v>199</v>
      </c>
      <c r="CC491" s="2" t="s">
        <v>212</v>
      </c>
      <c r="CD491" s="2" t="s">
        <v>199</v>
      </c>
      <c r="CE491" s="4">
        <v>89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>
        <v>89</v>
      </c>
      <c r="EU491" s="4">
        <v>88</v>
      </c>
      <c r="EV491" s="4">
        <v>87</v>
      </c>
      <c r="EW491" s="4">
        <v>86</v>
      </c>
      <c r="EX491" s="4">
        <v>85</v>
      </c>
      <c r="EY491" s="4">
        <v>84</v>
      </c>
      <c r="EZ491" s="4">
        <v>83</v>
      </c>
      <c r="FA491" s="4">
        <v>82</v>
      </c>
      <c r="FB491" s="4">
        <v>81</v>
      </c>
      <c r="FC491" s="4">
        <v>80</v>
      </c>
      <c r="FD491" s="4">
        <v>79</v>
      </c>
      <c r="FE491" s="4">
        <v>78</v>
      </c>
      <c r="FF491" s="4">
        <v>77</v>
      </c>
      <c r="FG491" s="4">
        <v>76</v>
      </c>
      <c r="FH491" s="4">
        <v>75</v>
      </c>
      <c r="FI491" s="4">
        <v>74</v>
      </c>
      <c r="FJ491" s="4">
        <v>73</v>
      </c>
      <c r="FK491" s="4">
        <v>72</v>
      </c>
      <c r="FL491" s="4">
        <v>71</v>
      </c>
      <c r="FM491" s="4">
        <v>110</v>
      </c>
      <c r="FN491" s="4">
        <v>109</v>
      </c>
      <c r="FO491" s="4">
        <v>108</v>
      </c>
      <c r="FP491" s="4">
        <v>107</v>
      </c>
      <c r="FQ491" s="4">
        <v>106</v>
      </c>
      <c r="FR491" s="4">
        <v>105</v>
      </c>
      <c r="FS491" s="4">
        <v>104</v>
      </c>
      <c r="FT491" s="19">
        <v>89</v>
      </c>
      <c r="FU491" s="19">
        <v>88</v>
      </c>
      <c r="FV491" s="19">
        <v>87</v>
      </c>
      <c r="FW491" s="19">
        <v>86</v>
      </c>
      <c r="FX491" s="19">
        <v>85</v>
      </c>
      <c r="FY491" s="19">
        <v>84</v>
      </c>
      <c r="FZ491" s="19">
        <v>83</v>
      </c>
      <c r="GA491" s="19">
        <v>82</v>
      </c>
      <c r="GB491" s="19">
        <v>81</v>
      </c>
      <c r="GC491" s="19">
        <v>80</v>
      </c>
      <c r="GD491" s="19">
        <v>79</v>
      </c>
      <c r="GE491" s="19">
        <v>78</v>
      </c>
      <c r="GF491" s="19">
        <v>77</v>
      </c>
      <c r="GG491" s="19">
        <v>76</v>
      </c>
      <c r="GH491" s="19">
        <v>75</v>
      </c>
      <c r="GI491" s="19">
        <v>74</v>
      </c>
      <c r="GJ491" s="19">
        <v>73</v>
      </c>
      <c r="GK491" s="19">
        <v>72</v>
      </c>
      <c r="GL491" s="19">
        <v>71</v>
      </c>
      <c r="GM491" s="19">
        <v>110</v>
      </c>
      <c r="GN491" s="19">
        <v>109</v>
      </c>
      <c r="GO491" s="19">
        <v>108</v>
      </c>
      <c r="GP491" s="19">
        <v>107</v>
      </c>
      <c r="GQ491" s="19">
        <v>106</v>
      </c>
      <c r="GR491" s="19">
        <v>105</v>
      </c>
      <c r="GS491" s="19">
        <v>104</v>
      </c>
    </row>
    <row r="492">
      <c r="A492" s="2" t="s">
        <v>2833</v>
      </c>
      <c r="B492" s="2" t="s">
        <v>245</v>
      </c>
      <c r="C492" s="2" t="s">
        <v>1007</v>
      </c>
      <c r="D492" s="2" t="s">
        <v>247</v>
      </c>
      <c r="E492" s="2" t="s">
        <v>248</v>
      </c>
      <c r="F492" s="2" t="s">
        <v>386</v>
      </c>
      <c r="G492" s="2" t="s">
        <v>386</v>
      </c>
      <c r="H492" s="2" t="s">
        <v>386</v>
      </c>
      <c r="I492" s="2" t="s">
        <v>2827</v>
      </c>
      <c r="J492" s="2" t="s">
        <v>194</v>
      </c>
      <c r="K492" s="2" t="s">
        <v>405</v>
      </c>
      <c r="L492" s="3">
        <v>11.18</v>
      </c>
      <c r="M492" s="3">
        <v>11.74</v>
      </c>
      <c r="N492" s="3">
        <v>27.99</v>
      </c>
      <c r="O492" s="2" t="s">
        <v>196</v>
      </c>
      <c r="P492" s="2" t="s">
        <v>197</v>
      </c>
      <c r="Q492" s="2" t="s">
        <v>198</v>
      </c>
      <c r="R492" s="2" t="s">
        <v>199</v>
      </c>
      <c r="S492" s="2" t="s">
        <v>2834</v>
      </c>
      <c r="T492" s="2" t="s">
        <v>386</v>
      </c>
      <c r="U492" s="2" t="s">
        <v>637</v>
      </c>
      <c r="V492" s="2" t="s">
        <v>202</v>
      </c>
      <c r="W492" s="2" t="s">
        <v>203</v>
      </c>
      <c r="X492" s="2" t="s">
        <v>199</v>
      </c>
      <c r="Y492" s="2" t="s">
        <v>1236</v>
      </c>
      <c r="Z492" s="4">
        <v>94</v>
      </c>
      <c r="AA492" s="4">
        <f>=ROUNDDOWN(55.2941176470588,0)</f>
      </c>
      <c r="AB492" s="5">
        <v>1.7</v>
      </c>
      <c r="AC492" s="2" t="s">
        <v>199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199</v>
      </c>
      <c r="AW492" s="8" t="s">
        <v>199</v>
      </c>
      <c r="AX492" s="4" t="s">
        <v>199</v>
      </c>
      <c r="AY492" s="8" t="s">
        <v>199</v>
      </c>
      <c r="AZ492" s="7" t="s">
        <v>199</v>
      </c>
      <c r="BA492" s="7" t="s">
        <v>199</v>
      </c>
      <c r="BB492" s="7"/>
      <c r="BC492" s="4" t="s">
        <v>199</v>
      </c>
      <c r="BD492" s="8" t="s">
        <v>199</v>
      </c>
      <c r="BE492" s="4" t="s">
        <v>199</v>
      </c>
      <c r="BF492" s="8" t="s">
        <v>199</v>
      </c>
      <c r="BG492" s="7" t="s">
        <v>199</v>
      </c>
      <c r="BH492" s="7" t="s">
        <v>199</v>
      </c>
      <c r="BI492" s="7"/>
      <c r="BJ492" s="4">
        <v>62</v>
      </c>
      <c r="BK492" s="8">
        <v>686.41</v>
      </c>
      <c r="BL492" s="2" t="s">
        <v>2835</v>
      </c>
      <c r="BM492" s="7"/>
      <c r="BN492" s="7"/>
      <c r="BO492" s="4"/>
      <c r="BP492" s="8"/>
      <c r="BQ492" s="4"/>
      <c r="BR492" s="8"/>
      <c r="BS492" s="7"/>
      <c r="BT492" s="7"/>
      <c r="BU492" s="2" t="s">
        <v>2829</v>
      </c>
      <c r="BV492" s="2" t="s">
        <v>199</v>
      </c>
      <c r="BW492" s="2" t="s">
        <v>199</v>
      </c>
      <c r="BX492" s="2" t="s">
        <v>208</v>
      </c>
      <c r="BY492" s="2" t="s">
        <v>209</v>
      </c>
      <c r="BZ492" s="2" t="s">
        <v>196</v>
      </c>
      <c r="CA492" s="2" t="s">
        <v>1409</v>
      </c>
      <c r="CB492" s="2" t="s">
        <v>2836</v>
      </c>
      <c r="CC492" s="2" t="s">
        <v>212</v>
      </c>
      <c r="CD492" s="2" t="s">
        <v>199</v>
      </c>
      <c r="CE492" s="4">
        <v>94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>
        <v>94</v>
      </c>
      <c r="EU492" s="4">
        <v>93</v>
      </c>
      <c r="EV492" s="4">
        <v>92</v>
      </c>
      <c r="EW492" s="4">
        <v>91</v>
      </c>
      <c r="EX492" s="4">
        <v>90</v>
      </c>
      <c r="EY492" s="4">
        <v>89</v>
      </c>
      <c r="EZ492" s="4">
        <v>88</v>
      </c>
      <c r="FA492" s="4">
        <v>87</v>
      </c>
      <c r="FB492" s="4">
        <v>86</v>
      </c>
      <c r="FC492" s="4">
        <v>85</v>
      </c>
      <c r="FD492" s="4">
        <v>84</v>
      </c>
      <c r="FE492" s="4">
        <v>83</v>
      </c>
      <c r="FF492" s="4">
        <v>82</v>
      </c>
      <c r="FG492" s="4">
        <v>81</v>
      </c>
      <c r="FH492" s="4">
        <v>80</v>
      </c>
      <c r="FI492" s="4">
        <v>79</v>
      </c>
      <c r="FJ492" s="4">
        <v>78</v>
      </c>
      <c r="FK492" s="4">
        <v>77</v>
      </c>
      <c r="FL492" s="4">
        <v>76</v>
      </c>
      <c r="FM492" s="4">
        <v>75</v>
      </c>
      <c r="FN492" s="4">
        <v>74</v>
      </c>
      <c r="FO492" s="4">
        <v>73</v>
      </c>
      <c r="FP492" s="4">
        <v>72</v>
      </c>
      <c r="FQ492" s="4">
        <v>71</v>
      </c>
      <c r="FR492" s="4">
        <v>70</v>
      </c>
      <c r="FS492" s="4">
        <v>69</v>
      </c>
      <c r="FT492" s="19">
        <v>94</v>
      </c>
      <c r="FU492" s="19">
        <v>93</v>
      </c>
      <c r="FV492" s="19">
        <v>92</v>
      </c>
      <c r="FW492" s="19">
        <v>91</v>
      </c>
      <c r="FX492" s="19">
        <v>90</v>
      </c>
      <c r="FY492" s="19">
        <v>89</v>
      </c>
      <c r="FZ492" s="19">
        <v>88</v>
      </c>
      <c r="GA492" s="19">
        <v>87</v>
      </c>
      <c r="GB492" s="19">
        <v>86</v>
      </c>
      <c r="GC492" s="19">
        <v>85</v>
      </c>
      <c r="GD492" s="19">
        <v>84</v>
      </c>
      <c r="GE492" s="19">
        <v>83</v>
      </c>
      <c r="GF492" s="19">
        <v>82</v>
      </c>
      <c r="GG492" s="19">
        <v>81</v>
      </c>
      <c r="GH492" s="19">
        <v>80</v>
      </c>
      <c r="GI492" s="19">
        <v>79</v>
      </c>
      <c r="GJ492" s="19">
        <v>78</v>
      </c>
      <c r="GK492" s="19">
        <v>77</v>
      </c>
      <c r="GL492" s="19">
        <v>76</v>
      </c>
      <c r="GM492" s="19">
        <v>75</v>
      </c>
      <c r="GN492" s="19">
        <v>74</v>
      </c>
      <c r="GO492" s="19">
        <v>73</v>
      </c>
      <c r="GP492" s="19">
        <v>72</v>
      </c>
      <c r="GQ492" s="19">
        <v>71</v>
      </c>
      <c r="GR492" s="19">
        <v>70</v>
      </c>
      <c r="GS492" s="19">
        <v>69</v>
      </c>
    </row>
    <row r="493">
      <c r="A493" s="2" t="s">
        <v>2837</v>
      </c>
      <c r="B493" s="2" t="s">
        <v>245</v>
      </c>
      <c r="C493" s="2" t="s">
        <v>1007</v>
      </c>
      <c r="D493" s="2" t="s">
        <v>247</v>
      </c>
      <c r="E493" s="2" t="s">
        <v>248</v>
      </c>
      <c r="F493" s="2" t="s">
        <v>386</v>
      </c>
      <c r="G493" s="2" t="s">
        <v>386</v>
      </c>
      <c r="H493" s="2" t="s">
        <v>386</v>
      </c>
      <c r="I493" s="2" t="s">
        <v>2827</v>
      </c>
      <c r="J493" s="2" t="s">
        <v>214</v>
      </c>
      <c r="K493" s="2" t="s">
        <v>405</v>
      </c>
      <c r="L493" s="3">
        <v>11.18</v>
      </c>
      <c r="M493" s="3">
        <v>11.74</v>
      </c>
      <c r="N493" s="3">
        <v>27.99</v>
      </c>
      <c r="O493" s="2" t="s">
        <v>196</v>
      </c>
      <c r="P493" s="2" t="s">
        <v>197</v>
      </c>
      <c r="Q493" s="2" t="s">
        <v>198</v>
      </c>
      <c r="R493" s="2" t="s">
        <v>199</v>
      </c>
      <c r="S493" s="2" t="s">
        <v>2834</v>
      </c>
      <c r="T493" s="2" t="s">
        <v>386</v>
      </c>
      <c r="U493" s="2" t="s">
        <v>637</v>
      </c>
      <c r="V493" s="2" t="s">
        <v>202</v>
      </c>
      <c r="W493" s="2" t="s">
        <v>203</v>
      </c>
      <c r="X493" s="2" t="s">
        <v>199</v>
      </c>
      <c r="Y493" s="2" t="s">
        <v>1236</v>
      </c>
      <c r="Z493" s="4">
        <v>119</v>
      </c>
      <c r="AA493" s="4">
        <f>=ROUNDDOWN(56.6666666666667,0)</f>
      </c>
      <c r="AB493" s="5">
        <v>2.1</v>
      </c>
      <c r="AC493" s="2" t="s">
        <v>236</v>
      </c>
      <c r="AD493" s="4">
        <v>40</v>
      </c>
      <c r="AE493" s="4">
        <v>40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199</v>
      </c>
      <c r="AW493" s="8" t="s">
        <v>199</v>
      </c>
      <c r="AX493" s="4" t="s">
        <v>199</v>
      </c>
      <c r="AY493" s="8" t="s">
        <v>199</v>
      </c>
      <c r="AZ493" s="7" t="s">
        <v>199</v>
      </c>
      <c r="BA493" s="7" t="s">
        <v>199</v>
      </c>
      <c r="BB493" s="7"/>
      <c r="BC493" s="4" t="s">
        <v>199</v>
      </c>
      <c r="BD493" s="8" t="s">
        <v>199</v>
      </c>
      <c r="BE493" s="4" t="s">
        <v>199</v>
      </c>
      <c r="BF493" s="8" t="s">
        <v>199</v>
      </c>
      <c r="BG493" s="7" t="s">
        <v>199</v>
      </c>
      <c r="BH493" s="7" t="s">
        <v>199</v>
      </c>
      <c r="BI493" s="7"/>
      <c r="BJ493" s="4">
        <v>53</v>
      </c>
      <c r="BK493" s="8">
        <v>585.15</v>
      </c>
      <c r="BL493" s="2" t="s">
        <v>282</v>
      </c>
      <c r="BM493" s="7"/>
      <c r="BN493" s="7"/>
      <c r="BO493" s="4"/>
      <c r="BP493" s="8"/>
      <c r="BQ493" s="4"/>
      <c r="BR493" s="8"/>
      <c r="BS493" s="7"/>
      <c r="BT493" s="7"/>
      <c r="BU493" s="2" t="s">
        <v>2829</v>
      </c>
      <c r="BV493" s="2" t="s">
        <v>199</v>
      </c>
      <c r="BW493" s="2" t="s">
        <v>199</v>
      </c>
      <c r="BX493" s="2" t="s">
        <v>208</v>
      </c>
      <c r="BY493" s="2" t="s">
        <v>209</v>
      </c>
      <c r="BZ493" s="2" t="s">
        <v>196</v>
      </c>
      <c r="CA493" s="2" t="s">
        <v>1409</v>
      </c>
      <c r="CB493" s="2" t="s">
        <v>1418</v>
      </c>
      <c r="CC493" s="2" t="s">
        <v>212</v>
      </c>
      <c r="CD493" s="2" t="s">
        <v>199</v>
      </c>
      <c r="CE493" s="4">
        <v>119</v>
      </c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>
        <v>40</v>
      </c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>
        <v>120</v>
      </c>
      <c r="EU493" s="4">
        <v>117</v>
      </c>
      <c r="EV493" s="4">
        <v>115</v>
      </c>
      <c r="EW493" s="4">
        <v>113</v>
      </c>
      <c r="EX493" s="4">
        <v>111</v>
      </c>
      <c r="EY493" s="4">
        <v>109</v>
      </c>
      <c r="EZ493" s="4">
        <v>107</v>
      </c>
      <c r="FA493" s="4">
        <v>105</v>
      </c>
      <c r="FB493" s="4">
        <v>103</v>
      </c>
      <c r="FC493" s="4">
        <v>101</v>
      </c>
      <c r="FD493" s="4">
        <v>139</v>
      </c>
      <c r="FE493" s="4">
        <v>137</v>
      </c>
      <c r="FF493" s="4">
        <v>135</v>
      </c>
      <c r="FG493" s="4">
        <v>133</v>
      </c>
      <c r="FH493" s="4">
        <v>131</v>
      </c>
      <c r="FI493" s="4">
        <v>129</v>
      </c>
      <c r="FJ493" s="4">
        <v>127</v>
      </c>
      <c r="FK493" s="4">
        <v>125</v>
      </c>
      <c r="FL493" s="4">
        <v>123</v>
      </c>
      <c r="FM493" s="4">
        <v>121</v>
      </c>
      <c r="FN493" s="4">
        <v>119</v>
      </c>
      <c r="FO493" s="4">
        <v>117</v>
      </c>
      <c r="FP493" s="4">
        <v>114</v>
      </c>
      <c r="FQ493" s="4">
        <v>194</v>
      </c>
      <c r="FR493" s="4">
        <v>191</v>
      </c>
      <c r="FS493" s="4">
        <v>188</v>
      </c>
      <c r="FT493" s="19">
        <v>60</v>
      </c>
      <c r="FU493" s="19">
        <v>58.5</v>
      </c>
      <c r="FV493" s="19">
        <v>57.5</v>
      </c>
      <c r="FW493" s="19">
        <v>56.5</v>
      </c>
      <c r="FX493" s="19">
        <v>55.5</v>
      </c>
      <c r="FY493" s="19">
        <v>54.5</v>
      </c>
      <c r="FZ493" s="19">
        <v>53.5</v>
      </c>
      <c r="GA493" s="19">
        <v>52.5</v>
      </c>
      <c r="GB493" s="19">
        <v>51.5</v>
      </c>
      <c r="GC493" s="19">
        <v>50.5</v>
      </c>
      <c r="GD493" s="19">
        <v>69.5</v>
      </c>
      <c r="GE493" s="19">
        <v>68.5</v>
      </c>
      <c r="GF493" s="19">
        <v>67.5</v>
      </c>
      <c r="GG493" s="19">
        <v>66.5</v>
      </c>
      <c r="GH493" s="19">
        <v>65.5</v>
      </c>
      <c r="GI493" s="19">
        <v>64.5</v>
      </c>
      <c r="GJ493" s="19">
        <v>63.5</v>
      </c>
      <c r="GK493" s="19">
        <v>62.5</v>
      </c>
      <c r="GL493" s="19">
        <v>61.5</v>
      </c>
      <c r="GM493" s="19">
        <v>60.5</v>
      </c>
      <c r="GN493" s="19">
        <v>39.7</v>
      </c>
      <c r="GO493" s="19">
        <v>39</v>
      </c>
      <c r="GP493" s="19">
        <v>28.5</v>
      </c>
      <c r="GQ493" s="19">
        <v>32.3</v>
      </c>
      <c r="GR493" s="19">
        <v>21.2</v>
      </c>
      <c r="GS493" s="19">
        <v>17.1</v>
      </c>
    </row>
    <row r="494">
      <c r="A494" s="2" t="s">
        <v>2838</v>
      </c>
      <c r="B494" s="2" t="s">
        <v>245</v>
      </c>
      <c r="C494" s="2" t="s">
        <v>1007</v>
      </c>
      <c r="D494" s="2" t="s">
        <v>247</v>
      </c>
      <c r="E494" s="2" t="s">
        <v>248</v>
      </c>
      <c r="F494" s="2" t="s">
        <v>386</v>
      </c>
      <c r="G494" s="2" t="s">
        <v>386</v>
      </c>
      <c r="H494" s="2" t="s">
        <v>386</v>
      </c>
      <c r="I494" s="2" t="s">
        <v>2827</v>
      </c>
      <c r="J494" s="2" t="s">
        <v>285</v>
      </c>
      <c r="K494" s="2" t="s">
        <v>405</v>
      </c>
      <c r="L494" s="3">
        <v>12.92</v>
      </c>
      <c r="M494" s="3">
        <v>13.57</v>
      </c>
      <c r="N494" s="3">
        <v>30.99</v>
      </c>
      <c r="O494" s="2" t="s">
        <v>196</v>
      </c>
      <c r="P494" s="2" t="s">
        <v>197</v>
      </c>
      <c r="Q494" s="2" t="s">
        <v>198</v>
      </c>
      <c r="R494" s="2" t="s">
        <v>199</v>
      </c>
      <c r="S494" s="2" t="s">
        <v>2834</v>
      </c>
      <c r="T494" s="2" t="s">
        <v>386</v>
      </c>
      <c r="U494" s="2" t="s">
        <v>254</v>
      </c>
      <c r="V494" s="2" t="s">
        <v>202</v>
      </c>
      <c r="W494" s="2" t="s">
        <v>203</v>
      </c>
      <c r="X494" s="2" t="s">
        <v>199</v>
      </c>
      <c r="Y494" s="2" t="s">
        <v>1236</v>
      </c>
      <c r="Z494" s="4">
        <v>92</v>
      </c>
      <c r="AA494" s="4">
        <f>=ROUNDDOWN(30.6666666666667,0)</f>
      </c>
      <c r="AB494" s="5">
        <v>3</v>
      </c>
      <c r="AC494" s="2" t="s">
        <v>236</v>
      </c>
      <c r="AD494" s="4">
        <v>110</v>
      </c>
      <c r="AE494" s="4">
        <v>110</v>
      </c>
      <c r="AF494" s="6">
        <v>65</v>
      </c>
      <c r="AG494" s="6"/>
      <c r="AH494" s="7">
        <v>0.4194</v>
      </c>
      <c r="AI494" s="4"/>
      <c r="AJ494" s="4">
        <f>=ROUNDDOWN({0},0)</f>
      </c>
      <c r="AK494" s="5"/>
      <c r="AL494" s="2" t="s">
        <v>199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199</v>
      </c>
      <c r="AW494" s="8" t="s">
        <v>199</v>
      </c>
      <c r="AX494" s="4" t="s">
        <v>199</v>
      </c>
      <c r="AY494" s="8" t="s">
        <v>199</v>
      </c>
      <c r="AZ494" s="7" t="s">
        <v>199</v>
      </c>
      <c r="BA494" s="7" t="s">
        <v>199</v>
      </c>
      <c r="BB494" s="7"/>
      <c r="BC494" s="4" t="s">
        <v>199</v>
      </c>
      <c r="BD494" s="8" t="s">
        <v>199</v>
      </c>
      <c r="BE494" s="4" t="s">
        <v>199</v>
      </c>
      <c r="BF494" s="8" t="s">
        <v>199</v>
      </c>
      <c r="BG494" s="7" t="s">
        <v>199</v>
      </c>
      <c r="BH494" s="7" t="s">
        <v>199</v>
      </c>
      <c r="BI494" s="7"/>
      <c r="BJ494" s="4">
        <v>40</v>
      </c>
      <c r="BK494" s="8">
        <v>522.26</v>
      </c>
      <c r="BL494" s="2" t="s">
        <v>2839</v>
      </c>
      <c r="BM494" s="7"/>
      <c r="BN494" s="7"/>
      <c r="BO494" s="4"/>
      <c r="BP494" s="8"/>
      <c r="BQ494" s="4"/>
      <c r="BR494" s="8"/>
      <c r="BS494" s="7"/>
      <c r="BT494" s="7"/>
      <c r="BU494" s="2" t="s">
        <v>2829</v>
      </c>
      <c r="BV494" s="2" t="s">
        <v>199</v>
      </c>
      <c r="BW494" s="2" t="s">
        <v>199</v>
      </c>
      <c r="BX494" s="2" t="s">
        <v>208</v>
      </c>
      <c r="BY494" s="2" t="s">
        <v>209</v>
      </c>
      <c r="BZ494" s="2" t="s">
        <v>196</v>
      </c>
      <c r="CA494" s="2" t="s">
        <v>1409</v>
      </c>
      <c r="CB494" s="2" t="s">
        <v>1071</v>
      </c>
      <c r="CC494" s="2" t="s">
        <v>212</v>
      </c>
      <c r="CD494" s="2" t="s">
        <v>199</v>
      </c>
      <c r="CE494" s="4">
        <v>92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>
        <v>110</v>
      </c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>
        <v>94</v>
      </c>
      <c r="EU494" s="4">
        <v>89</v>
      </c>
      <c r="EV494" s="4">
        <v>86</v>
      </c>
      <c r="EW494" s="4">
        <v>83</v>
      </c>
      <c r="EX494" s="4">
        <v>80</v>
      </c>
      <c r="EY494" s="4">
        <v>77</v>
      </c>
      <c r="EZ494" s="4">
        <v>74</v>
      </c>
      <c r="FA494" s="4">
        <v>71</v>
      </c>
      <c r="FB494" s="4">
        <v>67</v>
      </c>
      <c r="FC494" s="4">
        <v>64</v>
      </c>
      <c r="FD494" s="4">
        <v>171</v>
      </c>
      <c r="FE494" s="4">
        <v>168</v>
      </c>
      <c r="FF494" s="4">
        <v>165</v>
      </c>
      <c r="FG494" s="4">
        <v>162</v>
      </c>
      <c r="FH494" s="4">
        <v>159</v>
      </c>
      <c r="FI494" s="4">
        <v>156</v>
      </c>
      <c r="FJ494" s="4">
        <v>153</v>
      </c>
      <c r="FK494" s="4">
        <v>150</v>
      </c>
      <c r="FL494" s="4">
        <v>147</v>
      </c>
      <c r="FM494" s="4">
        <v>144</v>
      </c>
      <c r="FN494" s="4">
        <v>141</v>
      </c>
      <c r="FO494" s="4">
        <v>138</v>
      </c>
      <c r="FP494" s="4">
        <v>134</v>
      </c>
      <c r="FQ494" s="4">
        <v>163</v>
      </c>
      <c r="FR494" s="4">
        <v>160</v>
      </c>
      <c r="FS494" s="4">
        <v>157</v>
      </c>
      <c r="FT494" s="19">
        <v>23.5</v>
      </c>
      <c r="FU494" s="19">
        <v>29.7</v>
      </c>
      <c r="FV494" s="19">
        <v>28.7</v>
      </c>
      <c r="FW494" s="19">
        <v>27.7</v>
      </c>
      <c r="FX494" s="19">
        <v>26.7</v>
      </c>
      <c r="FY494" s="19">
        <v>25.7</v>
      </c>
      <c r="FZ494" s="19">
        <v>24.7</v>
      </c>
      <c r="GA494" s="19">
        <v>23.7</v>
      </c>
      <c r="GB494" s="19">
        <v>22.3</v>
      </c>
      <c r="GC494" s="19">
        <v>21.3</v>
      </c>
      <c r="GD494" s="19">
        <v>57</v>
      </c>
      <c r="GE494" s="19">
        <v>56</v>
      </c>
      <c r="GF494" s="19">
        <v>55</v>
      </c>
      <c r="GG494" s="19">
        <v>54</v>
      </c>
      <c r="GH494" s="19">
        <v>53</v>
      </c>
      <c r="GI494" s="19">
        <v>52</v>
      </c>
      <c r="GJ494" s="19">
        <v>51</v>
      </c>
      <c r="GK494" s="19">
        <v>50</v>
      </c>
      <c r="GL494" s="19">
        <v>49</v>
      </c>
      <c r="GM494" s="19">
        <v>48</v>
      </c>
      <c r="GN494" s="19">
        <v>47</v>
      </c>
      <c r="GO494" s="19">
        <v>46</v>
      </c>
      <c r="GP494" s="19">
        <v>44.7</v>
      </c>
      <c r="GQ494" s="19">
        <v>54.3</v>
      </c>
      <c r="GR494" s="19">
        <v>40</v>
      </c>
      <c r="GS494" s="19">
        <v>39.3</v>
      </c>
    </row>
    <row r="495">
      <c r="A495" s="2" t="s">
        <v>2840</v>
      </c>
      <c r="B495" s="2" t="s">
        <v>245</v>
      </c>
      <c r="C495" s="2" t="s">
        <v>1007</v>
      </c>
      <c r="D495" s="2" t="s">
        <v>247</v>
      </c>
      <c r="E495" s="2" t="s">
        <v>248</v>
      </c>
      <c r="F495" s="2" t="s">
        <v>386</v>
      </c>
      <c r="G495" s="2" t="s">
        <v>386</v>
      </c>
      <c r="H495" s="2" t="s">
        <v>386</v>
      </c>
      <c r="I495" s="2" t="s">
        <v>2827</v>
      </c>
      <c r="J495" s="2" t="s">
        <v>219</v>
      </c>
      <c r="K495" s="2" t="s">
        <v>405</v>
      </c>
      <c r="L495" s="3">
        <v>14.21</v>
      </c>
      <c r="M495" s="3">
        <v>14.92</v>
      </c>
      <c r="N495" s="3">
        <v>32.99</v>
      </c>
      <c r="O495" s="2" t="s">
        <v>196</v>
      </c>
      <c r="P495" s="2" t="s">
        <v>197</v>
      </c>
      <c r="Q495" s="2" t="s">
        <v>198</v>
      </c>
      <c r="R495" s="2" t="s">
        <v>199</v>
      </c>
      <c r="S495" s="2" t="s">
        <v>2834</v>
      </c>
      <c r="T495" s="2" t="s">
        <v>386</v>
      </c>
      <c r="U495" s="2" t="s">
        <v>254</v>
      </c>
      <c r="V495" s="2" t="s">
        <v>202</v>
      </c>
      <c r="W495" s="2" t="s">
        <v>203</v>
      </c>
      <c r="X495" s="2" t="s">
        <v>199</v>
      </c>
      <c r="Y495" s="2" t="s">
        <v>1236</v>
      </c>
      <c r="Z495" s="4"/>
      <c r="AA495" s="4">
        <f>=ROUNDDOWN({0},0)</f>
      </c>
      <c r="AB495" s="5">
        <v>3.3</v>
      </c>
      <c r="AC495" s="2" t="s">
        <v>236</v>
      </c>
      <c r="AD495" s="4">
        <v>120</v>
      </c>
      <c r="AE495" s="4">
        <v>120</v>
      </c>
      <c r="AF495" s="6">
        <v>65</v>
      </c>
      <c r="AG495" s="6"/>
      <c r="AH495" s="7">
        <v>0.0968</v>
      </c>
      <c r="AI495" s="4"/>
      <c r="AJ495" s="4">
        <f>=ROUNDDOWN({0},0)</f>
      </c>
      <c r="AK495" s="5"/>
      <c r="AL495" s="2" t="s">
        <v>199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199</v>
      </c>
      <c r="AW495" s="8" t="s">
        <v>199</v>
      </c>
      <c r="AX495" s="4" t="s">
        <v>199</v>
      </c>
      <c r="AY495" s="8" t="s">
        <v>199</v>
      </c>
      <c r="AZ495" s="7" t="s">
        <v>199</v>
      </c>
      <c r="BA495" s="7" t="s">
        <v>199</v>
      </c>
      <c r="BB495" s="7"/>
      <c r="BC495" s="4" t="s">
        <v>199</v>
      </c>
      <c r="BD495" s="8" t="s">
        <v>199</v>
      </c>
      <c r="BE495" s="4" t="s">
        <v>199</v>
      </c>
      <c r="BF495" s="8" t="s">
        <v>199</v>
      </c>
      <c r="BG495" s="7" t="s">
        <v>199</v>
      </c>
      <c r="BH495" s="7" t="s">
        <v>199</v>
      </c>
      <c r="BI495" s="7"/>
      <c r="BJ495" s="4">
        <v>115</v>
      </c>
      <c r="BK495" s="8">
        <v>1606.75</v>
      </c>
      <c r="BL495" s="2" t="s">
        <v>2841</v>
      </c>
      <c r="BM495" s="7"/>
      <c r="BN495" s="7"/>
      <c r="BO495" s="4"/>
      <c r="BP495" s="8"/>
      <c r="BQ495" s="4"/>
      <c r="BR495" s="8"/>
      <c r="BS495" s="7"/>
      <c r="BT495" s="7"/>
      <c r="BU495" s="2" t="s">
        <v>2829</v>
      </c>
      <c r="BV495" s="2" t="s">
        <v>199</v>
      </c>
      <c r="BW495" s="2" t="s">
        <v>199</v>
      </c>
      <c r="BX495" s="2" t="s">
        <v>208</v>
      </c>
      <c r="BY495" s="2" t="s">
        <v>209</v>
      </c>
      <c r="BZ495" s="2" t="s">
        <v>196</v>
      </c>
      <c r="CA495" s="2" t="s">
        <v>1409</v>
      </c>
      <c r="CB495" s="2" t="s">
        <v>199</v>
      </c>
      <c r="CC495" s="2" t="s">
        <v>212</v>
      </c>
      <c r="CD495" s="2" t="s">
        <v>199</v>
      </c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>
        <v>120</v>
      </c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>
        <v>2</v>
      </c>
      <c r="EU495" s="4"/>
      <c r="EV495" s="4"/>
      <c r="EW495" s="4"/>
      <c r="EX495" s="4"/>
      <c r="EY495" s="4"/>
      <c r="EZ495" s="4"/>
      <c r="FA495" s="4"/>
      <c r="FB495" s="4"/>
      <c r="FC495" s="4"/>
      <c r="FD495" s="4">
        <v>120</v>
      </c>
      <c r="FE495" s="4">
        <v>110</v>
      </c>
      <c r="FF495" s="4">
        <v>106</v>
      </c>
      <c r="FG495" s="4">
        <v>102</v>
      </c>
      <c r="FH495" s="4">
        <v>98</v>
      </c>
      <c r="FI495" s="4">
        <v>94</v>
      </c>
      <c r="FJ495" s="4">
        <v>90</v>
      </c>
      <c r="FK495" s="4">
        <v>86</v>
      </c>
      <c r="FL495" s="4">
        <v>82</v>
      </c>
      <c r="FM495" s="4">
        <v>78</v>
      </c>
      <c r="FN495" s="4">
        <v>74</v>
      </c>
      <c r="FO495" s="4">
        <v>70</v>
      </c>
      <c r="FP495" s="4">
        <v>65</v>
      </c>
      <c r="FQ495" s="4">
        <v>200</v>
      </c>
      <c r="FR495" s="4">
        <v>196</v>
      </c>
      <c r="FS495" s="4">
        <v>192</v>
      </c>
      <c r="FT495" s="19">
        <v>0.7</v>
      </c>
      <c r="FU495" s="20">
        <v>0</v>
      </c>
      <c r="FV495" s="20">
        <v>0</v>
      </c>
      <c r="FW495" s="20">
        <v>0</v>
      </c>
      <c r="FX495" s="20">
        <v>0</v>
      </c>
      <c r="FY495" s="20">
        <v>0</v>
      </c>
      <c r="FZ495" s="20">
        <v>0</v>
      </c>
      <c r="GA495" s="20">
        <v>0</v>
      </c>
      <c r="GB495" s="20">
        <v>0</v>
      </c>
      <c r="GC495" s="20">
        <v>0</v>
      </c>
      <c r="GD495" s="19">
        <v>20</v>
      </c>
      <c r="GE495" s="19">
        <v>27.5</v>
      </c>
      <c r="GF495" s="19">
        <v>26.5</v>
      </c>
      <c r="GG495" s="19">
        <v>25.5</v>
      </c>
      <c r="GH495" s="19">
        <v>24.5</v>
      </c>
      <c r="GI495" s="19">
        <v>23.5</v>
      </c>
      <c r="GJ495" s="19">
        <v>22.5</v>
      </c>
      <c r="GK495" s="19">
        <v>21.5</v>
      </c>
      <c r="GL495" s="19">
        <v>20.5</v>
      </c>
      <c r="GM495" s="19">
        <v>19.5</v>
      </c>
      <c r="GN495" s="19">
        <v>18.5</v>
      </c>
      <c r="GO495" s="19">
        <v>17.5</v>
      </c>
      <c r="GP495" s="19">
        <v>16.3</v>
      </c>
      <c r="GQ495" s="19">
        <v>50</v>
      </c>
      <c r="GR495" s="19">
        <v>49</v>
      </c>
      <c r="GS495" s="19">
        <v>38.4</v>
      </c>
    </row>
    <row r="496">
      <c r="A496" s="2" t="s">
        <v>2842</v>
      </c>
      <c r="B496" s="2" t="s">
        <v>245</v>
      </c>
      <c r="C496" s="2" t="s">
        <v>1007</v>
      </c>
      <c r="D496" s="2" t="s">
        <v>247</v>
      </c>
      <c r="E496" s="2" t="s">
        <v>248</v>
      </c>
      <c r="F496" s="2" t="s">
        <v>386</v>
      </c>
      <c r="G496" s="2" t="s">
        <v>386</v>
      </c>
      <c r="H496" s="2" t="s">
        <v>386</v>
      </c>
      <c r="I496" s="2" t="s">
        <v>2827</v>
      </c>
      <c r="J496" s="2" t="s">
        <v>223</v>
      </c>
      <c r="K496" s="2" t="s">
        <v>405</v>
      </c>
      <c r="L496" s="3">
        <v>16.75</v>
      </c>
      <c r="M496" s="3">
        <v>17.59</v>
      </c>
      <c r="N496" s="3">
        <v>37.99</v>
      </c>
      <c r="O496" s="2" t="s">
        <v>196</v>
      </c>
      <c r="P496" s="2" t="s">
        <v>197</v>
      </c>
      <c r="Q496" s="2" t="s">
        <v>198</v>
      </c>
      <c r="R496" s="2" t="s">
        <v>199</v>
      </c>
      <c r="S496" s="2" t="s">
        <v>2834</v>
      </c>
      <c r="T496" s="2" t="s">
        <v>386</v>
      </c>
      <c r="U496" s="2" t="s">
        <v>254</v>
      </c>
      <c r="V496" s="2" t="s">
        <v>202</v>
      </c>
      <c r="W496" s="2" t="s">
        <v>203</v>
      </c>
      <c r="X496" s="2" t="s">
        <v>199</v>
      </c>
      <c r="Y496" s="2" t="s">
        <v>1236</v>
      </c>
      <c r="Z496" s="4">
        <v>23</v>
      </c>
      <c r="AA496" s="4">
        <f>=ROUNDDOWN(4.6,0)</f>
      </c>
      <c r="AB496" s="5">
        <v>5</v>
      </c>
      <c r="AC496" s="2" t="s">
        <v>236</v>
      </c>
      <c r="AD496" s="4">
        <v>30</v>
      </c>
      <c r="AE496" s="4">
        <v>30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199</v>
      </c>
      <c r="AW496" s="8" t="s">
        <v>199</v>
      </c>
      <c r="AX496" s="4" t="s">
        <v>199</v>
      </c>
      <c r="AY496" s="8" t="s">
        <v>199</v>
      </c>
      <c r="AZ496" s="7" t="s">
        <v>199</v>
      </c>
      <c r="BA496" s="7" t="s">
        <v>199</v>
      </c>
      <c r="BB496" s="7"/>
      <c r="BC496" s="4" t="s">
        <v>199</v>
      </c>
      <c r="BD496" s="8" t="s">
        <v>199</v>
      </c>
      <c r="BE496" s="4" t="s">
        <v>199</v>
      </c>
      <c r="BF496" s="8" t="s">
        <v>199</v>
      </c>
      <c r="BG496" s="7" t="s">
        <v>199</v>
      </c>
      <c r="BH496" s="7" t="s">
        <v>199</v>
      </c>
      <c r="BI496" s="7"/>
      <c r="BJ496" s="4">
        <v>52</v>
      </c>
      <c r="BK496" s="8">
        <v>872.23</v>
      </c>
      <c r="BL496" s="2" t="s">
        <v>327</v>
      </c>
      <c r="BM496" s="7"/>
      <c r="BN496" s="7"/>
      <c r="BO496" s="4"/>
      <c r="BP496" s="8"/>
      <c r="BQ496" s="4"/>
      <c r="BR496" s="8"/>
      <c r="BS496" s="7"/>
      <c r="BT496" s="7"/>
      <c r="BU496" s="2" t="s">
        <v>2829</v>
      </c>
      <c r="BV496" s="2" t="s">
        <v>199</v>
      </c>
      <c r="BW496" s="2" t="s">
        <v>199</v>
      </c>
      <c r="BX496" s="2" t="s">
        <v>208</v>
      </c>
      <c r="BY496" s="2" t="s">
        <v>209</v>
      </c>
      <c r="BZ496" s="2" t="s">
        <v>196</v>
      </c>
      <c r="CA496" s="2" t="s">
        <v>1409</v>
      </c>
      <c r="CB496" s="2" t="s">
        <v>199</v>
      </c>
      <c r="CC496" s="2" t="s">
        <v>212</v>
      </c>
      <c r="CD496" s="2" t="s">
        <v>199</v>
      </c>
      <c r="CE496" s="4">
        <v>23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>
        <v>30</v>
      </c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>
        <v>23</v>
      </c>
      <c r="EU496" s="4">
        <v>18</v>
      </c>
      <c r="EV496" s="4">
        <v>13</v>
      </c>
      <c r="EW496" s="4">
        <v>8</v>
      </c>
      <c r="EX496" s="4">
        <v>3</v>
      </c>
      <c r="EY496" s="4"/>
      <c r="EZ496" s="4"/>
      <c r="FA496" s="4"/>
      <c r="FB496" s="4"/>
      <c r="FC496" s="4"/>
      <c r="FD496" s="4">
        <v>30</v>
      </c>
      <c r="FE496" s="4">
        <v>25</v>
      </c>
      <c r="FF496" s="4">
        <v>20</v>
      </c>
      <c r="FG496" s="4">
        <v>15</v>
      </c>
      <c r="FH496" s="4">
        <v>10</v>
      </c>
      <c r="FI496" s="4">
        <v>5</v>
      </c>
      <c r="FJ496" s="4"/>
      <c r="FK496" s="4"/>
      <c r="FL496" s="4"/>
      <c r="FM496" s="4"/>
      <c r="FN496" s="4"/>
      <c r="FO496" s="4"/>
      <c r="FP496" s="4"/>
      <c r="FQ496" s="4">
        <v>255</v>
      </c>
      <c r="FR496" s="4">
        <v>250</v>
      </c>
      <c r="FS496" s="4">
        <v>245</v>
      </c>
      <c r="FT496" s="19">
        <v>4.6</v>
      </c>
      <c r="FU496" s="19">
        <v>3.6</v>
      </c>
      <c r="FV496" s="19">
        <v>2.6</v>
      </c>
      <c r="FW496" s="19">
        <v>1.6</v>
      </c>
      <c r="FX496" s="19">
        <v>0.6</v>
      </c>
      <c r="FY496" s="20">
        <v>0</v>
      </c>
      <c r="FZ496" s="20">
        <v>0</v>
      </c>
      <c r="GA496" s="20">
        <v>0</v>
      </c>
      <c r="GB496" s="20">
        <v>0</v>
      </c>
      <c r="GC496" s="20">
        <v>0</v>
      </c>
      <c r="GD496" s="19">
        <v>6</v>
      </c>
      <c r="GE496" s="19">
        <v>5</v>
      </c>
      <c r="GF496" s="19">
        <v>4</v>
      </c>
      <c r="GG496" s="19">
        <v>3</v>
      </c>
      <c r="GH496" s="19">
        <v>2</v>
      </c>
      <c r="GI496" s="19">
        <v>1</v>
      </c>
      <c r="GJ496" s="20">
        <v>0</v>
      </c>
      <c r="GK496" s="20">
        <v>0</v>
      </c>
      <c r="GL496" s="20">
        <v>0</v>
      </c>
      <c r="GM496" s="20">
        <v>0</v>
      </c>
      <c r="GN496" s="20">
        <v>0</v>
      </c>
      <c r="GO496" s="20">
        <v>0</v>
      </c>
      <c r="GP496" s="20">
        <v>0</v>
      </c>
      <c r="GQ496" s="19">
        <v>51</v>
      </c>
      <c r="GR496" s="19">
        <v>50</v>
      </c>
      <c r="GS496" s="19">
        <v>40.8</v>
      </c>
    </row>
    <row r="497">
      <c r="A497" s="2" t="s">
        <v>2843</v>
      </c>
      <c r="B497" s="2" t="s">
        <v>245</v>
      </c>
      <c r="C497" s="2" t="s">
        <v>1007</v>
      </c>
      <c r="D497" s="2" t="s">
        <v>247</v>
      </c>
      <c r="E497" s="2" t="s">
        <v>248</v>
      </c>
      <c r="F497" s="2" t="s">
        <v>386</v>
      </c>
      <c r="G497" s="2" t="s">
        <v>386</v>
      </c>
      <c r="H497" s="2" t="s">
        <v>386</v>
      </c>
      <c r="I497" s="2" t="s">
        <v>2827</v>
      </c>
      <c r="J497" s="2" t="s">
        <v>194</v>
      </c>
      <c r="K497" s="2" t="s">
        <v>584</v>
      </c>
      <c r="L497" s="3">
        <v>11.18</v>
      </c>
      <c r="M497" s="3">
        <v>11.74</v>
      </c>
      <c r="N497" s="3">
        <v>27.99</v>
      </c>
      <c r="O497" s="2" t="s">
        <v>196</v>
      </c>
      <c r="P497" s="2" t="s">
        <v>197</v>
      </c>
      <c r="Q497" s="2" t="s">
        <v>198</v>
      </c>
      <c r="R497" s="2" t="s">
        <v>199</v>
      </c>
      <c r="S497" s="2" t="s">
        <v>2844</v>
      </c>
      <c r="T497" s="2" t="s">
        <v>386</v>
      </c>
      <c r="U497" s="2" t="s">
        <v>199</v>
      </c>
      <c r="V497" s="2" t="s">
        <v>202</v>
      </c>
      <c r="W497" s="2" t="s">
        <v>203</v>
      </c>
      <c r="X497" s="2" t="s">
        <v>199</v>
      </c>
      <c r="Y497" s="2" t="s">
        <v>204</v>
      </c>
      <c r="Z497" s="4">
        <v>99</v>
      </c>
      <c r="AA497" s="4">
        <f>=ROUNDDOWN(12.375,0)</f>
      </c>
      <c r="AB497" s="5">
        <v>8</v>
      </c>
      <c r="AC497" s="2" t="s">
        <v>2845</v>
      </c>
      <c r="AD497" s="4">
        <v>80</v>
      </c>
      <c r="AE497" s="4">
        <v>270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199</v>
      </c>
      <c r="AW497" s="8" t="s">
        <v>199</v>
      </c>
      <c r="AX497" s="4" t="s">
        <v>199</v>
      </c>
      <c r="AY497" s="8" t="s">
        <v>199</v>
      </c>
      <c r="AZ497" s="7" t="s">
        <v>199</v>
      </c>
      <c r="BA497" s="7" t="s">
        <v>199</v>
      </c>
      <c r="BB497" s="7" t="s">
        <v>199</v>
      </c>
      <c r="BC497" s="4" t="s">
        <v>199</v>
      </c>
      <c r="BD497" s="8" t="s">
        <v>199</v>
      </c>
      <c r="BE497" s="4" t="s">
        <v>199</v>
      </c>
      <c r="BF497" s="8" t="s">
        <v>199</v>
      </c>
      <c r="BG497" s="7" t="s">
        <v>199</v>
      </c>
      <c r="BH497" s="7" t="s">
        <v>199</v>
      </c>
      <c r="BI497" s="7"/>
      <c r="BJ497" s="4">
        <v>104</v>
      </c>
      <c r="BK497" s="8">
        <v>1178.1</v>
      </c>
      <c r="BL497" s="2" t="s">
        <v>2846</v>
      </c>
      <c r="BM497" s="7"/>
      <c r="BN497" s="7"/>
      <c r="BO497" s="4"/>
      <c r="BP497" s="8"/>
      <c r="BQ497" s="4"/>
      <c r="BR497" s="8"/>
      <c r="BS497" s="7"/>
      <c r="BT497" s="7"/>
      <c r="BU497" s="2" t="s">
        <v>2829</v>
      </c>
      <c r="BV497" s="2" t="s">
        <v>199</v>
      </c>
      <c r="BW497" s="2" t="s">
        <v>199</v>
      </c>
      <c r="BX497" s="2" t="s">
        <v>208</v>
      </c>
      <c r="BY497" s="2" t="s">
        <v>209</v>
      </c>
      <c r="BZ497" s="2" t="s">
        <v>196</v>
      </c>
      <c r="CA497" s="2" t="s">
        <v>2847</v>
      </c>
      <c r="CB497" s="2" t="s">
        <v>2848</v>
      </c>
      <c r="CC497" s="2" t="s">
        <v>212</v>
      </c>
      <c r="CD497" s="2" t="s">
        <v>199</v>
      </c>
      <c r="CE497" s="4">
        <v>99</v>
      </c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>
        <v>80</v>
      </c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>
        <v>100</v>
      </c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>
        <v>90</v>
      </c>
      <c r="ER497" s="4"/>
      <c r="ES497" s="4"/>
      <c r="ET497" s="4">
        <v>99</v>
      </c>
      <c r="EU497" s="4">
        <v>77</v>
      </c>
      <c r="EV497" s="4">
        <v>69</v>
      </c>
      <c r="EW497" s="4">
        <v>141</v>
      </c>
      <c r="EX497" s="4">
        <v>133</v>
      </c>
      <c r="EY497" s="4">
        <v>125</v>
      </c>
      <c r="EZ497" s="4">
        <v>117</v>
      </c>
      <c r="FA497" s="4">
        <v>109</v>
      </c>
      <c r="FB497" s="4">
        <v>100</v>
      </c>
      <c r="FC497" s="4">
        <v>92</v>
      </c>
      <c r="FD497" s="4">
        <v>184</v>
      </c>
      <c r="FE497" s="4">
        <v>176</v>
      </c>
      <c r="FF497" s="4">
        <v>168</v>
      </c>
      <c r="FG497" s="4">
        <v>160</v>
      </c>
      <c r="FH497" s="4">
        <v>152</v>
      </c>
      <c r="FI497" s="4">
        <v>144</v>
      </c>
      <c r="FJ497" s="4">
        <v>136</v>
      </c>
      <c r="FK497" s="4">
        <v>128</v>
      </c>
      <c r="FL497" s="4">
        <v>120</v>
      </c>
      <c r="FM497" s="4">
        <v>202</v>
      </c>
      <c r="FN497" s="4">
        <v>194</v>
      </c>
      <c r="FO497" s="4">
        <v>185</v>
      </c>
      <c r="FP497" s="4">
        <v>176</v>
      </c>
      <c r="FQ497" s="4">
        <v>167</v>
      </c>
      <c r="FR497" s="4">
        <v>158</v>
      </c>
      <c r="FS497" s="4">
        <v>149</v>
      </c>
      <c r="FT497" s="19">
        <v>8.3</v>
      </c>
      <c r="FU497" s="19">
        <v>9.6</v>
      </c>
      <c r="FV497" s="19">
        <v>8.6</v>
      </c>
      <c r="FW497" s="19">
        <v>17.6</v>
      </c>
      <c r="FX497" s="19">
        <v>16.6</v>
      </c>
      <c r="FY497" s="19">
        <v>15.6</v>
      </c>
      <c r="FZ497" s="19">
        <v>14.6</v>
      </c>
      <c r="GA497" s="19">
        <v>13.6</v>
      </c>
      <c r="GB497" s="19">
        <v>12.5</v>
      </c>
      <c r="GC497" s="19">
        <v>11.5</v>
      </c>
      <c r="GD497" s="19">
        <v>23</v>
      </c>
      <c r="GE497" s="19">
        <v>22</v>
      </c>
      <c r="GF497" s="19">
        <v>21</v>
      </c>
      <c r="GG497" s="19">
        <v>20</v>
      </c>
      <c r="GH497" s="19">
        <v>19</v>
      </c>
      <c r="GI497" s="19">
        <v>18</v>
      </c>
      <c r="GJ497" s="19">
        <v>17</v>
      </c>
      <c r="GK497" s="19">
        <v>16</v>
      </c>
      <c r="GL497" s="19">
        <v>15</v>
      </c>
      <c r="GM497" s="19">
        <v>22.4</v>
      </c>
      <c r="GN497" s="19">
        <v>21.6</v>
      </c>
      <c r="GO497" s="19">
        <v>20.6</v>
      </c>
      <c r="GP497" s="19">
        <v>19.6</v>
      </c>
      <c r="GQ497" s="19">
        <v>18.6</v>
      </c>
      <c r="GR497" s="19">
        <v>17.6</v>
      </c>
      <c r="GS497" s="19">
        <v>16.6</v>
      </c>
    </row>
    <row r="498">
      <c r="A498" s="2" t="s">
        <v>2849</v>
      </c>
      <c r="B498" s="2" t="s">
        <v>245</v>
      </c>
      <c r="C498" s="2" t="s">
        <v>1007</v>
      </c>
      <c r="D498" s="2" t="s">
        <v>247</v>
      </c>
      <c r="E498" s="2" t="s">
        <v>248</v>
      </c>
      <c r="F498" s="2" t="s">
        <v>386</v>
      </c>
      <c r="G498" s="2" t="s">
        <v>386</v>
      </c>
      <c r="H498" s="2" t="s">
        <v>386</v>
      </c>
      <c r="I498" s="2" t="s">
        <v>2850</v>
      </c>
      <c r="J498" s="2" t="s">
        <v>194</v>
      </c>
      <c r="K498" s="2" t="s">
        <v>584</v>
      </c>
      <c r="L498" s="3">
        <v>12.15</v>
      </c>
      <c r="M498" s="3">
        <v>12.76</v>
      </c>
      <c r="N498" s="3">
        <v>26.99</v>
      </c>
      <c r="O498" s="2" t="s">
        <v>196</v>
      </c>
      <c r="P498" s="2" t="s">
        <v>197</v>
      </c>
      <c r="Q498" s="2" t="s">
        <v>198</v>
      </c>
      <c r="R498" s="2" t="s">
        <v>199</v>
      </c>
      <c r="S498" s="2" t="s">
        <v>2844</v>
      </c>
      <c r="T498" s="2" t="s">
        <v>386</v>
      </c>
      <c r="U498" s="2" t="s">
        <v>254</v>
      </c>
      <c r="V498" s="2" t="s">
        <v>202</v>
      </c>
      <c r="W498" s="2" t="s">
        <v>203</v>
      </c>
      <c r="X498" s="2" t="s">
        <v>510</v>
      </c>
      <c r="Y498" s="2" t="s">
        <v>2851</v>
      </c>
      <c r="Z498" s="4">
        <v>135</v>
      </c>
      <c r="AA498" s="4">
        <f>=ROUNDDOWN(27,0)</f>
      </c>
      <c r="AB498" s="5">
        <v>5</v>
      </c>
      <c r="AC498" s="2" t="s">
        <v>892</v>
      </c>
      <c r="AD498" s="4">
        <v>40</v>
      </c>
      <c r="AE498" s="4">
        <v>70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199</v>
      </c>
      <c r="AW498" s="8" t="s">
        <v>199</v>
      </c>
      <c r="AX498" s="4" t="s">
        <v>199</v>
      </c>
      <c r="AY498" s="8" t="s">
        <v>199</v>
      </c>
      <c r="AZ498" s="7" t="s">
        <v>199</v>
      </c>
      <c r="BA498" s="7" t="s">
        <v>199</v>
      </c>
      <c r="BB498" s="7" t="s">
        <v>199</v>
      </c>
      <c r="BC498" s="4" t="s">
        <v>199</v>
      </c>
      <c r="BD498" s="8" t="s">
        <v>199</v>
      </c>
      <c r="BE498" s="4" t="s">
        <v>199</v>
      </c>
      <c r="BF498" s="8" t="s">
        <v>199</v>
      </c>
      <c r="BG498" s="7" t="s">
        <v>199</v>
      </c>
      <c r="BH498" s="7" t="s">
        <v>199</v>
      </c>
      <c r="BI498" s="7"/>
      <c r="BJ498" s="4">
        <v>77</v>
      </c>
      <c r="BK498" s="8">
        <v>1004.67</v>
      </c>
      <c r="BL498" s="2" t="s">
        <v>2852</v>
      </c>
      <c r="BM498" s="7"/>
      <c r="BN498" s="7"/>
      <c r="BO498" s="4"/>
      <c r="BP498" s="8"/>
      <c r="BQ498" s="4"/>
      <c r="BR498" s="8"/>
      <c r="BS498" s="7"/>
      <c r="BT498" s="7"/>
      <c r="BU498" s="2" t="s">
        <v>2853</v>
      </c>
      <c r="BV498" s="2" t="s">
        <v>199</v>
      </c>
      <c r="BW498" s="2" t="s">
        <v>199</v>
      </c>
      <c r="BX498" s="2" t="s">
        <v>208</v>
      </c>
      <c r="BY498" s="2" t="s">
        <v>209</v>
      </c>
      <c r="BZ498" s="2" t="s">
        <v>196</v>
      </c>
      <c r="CA498" s="2" t="s">
        <v>2854</v>
      </c>
      <c r="CB498" s="2" t="s">
        <v>2855</v>
      </c>
      <c r="CC498" s="2" t="s">
        <v>212</v>
      </c>
      <c r="CD498" s="2" t="s">
        <v>199</v>
      </c>
      <c r="CE498" s="4">
        <v>135</v>
      </c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>
        <v>40</v>
      </c>
      <c r="EN498" s="4"/>
      <c r="EO498" s="4"/>
      <c r="EP498" s="4"/>
      <c r="EQ498" s="4">
        <v>30</v>
      </c>
      <c r="ER498" s="4"/>
      <c r="ES498" s="4"/>
      <c r="ET498" s="4">
        <v>135</v>
      </c>
      <c r="EU498" s="4">
        <v>123</v>
      </c>
      <c r="EV498" s="4">
        <v>118</v>
      </c>
      <c r="EW498" s="4">
        <v>113</v>
      </c>
      <c r="EX498" s="4">
        <v>108</v>
      </c>
      <c r="EY498" s="4">
        <v>103</v>
      </c>
      <c r="EZ498" s="4">
        <v>98</v>
      </c>
      <c r="FA498" s="4">
        <v>93</v>
      </c>
      <c r="FB498" s="4">
        <v>87</v>
      </c>
      <c r="FC498" s="4">
        <v>82</v>
      </c>
      <c r="FD498" s="4">
        <v>77</v>
      </c>
      <c r="FE498" s="4">
        <v>72</v>
      </c>
      <c r="FF498" s="4">
        <v>67</v>
      </c>
      <c r="FG498" s="4">
        <v>62</v>
      </c>
      <c r="FH498" s="4">
        <v>57</v>
      </c>
      <c r="FI498" s="4">
        <v>52</v>
      </c>
      <c r="FJ498" s="4">
        <v>87</v>
      </c>
      <c r="FK498" s="4">
        <v>82</v>
      </c>
      <c r="FL498" s="4">
        <v>77</v>
      </c>
      <c r="FM498" s="4">
        <v>102</v>
      </c>
      <c r="FN498" s="4">
        <v>97</v>
      </c>
      <c r="FO498" s="4">
        <v>91</v>
      </c>
      <c r="FP498" s="4">
        <v>85</v>
      </c>
      <c r="FQ498" s="4">
        <v>79</v>
      </c>
      <c r="FR498" s="4">
        <v>73</v>
      </c>
      <c r="FS498" s="4">
        <v>67</v>
      </c>
      <c r="FT498" s="19">
        <v>19.3</v>
      </c>
      <c r="FU498" s="19">
        <v>24.6</v>
      </c>
      <c r="FV498" s="19">
        <v>23.6</v>
      </c>
      <c r="FW498" s="19">
        <v>22.6</v>
      </c>
      <c r="FX498" s="19">
        <v>21.6</v>
      </c>
      <c r="FY498" s="19">
        <v>20.6</v>
      </c>
      <c r="FZ498" s="19">
        <v>19.6</v>
      </c>
      <c r="GA498" s="19">
        <v>18.6</v>
      </c>
      <c r="GB498" s="19">
        <v>17.4</v>
      </c>
      <c r="GC498" s="19">
        <v>16.4</v>
      </c>
      <c r="GD498" s="19">
        <v>15.4</v>
      </c>
      <c r="GE498" s="19">
        <v>14.4</v>
      </c>
      <c r="GF498" s="19">
        <v>13.4</v>
      </c>
      <c r="GG498" s="19">
        <v>12.4</v>
      </c>
      <c r="GH498" s="19">
        <v>11.4</v>
      </c>
      <c r="GI498" s="19">
        <v>10.4</v>
      </c>
      <c r="GJ498" s="19">
        <v>17.4</v>
      </c>
      <c r="GK498" s="19">
        <v>16.4</v>
      </c>
      <c r="GL498" s="19">
        <v>12.8</v>
      </c>
      <c r="GM498" s="19">
        <v>17</v>
      </c>
      <c r="GN498" s="19">
        <v>16.2</v>
      </c>
      <c r="GO498" s="19">
        <v>15.2</v>
      </c>
      <c r="GP498" s="19">
        <v>14.2</v>
      </c>
      <c r="GQ498" s="19">
        <v>13.2</v>
      </c>
      <c r="GR498" s="19">
        <v>12.2</v>
      </c>
      <c r="GS498" s="19">
        <v>11.2</v>
      </c>
    </row>
    <row r="499">
      <c r="A499" s="2" t="s">
        <v>2856</v>
      </c>
      <c r="B499" s="2" t="s">
        <v>245</v>
      </c>
      <c r="C499" s="2" t="s">
        <v>1007</v>
      </c>
      <c r="D499" s="2" t="s">
        <v>247</v>
      </c>
      <c r="E499" s="2" t="s">
        <v>248</v>
      </c>
      <c r="F499" s="2" t="s">
        <v>386</v>
      </c>
      <c r="G499" s="2" t="s">
        <v>386</v>
      </c>
      <c r="H499" s="2" t="s">
        <v>386</v>
      </c>
      <c r="I499" s="2" t="s">
        <v>2827</v>
      </c>
      <c r="J499" s="2" t="s">
        <v>214</v>
      </c>
      <c r="K499" s="2" t="s">
        <v>584</v>
      </c>
      <c r="L499" s="3">
        <v>11.18</v>
      </c>
      <c r="M499" s="3">
        <v>11.74</v>
      </c>
      <c r="N499" s="3">
        <v>27.99</v>
      </c>
      <c r="O499" s="2" t="s">
        <v>196</v>
      </c>
      <c r="P499" s="2" t="s">
        <v>197</v>
      </c>
      <c r="Q499" s="2" t="s">
        <v>198</v>
      </c>
      <c r="R499" s="2" t="s">
        <v>199</v>
      </c>
      <c r="S499" s="2" t="s">
        <v>2844</v>
      </c>
      <c r="T499" s="2" t="s">
        <v>386</v>
      </c>
      <c r="U499" s="2" t="s">
        <v>199</v>
      </c>
      <c r="V499" s="2" t="s">
        <v>202</v>
      </c>
      <c r="W499" s="2" t="s">
        <v>203</v>
      </c>
      <c r="X499" s="2" t="s">
        <v>199</v>
      </c>
      <c r="Y499" s="2" t="s">
        <v>204</v>
      </c>
      <c r="Z499" s="4">
        <v>272</v>
      </c>
      <c r="AA499" s="4">
        <f>=ROUNDDOWN(61.8181818181818,0)</f>
      </c>
      <c r="AB499" s="5">
        <v>4.4</v>
      </c>
      <c r="AC499" s="2" t="s">
        <v>199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199</v>
      </c>
      <c r="AW499" s="8" t="s">
        <v>199</v>
      </c>
      <c r="AX499" s="4" t="s">
        <v>199</v>
      </c>
      <c r="AY499" s="8" t="s">
        <v>199</v>
      </c>
      <c r="AZ499" s="7" t="s">
        <v>199</v>
      </c>
      <c r="BA499" s="7" t="s">
        <v>199</v>
      </c>
      <c r="BB499" s="7" t="s">
        <v>199</v>
      </c>
      <c r="BC499" s="4" t="s">
        <v>199</v>
      </c>
      <c r="BD499" s="8" t="s">
        <v>199</v>
      </c>
      <c r="BE499" s="4" t="s">
        <v>199</v>
      </c>
      <c r="BF499" s="8" t="s">
        <v>199</v>
      </c>
      <c r="BG499" s="7" t="s">
        <v>199</v>
      </c>
      <c r="BH499" s="7" t="s">
        <v>199</v>
      </c>
      <c r="BI499" s="7"/>
      <c r="BJ499" s="4">
        <v>71</v>
      </c>
      <c r="BK499" s="8">
        <v>786.62</v>
      </c>
      <c r="BL499" s="2" t="s">
        <v>2857</v>
      </c>
      <c r="BM499" s="7"/>
      <c r="BN499" s="7"/>
      <c r="BO499" s="4"/>
      <c r="BP499" s="8"/>
      <c r="BQ499" s="4"/>
      <c r="BR499" s="8"/>
      <c r="BS499" s="7"/>
      <c r="BT499" s="7"/>
      <c r="BU499" s="2" t="s">
        <v>2829</v>
      </c>
      <c r="BV499" s="2" t="s">
        <v>199</v>
      </c>
      <c r="BW499" s="2" t="s">
        <v>199</v>
      </c>
      <c r="BX499" s="2" t="s">
        <v>208</v>
      </c>
      <c r="BY499" s="2" t="s">
        <v>209</v>
      </c>
      <c r="BZ499" s="2" t="s">
        <v>196</v>
      </c>
      <c r="CA499" s="2" t="s">
        <v>2847</v>
      </c>
      <c r="CB499" s="2" t="s">
        <v>2858</v>
      </c>
      <c r="CC499" s="2" t="s">
        <v>212</v>
      </c>
      <c r="CD499" s="2" t="s">
        <v>199</v>
      </c>
      <c r="CE499" s="4">
        <v>272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>
        <v>274</v>
      </c>
      <c r="EU499" s="4">
        <v>268</v>
      </c>
      <c r="EV499" s="4">
        <v>264</v>
      </c>
      <c r="EW499" s="4">
        <v>260</v>
      </c>
      <c r="EX499" s="4">
        <v>256</v>
      </c>
      <c r="EY499" s="4">
        <v>252</v>
      </c>
      <c r="EZ499" s="4">
        <v>248</v>
      </c>
      <c r="FA499" s="4">
        <v>244</v>
      </c>
      <c r="FB499" s="4">
        <v>239</v>
      </c>
      <c r="FC499" s="4">
        <v>235</v>
      </c>
      <c r="FD499" s="4">
        <v>231</v>
      </c>
      <c r="FE499" s="4">
        <v>227</v>
      </c>
      <c r="FF499" s="4">
        <v>223</v>
      </c>
      <c r="FG499" s="4">
        <v>219</v>
      </c>
      <c r="FH499" s="4">
        <v>215</v>
      </c>
      <c r="FI499" s="4">
        <v>211</v>
      </c>
      <c r="FJ499" s="4">
        <v>206</v>
      </c>
      <c r="FK499" s="4">
        <v>201</v>
      </c>
      <c r="FL499" s="4">
        <v>196</v>
      </c>
      <c r="FM499" s="4">
        <v>191</v>
      </c>
      <c r="FN499" s="4">
        <v>186</v>
      </c>
      <c r="FO499" s="4">
        <v>181</v>
      </c>
      <c r="FP499" s="4">
        <v>176</v>
      </c>
      <c r="FQ499" s="4">
        <v>171</v>
      </c>
      <c r="FR499" s="4">
        <v>166</v>
      </c>
      <c r="FS499" s="4">
        <v>161</v>
      </c>
      <c r="FT499" s="19">
        <v>68.5</v>
      </c>
      <c r="FU499" s="19">
        <v>67</v>
      </c>
      <c r="FV499" s="19">
        <v>66</v>
      </c>
      <c r="FW499" s="19">
        <v>65</v>
      </c>
      <c r="FX499" s="19">
        <v>64</v>
      </c>
      <c r="FY499" s="19">
        <v>63</v>
      </c>
      <c r="FZ499" s="19">
        <v>62</v>
      </c>
      <c r="GA499" s="19">
        <v>61</v>
      </c>
      <c r="GB499" s="19">
        <v>59.8</v>
      </c>
      <c r="GC499" s="19">
        <v>58.8</v>
      </c>
      <c r="GD499" s="19">
        <v>57.8</v>
      </c>
      <c r="GE499" s="19">
        <v>56.8</v>
      </c>
      <c r="GF499" s="19">
        <v>55.8</v>
      </c>
      <c r="GG499" s="19">
        <v>54.8</v>
      </c>
      <c r="GH499" s="19">
        <v>43</v>
      </c>
      <c r="GI499" s="19">
        <v>42.2</v>
      </c>
      <c r="GJ499" s="19">
        <v>41.2</v>
      </c>
      <c r="GK499" s="19">
        <v>40.2</v>
      </c>
      <c r="GL499" s="19">
        <v>39.2</v>
      </c>
      <c r="GM499" s="19">
        <v>38.2</v>
      </c>
      <c r="GN499" s="19">
        <v>37.2</v>
      </c>
      <c r="GO499" s="19">
        <v>36.2</v>
      </c>
      <c r="GP499" s="19">
        <v>22</v>
      </c>
      <c r="GQ499" s="19">
        <v>14.3</v>
      </c>
      <c r="GR499" s="19">
        <v>9.8</v>
      </c>
      <c r="GS499" s="19">
        <v>7.3</v>
      </c>
    </row>
    <row r="500">
      <c r="A500" s="2" t="s">
        <v>2859</v>
      </c>
      <c r="B500" s="2" t="s">
        <v>245</v>
      </c>
      <c r="C500" s="2" t="s">
        <v>1007</v>
      </c>
      <c r="D500" s="2" t="s">
        <v>247</v>
      </c>
      <c r="E500" s="2" t="s">
        <v>248</v>
      </c>
      <c r="F500" s="2" t="s">
        <v>386</v>
      </c>
      <c r="G500" s="2" t="s">
        <v>386</v>
      </c>
      <c r="H500" s="2" t="s">
        <v>386</v>
      </c>
      <c r="I500" s="2" t="s">
        <v>2850</v>
      </c>
      <c r="J500" s="2" t="s">
        <v>214</v>
      </c>
      <c r="K500" s="2" t="s">
        <v>584</v>
      </c>
      <c r="L500" s="3">
        <v>12.15</v>
      </c>
      <c r="M500" s="3">
        <v>12.76</v>
      </c>
      <c r="N500" s="3">
        <v>26.99</v>
      </c>
      <c r="O500" s="2" t="s">
        <v>196</v>
      </c>
      <c r="P500" s="2" t="s">
        <v>197</v>
      </c>
      <c r="Q500" s="2" t="s">
        <v>198</v>
      </c>
      <c r="R500" s="2" t="s">
        <v>199</v>
      </c>
      <c r="S500" s="2" t="s">
        <v>2844</v>
      </c>
      <c r="T500" s="2" t="s">
        <v>386</v>
      </c>
      <c r="U500" s="2" t="s">
        <v>254</v>
      </c>
      <c r="V500" s="2" t="s">
        <v>202</v>
      </c>
      <c r="W500" s="2" t="s">
        <v>203</v>
      </c>
      <c r="X500" s="2" t="s">
        <v>510</v>
      </c>
      <c r="Y500" s="2" t="s">
        <v>2851</v>
      </c>
      <c r="Z500" s="4">
        <v>523</v>
      </c>
      <c r="AA500" s="4">
        <f>=ROUNDDOWN(84.3548387096774,0)</f>
      </c>
      <c r="AB500" s="5">
        <v>6.2</v>
      </c>
      <c r="AC500" s="2" t="s">
        <v>199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199</v>
      </c>
      <c r="AW500" s="8" t="s">
        <v>199</v>
      </c>
      <c r="AX500" s="4" t="s">
        <v>199</v>
      </c>
      <c r="AY500" s="8" t="s">
        <v>199</v>
      </c>
      <c r="AZ500" s="7" t="s">
        <v>199</v>
      </c>
      <c r="BA500" s="7" t="s">
        <v>199</v>
      </c>
      <c r="BB500" s="7" t="s">
        <v>199</v>
      </c>
      <c r="BC500" s="4" t="s">
        <v>199</v>
      </c>
      <c r="BD500" s="8" t="s">
        <v>199</v>
      </c>
      <c r="BE500" s="4" t="s">
        <v>199</v>
      </c>
      <c r="BF500" s="8" t="s">
        <v>199</v>
      </c>
      <c r="BG500" s="7" t="s">
        <v>199</v>
      </c>
      <c r="BH500" s="7" t="s">
        <v>199</v>
      </c>
      <c r="BI500" s="7"/>
      <c r="BJ500" s="4">
        <v>27</v>
      </c>
      <c r="BK500" s="8">
        <v>350.31</v>
      </c>
      <c r="BL500" s="2" t="s">
        <v>1937</v>
      </c>
      <c r="BM500" s="7"/>
      <c r="BN500" s="7"/>
      <c r="BO500" s="4"/>
      <c r="BP500" s="8"/>
      <c r="BQ500" s="4"/>
      <c r="BR500" s="8"/>
      <c r="BS500" s="7"/>
      <c r="BT500" s="7"/>
      <c r="BU500" s="2" t="s">
        <v>2853</v>
      </c>
      <c r="BV500" s="2" t="s">
        <v>199</v>
      </c>
      <c r="BW500" s="2" t="s">
        <v>199</v>
      </c>
      <c r="BX500" s="2" t="s">
        <v>208</v>
      </c>
      <c r="BY500" s="2" t="s">
        <v>209</v>
      </c>
      <c r="BZ500" s="2" t="s">
        <v>196</v>
      </c>
      <c r="CA500" s="2" t="s">
        <v>2854</v>
      </c>
      <c r="CB500" s="2" t="s">
        <v>2860</v>
      </c>
      <c r="CC500" s="2" t="s">
        <v>212</v>
      </c>
      <c r="CD500" s="2" t="s">
        <v>199</v>
      </c>
      <c r="CE500" s="4">
        <v>523</v>
      </c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>
        <v>523</v>
      </c>
      <c r="EU500" s="4">
        <v>517</v>
      </c>
      <c r="EV500" s="4">
        <v>511</v>
      </c>
      <c r="EW500" s="4">
        <v>505</v>
      </c>
      <c r="EX500" s="4">
        <v>499</v>
      </c>
      <c r="EY500" s="4">
        <v>493</v>
      </c>
      <c r="EZ500" s="4">
        <v>487</v>
      </c>
      <c r="FA500" s="4">
        <v>481</v>
      </c>
      <c r="FB500" s="4">
        <v>474</v>
      </c>
      <c r="FC500" s="4">
        <v>468</v>
      </c>
      <c r="FD500" s="4">
        <v>462</v>
      </c>
      <c r="FE500" s="4">
        <v>456</v>
      </c>
      <c r="FF500" s="4">
        <v>450</v>
      </c>
      <c r="FG500" s="4">
        <v>444</v>
      </c>
      <c r="FH500" s="4">
        <v>438</v>
      </c>
      <c r="FI500" s="4">
        <v>432</v>
      </c>
      <c r="FJ500" s="4">
        <v>425</v>
      </c>
      <c r="FK500" s="4">
        <v>418</v>
      </c>
      <c r="FL500" s="4">
        <v>411</v>
      </c>
      <c r="FM500" s="4">
        <v>404</v>
      </c>
      <c r="FN500" s="4">
        <v>397</v>
      </c>
      <c r="FO500" s="4">
        <v>390</v>
      </c>
      <c r="FP500" s="4">
        <v>382</v>
      </c>
      <c r="FQ500" s="4">
        <v>374</v>
      </c>
      <c r="FR500" s="4">
        <v>366</v>
      </c>
      <c r="FS500" s="4">
        <v>358</v>
      </c>
      <c r="FT500" s="19">
        <v>87.2</v>
      </c>
      <c r="FU500" s="19">
        <v>86.2</v>
      </c>
      <c r="FV500" s="19">
        <v>85.2</v>
      </c>
      <c r="FW500" s="19">
        <v>84.2</v>
      </c>
      <c r="FX500" s="19">
        <v>83.2</v>
      </c>
      <c r="FY500" s="19">
        <v>82.2</v>
      </c>
      <c r="FZ500" s="19">
        <v>81.2</v>
      </c>
      <c r="GA500" s="19">
        <v>80.2</v>
      </c>
      <c r="GB500" s="19">
        <v>79</v>
      </c>
      <c r="GC500" s="19">
        <v>78</v>
      </c>
      <c r="GD500" s="19">
        <v>77</v>
      </c>
      <c r="GE500" s="19">
        <v>76</v>
      </c>
      <c r="GF500" s="19">
        <v>75</v>
      </c>
      <c r="GG500" s="19">
        <v>74</v>
      </c>
      <c r="GH500" s="19">
        <v>62.6</v>
      </c>
      <c r="GI500" s="19">
        <v>61.7</v>
      </c>
      <c r="GJ500" s="19">
        <v>60.7</v>
      </c>
      <c r="GK500" s="19">
        <v>59.7</v>
      </c>
      <c r="GL500" s="19">
        <v>58.7</v>
      </c>
      <c r="GM500" s="19">
        <v>50.5</v>
      </c>
      <c r="GN500" s="19">
        <v>49.6</v>
      </c>
      <c r="GO500" s="19">
        <v>48.8</v>
      </c>
      <c r="GP500" s="19">
        <v>31.8</v>
      </c>
      <c r="GQ500" s="19">
        <v>19.7</v>
      </c>
      <c r="GR500" s="19">
        <v>14.1</v>
      </c>
      <c r="GS500" s="19">
        <v>10.5</v>
      </c>
    </row>
    <row r="501">
      <c r="A501" s="2" t="s">
        <v>2861</v>
      </c>
      <c r="B501" s="2" t="s">
        <v>245</v>
      </c>
      <c r="C501" s="2" t="s">
        <v>1007</v>
      </c>
      <c r="D501" s="2" t="s">
        <v>247</v>
      </c>
      <c r="E501" s="2" t="s">
        <v>248</v>
      </c>
      <c r="F501" s="2" t="s">
        <v>386</v>
      </c>
      <c r="G501" s="2" t="s">
        <v>386</v>
      </c>
      <c r="H501" s="2" t="s">
        <v>386</v>
      </c>
      <c r="I501" s="2" t="s">
        <v>2827</v>
      </c>
      <c r="J501" s="2" t="s">
        <v>285</v>
      </c>
      <c r="K501" s="2" t="s">
        <v>584</v>
      </c>
      <c r="L501" s="3">
        <v>12.92</v>
      </c>
      <c r="M501" s="3">
        <v>13.57</v>
      </c>
      <c r="N501" s="3">
        <v>30.99</v>
      </c>
      <c r="O501" s="2" t="s">
        <v>196</v>
      </c>
      <c r="P501" s="2" t="s">
        <v>197</v>
      </c>
      <c r="Q501" s="2" t="s">
        <v>198</v>
      </c>
      <c r="R501" s="2" t="s">
        <v>199</v>
      </c>
      <c r="S501" s="2" t="s">
        <v>2844</v>
      </c>
      <c r="T501" s="2" t="s">
        <v>386</v>
      </c>
      <c r="U501" s="2" t="s">
        <v>199</v>
      </c>
      <c r="V501" s="2" t="s">
        <v>202</v>
      </c>
      <c r="W501" s="2" t="s">
        <v>203</v>
      </c>
      <c r="X501" s="2" t="s">
        <v>199</v>
      </c>
      <c r="Y501" s="2" t="s">
        <v>204</v>
      </c>
      <c r="Z501" s="4">
        <v>19</v>
      </c>
      <c r="AA501" s="4">
        <f>=ROUNDDOWN(2.71428571428571,0)</f>
      </c>
      <c r="AB501" s="5">
        <v>7</v>
      </c>
      <c r="AC501" s="2" t="s">
        <v>2845</v>
      </c>
      <c r="AD501" s="4">
        <v>50</v>
      </c>
      <c r="AE501" s="4">
        <v>270</v>
      </c>
      <c r="AF501" s="6">
        <v>65</v>
      </c>
      <c r="AG501" s="6"/>
      <c r="AH501" s="7">
        <v>0.6452</v>
      </c>
      <c r="AI501" s="4"/>
      <c r="AJ501" s="4">
        <f>=ROUNDDOWN({0},0)</f>
      </c>
      <c r="AK501" s="5"/>
      <c r="AL501" s="2" t="s">
        <v>199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199</v>
      </c>
      <c r="AW501" s="8" t="s">
        <v>199</v>
      </c>
      <c r="AX501" s="4" t="s">
        <v>199</v>
      </c>
      <c r="AY501" s="8" t="s">
        <v>199</v>
      </c>
      <c r="AZ501" s="7" t="s">
        <v>199</v>
      </c>
      <c r="BA501" s="7" t="s">
        <v>199</v>
      </c>
      <c r="BB501" s="7" t="s">
        <v>199</v>
      </c>
      <c r="BC501" s="4" t="s">
        <v>199</v>
      </c>
      <c r="BD501" s="8" t="s">
        <v>199</v>
      </c>
      <c r="BE501" s="4" t="s">
        <v>199</v>
      </c>
      <c r="BF501" s="8" t="s">
        <v>199</v>
      </c>
      <c r="BG501" s="7" t="s">
        <v>199</v>
      </c>
      <c r="BH501" s="7" t="s">
        <v>199</v>
      </c>
      <c r="BI501" s="7"/>
      <c r="BJ501" s="4">
        <v>139</v>
      </c>
      <c r="BK501" s="8">
        <v>1808.8</v>
      </c>
      <c r="BL501" s="2" t="s">
        <v>2862</v>
      </c>
      <c r="BM501" s="7"/>
      <c r="BN501" s="7"/>
      <c r="BO501" s="4"/>
      <c r="BP501" s="8"/>
      <c r="BQ501" s="4"/>
      <c r="BR501" s="8"/>
      <c r="BS501" s="7"/>
      <c r="BT501" s="7"/>
      <c r="BU501" s="2" t="s">
        <v>2829</v>
      </c>
      <c r="BV501" s="2" t="s">
        <v>199</v>
      </c>
      <c r="BW501" s="2" t="s">
        <v>199</v>
      </c>
      <c r="BX501" s="2" t="s">
        <v>208</v>
      </c>
      <c r="BY501" s="2" t="s">
        <v>209</v>
      </c>
      <c r="BZ501" s="2" t="s">
        <v>196</v>
      </c>
      <c r="CA501" s="2" t="s">
        <v>2847</v>
      </c>
      <c r="CB501" s="2" t="s">
        <v>2863</v>
      </c>
      <c r="CC501" s="2" t="s">
        <v>212</v>
      </c>
      <c r="CD501" s="2" t="s">
        <v>199</v>
      </c>
      <c r="CE501" s="4">
        <v>19</v>
      </c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>
        <v>50</v>
      </c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>
        <v>100</v>
      </c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>
        <v>120</v>
      </c>
      <c r="ER501" s="4"/>
      <c r="ES501" s="4"/>
      <c r="ET501" s="4">
        <v>23</v>
      </c>
      <c r="EU501" s="4">
        <v>15</v>
      </c>
      <c r="EV501" s="4">
        <v>10</v>
      </c>
      <c r="EW501" s="4">
        <v>55</v>
      </c>
      <c r="EX501" s="4">
        <v>50</v>
      </c>
      <c r="EY501" s="4">
        <v>45</v>
      </c>
      <c r="EZ501" s="4">
        <v>40</v>
      </c>
      <c r="FA501" s="4">
        <v>35</v>
      </c>
      <c r="FB501" s="4">
        <v>29</v>
      </c>
      <c r="FC501" s="4">
        <v>24</v>
      </c>
      <c r="FD501" s="4">
        <v>118</v>
      </c>
      <c r="FE501" s="4">
        <v>111</v>
      </c>
      <c r="FF501" s="4">
        <v>104</v>
      </c>
      <c r="FG501" s="4">
        <v>97</v>
      </c>
      <c r="FH501" s="4">
        <v>90</v>
      </c>
      <c r="FI501" s="4">
        <v>83</v>
      </c>
      <c r="FJ501" s="4">
        <v>76</v>
      </c>
      <c r="FK501" s="4">
        <v>69</v>
      </c>
      <c r="FL501" s="4">
        <v>62</v>
      </c>
      <c r="FM501" s="4">
        <v>175</v>
      </c>
      <c r="FN501" s="4">
        <v>168</v>
      </c>
      <c r="FO501" s="4">
        <v>161</v>
      </c>
      <c r="FP501" s="4">
        <v>153</v>
      </c>
      <c r="FQ501" s="4">
        <v>146</v>
      </c>
      <c r="FR501" s="4">
        <v>139</v>
      </c>
      <c r="FS501" s="4">
        <v>132</v>
      </c>
      <c r="FT501" s="19">
        <v>3.8</v>
      </c>
      <c r="FU501" s="19">
        <v>3</v>
      </c>
      <c r="FV501" s="19">
        <v>2</v>
      </c>
      <c r="FW501" s="19">
        <v>11</v>
      </c>
      <c r="FX501" s="19">
        <v>10</v>
      </c>
      <c r="FY501" s="19">
        <v>9</v>
      </c>
      <c r="FZ501" s="19">
        <v>6.7</v>
      </c>
      <c r="GA501" s="19">
        <v>5.8</v>
      </c>
      <c r="GB501" s="19">
        <v>4.8</v>
      </c>
      <c r="GC501" s="19">
        <v>3.4</v>
      </c>
      <c r="GD501" s="19">
        <v>16.9</v>
      </c>
      <c r="GE501" s="19">
        <v>15.9</v>
      </c>
      <c r="GF501" s="19">
        <v>14.9</v>
      </c>
      <c r="GG501" s="19">
        <v>13.9</v>
      </c>
      <c r="GH501" s="19">
        <v>12.9</v>
      </c>
      <c r="GI501" s="19">
        <v>11.9</v>
      </c>
      <c r="GJ501" s="19">
        <v>10.9</v>
      </c>
      <c r="GK501" s="19">
        <v>9.9</v>
      </c>
      <c r="GL501" s="19">
        <v>8.9</v>
      </c>
      <c r="GM501" s="19">
        <v>25</v>
      </c>
      <c r="GN501" s="19">
        <v>24</v>
      </c>
      <c r="GO501" s="19">
        <v>23</v>
      </c>
      <c r="GP501" s="19">
        <v>21.9</v>
      </c>
      <c r="GQ501" s="19">
        <v>18.3</v>
      </c>
      <c r="GR501" s="19">
        <v>17.4</v>
      </c>
      <c r="GS501" s="19">
        <v>16.5</v>
      </c>
    </row>
    <row r="502">
      <c r="A502" s="2" t="s">
        <v>2864</v>
      </c>
      <c r="B502" s="2" t="s">
        <v>245</v>
      </c>
      <c r="C502" s="2" t="s">
        <v>1007</v>
      </c>
      <c r="D502" s="2" t="s">
        <v>247</v>
      </c>
      <c r="E502" s="2" t="s">
        <v>248</v>
      </c>
      <c r="F502" s="2" t="s">
        <v>386</v>
      </c>
      <c r="G502" s="2" t="s">
        <v>386</v>
      </c>
      <c r="H502" s="2" t="s">
        <v>386</v>
      </c>
      <c r="I502" s="2" t="s">
        <v>2850</v>
      </c>
      <c r="J502" s="2" t="s">
        <v>285</v>
      </c>
      <c r="K502" s="2" t="s">
        <v>584</v>
      </c>
      <c r="L502" s="3">
        <v>14.85</v>
      </c>
      <c r="M502" s="3">
        <v>15.59</v>
      </c>
      <c r="N502" s="3">
        <v>32.99</v>
      </c>
      <c r="O502" s="2" t="s">
        <v>196</v>
      </c>
      <c r="P502" s="2" t="s">
        <v>197</v>
      </c>
      <c r="Q502" s="2" t="s">
        <v>198</v>
      </c>
      <c r="R502" s="2" t="s">
        <v>199</v>
      </c>
      <c r="S502" s="2" t="s">
        <v>2844</v>
      </c>
      <c r="T502" s="2" t="s">
        <v>386</v>
      </c>
      <c r="U502" s="2" t="s">
        <v>546</v>
      </c>
      <c r="V502" s="2" t="s">
        <v>202</v>
      </c>
      <c r="W502" s="2" t="s">
        <v>203</v>
      </c>
      <c r="X502" s="2" t="s">
        <v>510</v>
      </c>
      <c r="Y502" s="2" t="s">
        <v>2851</v>
      </c>
      <c r="Z502" s="4">
        <v>123</v>
      </c>
      <c r="AA502" s="4">
        <f>=ROUNDDOWN(58.5714285714286,0)</f>
      </c>
      <c r="AB502" s="5">
        <v>2.1</v>
      </c>
      <c r="AC502" s="2" t="s">
        <v>199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199</v>
      </c>
      <c r="AW502" s="8" t="s">
        <v>199</v>
      </c>
      <c r="AX502" s="4" t="s">
        <v>199</v>
      </c>
      <c r="AY502" s="8" t="s">
        <v>199</v>
      </c>
      <c r="AZ502" s="7" t="s">
        <v>199</v>
      </c>
      <c r="BA502" s="7" t="s">
        <v>199</v>
      </c>
      <c r="BB502" s="7" t="s">
        <v>199</v>
      </c>
      <c r="BC502" s="4" t="s">
        <v>199</v>
      </c>
      <c r="BD502" s="8" t="s">
        <v>199</v>
      </c>
      <c r="BE502" s="4" t="s">
        <v>199</v>
      </c>
      <c r="BF502" s="8" t="s">
        <v>199</v>
      </c>
      <c r="BG502" s="7" t="s">
        <v>199</v>
      </c>
      <c r="BH502" s="7" t="s">
        <v>199</v>
      </c>
      <c r="BI502" s="7"/>
      <c r="BJ502" s="4">
        <v>19</v>
      </c>
      <c r="BK502" s="8">
        <v>302.74</v>
      </c>
      <c r="BL502" s="2" t="s">
        <v>2865</v>
      </c>
      <c r="BM502" s="7"/>
      <c r="BN502" s="7"/>
      <c r="BO502" s="4"/>
      <c r="BP502" s="8"/>
      <c r="BQ502" s="4"/>
      <c r="BR502" s="8"/>
      <c r="BS502" s="7"/>
      <c r="BT502" s="7"/>
      <c r="BU502" s="2" t="s">
        <v>2853</v>
      </c>
      <c r="BV502" s="2" t="s">
        <v>199</v>
      </c>
      <c r="BW502" s="2" t="s">
        <v>199</v>
      </c>
      <c r="BX502" s="2" t="s">
        <v>208</v>
      </c>
      <c r="BY502" s="2" t="s">
        <v>209</v>
      </c>
      <c r="BZ502" s="2" t="s">
        <v>196</v>
      </c>
      <c r="CA502" s="2" t="s">
        <v>2854</v>
      </c>
      <c r="CB502" s="2" t="s">
        <v>2866</v>
      </c>
      <c r="CC502" s="2" t="s">
        <v>212</v>
      </c>
      <c r="CD502" s="2" t="s">
        <v>199</v>
      </c>
      <c r="CE502" s="4">
        <v>123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>
        <v>124</v>
      </c>
      <c r="EU502" s="4">
        <v>121</v>
      </c>
      <c r="EV502" s="4">
        <v>119</v>
      </c>
      <c r="EW502" s="4">
        <v>117</v>
      </c>
      <c r="EX502" s="4">
        <v>115</v>
      </c>
      <c r="EY502" s="4">
        <v>113</v>
      </c>
      <c r="EZ502" s="4">
        <v>111</v>
      </c>
      <c r="FA502" s="4">
        <v>109</v>
      </c>
      <c r="FB502" s="4">
        <v>107</v>
      </c>
      <c r="FC502" s="4">
        <v>105</v>
      </c>
      <c r="FD502" s="4">
        <v>103</v>
      </c>
      <c r="FE502" s="4">
        <v>101</v>
      </c>
      <c r="FF502" s="4">
        <v>99</v>
      </c>
      <c r="FG502" s="4">
        <v>97</v>
      </c>
      <c r="FH502" s="4">
        <v>95</v>
      </c>
      <c r="FI502" s="4">
        <v>93</v>
      </c>
      <c r="FJ502" s="4">
        <v>91</v>
      </c>
      <c r="FK502" s="4">
        <v>89</v>
      </c>
      <c r="FL502" s="4">
        <v>87</v>
      </c>
      <c r="FM502" s="4">
        <v>85</v>
      </c>
      <c r="FN502" s="4">
        <v>83</v>
      </c>
      <c r="FO502" s="4">
        <v>81</v>
      </c>
      <c r="FP502" s="4">
        <v>79</v>
      </c>
      <c r="FQ502" s="4">
        <v>77</v>
      </c>
      <c r="FR502" s="4">
        <v>75</v>
      </c>
      <c r="FS502" s="4">
        <v>73</v>
      </c>
      <c r="FT502" s="19">
        <v>62</v>
      </c>
      <c r="FU502" s="19">
        <v>60.5</v>
      </c>
      <c r="FV502" s="19">
        <v>59.5</v>
      </c>
      <c r="FW502" s="19">
        <v>58.5</v>
      </c>
      <c r="FX502" s="19">
        <v>57.5</v>
      </c>
      <c r="FY502" s="19">
        <v>56.5</v>
      </c>
      <c r="FZ502" s="19">
        <v>55.5</v>
      </c>
      <c r="GA502" s="19">
        <v>54.5</v>
      </c>
      <c r="GB502" s="19">
        <v>53.5</v>
      </c>
      <c r="GC502" s="19">
        <v>52.5</v>
      </c>
      <c r="GD502" s="19">
        <v>51.5</v>
      </c>
      <c r="GE502" s="19">
        <v>50.5</v>
      </c>
      <c r="GF502" s="19">
        <v>49.5</v>
      </c>
      <c r="GG502" s="19">
        <v>48.5</v>
      </c>
      <c r="GH502" s="19">
        <v>47.5</v>
      </c>
      <c r="GI502" s="19">
        <v>46.5</v>
      </c>
      <c r="GJ502" s="19">
        <v>45.5</v>
      </c>
      <c r="GK502" s="19">
        <v>44.5</v>
      </c>
      <c r="GL502" s="19">
        <v>43.5</v>
      </c>
      <c r="GM502" s="19">
        <v>42.5</v>
      </c>
      <c r="GN502" s="19">
        <v>41.5</v>
      </c>
      <c r="GO502" s="19">
        <v>40.5</v>
      </c>
      <c r="GP502" s="19">
        <v>39.5</v>
      </c>
      <c r="GQ502" s="19">
        <v>38.5</v>
      </c>
      <c r="GR502" s="19">
        <v>37.5</v>
      </c>
      <c r="GS502" s="19">
        <v>36.5</v>
      </c>
    </row>
    <row r="503">
      <c r="A503" s="2" t="s">
        <v>2867</v>
      </c>
      <c r="B503" s="2" t="s">
        <v>245</v>
      </c>
      <c r="C503" s="2" t="s">
        <v>1007</v>
      </c>
      <c r="D503" s="2" t="s">
        <v>247</v>
      </c>
      <c r="E503" s="2" t="s">
        <v>248</v>
      </c>
      <c r="F503" s="2" t="s">
        <v>386</v>
      </c>
      <c r="G503" s="2" t="s">
        <v>386</v>
      </c>
      <c r="H503" s="2" t="s">
        <v>386</v>
      </c>
      <c r="I503" s="2" t="s">
        <v>2827</v>
      </c>
      <c r="J503" s="2" t="s">
        <v>219</v>
      </c>
      <c r="K503" s="2" t="s">
        <v>584</v>
      </c>
      <c r="L503" s="3">
        <v>14.21</v>
      </c>
      <c r="M503" s="3">
        <v>14.92</v>
      </c>
      <c r="N503" s="3">
        <v>32.99</v>
      </c>
      <c r="O503" s="2" t="s">
        <v>196</v>
      </c>
      <c r="P503" s="2" t="s">
        <v>197</v>
      </c>
      <c r="Q503" s="2" t="s">
        <v>198</v>
      </c>
      <c r="R503" s="2" t="s">
        <v>199</v>
      </c>
      <c r="S503" s="2" t="s">
        <v>2844</v>
      </c>
      <c r="T503" s="2" t="s">
        <v>386</v>
      </c>
      <c r="U503" s="2" t="s">
        <v>199</v>
      </c>
      <c r="V503" s="2" t="s">
        <v>202</v>
      </c>
      <c r="W503" s="2" t="s">
        <v>203</v>
      </c>
      <c r="X503" s="2" t="s">
        <v>199</v>
      </c>
      <c r="Y503" s="2" t="s">
        <v>204</v>
      </c>
      <c r="Z503" s="4">
        <v>261</v>
      </c>
      <c r="AA503" s="4">
        <f>=ROUNDDOWN(9.66666666666667,0)</f>
      </c>
      <c r="AB503" s="5">
        <v>27</v>
      </c>
      <c r="AC503" s="2" t="s">
        <v>2845</v>
      </c>
      <c r="AD503" s="4">
        <v>250</v>
      </c>
      <c r="AE503" s="4">
        <v>710</v>
      </c>
      <c r="AF503" s="6">
        <v>65</v>
      </c>
      <c r="AG503" s="6"/>
      <c r="AH503" s="7">
        <v>0.7097</v>
      </c>
      <c r="AI503" s="4"/>
      <c r="AJ503" s="4">
        <f>=ROUNDDOWN({0},0)</f>
      </c>
      <c r="AK503" s="5"/>
      <c r="AL503" s="2" t="s">
        <v>199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199</v>
      </c>
      <c r="AW503" s="8" t="s">
        <v>199</v>
      </c>
      <c r="AX503" s="4" t="s">
        <v>199</v>
      </c>
      <c r="AY503" s="8" t="s">
        <v>199</v>
      </c>
      <c r="AZ503" s="7" t="s">
        <v>199</v>
      </c>
      <c r="BA503" s="7" t="s">
        <v>199</v>
      </c>
      <c r="BB503" s="7" t="s">
        <v>199</v>
      </c>
      <c r="BC503" s="4" t="s">
        <v>199</v>
      </c>
      <c r="BD503" s="8" t="s">
        <v>199</v>
      </c>
      <c r="BE503" s="4" t="s">
        <v>199</v>
      </c>
      <c r="BF503" s="8" t="s">
        <v>199</v>
      </c>
      <c r="BG503" s="7" t="s">
        <v>199</v>
      </c>
      <c r="BH503" s="7" t="s">
        <v>199</v>
      </c>
      <c r="BI503" s="7"/>
      <c r="BJ503" s="4">
        <v>350</v>
      </c>
      <c r="BK503" s="8">
        <v>4939.9</v>
      </c>
      <c r="BL503" s="2" t="s">
        <v>2868</v>
      </c>
      <c r="BM503" s="7"/>
      <c r="BN503" s="7"/>
      <c r="BO503" s="4"/>
      <c r="BP503" s="8"/>
      <c r="BQ503" s="4"/>
      <c r="BR503" s="8"/>
      <c r="BS503" s="7"/>
      <c r="BT503" s="7"/>
      <c r="BU503" s="2" t="s">
        <v>2829</v>
      </c>
      <c r="BV503" s="2" t="s">
        <v>199</v>
      </c>
      <c r="BW503" s="2" t="s">
        <v>199</v>
      </c>
      <c r="BX503" s="2" t="s">
        <v>208</v>
      </c>
      <c r="BY503" s="2" t="s">
        <v>209</v>
      </c>
      <c r="BZ503" s="2" t="s">
        <v>196</v>
      </c>
      <c r="CA503" s="2" t="s">
        <v>2847</v>
      </c>
      <c r="CB503" s="2" t="s">
        <v>2869</v>
      </c>
      <c r="CC503" s="2" t="s">
        <v>212</v>
      </c>
      <c r="CD503" s="2" t="s">
        <v>199</v>
      </c>
      <c r="CE503" s="4">
        <v>261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>
        <v>250</v>
      </c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>
        <v>250</v>
      </c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>
        <v>210</v>
      </c>
      <c r="ER503" s="4"/>
      <c r="ES503" s="4"/>
      <c r="ET503" s="4">
        <v>263</v>
      </c>
      <c r="EU503" s="4">
        <v>227</v>
      </c>
      <c r="EV503" s="4">
        <v>200</v>
      </c>
      <c r="EW503" s="4">
        <v>423</v>
      </c>
      <c r="EX503" s="4">
        <v>396</v>
      </c>
      <c r="EY503" s="4">
        <v>369</v>
      </c>
      <c r="EZ503" s="4">
        <v>342</v>
      </c>
      <c r="FA503" s="4">
        <v>315</v>
      </c>
      <c r="FB503" s="4">
        <v>283</v>
      </c>
      <c r="FC503" s="4">
        <v>256</v>
      </c>
      <c r="FD503" s="4">
        <v>479</v>
      </c>
      <c r="FE503" s="4">
        <v>452</v>
      </c>
      <c r="FF503" s="4">
        <v>425</v>
      </c>
      <c r="FG503" s="4">
        <v>398</v>
      </c>
      <c r="FH503" s="4">
        <v>371</v>
      </c>
      <c r="FI503" s="4">
        <v>344</v>
      </c>
      <c r="FJ503" s="4">
        <v>317</v>
      </c>
      <c r="FK503" s="4">
        <v>290</v>
      </c>
      <c r="FL503" s="4">
        <v>263</v>
      </c>
      <c r="FM503" s="4">
        <v>446</v>
      </c>
      <c r="FN503" s="4">
        <v>419</v>
      </c>
      <c r="FO503" s="4">
        <v>392</v>
      </c>
      <c r="FP503" s="4">
        <v>360</v>
      </c>
      <c r="FQ503" s="4">
        <v>333</v>
      </c>
      <c r="FR503" s="4">
        <v>306</v>
      </c>
      <c r="FS503" s="4">
        <v>279</v>
      </c>
      <c r="FT503" s="19">
        <v>9.1</v>
      </c>
      <c r="FU503" s="19">
        <v>8.4</v>
      </c>
      <c r="FV503" s="19">
        <v>7.4</v>
      </c>
      <c r="FW503" s="19">
        <v>15.7</v>
      </c>
      <c r="FX503" s="19">
        <v>14.1</v>
      </c>
      <c r="FY503" s="19">
        <v>13.2</v>
      </c>
      <c r="FZ503" s="19">
        <v>12.2</v>
      </c>
      <c r="GA503" s="19">
        <v>11.3</v>
      </c>
      <c r="GB503" s="19">
        <v>10.5</v>
      </c>
      <c r="GC503" s="19">
        <v>9.5</v>
      </c>
      <c r="GD503" s="19">
        <v>17.7</v>
      </c>
      <c r="GE503" s="19">
        <v>16.7</v>
      </c>
      <c r="GF503" s="19">
        <v>15.7</v>
      </c>
      <c r="GG503" s="19">
        <v>14.7</v>
      </c>
      <c r="GH503" s="19">
        <v>13.7</v>
      </c>
      <c r="GI503" s="19">
        <v>12.7</v>
      </c>
      <c r="GJ503" s="19">
        <v>11.7</v>
      </c>
      <c r="GK503" s="19">
        <v>10.7</v>
      </c>
      <c r="GL503" s="19">
        <v>9.4</v>
      </c>
      <c r="GM503" s="19">
        <v>15.9</v>
      </c>
      <c r="GN503" s="19">
        <v>15</v>
      </c>
      <c r="GO503" s="19">
        <v>14</v>
      </c>
      <c r="GP503" s="19">
        <v>13.3</v>
      </c>
      <c r="GQ503" s="19">
        <v>11.9</v>
      </c>
      <c r="GR503" s="19">
        <v>10.2</v>
      </c>
      <c r="GS503" s="19">
        <v>9</v>
      </c>
    </row>
    <row r="504">
      <c r="A504" s="2" t="s">
        <v>2870</v>
      </c>
      <c r="B504" s="2" t="s">
        <v>245</v>
      </c>
      <c r="C504" s="2" t="s">
        <v>1007</v>
      </c>
      <c r="D504" s="2" t="s">
        <v>247</v>
      </c>
      <c r="E504" s="2" t="s">
        <v>248</v>
      </c>
      <c r="F504" s="2" t="s">
        <v>386</v>
      </c>
      <c r="G504" s="2" t="s">
        <v>386</v>
      </c>
      <c r="H504" s="2" t="s">
        <v>386</v>
      </c>
      <c r="I504" s="2" t="s">
        <v>2850</v>
      </c>
      <c r="J504" s="2" t="s">
        <v>219</v>
      </c>
      <c r="K504" s="2" t="s">
        <v>584</v>
      </c>
      <c r="L504" s="3">
        <v>14.85</v>
      </c>
      <c r="M504" s="3">
        <v>15.59</v>
      </c>
      <c r="N504" s="3">
        <v>32.99</v>
      </c>
      <c r="O504" s="2" t="s">
        <v>196</v>
      </c>
      <c r="P504" s="2" t="s">
        <v>197</v>
      </c>
      <c r="Q504" s="2" t="s">
        <v>198</v>
      </c>
      <c r="R504" s="2" t="s">
        <v>199</v>
      </c>
      <c r="S504" s="2" t="s">
        <v>2844</v>
      </c>
      <c r="T504" s="2" t="s">
        <v>386</v>
      </c>
      <c r="U504" s="2" t="s">
        <v>546</v>
      </c>
      <c r="V504" s="2" t="s">
        <v>202</v>
      </c>
      <c r="W504" s="2" t="s">
        <v>203</v>
      </c>
      <c r="X504" s="2" t="s">
        <v>510</v>
      </c>
      <c r="Y504" s="2" t="s">
        <v>2851</v>
      </c>
      <c r="Z504" s="4">
        <v>172</v>
      </c>
      <c r="AA504" s="4">
        <f>=ROUNDDOWN(10.1176470588235,0)</f>
      </c>
      <c r="AB504" s="5">
        <v>17</v>
      </c>
      <c r="AC504" s="2" t="s">
        <v>2845</v>
      </c>
      <c r="AD504" s="4">
        <v>240</v>
      </c>
      <c r="AE504" s="4">
        <v>460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199</v>
      </c>
      <c r="AW504" s="8" t="s">
        <v>199</v>
      </c>
      <c r="AX504" s="4" t="s">
        <v>199</v>
      </c>
      <c r="AY504" s="8" t="s">
        <v>199</v>
      </c>
      <c r="AZ504" s="7" t="s">
        <v>199</v>
      </c>
      <c r="BA504" s="7" t="s">
        <v>199</v>
      </c>
      <c r="BB504" s="7" t="s">
        <v>199</v>
      </c>
      <c r="BC504" s="4" t="s">
        <v>199</v>
      </c>
      <c r="BD504" s="8" t="s">
        <v>199</v>
      </c>
      <c r="BE504" s="4" t="s">
        <v>199</v>
      </c>
      <c r="BF504" s="8" t="s">
        <v>199</v>
      </c>
      <c r="BG504" s="7" t="s">
        <v>199</v>
      </c>
      <c r="BH504" s="7" t="s">
        <v>199</v>
      </c>
      <c r="BI504" s="7"/>
      <c r="BJ504" s="4">
        <v>156</v>
      </c>
      <c r="BK504" s="8">
        <v>2464.15</v>
      </c>
      <c r="BL504" s="2" t="s">
        <v>2871</v>
      </c>
      <c r="BM504" s="7"/>
      <c r="BN504" s="7"/>
      <c r="BO504" s="4"/>
      <c r="BP504" s="8"/>
      <c r="BQ504" s="4"/>
      <c r="BR504" s="8"/>
      <c r="BS504" s="7"/>
      <c r="BT504" s="7"/>
      <c r="BU504" s="2" t="s">
        <v>2853</v>
      </c>
      <c r="BV504" s="2" t="s">
        <v>199</v>
      </c>
      <c r="BW504" s="2" t="s">
        <v>199</v>
      </c>
      <c r="BX504" s="2" t="s">
        <v>208</v>
      </c>
      <c r="BY504" s="2" t="s">
        <v>209</v>
      </c>
      <c r="BZ504" s="2" t="s">
        <v>196</v>
      </c>
      <c r="CA504" s="2" t="s">
        <v>2854</v>
      </c>
      <c r="CB504" s="2" t="s">
        <v>2872</v>
      </c>
      <c r="CC504" s="2" t="s">
        <v>212</v>
      </c>
      <c r="CD504" s="2" t="s">
        <v>199</v>
      </c>
      <c r="CE504" s="4">
        <v>172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>
        <v>240</v>
      </c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>
        <v>70</v>
      </c>
      <c r="EN504" s="4"/>
      <c r="EO504" s="4"/>
      <c r="EP504" s="4"/>
      <c r="EQ504" s="4">
        <v>150</v>
      </c>
      <c r="ER504" s="4"/>
      <c r="ES504" s="4"/>
      <c r="ET504" s="4">
        <v>175</v>
      </c>
      <c r="EU504" s="4">
        <v>147</v>
      </c>
      <c r="EV504" s="4">
        <v>130</v>
      </c>
      <c r="EW504" s="4">
        <v>353</v>
      </c>
      <c r="EX504" s="4">
        <v>336</v>
      </c>
      <c r="EY504" s="4">
        <v>319</v>
      </c>
      <c r="EZ504" s="4">
        <v>302</v>
      </c>
      <c r="FA504" s="4">
        <v>285</v>
      </c>
      <c r="FB504" s="4">
        <v>265</v>
      </c>
      <c r="FC504" s="4">
        <v>248</v>
      </c>
      <c r="FD504" s="4">
        <v>231</v>
      </c>
      <c r="FE504" s="4">
        <v>214</v>
      </c>
      <c r="FF504" s="4">
        <v>197</v>
      </c>
      <c r="FG504" s="4">
        <v>180</v>
      </c>
      <c r="FH504" s="4">
        <v>163</v>
      </c>
      <c r="FI504" s="4">
        <v>146</v>
      </c>
      <c r="FJ504" s="4">
        <v>199</v>
      </c>
      <c r="FK504" s="4">
        <v>182</v>
      </c>
      <c r="FL504" s="4">
        <v>165</v>
      </c>
      <c r="FM504" s="4">
        <v>298</v>
      </c>
      <c r="FN504" s="4">
        <v>281</v>
      </c>
      <c r="FO504" s="4">
        <v>264</v>
      </c>
      <c r="FP504" s="4">
        <v>244</v>
      </c>
      <c r="FQ504" s="4">
        <v>227</v>
      </c>
      <c r="FR504" s="4">
        <v>210</v>
      </c>
      <c r="FS504" s="4">
        <v>193</v>
      </c>
      <c r="FT504" s="19">
        <v>8.8</v>
      </c>
      <c r="FU504" s="19">
        <v>8.6</v>
      </c>
      <c r="FV504" s="19">
        <v>7.6</v>
      </c>
      <c r="FW504" s="19">
        <v>20.8</v>
      </c>
      <c r="FX504" s="19">
        <v>18.7</v>
      </c>
      <c r="FY504" s="19">
        <v>17.7</v>
      </c>
      <c r="FZ504" s="19">
        <v>16.8</v>
      </c>
      <c r="GA504" s="19">
        <v>15.8</v>
      </c>
      <c r="GB504" s="19">
        <v>15.6</v>
      </c>
      <c r="GC504" s="19">
        <v>14.6</v>
      </c>
      <c r="GD504" s="19">
        <v>13.6</v>
      </c>
      <c r="GE504" s="19">
        <v>12.6</v>
      </c>
      <c r="GF504" s="19">
        <v>11.6</v>
      </c>
      <c r="GG504" s="19">
        <v>10.6</v>
      </c>
      <c r="GH504" s="19">
        <v>9.6</v>
      </c>
      <c r="GI504" s="19">
        <v>8.6</v>
      </c>
      <c r="GJ504" s="19">
        <v>11.7</v>
      </c>
      <c r="GK504" s="19">
        <v>10.7</v>
      </c>
      <c r="GL504" s="19">
        <v>9.2</v>
      </c>
      <c r="GM504" s="19">
        <v>16.6</v>
      </c>
      <c r="GN504" s="19">
        <v>15.6</v>
      </c>
      <c r="GO504" s="19">
        <v>14.7</v>
      </c>
      <c r="GP504" s="19">
        <v>14.4</v>
      </c>
      <c r="GQ504" s="19">
        <v>12.6</v>
      </c>
      <c r="GR504" s="19">
        <v>11.7</v>
      </c>
      <c r="GS504" s="19">
        <v>10.2</v>
      </c>
    </row>
    <row r="505">
      <c r="A505" s="2" t="s">
        <v>2873</v>
      </c>
      <c r="B505" s="2" t="s">
        <v>245</v>
      </c>
      <c r="C505" s="2" t="s">
        <v>1007</v>
      </c>
      <c r="D505" s="2" t="s">
        <v>247</v>
      </c>
      <c r="E505" s="2" t="s">
        <v>248</v>
      </c>
      <c r="F505" s="2" t="s">
        <v>386</v>
      </c>
      <c r="G505" s="2" t="s">
        <v>386</v>
      </c>
      <c r="H505" s="2" t="s">
        <v>386</v>
      </c>
      <c r="I505" s="2" t="s">
        <v>2827</v>
      </c>
      <c r="J505" s="2" t="s">
        <v>223</v>
      </c>
      <c r="K505" s="2" t="s">
        <v>584</v>
      </c>
      <c r="L505" s="3">
        <v>16.75</v>
      </c>
      <c r="M505" s="3">
        <v>17.59</v>
      </c>
      <c r="N505" s="3">
        <v>37.99</v>
      </c>
      <c r="O505" s="2" t="s">
        <v>196</v>
      </c>
      <c r="P505" s="2" t="s">
        <v>197</v>
      </c>
      <c r="Q505" s="2" t="s">
        <v>198</v>
      </c>
      <c r="R505" s="2" t="s">
        <v>199</v>
      </c>
      <c r="S505" s="2" t="s">
        <v>2844</v>
      </c>
      <c r="T505" s="2" t="s">
        <v>386</v>
      </c>
      <c r="U505" s="2" t="s">
        <v>199</v>
      </c>
      <c r="V505" s="2" t="s">
        <v>202</v>
      </c>
      <c r="W505" s="2" t="s">
        <v>203</v>
      </c>
      <c r="X505" s="2" t="s">
        <v>199</v>
      </c>
      <c r="Y505" s="2" t="s">
        <v>204</v>
      </c>
      <c r="Z505" s="4"/>
      <c r="AA505" s="4">
        <f>=ROUNDDOWN({0},0)</f>
      </c>
      <c r="AB505" s="5">
        <v>6.1</v>
      </c>
      <c r="AC505" s="2" t="s">
        <v>2845</v>
      </c>
      <c r="AD505" s="4">
        <v>40</v>
      </c>
      <c r="AE505" s="4">
        <v>220</v>
      </c>
      <c r="AF505" s="6">
        <v>65</v>
      </c>
      <c r="AG505" s="6"/>
      <c r="AH505" s="7">
        <v>0.5806</v>
      </c>
      <c r="AI505" s="4"/>
      <c r="AJ505" s="4">
        <f>=ROUNDDOWN({0},0)</f>
      </c>
      <c r="AK505" s="5"/>
      <c r="AL505" s="2" t="s">
        <v>199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199</v>
      </c>
      <c r="AW505" s="8" t="s">
        <v>199</v>
      </c>
      <c r="AX505" s="4" t="s">
        <v>199</v>
      </c>
      <c r="AY505" s="8" t="s">
        <v>199</v>
      </c>
      <c r="AZ505" s="7" t="s">
        <v>199</v>
      </c>
      <c r="BA505" s="7" t="s">
        <v>199</v>
      </c>
      <c r="BB505" s="7"/>
      <c r="BC505" s="4" t="s">
        <v>199</v>
      </c>
      <c r="BD505" s="8" t="s">
        <v>199</v>
      </c>
      <c r="BE505" s="4" t="s">
        <v>199</v>
      </c>
      <c r="BF505" s="8" t="s">
        <v>199</v>
      </c>
      <c r="BG505" s="7" t="s">
        <v>199</v>
      </c>
      <c r="BH505" s="7" t="s">
        <v>199</v>
      </c>
      <c r="BI505" s="7"/>
      <c r="BJ505" s="4">
        <v>116</v>
      </c>
      <c r="BK505" s="8">
        <v>1974.91</v>
      </c>
      <c r="BL505" s="2" t="s">
        <v>2874</v>
      </c>
      <c r="BM505" s="7"/>
      <c r="BN505" s="7"/>
      <c r="BO505" s="4"/>
      <c r="BP505" s="8"/>
      <c r="BQ505" s="4"/>
      <c r="BR505" s="8"/>
      <c r="BS505" s="7"/>
      <c r="BT505" s="7"/>
      <c r="BU505" s="2" t="s">
        <v>2829</v>
      </c>
      <c r="BV505" s="2" t="s">
        <v>199</v>
      </c>
      <c r="BW505" s="2" t="s">
        <v>199</v>
      </c>
      <c r="BX505" s="2" t="s">
        <v>208</v>
      </c>
      <c r="BY505" s="2" t="s">
        <v>209</v>
      </c>
      <c r="BZ505" s="2" t="s">
        <v>196</v>
      </c>
      <c r="CA505" s="2" t="s">
        <v>2847</v>
      </c>
      <c r="CB505" s="2" t="s">
        <v>351</v>
      </c>
      <c r="CC505" s="2" t="s">
        <v>212</v>
      </c>
      <c r="CD505" s="2" t="s">
        <v>199</v>
      </c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>
        <v>40</v>
      </c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>
        <v>100</v>
      </c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>
        <v>80</v>
      </c>
      <c r="ER505" s="4"/>
      <c r="ES505" s="4"/>
      <c r="ET505" s="4">
        <v>3</v>
      </c>
      <c r="EU505" s="4"/>
      <c r="EV505" s="4"/>
      <c r="EW505" s="4">
        <v>40</v>
      </c>
      <c r="EX505" s="4">
        <v>36</v>
      </c>
      <c r="EY505" s="4">
        <v>30</v>
      </c>
      <c r="EZ505" s="4">
        <v>23</v>
      </c>
      <c r="FA505" s="4">
        <v>16</v>
      </c>
      <c r="FB505" s="4">
        <v>8</v>
      </c>
      <c r="FC505" s="4">
        <v>1</v>
      </c>
      <c r="FD505" s="4">
        <v>100</v>
      </c>
      <c r="FE505" s="4">
        <v>90</v>
      </c>
      <c r="FF505" s="4">
        <v>83</v>
      </c>
      <c r="FG505" s="4">
        <v>76</v>
      </c>
      <c r="FH505" s="4">
        <v>69</v>
      </c>
      <c r="FI505" s="4">
        <v>61</v>
      </c>
      <c r="FJ505" s="4">
        <v>54</v>
      </c>
      <c r="FK505" s="4">
        <v>47</v>
      </c>
      <c r="FL505" s="4">
        <v>40</v>
      </c>
      <c r="FM505" s="4">
        <v>114</v>
      </c>
      <c r="FN505" s="4">
        <v>106</v>
      </c>
      <c r="FO505" s="4">
        <v>98</v>
      </c>
      <c r="FP505" s="4">
        <v>89</v>
      </c>
      <c r="FQ505" s="4">
        <v>81</v>
      </c>
      <c r="FR505" s="4">
        <v>73</v>
      </c>
      <c r="FS505" s="4">
        <v>65</v>
      </c>
      <c r="FT505" s="19">
        <v>0.8</v>
      </c>
      <c r="FU505" s="20">
        <v>0</v>
      </c>
      <c r="FV505" s="20">
        <v>0</v>
      </c>
      <c r="FW505" s="19">
        <v>6.7</v>
      </c>
      <c r="FX505" s="19">
        <v>5.1</v>
      </c>
      <c r="FY505" s="19">
        <v>4.3</v>
      </c>
      <c r="FZ505" s="19">
        <v>3.8</v>
      </c>
      <c r="GA505" s="19">
        <v>2.3</v>
      </c>
      <c r="GB505" s="19">
        <v>1.1</v>
      </c>
      <c r="GC505" s="19">
        <v>0.1</v>
      </c>
      <c r="GD505" s="19">
        <v>12.5</v>
      </c>
      <c r="GE505" s="19">
        <v>12.9</v>
      </c>
      <c r="GF505" s="19">
        <v>11.9</v>
      </c>
      <c r="GG505" s="19">
        <v>10.9</v>
      </c>
      <c r="GH505" s="19">
        <v>9.9</v>
      </c>
      <c r="GI505" s="19">
        <v>8.7</v>
      </c>
      <c r="GJ505" s="19">
        <v>7.7</v>
      </c>
      <c r="GK505" s="19">
        <v>6.7</v>
      </c>
      <c r="GL505" s="19">
        <v>5</v>
      </c>
      <c r="GM505" s="19">
        <v>14.3</v>
      </c>
      <c r="GN505" s="19">
        <v>13.3</v>
      </c>
      <c r="GO505" s="19">
        <v>12.3</v>
      </c>
      <c r="GP505" s="19">
        <v>11.1</v>
      </c>
      <c r="GQ505" s="19">
        <v>10.1</v>
      </c>
      <c r="GR505" s="19">
        <v>9.1</v>
      </c>
      <c r="GS505" s="19">
        <v>8.1</v>
      </c>
    </row>
    <row r="506">
      <c r="A506" s="2" t="s">
        <v>2875</v>
      </c>
      <c r="B506" s="2" t="s">
        <v>245</v>
      </c>
      <c r="C506" s="2" t="s">
        <v>1007</v>
      </c>
      <c r="D506" s="2" t="s">
        <v>247</v>
      </c>
      <c r="E506" s="2" t="s">
        <v>248</v>
      </c>
      <c r="F506" s="2" t="s">
        <v>386</v>
      </c>
      <c r="G506" s="2" t="s">
        <v>386</v>
      </c>
      <c r="H506" s="2" t="s">
        <v>386</v>
      </c>
      <c r="I506" s="2" t="s">
        <v>2827</v>
      </c>
      <c r="J506" s="2" t="s">
        <v>194</v>
      </c>
      <c r="K506" s="2" t="s">
        <v>371</v>
      </c>
      <c r="L506" s="3">
        <v>11.18</v>
      </c>
      <c r="M506" s="3">
        <v>11.74</v>
      </c>
      <c r="N506" s="3">
        <v>27.99</v>
      </c>
      <c r="O506" s="2" t="s">
        <v>196</v>
      </c>
      <c r="P506" s="2" t="s">
        <v>197</v>
      </c>
      <c r="Q506" s="2" t="s">
        <v>198</v>
      </c>
      <c r="R506" s="2" t="s">
        <v>199</v>
      </c>
      <c r="S506" s="2" t="s">
        <v>2876</v>
      </c>
      <c r="T506" s="2" t="s">
        <v>386</v>
      </c>
      <c r="U506" s="2" t="s">
        <v>199</v>
      </c>
      <c r="V506" s="2" t="s">
        <v>202</v>
      </c>
      <c r="W506" s="2" t="s">
        <v>203</v>
      </c>
      <c r="X506" s="2" t="s">
        <v>199</v>
      </c>
      <c r="Y506" s="2" t="s">
        <v>204</v>
      </c>
      <c r="Z506" s="4">
        <v>300</v>
      </c>
      <c r="AA506" s="4">
        <f>=ROUNDDOWN(88.2352941176471,0)</f>
      </c>
      <c r="AB506" s="5">
        <v>3.4</v>
      </c>
      <c r="AC506" s="2" t="s">
        <v>199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199</v>
      </c>
      <c r="AW506" s="8" t="s">
        <v>199</v>
      </c>
      <c r="AX506" s="4" t="s">
        <v>199</v>
      </c>
      <c r="AY506" s="8" t="s">
        <v>199</v>
      </c>
      <c r="AZ506" s="7" t="s">
        <v>199</v>
      </c>
      <c r="BA506" s="7" t="s">
        <v>199</v>
      </c>
      <c r="BB506" s="7" t="s">
        <v>199</v>
      </c>
      <c r="BC506" s="4" t="s">
        <v>199</v>
      </c>
      <c r="BD506" s="8" t="s">
        <v>199</v>
      </c>
      <c r="BE506" s="4" t="s">
        <v>199</v>
      </c>
      <c r="BF506" s="8" t="s">
        <v>199</v>
      </c>
      <c r="BG506" s="7" t="s">
        <v>199</v>
      </c>
      <c r="BH506" s="7" t="s">
        <v>199</v>
      </c>
      <c r="BI506" s="7"/>
      <c r="BJ506" s="4">
        <v>53</v>
      </c>
      <c r="BK506" s="8">
        <v>592.37</v>
      </c>
      <c r="BL506" s="2" t="s">
        <v>2877</v>
      </c>
      <c r="BM506" s="7"/>
      <c r="BN506" s="7"/>
      <c r="BO506" s="4"/>
      <c r="BP506" s="8"/>
      <c r="BQ506" s="4"/>
      <c r="BR506" s="8"/>
      <c r="BS506" s="7"/>
      <c r="BT506" s="7"/>
      <c r="BU506" s="2" t="s">
        <v>2829</v>
      </c>
      <c r="BV506" s="2" t="s">
        <v>199</v>
      </c>
      <c r="BW506" s="2" t="s">
        <v>199</v>
      </c>
      <c r="BX506" s="2" t="s">
        <v>208</v>
      </c>
      <c r="BY506" s="2" t="s">
        <v>209</v>
      </c>
      <c r="BZ506" s="2" t="s">
        <v>196</v>
      </c>
      <c r="CA506" s="2" t="s">
        <v>210</v>
      </c>
      <c r="CB506" s="2" t="s">
        <v>985</v>
      </c>
      <c r="CC506" s="2" t="s">
        <v>212</v>
      </c>
      <c r="CD506" s="2" t="s">
        <v>199</v>
      </c>
      <c r="CE506" s="4">
        <v>300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>
        <v>301</v>
      </c>
      <c r="EU506" s="4">
        <v>290</v>
      </c>
      <c r="EV506" s="4">
        <v>287</v>
      </c>
      <c r="EW506" s="4">
        <v>284</v>
      </c>
      <c r="EX506" s="4">
        <v>281</v>
      </c>
      <c r="EY506" s="4">
        <v>278</v>
      </c>
      <c r="EZ506" s="4">
        <v>275</v>
      </c>
      <c r="FA506" s="4">
        <v>272</v>
      </c>
      <c r="FB506" s="4">
        <v>269</v>
      </c>
      <c r="FC506" s="4">
        <v>266</v>
      </c>
      <c r="FD506" s="4">
        <v>263</v>
      </c>
      <c r="FE506" s="4">
        <v>260</v>
      </c>
      <c r="FF506" s="4">
        <v>257</v>
      </c>
      <c r="FG506" s="4">
        <v>254</v>
      </c>
      <c r="FH506" s="4">
        <v>251</v>
      </c>
      <c r="FI506" s="4">
        <v>248</v>
      </c>
      <c r="FJ506" s="4">
        <v>245</v>
      </c>
      <c r="FK506" s="4">
        <v>242</v>
      </c>
      <c r="FL506" s="4">
        <v>239</v>
      </c>
      <c r="FM506" s="4">
        <v>236</v>
      </c>
      <c r="FN506" s="4">
        <v>233</v>
      </c>
      <c r="FO506" s="4">
        <v>230</v>
      </c>
      <c r="FP506" s="4">
        <v>227</v>
      </c>
      <c r="FQ506" s="4">
        <v>224</v>
      </c>
      <c r="FR506" s="4">
        <v>221</v>
      </c>
      <c r="FS506" s="4">
        <v>218</v>
      </c>
      <c r="FT506" s="19">
        <v>60.2</v>
      </c>
      <c r="FU506" s="19">
        <v>96.7</v>
      </c>
      <c r="FV506" s="19">
        <v>95.7</v>
      </c>
      <c r="FW506" s="19">
        <v>94.7</v>
      </c>
      <c r="FX506" s="19">
        <v>93.7</v>
      </c>
      <c r="FY506" s="19">
        <v>92.7</v>
      </c>
      <c r="FZ506" s="19">
        <v>91.7</v>
      </c>
      <c r="GA506" s="19">
        <v>90.7</v>
      </c>
      <c r="GB506" s="19">
        <v>89.7</v>
      </c>
      <c r="GC506" s="19">
        <v>88.7</v>
      </c>
      <c r="GD506" s="19">
        <v>87.7</v>
      </c>
      <c r="GE506" s="19">
        <v>86.7</v>
      </c>
      <c r="GF506" s="19">
        <v>85.7</v>
      </c>
      <c r="GG506" s="19">
        <v>84.7</v>
      </c>
      <c r="GH506" s="19">
        <v>83.7</v>
      </c>
      <c r="GI506" s="19">
        <v>82.7</v>
      </c>
      <c r="GJ506" s="19">
        <v>81.7</v>
      </c>
      <c r="GK506" s="19">
        <v>80.7</v>
      </c>
      <c r="GL506" s="19">
        <v>79.7</v>
      </c>
      <c r="GM506" s="19">
        <v>78.7</v>
      </c>
      <c r="GN506" s="19">
        <v>77.7</v>
      </c>
      <c r="GO506" s="19">
        <v>76.7</v>
      </c>
      <c r="GP506" s="19">
        <v>75.7</v>
      </c>
      <c r="GQ506" s="19">
        <v>74.7</v>
      </c>
      <c r="GR506" s="19">
        <v>73.7</v>
      </c>
      <c r="GS506" s="19">
        <v>72.7</v>
      </c>
    </row>
    <row r="507">
      <c r="A507" s="2" t="s">
        <v>2878</v>
      </c>
      <c r="B507" s="2" t="s">
        <v>245</v>
      </c>
      <c r="C507" s="2" t="s">
        <v>1007</v>
      </c>
      <c r="D507" s="2" t="s">
        <v>247</v>
      </c>
      <c r="E507" s="2" t="s">
        <v>248</v>
      </c>
      <c r="F507" s="2" t="s">
        <v>386</v>
      </c>
      <c r="G507" s="2" t="s">
        <v>386</v>
      </c>
      <c r="H507" s="2" t="s">
        <v>386</v>
      </c>
      <c r="I507" s="2" t="s">
        <v>2850</v>
      </c>
      <c r="J507" s="2" t="s">
        <v>194</v>
      </c>
      <c r="K507" s="2" t="s">
        <v>371</v>
      </c>
      <c r="L507" s="3">
        <v>12.15</v>
      </c>
      <c r="M507" s="3">
        <v>12.76</v>
      </c>
      <c r="N507" s="3">
        <v>26.99</v>
      </c>
      <c r="O507" s="2" t="s">
        <v>196</v>
      </c>
      <c r="P507" s="2" t="s">
        <v>197</v>
      </c>
      <c r="Q507" s="2" t="s">
        <v>198</v>
      </c>
      <c r="R507" s="2" t="s">
        <v>199</v>
      </c>
      <c r="S507" s="2" t="s">
        <v>2876</v>
      </c>
      <c r="T507" s="2" t="s">
        <v>386</v>
      </c>
      <c r="U507" s="2" t="s">
        <v>254</v>
      </c>
      <c r="V507" s="2" t="s">
        <v>202</v>
      </c>
      <c r="W507" s="2" t="s">
        <v>510</v>
      </c>
      <c r="X507" s="2" t="s">
        <v>199</v>
      </c>
      <c r="Y507" s="2" t="s">
        <v>2743</v>
      </c>
      <c r="Z507" s="4">
        <v>144</v>
      </c>
      <c r="AA507" s="4">
        <f>=ROUNDDOWN(72,0)</f>
      </c>
      <c r="AB507" s="5">
        <v>2</v>
      </c>
      <c r="AC507" s="2" t="s">
        <v>199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199</v>
      </c>
      <c r="AW507" s="8" t="s">
        <v>199</v>
      </c>
      <c r="AX507" s="4" t="s">
        <v>199</v>
      </c>
      <c r="AY507" s="8" t="s">
        <v>199</v>
      </c>
      <c r="AZ507" s="7" t="s">
        <v>199</v>
      </c>
      <c r="BA507" s="7" t="s">
        <v>199</v>
      </c>
      <c r="BB507" s="7" t="s">
        <v>199</v>
      </c>
      <c r="BC507" s="4" t="s">
        <v>199</v>
      </c>
      <c r="BD507" s="8" t="s">
        <v>199</v>
      </c>
      <c r="BE507" s="4" t="s">
        <v>199</v>
      </c>
      <c r="BF507" s="8" t="s">
        <v>199</v>
      </c>
      <c r="BG507" s="7" t="s">
        <v>199</v>
      </c>
      <c r="BH507" s="7" t="s">
        <v>199</v>
      </c>
      <c r="BI507" s="7"/>
      <c r="BJ507" s="4">
        <v>19</v>
      </c>
      <c r="BK507" s="8">
        <v>241.16</v>
      </c>
      <c r="BL507" s="2" t="s">
        <v>2879</v>
      </c>
      <c r="BM507" s="7"/>
      <c r="BN507" s="7"/>
      <c r="BO507" s="4"/>
      <c r="BP507" s="8"/>
      <c r="BQ507" s="4"/>
      <c r="BR507" s="8"/>
      <c r="BS507" s="7"/>
      <c r="BT507" s="7"/>
      <c r="BU507" s="2" t="s">
        <v>2853</v>
      </c>
      <c r="BV507" s="2" t="s">
        <v>199</v>
      </c>
      <c r="BW507" s="2" t="s">
        <v>199</v>
      </c>
      <c r="BX507" s="2" t="s">
        <v>208</v>
      </c>
      <c r="BY507" s="2" t="s">
        <v>209</v>
      </c>
      <c r="BZ507" s="2" t="s">
        <v>196</v>
      </c>
      <c r="CA507" s="2" t="s">
        <v>2746</v>
      </c>
      <c r="CB507" s="2" t="s">
        <v>2880</v>
      </c>
      <c r="CC507" s="2" t="s">
        <v>212</v>
      </c>
      <c r="CD507" s="2" t="s">
        <v>199</v>
      </c>
      <c r="CE507" s="4">
        <v>144</v>
      </c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>
        <v>144</v>
      </c>
      <c r="EU507" s="4">
        <v>143</v>
      </c>
      <c r="EV507" s="4">
        <v>142</v>
      </c>
      <c r="EW507" s="4">
        <v>141</v>
      </c>
      <c r="EX507" s="4">
        <v>140</v>
      </c>
      <c r="EY507" s="4">
        <v>139</v>
      </c>
      <c r="EZ507" s="4">
        <v>137</v>
      </c>
      <c r="FA507" s="4">
        <v>135</v>
      </c>
      <c r="FB507" s="4">
        <v>133</v>
      </c>
      <c r="FC507" s="4">
        <v>131</v>
      </c>
      <c r="FD507" s="4">
        <v>129</v>
      </c>
      <c r="FE507" s="4">
        <v>127</v>
      </c>
      <c r="FF507" s="4">
        <v>125</v>
      </c>
      <c r="FG507" s="4">
        <v>123</v>
      </c>
      <c r="FH507" s="4">
        <v>121</v>
      </c>
      <c r="FI507" s="4">
        <v>119</v>
      </c>
      <c r="FJ507" s="4">
        <v>117</v>
      </c>
      <c r="FK507" s="4">
        <v>115</v>
      </c>
      <c r="FL507" s="4">
        <v>113</v>
      </c>
      <c r="FM507" s="4">
        <v>111</v>
      </c>
      <c r="FN507" s="4">
        <v>109</v>
      </c>
      <c r="FO507" s="4">
        <v>107</v>
      </c>
      <c r="FP507" s="4">
        <v>105</v>
      </c>
      <c r="FQ507" s="4">
        <v>103</v>
      </c>
      <c r="FR507" s="4">
        <v>101</v>
      </c>
      <c r="FS507" s="4">
        <v>99</v>
      </c>
      <c r="FT507" s="19">
        <v>144</v>
      </c>
      <c r="FU507" s="19">
        <v>143</v>
      </c>
      <c r="FV507" s="19">
        <v>142</v>
      </c>
      <c r="FW507" s="19">
        <v>70.5</v>
      </c>
      <c r="FX507" s="19">
        <v>70</v>
      </c>
      <c r="FY507" s="19">
        <v>69.5</v>
      </c>
      <c r="FZ507" s="19">
        <v>68.5</v>
      </c>
      <c r="GA507" s="19">
        <v>67.5</v>
      </c>
      <c r="GB507" s="19">
        <v>66.5</v>
      </c>
      <c r="GC507" s="19">
        <v>65.5</v>
      </c>
      <c r="GD507" s="19">
        <v>64.5</v>
      </c>
      <c r="GE507" s="19">
        <v>63.5</v>
      </c>
      <c r="GF507" s="19">
        <v>62.5</v>
      </c>
      <c r="GG507" s="19">
        <v>61.5</v>
      </c>
      <c r="GH507" s="19">
        <v>60.5</v>
      </c>
      <c r="GI507" s="19">
        <v>59.5</v>
      </c>
      <c r="GJ507" s="19">
        <v>58.5</v>
      </c>
      <c r="GK507" s="19">
        <v>57.5</v>
      </c>
      <c r="GL507" s="19">
        <v>56.5</v>
      </c>
      <c r="GM507" s="19">
        <v>55.5</v>
      </c>
      <c r="GN507" s="19">
        <v>54.5</v>
      </c>
      <c r="GO507" s="19">
        <v>53.5</v>
      </c>
      <c r="GP507" s="19">
        <v>52.5</v>
      </c>
      <c r="GQ507" s="19">
        <v>51.5</v>
      </c>
      <c r="GR507" s="19">
        <v>50.5</v>
      </c>
      <c r="GS507" s="19">
        <v>49.5</v>
      </c>
    </row>
    <row r="508">
      <c r="A508" s="2" t="s">
        <v>2881</v>
      </c>
      <c r="B508" s="2" t="s">
        <v>245</v>
      </c>
      <c r="C508" s="2" t="s">
        <v>1007</v>
      </c>
      <c r="D508" s="2" t="s">
        <v>247</v>
      </c>
      <c r="E508" s="2" t="s">
        <v>248</v>
      </c>
      <c r="F508" s="2" t="s">
        <v>386</v>
      </c>
      <c r="G508" s="2" t="s">
        <v>386</v>
      </c>
      <c r="H508" s="2" t="s">
        <v>386</v>
      </c>
      <c r="I508" s="2" t="s">
        <v>2827</v>
      </c>
      <c r="J508" s="2" t="s">
        <v>214</v>
      </c>
      <c r="K508" s="2" t="s">
        <v>371</v>
      </c>
      <c r="L508" s="3">
        <v>11.18</v>
      </c>
      <c r="M508" s="3">
        <v>11.74</v>
      </c>
      <c r="N508" s="3">
        <v>27.99</v>
      </c>
      <c r="O508" s="2" t="s">
        <v>196</v>
      </c>
      <c r="P508" s="2" t="s">
        <v>197</v>
      </c>
      <c r="Q508" s="2" t="s">
        <v>198</v>
      </c>
      <c r="R508" s="2" t="s">
        <v>199</v>
      </c>
      <c r="S508" s="2" t="s">
        <v>2876</v>
      </c>
      <c r="T508" s="2" t="s">
        <v>386</v>
      </c>
      <c r="U508" s="2" t="s">
        <v>199</v>
      </c>
      <c r="V508" s="2" t="s">
        <v>202</v>
      </c>
      <c r="W508" s="2" t="s">
        <v>203</v>
      </c>
      <c r="X508" s="2" t="s">
        <v>199</v>
      </c>
      <c r="Y508" s="2" t="s">
        <v>204</v>
      </c>
      <c r="Z508" s="4">
        <v>340</v>
      </c>
      <c r="AA508" s="4">
        <f>=ROUNDDOWN(113.333333333333,0)</f>
      </c>
      <c r="AB508" s="5">
        <v>3</v>
      </c>
      <c r="AC508" s="2" t="s">
        <v>199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199</v>
      </c>
      <c r="AW508" s="8" t="s">
        <v>199</v>
      </c>
      <c r="AX508" s="4" t="s">
        <v>199</v>
      </c>
      <c r="AY508" s="8" t="s">
        <v>199</v>
      </c>
      <c r="AZ508" s="7" t="s">
        <v>199</v>
      </c>
      <c r="BA508" s="7" t="s">
        <v>199</v>
      </c>
      <c r="BB508" s="7" t="s">
        <v>199</v>
      </c>
      <c r="BC508" s="4" t="s">
        <v>199</v>
      </c>
      <c r="BD508" s="8" t="s">
        <v>199</v>
      </c>
      <c r="BE508" s="4" t="s">
        <v>199</v>
      </c>
      <c r="BF508" s="8" t="s">
        <v>199</v>
      </c>
      <c r="BG508" s="7" t="s">
        <v>199</v>
      </c>
      <c r="BH508" s="7" t="s">
        <v>199</v>
      </c>
      <c r="BI508" s="7"/>
      <c r="BJ508" s="4">
        <v>56</v>
      </c>
      <c r="BK508" s="8">
        <v>627.62</v>
      </c>
      <c r="BL508" s="2" t="s">
        <v>2882</v>
      </c>
      <c r="BM508" s="7"/>
      <c r="BN508" s="7"/>
      <c r="BO508" s="4"/>
      <c r="BP508" s="8"/>
      <c r="BQ508" s="4"/>
      <c r="BR508" s="8"/>
      <c r="BS508" s="7"/>
      <c r="BT508" s="7"/>
      <c r="BU508" s="2" t="s">
        <v>2829</v>
      </c>
      <c r="BV508" s="2" t="s">
        <v>199</v>
      </c>
      <c r="BW508" s="2" t="s">
        <v>199</v>
      </c>
      <c r="BX508" s="2" t="s">
        <v>208</v>
      </c>
      <c r="BY508" s="2" t="s">
        <v>209</v>
      </c>
      <c r="BZ508" s="2" t="s">
        <v>196</v>
      </c>
      <c r="CA508" s="2" t="s">
        <v>210</v>
      </c>
      <c r="CB508" s="2" t="s">
        <v>982</v>
      </c>
      <c r="CC508" s="2" t="s">
        <v>212</v>
      </c>
      <c r="CD508" s="2" t="s">
        <v>199</v>
      </c>
      <c r="CE508" s="4">
        <v>340</v>
      </c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>
        <v>341</v>
      </c>
      <c r="EU508" s="4">
        <v>337</v>
      </c>
      <c r="EV508" s="4">
        <v>334</v>
      </c>
      <c r="EW508" s="4">
        <v>331</v>
      </c>
      <c r="EX508" s="4">
        <v>328</v>
      </c>
      <c r="EY508" s="4">
        <v>325</v>
      </c>
      <c r="EZ508" s="4">
        <v>322</v>
      </c>
      <c r="FA508" s="4">
        <v>319</v>
      </c>
      <c r="FB508" s="4">
        <v>315</v>
      </c>
      <c r="FC508" s="4">
        <v>312</v>
      </c>
      <c r="FD508" s="4">
        <v>309</v>
      </c>
      <c r="FE508" s="4">
        <v>306</v>
      </c>
      <c r="FF508" s="4">
        <v>303</v>
      </c>
      <c r="FG508" s="4">
        <v>300</v>
      </c>
      <c r="FH508" s="4">
        <v>297</v>
      </c>
      <c r="FI508" s="4">
        <v>294</v>
      </c>
      <c r="FJ508" s="4">
        <v>290</v>
      </c>
      <c r="FK508" s="4">
        <v>286</v>
      </c>
      <c r="FL508" s="4">
        <v>282</v>
      </c>
      <c r="FM508" s="4">
        <v>278</v>
      </c>
      <c r="FN508" s="4">
        <v>274</v>
      </c>
      <c r="FO508" s="4">
        <v>270</v>
      </c>
      <c r="FP508" s="4">
        <v>266</v>
      </c>
      <c r="FQ508" s="4">
        <v>262</v>
      </c>
      <c r="FR508" s="4">
        <v>258</v>
      </c>
      <c r="FS508" s="4">
        <v>254</v>
      </c>
      <c r="FT508" s="19">
        <v>113.7</v>
      </c>
      <c r="FU508" s="19">
        <v>112.3</v>
      </c>
      <c r="FV508" s="19">
        <v>111.3</v>
      </c>
      <c r="FW508" s="19">
        <v>110.3</v>
      </c>
      <c r="FX508" s="19">
        <v>109.3</v>
      </c>
      <c r="FY508" s="19">
        <v>108.3</v>
      </c>
      <c r="FZ508" s="19">
        <v>107.3</v>
      </c>
      <c r="GA508" s="19">
        <v>106.3</v>
      </c>
      <c r="GB508" s="19">
        <v>105</v>
      </c>
      <c r="GC508" s="19">
        <v>104</v>
      </c>
      <c r="GD508" s="19">
        <v>103</v>
      </c>
      <c r="GE508" s="19">
        <v>102</v>
      </c>
      <c r="GF508" s="19">
        <v>101</v>
      </c>
      <c r="GG508" s="19">
        <v>75</v>
      </c>
      <c r="GH508" s="19">
        <v>74.3</v>
      </c>
      <c r="GI508" s="19">
        <v>73.5</v>
      </c>
      <c r="GJ508" s="19">
        <v>72.5</v>
      </c>
      <c r="GK508" s="19">
        <v>71.5</v>
      </c>
      <c r="GL508" s="19">
        <v>70.5</v>
      </c>
      <c r="GM508" s="19">
        <v>69.5</v>
      </c>
      <c r="GN508" s="19">
        <v>68.5</v>
      </c>
      <c r="GO508" s="19">
        <v>67.5</v>
      </c>
      <c r="GP508" s="19">
        <v>44.3</v>
      </c>
      <c r="GQ508" s="19">
        <v>26.2</v>
      </c>
      <c r="GR508" s="19">
        <v>19.8</v>
      </c>
      <c r="GS508" s="19">
        <v>15.9</v>
      </c>
    </row>
    <row r="509">
      <c r="A509" s="2" t="s">
        <v>2883</v>
      </c>
      <c r="B509" s="2" t="s">
        <v>245</v>
      </c>
      <c r="C509" s="2" t="s">
        <v>1007</v>
      </c>
      <c r="D509" s="2" t="s">
        <v>247</v>
      </c>
      <c r="E509" s="2" t="s">
        <v>248</v>
      </c>
      <c r="F509" s="2" t="s">
        <v>386</v>
      </c>
      <c r="G509" s="2" t="s">
        <v>386</v>
      </c>
      <c r="H509" s="2" t="s">
        <v>386</v>
      </c>
      <c r="I509" s="2" t="s">
        <v>2850</v>
      </c>
      <c r="J509" s="2" t="s">
        <v>214</v>
      </c>
      <c r="K509" s="2" t="s">
        <v>371</v>
      </c>
      <c r="L509" s="3">
        <v>12.15</v>
      </c>
      <c r="M509" s="3">
        <v>12.76</v>
      </c>
      <c r="N509" s="3">
        <v>26.99</v>
      </c>
      <c r="O509" s="2" t="s">
        <v>196</v>
      </c>
      <c r="P509" s="2" t="s">
        <v>197</v>
      </c>
      <c r="Q509" s="2" t="s">
        <v>198</v>
      </c>
      <c r="R509" s="2" t="s">
        <v>199</v>
      </c>
      <c r="S509" s="2" t="s">
        <v>2876</v>
      </c>
      <c r="T509" s="2" t="s">
        <v>386</v>
      </c>
      <c r="U509" s="2" t="s">
        <v>254</v>
      </c>
      <c r="V509" s="2" t="s">
        <v>202</v>
      </c>
      <c r="W509" s="2" t="s">
        <v>510</v>
      </c>
      <c r="X509" s="2" t="s">
        <v>199</v>
      </c>
      <c r="Y509" s="2" t="s">
        <v>2743</v>
      </c>
      <c r="Z509" s="4">
        <v>494</v>
      </c>
      <c r="AA509" s="4">
        <f>=ROUNDDOWN(49.4,0)</f>
      </c>
      <c r="AB509" s="5">
        <v>10</v>
      </c>
      <c r="AC509" s="2" t="s">
        <v>892</v>
      </c>
      <c r="AD509" s="4">
        <v>160</v>
      </c>
      <c r="AE509" s="4">
        <v>160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199</v>
      </c>
      <c r="AW509" s="8" t="s">
        <v>199</v>
      </c>
      <c r="AX509" s="4" t="s">
        <v>199</v>
      </c>
      <c r="AY509" s="8" t="s">
        <v>199</v>
      </c>
      <c r="AZ509" s="7" t="s">
        <v>199</v>
      </c>
      <c r="BA509" s="7" t="s">
        <v>199</v>
      </c>
      <c r="BB509" s="7" t="s">
        <v>199</v>
      </c>
      <c r="BC509" s="4" t="s">
        <v>199</v>
      </c>
      <c r="BD509" s="8" t="s">
        <v>199</v>
      </c>
      <c r="BE509" s="4" t="s">
        <v>199</v>
      </c>
      <c r="BF509" s="8" t="s">
        <v>199</v>
      </c>
      <c r="BG509" s="7" t="s">
        <v>199</v>
      </c>
      <c r="BH509" s="7" t="s">
        <v>199</v>
      </c>
      <c r="BI509" s="7"/>
      <c r="BJ509" s="4">
        <v>35</v>
      </c>
      <c r="BK509" s="8">
        <v>448.39</v>
      </c>
      <c r="BL509" s="2" t="s">
        <v>1675</v>
      </c>
      <c r="BM509" s="7"/>
      <c r="BN509" s="7"/>
      <c r="BO509" s="4"/>
      <c r="BP509" s="8"/>
      <c r="BQ509" s="4"/>
      <c r="BR509" s="8"/>
      <c r="BS509" s="7"/>
      <c r="BT509" s="7"/>
      <c r="BU509" s="2" t="s">
        <v>2853</v>
      </c>
      <c r="BV509" s="2" t="s">
        <v>199</v>
      </c>
      <c r="BW509" s="2" t="s">
        <v>199</v>
      </c>
      <c r="BX509" s="2" t="s">
        <v>208</v>
      </c>
      <c r="BY509" s="2" t="s">
        <v>209</v>
      </c>
      <c r="BZ509" s="2" t="s">
        <v>196</v>
      </c>
      <c r="CA509" s="2" t="s">
        <v>2746</v>
      </c>
      <c r="CB509" s="2" t="s">
        <v>2884</v>
      </c>
      <c r="CC509" s="2" t="s">
        <v>212</v>
      </c>
      <c r="CD509" s="2" t="s">
        <v>199</v>
      </c>
      <c r="CE509" s="4">
        <v>494</v>
      </c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>
        <v>160</v>
      </c>
      <c r="EN509" s="4"/>
      <c r="EO509" s="4"/>
      <c r="EP509" s="4"/>
      <c r="EQ509" s="4"/>
      <c r="ER509" s="4"/>
      <c r="ES509" s="4"/>
      <c r="ET509" s="4">
        <v>498</v>
      </c>
      <c r="EU509" s="4">
        <v>484</v>
      </c>
      <c r="EV509" s="4">
        <v>474</v>
      </c>
      <c r="EW509" s="4">
        <v>464</v>
      </c>
      <c r="EX509" s="4">
        <v>454</v>
      </c>
      <c r="EY509" s="4">
        <v>444</v>
      </c>
      <c r="EZ509" s="4">
        <v>434</v>
      </c>
      <c r="FA509" s="4">
        <v>424</v>
      </c>
      <c r="FB509" s="4">
        <v>412</v>
      </c>
      <c r="FC509" s="4">
        <v>402</v>
      </c>
      <c r="FD509" s="4">
        <v>392</v>
      </c>
      <c r="FE509" s="4">
        <v>382</v>
      </c>
      <c r="FF509" s="4">
        <v>372</v>
      </c>
      <c r="FG509" s="4">
        <v>362</v>
      </c>
      <c r="FH509" s="4">
        <v>352</v>
      </c>
      <c r="FI509" s="4">
        <v>342</v>
      </c>
      <c r="FJ509" s="4">
        <v>490</v>
      </c>
      <c r="FK509" s="4">
        <v>478</v>
      </c>
      <c r="FL509" s="4">
        <v>466</v>
      </c>
      <c r="FM509" s="4">
        <v>454</v>
      </c>
      <c r="FN509" s="4">
        <v>442</v>
      </c>
      <c r="FO509" s="4">
        <v>430</v>
      </c>
      <c r="FP509" s="4">
        <v>417</v>
      </c>
      <c r="FQ509" s="4">
        <v>404</v>
      </c>
      <c r="FR509" s="4">
        <v>391</v>
      </c>
      <c r="FS509" s="4">
        <v>378</v>
      </c>
      <c r="FT509" s="19">
        <v>45.3</v>
      </c>
      <c r="FU509" s="19">
        <v>48.4</v>
      </c>
      <c r="FV509" s="19">
        <v>47.4</v>
      </c>
      <c r="FW509" s="19">
        <v>46.4</v>
      </c>
      <c r="FX509" s="19">
        <v>45.4</v>
      </c>
      <c r="FY509" s="19">
        <v>44.4</v>
      </c>
      <c r="FZ509" s="19">
        <v>43.4</v>
      </c>
      <c r="GA509" s="19">
        <v>42.4</v>
      </c>
      <c r="GB509" s="19">
        <v>41.2</v>
      </c>
      <c r="GC509" s="19">
        <v>40.2</v>
      </c>
      <c r="GD509" s="19">
        <v>39.2</v>
      </c>
      <c r="GE509" s="19">
        <v>38.2</v>
      </c>
      <c r="GF509" s="19">
        <v>37.2</v>
      </c>
      <c r="GG509" s="19">
        <v>32.9</v>
      </c>
      <c r="GH509" s="19">
        <v>29.3</v>
      </c>
      <c r="GI509" s="19">
        <v>28.5</v>
      </c>
      <c r="GJ509" s="19">
        <v>40.8</v>
      </c>
      <c r="GK509" s="19">
        <v>39.8</v>
      </c>
      <c r="GL509" s="19">
        <v>38.8</v>
      </c>
      <c r="GM509" s="19">
        <v>37.8</v>
      </c>
      <c r="GN509" s="19">
        <v>34</v>
      </c>
      <c r="GO509" s="19">
        <v>33.1</v>
      </c>
      <c r="GP509" s="19">
        <v>20.9</v>
      </c>
      <c r="GQ509" s="19">
        <v>12.6</v>
      </c>
      <c r="GR509" s="19">
        <v>8.9</v>
      </c>
      <c r="GS509" s="19">
        <v>6.8</v>
      </c>
    </row>
    <row r="510">
      <c r="A510" s="2" t="s">
        <v>2885</v>
      </c>
      <c r="B510" s="2" t="s">
        <v>245</v>
      </c>
      <c r="C510" s="2" t="s">
        <v>1007</v>
      </c>
      <c r="D510" s="2" t="s">
        <v>247</v>
      </c>
      <c r="E510" s="2" t="s">
        <v>248</v>
      </c>
      <c r="F510" s="2" t="s">
        <v>386</v>
      </c>
      <c r="G510" s="2" t="s">
        <v>386</v>
      </c>
      <c r="H510" s="2" t="s">
        <v>386</v>
      </c>
      <c r="I510" s="2" t="s">
        <v>2827</v>
      </c>
      <c r="J510" s="2" t="s">
        <v>285</v>
      </c>
      <c r="K510" s="2" t="s">
        <v>371</v>
      </c>
      <c r="L510" s="3">
        <v>12.92</v>
      </c>
      <c r="M510" s="3">
        <v>13.57</v>
      </c>
      <c r="N510" s="3">
        <v>30.99</v>
      </c>
      <c r="O510" s="2" t="s">
        <v>196</v>
      </c>
      <c r="P510" s="2" t="s">
        <v>197</v>
      </c>
      <c r="Q510" s="2" t="s">
        <v>198</v>
      </c>
      <c r="R510" s="2" t="s">
        <v>199</v>
      </c>
      <c r="S510" s="2" t="s">
        <v>2876</v>
      </c>
      <c r="T510" s="2" t="s">
        <v>386</v>
      </c>
      <c r="U510" s="2" t="s">
        <v>199</v>
      </c>
      <c r="V510" s="2" t="s">
        <v>202</v>
      </c>
      <c r="W510" s="2" t="s">
        <v>203</v>
      </c>
      <c r="X510" s="2" t="s">
        <v>199</v>
      </c>
      <c r="Y510" s="2" t="s">
        <v>204</v>
      </c>
      <c r="Z510" s="4">
        <v>184</v>
      </c>
      <c r="AA510" s="4">
        <f>=ROUNDDOWN(46,0)</f>
      </c>
      <c r="AB510" s="5">
        <v>4</v>
      </c>
      <c r="AC510" s="2" t="s">
        <v>199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199</v>
      </c>
      <c r="AW510" s="8" t="s">
        <v>199</v>
      </c>
      <c r="AX510" s="4" t="s">
        <v>199</v>
      </c>
      <c r="AY510" s="8" t="s">
        <v>199</v>
      </c>
      <c r="AZ510" s="7" t="s">
        <v>199</v>
      </c>
      <c r="BA510" s="7" t="s">
        <v>199</v>
      </c>
      <c r="BB510" s="7" t="s">
        <v>199</v>
      </c>
      <c r="BC510" s="4" t="s">
        <v>199</v>
      </c>
      <c r="BD510" s="8" t="s">
        <v>199</v>
      </c>
      <c r="BE510" s="4" t="s">
        <v>199</v>
      </c>
      <c r="BF510" s="8" t="s">
        <v>199</v>
      </c>
      <c r="BG510" s="7" t="s">
        <v>199</v>
      </c>
      <c r="BH510" s="7" t="s">
        <v>199</v>
      </c>
      <c r="BI510" s="7"/>
      <c r="BJ510" s="4">
        <v>105</v>
      </c>
      <c r="BK510" s="8">
        <v>1338.32</v>
      </c>
      <c r="BL510" s="2" t="s">
        <v>2886</v>
      </c>
      <c r="BM510" s="7"/>
      <c r="BN510" s="7"/>
      <c r="BO510" s="4"/>
      <c r="BP510" s="8"/>
      <c r="BQ510" s="4"/>
      <c r="BR510" s="8"/>
      <c r="BS510" s="7"/>
      <c r="BT510" s="7"/>
      <c r="BU510" s="2" t="s">
        <v>2829</v>
      </c>
      <c r="BV510" s="2" t="s">
        <v>199</v>
      </c>
      <c r="BW510" s="2" t="s">
        <v>199</v>
      </c>
      <c r="BX510" s="2" t="s">
        <v>208</v>
      </c>
      <c r="BY510" s="2" t="s">
        <v>209</v>
      </c>
      <c r="BZ510" s="2" t="s">
        <v>196</v>
      </c>
      <c r="CA510" s="2" t="s">
        <v>210</v>
      </c>
      <c r="CB510" s="2" t="s">
        <v>2887</v>
      </c>
      <c r="CC510" s="2" t="s">
        <v>212</v>
      </c>
      <c r="CD510" s="2" t="s">
        <v>199</v>
      </c>
      <c r="CE510" s="4">
        <v>184</v>
      </c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>
        <v>185</v>
      </c>
      <c r="EU510" s="4">
        <v>173</v>
      </c>
      <c r="EV510" s="4">
        <v>169</v>
      </c>
      <c r="EW510" s="4">
        <v>165</v>
      </c>
      <c r="EX510" s="4">
        <v>161</v>
      </c>
      <c r="EY510" s="4">
        <v>157</v>
      </c>
      <c r="EZ510" s="4">
        <v>153</v>
      </c>
      <c r="FA510" s="4">
        <v>149</v>
      </c>
      <c r="FB510" s="4">
        <v>144</v>
      </c>
      <c r="FC510" s="4">
        <v>140</v>
      </c>
      <c r="FD510" s="4">
        <v>136</v>
      </c>
      <c r="FE510" s="4">
        <v>132</v>
      </c>
      <c r="FF510" s="4">
        <v>128</v>
      </c>
      <c r="FG510" s="4">
        <v>124</v>
      </c>
      <c r="FH510" s="4">
        <v>120</v>
      </c>
      <c r="FI510" s="4">
        <v>116</v>
      </c>
      <c r="FJ510" s="4">
        <v>112</v>
      </c>
      <c r="FK510" s="4">
        <v>108</v>
      </c>
      <c r="FL510" s="4">
        <v>104</v>
      </c>
      <c r="FM510" s="4">
        <v>100</v>
      </c>
      <c r="FN510" s="4">
        <v>96</v>
      </c>
      <c r="FO510" s="4">
        <v>92</v>
      </c>
      <c r="FP510" s="4">
        <v>87</v>
      </c>
      <c r="FQ510" s="4">
        <v>83</v>
      </c>
      <c r="FR510" s="4">
        <v>79</v>
      </c>
      <c r="FS510" s="4">
        <v>75</v>
      </c>
      <c r="FT510" s="19">
        <v>30.8</v>
      </c>
      <c r="FU510" s="19">
        <v>43.3</v>
      </c>
      <c r="FV510" s="19">
        <v>42.3</v>
      </c>
      <c r="FW510" s="19">
        <v>41.3</v>
      </c>
      <c r="FX510" s="19">
        <v>40.3</v>
      </c>
      <c r="FY510" s="19">
        <v>39.3</v>
      </c>
      <c r="FZ510" s="19">
        <v>38.3</v>
      </c>
      <c r="GA510" s="19">
        <v>37.3</v>
      </c>
      <c r="GB510" s="19">
        <v>36</v>
      </c>
      <c r="GC510" s="19">
        <v>35</v>
      </c>
      <c r="GD510" s="19">
        <v>34</v>
      </c>
      <c r="GE510" s="19">
        <v>33</v>
      </c>
      <c r="GF510" s="19">
        <v>32</v>
      </c>
      <c r="GG510" s="19">
        <v>31</v>
      </c>
      <c r="GH510" s="19">
        <v>30</v>
      </c>
      <c r="GI510" s="19">
        <v>29</v>
      </c>
      <c r="GJ510" s="19">
        <v>28</v>
      </c>
      <c r="GK510" s="19">
        <v>27</v>
      </c>
      <c r="GL510" s="19">
        <v>26</v>
      </c>
      <c r="GM510" s="19">
        <v>25</v>
      </c>
      <c r="GN510" s="19">
        <v>24</v>
      </c>
      <c r="GO510" s="19">
        <v>23</v>
      </c>
      <c r="GP510" s="19">
        <v>21.8</v>
      </c>
      <c r="GQ510" s="19">
        <v>20.8</v>
      </c>
      <c r="GR510" s="19">
        <v>19.8</v>
      </c>
      <c r="GS510" s="19">
        <v>15</v>
      </c>
    </row>
    <row r="511">
      <c r="A511" s="2" t="s">
        <v>2888</v>
      </c>
      <c r="B511" s="2" t="s">
        <v>245</v>
      </c>
      <c r="C511" s="2" t="s">
        <v>1007</v>
      </c>
      <c r="D511" s="2" t="s">
        <v>247</v>
      </c>
      <c r="E511" s="2" t="s">
        <v>248</v>
      </c>
      <c r="F511" s="2" t="s">
        <v>386</v>
      </c>
      <c r="G511" s="2" t="s">
        <v>386</v>
      </c>
      <c r="H511" s="2" t="s">
        <v>386</v>
      </c>
      <c r="I511" s="2" t="s">
        <v>2850</v>
      </c>
      <c r="J511" s="2" t="s">
        <v>285</v>
      </c>
      <c r="K511" s="2" t="s">
        <v>371</v>
      </c>
      <c r="L511" s="3">
        <v>14.85</v>
      </c>
      <c r="M511" s="3">
        <v>15.59</v>
      </c>
      <c r="N511" s="3">
        <v>32.99</v>
      </c>
      <c r="O511" s="2" t="s">
        <v>196</v>
      </c>
      <c r="P511" s="2" t="s">
        <v>197</v>
      </c>
      <c r="Q511" s="2" t="s">
        <v>198</v>
      </c>
      <c r="R511" s="2" t="s">
        <v>199</v>
      </c>
      <c r="S511" s="2" t="s">
        <v>2876</v>
      </c>
      <c r="T511" s="2" t="s">
        <v>386</v>
      </c>
      <c r="U511" s="2" t="s">
        <v>546</v>
      </c>
      <c r="V511" s="2" t="s">
        <v>202</v>
      </c>
      <c r="W511" s="2" t="s">
        <v>510</v>
      </c>
      <c r="X511" s="2" t="s">
        <v>199</v>
      </c>
      <c r="Y511" s="2" t="s">
        <v>2743</v>
      </c>
      <c r="Z511" s="4">
        <v>164</v>
      </c>
      <c r="AA511" s="4">
        <f>=ROUNDDOWN(54.6666666666667,0)</f>
      </c>
      <c r="AB511" s="5">
        <v>3</v>
      </c>
      <c r="AC511" s="2" t="s">
        <v>199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199</v>
      </c>
      <c r="AW511" s="8" t="s">
        <v>199</v>
      </c>
      <c r="AX511" s="4" t="s">
        <v>199</v>
      </c>
      <c r="AY511" s="8" t="s">
        <v>199</v>
      </c>
      <c r="AZ511" s="7" t="s">
        <v>199</v>
      </c>
      <c r="BA511" s="7" t="s">
        <v>199</v>
      </c>
      <c r="BB511" s="7" t="s">
        <v>199</v>
      </c>
      <c r="BC511" s="4" t="s">
        <v>199</v>
      </c>
      <c r="BD511" s="8" t="s">
        <v>199</v>
      </c>
      <c r="BE511" s="4" t="s">
        <v>199</v>
      </c>
      <c r="BF511" s="8" t="s">
        <v>199</v>
      </c>
      <c r="BG511" s="7" t="s">
        <v>199</v>
      </c>
      <c r="BH511" s="7" t="s">
        <v>199</v>
      </c>
      <c r="BI511" s="7"/>
      <c r="BJ511" s="4">
        <v>27</v>
      </c>
      <c r="BK511" s="8">
        <v>419.66</v>
      </c>
      <c r="BL511" s="2" t="s">
        <v>2889</v>
      </c>
      <c r="BM511" s="7"/>
      <c r="BN511" s="7"/>
      <c r="BO511" s="4"/>
      <c r="BP511" s="8"/>
      <c r="BQ511" s="4"/>
      <c r="BR511" s="8"/>
      <c r="BS511" s="7"/>
      <c r="BT511" s="7"/>
      <c r="BU511" s="2" t="s">
        <v>2853</v>
      </c>
      <c r="BV511" s="2" t="s">
        <v>199</v>
      </c>
      <c r="BW511" s="2" t="s">
        <v>199</v>
      </c>
      <c r="BX511" s="2" t="s">
        <v>208</v>
      </c>
      <c r="BY511" s="2" t="s">
        <v>209</v>
      </c>
      <c r="BZ511" s="2" t="s">
        <v>196</v>
      </c>
      <c r="CA511" s="2" t="s">
        <v>2746</v>
      </c>
      <c r="CB511" s="2" t="s">
        <v>2890</v>
      </c>
      <c r="CC511" s="2" t="s">
        <v>212</v>
      </c>
      <c r="CD511" s="2" t="s">
        <v>199</v>
      </c>
      <c r="CE511" s="4">
        <v>164</v>
      </c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>
        <v>167</v>
      </c>
      <c r="EU511" s="4">
        <v>162</v>
      </c>
      <c r="EV511" s="4">
        <v>159</v>
      </c>
      <c r="EW511" s="4">
        <v>156</v>
      </c>
      <c r="EX511" s="4">
        <v>153</v>
      </c>
      <c r="EY511" s="4">
        <v>150</v>
      </c>
      <c r="EZ511" s="4">
        <v>147</v>
      </c>
      <c r="FA511" s="4">
        <v>144</v>
      </c>
      <c r="FB511" s="4">
        <v>140</v>
      </c>
      <c r="FC511" s="4">
        <v>137</v>
      </c>
      <c r="FD511" s="4">
        <v>134</v>
      </c>
      <c r="FE511" s="4">
        <v>131</v>
      </c>
      <c r="FF511" s="4">
        <v>128</v>
      </c>
      <c r="FG511" s="4">
        <v>125</v>
      </c>
      <c r="FH511" s="4">
        <v>122</v>
      </c>
      <c r="FI511" s="4">
        <v>119</v>
      </c>
      <c r="FJ511" s="4">
        <v>116</v>
      </c>
      <c r="FK511" s="4">
        <v>113</v>
      </c>
      <c r="FL511" s="4">
        <v>110</v>
      </c>
      <c r="FM511" s="4">
        <v>107</v>
      </c>
      <c r="FN511" s="4">
        <v>104</v>
      </c>
      <c r="FO511" s="4">
        <v>101</v>
      </c>
      <c r="FP511" s="4">
        <v>97</v>
      </c>
      <c r="FQ511" s="4">
        <v>94</v>
      </c>
      <c r="FR511" s="4">
        <v>91</v>
      </c>
      <c r="FS511" s="4">
        <v>88</v>
      </c>
      <c r="FT511" s="19">
        <v>41.8</v>
      </c>
      <c r="FU511" s="19">
        <v>54</v>
      </c>
      <c r="FV511" s="19">
        <v>53</v>
      </c>
      <c r="FW511" s="19">
        <v>52</v>
      </c>
      <c r="FX511" s="19">
        <v>51</v>
      </c>
      <c r="FY511" s="19">
        <v>50</v>
      </c>
      <c r="FZ511" s="19">
        <v>49</v>
      </c>
      <c r="GA511" s="19">
        <v>48</v>
      </c>
      <c r="GB511" s="19">
        <v>46.7</v>
      </c>
      <c r="GC511" s="19">
        <v>45.7</v>
      </c>
      <c r="GD511" s="19">
        <v>44.7</v>
      </c>
      <c r="GE511" s="19">
        <v>43.7</v>
      </c>
      <c r="GF511" s="19">
        <v>42.7</v>
      </c>
      <c r="GG511" s="19">
        <v>41.7</v>
      </c>
      <c r="GH511" s="19">
        <v>40.7</v>
      </c>
      <c r="GI511" s="19">
        <v>39.7</v>
      </c>
      <c r="GJ511" s="19">
        <v>38.7</v>
      </c>
      <c r="GK511" s="19">
        <v>37.7</v>
      </c>
      <c r="GL511" s="19">
        <v>36.7</v>
      </c>
      <c r="GM511" s="19">
        <v>35.7</v>
      </c>
      <c r="GN511" s="19">
        <v>34.7</v>
      </c>
      <c r="GO511" s="19">
        <v>33.7</v>
      </c>
      <c r="GP511" s="19">
        <v>32.3</v>
      </c>
      <c r="GQ511" s="19">
        <v>31.3</v>
      </c>
      <c r="GR511" s="19">
        <v>22.8</v>
      </c>
      <c r="GS511" s="19">
        <v>22</v>
      </c>
    </row>
    <row r="512">
      <c r="A512" s="2" t="s">
        <v>2891</v>
      </c>
      <c r="B512" s="2" t="s">
        <v>245</v>
      </c>
      <c r="C512" s="2" t="s">
        <v>1007</v>
      </c>
      <c r="D512" s="2" t="s">
        <v>247</v>
      </c>
      <c r="E512" s="2" t="s">
        <v>248</v>
      </c>
      <c r="F512" s="2" t="s">
        <v>386</v>
      </c>
      <c r="G512" s="2" t="s">
        <v>386</v>
      </c>
      <c r="H512" s="2" t="s">
        <v>386</v>
      </c>
      <c r="I512" s="2" t="s">
        <v>2827</v>
      </c>
      <c r="J512" s="2" t="s">
        <v>219</v>
      </c>
      <c r="K512" s="2" t="s">
        <v>371</v>
      </c>
      <c r="L512" s="3">
        <v>14.21</v>
      </c>
      <c r="M512" s="3">
        <v>14.92</v>
      </c>
      <c r="N512" s="3">
        <v>32.99</v>
      </c>
      <c r="O512" s="2" t="s">
        <v>196</v>
      </c>
      <c r="P512" s="2" t="s">
        <v>197</v>
      </c>
      <c r="Q512" s="2" t="s">
        <v>198</v>
      </c>
      <c r="R512" s="2" t="s">
        <v>199</v>
      </c>
      <c r="S512" s="2" t="s">
        <v>2876</v>
      </c>
      <c r="T512" s="2" t="s">
        <v>386</v>
      </c>
      <c r="U512" s="2" t="s">
        <v>199</v>
      </c>
      <c r="V512" s="2" t="s">
        <v>202</v>
      </c>
      <c r="W512" s="2" t="s">
        <v>203</v>
      </c>
      <c r="X512" s="2" t="s">
        <v>199</v>
      </c>
      <c r="Y512" s="2" t="s">
        <v>204</v>
      </c>
      <c r="Z512" s="4">
        <v>105</v>
      </c>
      <c r="AA512" s="4">
        <f>=ROUNDDOWN(5.25,0)</f>
      </c>
      <c r="AB512" s="5">
        <v>20</v>
      </c>
      <c r="AC512" s="2" t="s">
        <v>2845</v>
      </c>
      <c r="AD512" s="4">
        <v>250</v>
      </c>
      <c r="AE512" s="4">
        <v>620</v>
      </c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199</v>
      </c>
      <c r="AW512" s="8" t="s">
        <v>199</v>
      </c>
      <c r="AX512" s="4" t="s">
        <v>199</v>
      </c>
      <c r="AY512" s="8" t="s">
        <v>199</v>
      </c>
      <c r="AZ512" s="7" t="s">
        <v>199</v>
      </c>
      <c r="BA512" s="7" t="s">
        <v>199</v>
      </c>
      <c r="BB512" s="7" t="s">
        <v>199</v>
      </c>
      <c r="BC512" s="4" t="s">
        <v>199</v>
      </c>
      <c r="BD512" s="8" t="s">
        <v>199</v>
      </c>
      <c r="BE512" s="4" t="s">
        <v>199</v>
      </c>
      <c r="BF512" s="8" t="s">
        <v>199</v>
      </c>
      <c r="BG512" s="7" t="s">
        <v>199</v>
      </c>
      <c r="BH512" s="7" t="s">
        <v>199</v>
      </c>
      <c r="BI512" s="7"/>
      <c r="BJ512" s="4">
        <v>307</v>
      </c>
      <c r="BK512" s="8">
        <v>4311.87</v>
      </c>
      <c r="BL512" s="2" t="s">
        <v>2892</v>
      </c>
      <c r="BM512" s="7"/>
      <c r="BN512" s="7"/>
      <c r="BO512" s="4"/>
      <c r="BP512" s="8"/>
      <c r="BQ512" s="4"/>
      <c r="BR512" s="8"/>
      <c r="BS512" s="7"/>
      <c r="BT512" s="7"/>
      <c r="BU512" s="2" t="s">
        <v>2829</v>
      </c>
      <c r="BV512" s="2" t="s">
        <v>199</v>
      </c>
      <c r="BW512" s="2" t="s">
        <v>199</v>
      </c>
      <c r="BX512" s="2" t="s">
        <v>208</v>
      </c>
      <c r="BY512" s="2" t="s">
        <v>209</v>
      </c>
      <c r="BZ512" s="2" t="s">
        <v>196</v>
      </c>
      <c r="CA512" s="2" t="s">
        <v>210</v>
      </c>
      <c r="CB512" s="2" t="s">
        <v>2893</v>
      </c>
      <c r="CC512" s="2" t="s">
        <v>212</v>
      </c>
      <c r="CD512" s="2" t="s">
        <v>199</v>
      </c>
      <c r="CE512" s="4">
        <v>105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>
        <v>250</v>
      </c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>
        <v>120</v>
      </c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>
        <v>250</v>
      </c>
      <c r="EN512" s="4"/>
      <c r="EO512" s="4"/>
      <c r="EP512" s="4"/>
      <c r="EQ512" s="4"/>
      <c r="ER512" s="4"/>
      <c r="ES512" s="4"/>
      <c r="ET512" s="4">
        <v>105</v>
      </c>
      <c r="EU512" s="4">
        <v>63</v>
      </c>
      <c r="EV512" s="4">
        <v>43</v>
      </c>
      <c r="EW512" s="4">
        <v>273</v>
      </c>
      <c r="EX512" s="4">
        <v>253</v>
      </c>
      <c r="EY512" s="4">
        <v>233</v>
      </c>
      <c r="EZ512" s="4">
        <v>213</v>
      </c>
      <c r="FA512" s="4">
        <v>193</v>
      </c>
      <c r="FB512" s="4">
        <v>170</v>
      </c>
      <c r="FC512" s="4">
        <v>150</v>
      </c>
      <c r="FD512" s="4">
        <v>250</v>
      </c>
      <c r="FE512" s="4">
        <v>230</v>
      </c>
      <c r="FF512" s="4">
        <v>210</v>
      </c>
      <c r="FG512" s="4">
        <v>190</v>
      </c>
      <c r="FH512" s="4">
        <v>170</v>
      </c>
      <c r="FI512" s="4">
        <v>149</v>
      </c>
      <c r="FJ512" s="4">
        <v>379</v>
      </c>
      <c r="FK512" s="4">
        <v>359</v>
      </c>
      <c r="FL512" s="4">
        <v>339</v>
      </c>
      <c r="FM512" s="4">
        <v>319</v>
      </c>
      <c r="FN512" s="4">
        <v>298</v>
      </c>
      <c r="FO512" s="4">
        <v>277</v>
      </c>
      <c r="FP512" s="4">
        <v>253</v>
      </c>
      <c r="FQ512" s="4">
        <v>232</v>
      </c>
      <c r="FR512" s="4">
        <v>211</v>
      </c>
      <c r="FS512" s="4">
        <v>191</v>
      </c>
      <c r="FT512" s="19">
        <v>4</v>
      </c>
      <c r="FU512" s="19">
        <v>3.2</v>
      </c>
      <c r="FV512" s="19">
        <v>2.2</v>
      </c>
      <c r="FW512" s="19">
        <v>13.7</v>
      </c>
      <c r="FX512" s="19">
        <v>12</v>
      </c>
      <c r="FY512" s="19">
        <v>11.1</v>
      </c>
      <c r="FZ512" s="19">
        <v>10.1</v>
      </c>
      <c r="GA512" s="19">
        <v>9.2</v>
      </c>
      <c r="GB512" s="19">
        <v>8.5</v>
      </c>
      <c r="GC512" s="19">
        <v>7.5</v>
      </c>
      <c r="GD512" s="19">
        <v>12.5</v>
      </c>
      <c r="GE512" s="19">
        <v>11.5</v>
      </c>
      <c r="GF512" s="19">
        <v>10.5</v>
      </c>
      <c r="GG512" s="19">
        <v>9.5</v>
      </c>
      <c r="GH512" s="19">
        <v>8.5</v>
      </c>
      <c r="GI512" s="19">
        <v>7.5</v>
      </c>
      <c r="GJ512" s="19">
        <v>19</v>
      </c>
      <c r="GK512" s="19">
        <v>18</v>
      </c>
      <c r="GL512" s="19">
        <v>15.4</v>
      </c>
      <c r="GM512" s="19">
        <v>14.5</v>
      </c>
      <c r="GN512" s="19">
        <v>13.5</v>
      </c>
      <c r="GO512" s="19">
        <v>12.6</v>
      </c>
      <c r="GP512" s="19">
        <v>12.7</v>
      </c>
      <c r="GQ512" s="19">
        <v>11</v>
      </c>
      <c r="GR512" s="19">
        <v>9.6</v>
      </c>
      <c r="GS512" s="19">
        <v>8.7</v>
      </c>
    </row>
    <row r="513">
      <c r="A513" s="2" t="s">
        <v>2894</v>
      </c>
      <c r="B513" s="2" t="s">
        <v>245</v>
      </c>
      <c r="C513" s="2" t="s">
        <v>1007</v>
      </c>
      <c r="D513" s="2" t="s">
        <v>247</v>
      </c>
      <c r="E513" s="2" t="s">
        <v>248</v>
      </c>
      <c r="F513" s="2" t="s">
        <v>386</v>
      </c>
      <c r="G513" s="2" t="s">
        <v>386</v>
      </c>
      <c r="H513" s="2" t="s">
        <v>386</v>
      </c>
      <c r="I513" s="2" t="s">
        <v>2850</v>
      </c>
      <c r="J513" s="2" t="s">
        <v>219</v>
      </c>
      <c r="K513" s="2" t="s">
        <v>371</v>
      </c>
      <c r="L513" s="3">
        <v>14.85</v>
      </c>
      <c r="M513" s="3">
        <v>15.59</v>
      </c>
      <c r="N513" s="3">
        <v>32.99</v>
      </c>
      <c r="O513" s="2" t="s">
        <v>196</v>
      </c>
      <c r="P513" s="2" t="s">
        <v>197</v>
      </c>
      <c r="Q513" s="2" t="s">
        <v>198</v>
      </c>
      <c r="R513" s="2" t="s">
        <v>199</v>
      </c>
      <c r="S513" s="2" t="s">
        <v>2876</v>
      </c>
      <c r="T513" s="2" t="s">
        <v>386</v>
      </c>
      <c r="U513" s="2" t="s">
        <v>546</v>
      </c>
      <c r="V513" s="2" t="s">
        <v>202</v>
      </c>
      <c r="W513" s="2" t="s">
        <v>510</v>
      </c>
      <c r="X513" s="2" t="s">
        <v>199</v>
      </c>
      <c r="Y513" s="2" t="s">
        <v>2743</v>
      </c>
      <c r="Z513" s="4">
        <v>532</v>
      </c>
      <c r="AA513" s="4">
        <f>=ROUNDDOWN(40.9230769230769,0)</f>
      </c>
      <c r="AB513" s="5">
        <v>13</v>
      </c>
      <c r="AC513" s="2" t="s">
        <v>2845</v>
      </c>
      <c r="AD513" s="4">
        <v>170</v>
      </c>
      <c r="AE513" s="4">
        <v>170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199</v>
      </c>
      <c r="AW513" s="8" t="s">
        <v>199</v>
      </c>
      <c r="AX513" s="4" t="s">
        <v>199</v>
      </c>
      <c r="AY513" s="8" t="s">
        <v>199</v>
      </c>
      <c r="AZ513" s="7" t="s">
        <v>199</v>
      </c>
      <c r="BA513" s="7" t="s">
        <v>199</v>
      </c>
      <c r="BB513" s="7" t="s">
        <v>199</v>
      </c>
      <c r="BC513" s="4" t="s">
        <v>199</v>
      </c>
      <c r="BD513" s="8" t="s">
        <v>199</v>
      </c>
      <c r="BE513" s="4" t="s">
        <v>199</v>
      </c>
      <c r="BF513" s="8" t="s">
        <v>199</v>
      </c>
      <c r="BG513" s="7" t="s">
        <v>199</v>
      </c>
      <c r="BH513" s="7" t="s">
        <v>199</v>
      </c>
      <c r="BI513" s="7"/>
      <c r="BJ513" s="4">
        <v>110</v>
      </c>
      <c r="BK513" s="8">
        <v>1726.56</v>
      </c>
      <c r="BL513" s="2" t="s">
        <v>2895</v>
      </c>
      <c r="BM513" s="7"/>
      <c r="BN513" s="7"/>
      <c r="BO513" s="4"/>
      <c r="BP513" s="8"/>
      <c r="BQ513" s="4"/>
      <c r="BR513" s="8"/>
      <c r="BS513" s="7"/>
      <c r="BT513" s="7"/>
      <c r="BU513" s="2" t="s">
        <v>2853</v>
      </c>
      <c r="BV513" s="2" t="s">
        <v>199</v>
      </c>
      <c r="BW513" s="2" t="s">
        <v>199</v>
      </c>
      <c r="BX513" s="2" t="s">
        <v>208</v>
      </c>
      <c r="BY513" s="2" t="s">
        <v>209</v>
      </c>
      <c r="BZ513" s="2" t="s">
        <v>196</v>
      </c>
      <c r="CA513" s="2" t="s">
        <v>2746</v>
      </c>
      <c r="CB513" s="2" t="s">
        <v>2890</v>
      </c>
      <c r="CC513" s="2" t="s">
        <v>212</v>
      </c>
      <c r="CD513" s="2" t="s">
        <v>199</v>
      </c>
      <c r="CE513" s="4">
        <v>532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>
        <v>170</v>
      </c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>
        <v>534</v>
      </c>
      <c r="EU513" s="4">
        <v>519</v>
      </c>
      <c r="EV513" s="4">
        <v>506</v>
      </c>
      <c r="EW513" s="4">
        <v>663</v>
      </c>
      <c r="EX513" s="4">
        <v>650</v>
      </c>
      <c r="EY513" s="4">
        <v>637</v>
      </c>
      <c r="EZ513" s="4">
        <v>624</v>
      </c>
      <c r="FA513" s="4">
        <v>611</v>
      </c>
      <c r="FB513" s="4">
        <v>595</v>
      </c>
      <c r="FC513" s="4">
        <v>582</v>
      </c>
      <c r="FD513" s="4">
        <v>569</v>
      </c>
      <c r="FE513" s="4">
        <v>556</v>
      </c>
      <c r="FF513" s="4">
        <v>543</v>
      </c>
      <c r="FG513" s="4">
        <v>530</v>
      </c>
      <c r="FH513" s="4">
        <v>517</v>
      </c>
      <c r="FI513" s="4">
        <v>504</v>
      </c>
      <c r="FJ513" s="4">
        <v>491</v>
      </c>
      <c r="FK513" s="4">
        <v>478</v>
      </c>
      <c r="FL513" s="4">
        <v>465</v>
      </c>
      <c r="FM513" s="4">
        <v>452</v>
      </c>
      <c r="FN513" s="4">
        <v>439</v>
      </c>
      <c r="FO513" s="4">
        <v>426</v>
      </c>
      <c r="FP513" s="4">
        <v>410</v>
      </c>
      <c r="FQ513" s="4">
        <v>397</v>
      </c>
      <c r="FR513" s="4">
        <v>384</v>
      </c>
      <c r="FS513" s="4">
        <v>371</v>
      </c>
      <c r="FT513" s="19">
        <v>38.1</v>
      </c>
      <c r="FU513" s="19">
        <v>39.9</v>
      </c>
      <c r="FV513" s="19">
        <v>38.9</v>
      </c>
      <c r="FW513" s="19">
        <v>51</v>
      </c>
      <c r="FX513" s="19">
        <v>46.4</v>
      </c>
      <c r="FY513" s="19">
        <v>45.5</v>
      </c>
      <c r="FZ513" s="19">
        <v>44.6</v>
      </c>
      <c r="GA513" s="19">
        <v>43.6</v>
      </c>
      <c r="GB513" s="19">
        <v>45.8</v>
      </c>
      <c r="GC513" s="19">
        <v>44.8</v>
      </c>
      <c r="GD513" s="19">
        <v>43.8</v>
      </c>
      <c r="GE513" s="19">
        <v>42.8</v>
      </c>
      <c r="GF513" s="19">
        <v>41.8</v>
      </c>
      <c r="GG513" s="19">
        <v>40.8</v>
      </c>
      <c r="GH513" s="19">
        <v>39.8</v>
      </c>
      <c r="GI513" s="19">
        <v>38.8</v>
      </c>
      <c r="GJ513" s="19">
        <v>37.8</v>
      </c>
      <c r="GK513" s="19">
        <v>36.8</v>
      </c>
      <c r="GL513" s="19">
        <v>33.2</v>
      </c>
      <c r="GM513" s="19">
        <v>32.3</v>
      </c>
      <c r="GN513" s="19">
        <v>31.4</v>
      </c>
      <c r="GO513" s="19">
        <v>30.4</v>
      </c>
      <c r="GP513" s="19">
        <v>31.5</v>
      </c>
      <c r="GQ513" s="19">
        <v>28.4</v>
      </c>
      <c r="GR513" s="19">
        <v>27.4</v>
      </c>
      <c r="GS513" s="19">
        <v>24.7</v>
      </c>
    </row>
    <row r="514">
      <c r="A514" s="2" t="s">
        <v>2896</v>
      </c>
      <c r="B514" s="2" t="s">
        <v>245</v>
      </c>
      <c r="C514" s="2" t="s">
        <v>1007</v>
      </c>
      <c r="D514" s="2" t="s">
        <v>247</v>
      </c>
      <c r="E514" s="2" t="s">
        <v>248</v>
      </c>
      <c r="F514" s="2" t="s">
        <v>386</v>
      </c>
      <c r="G514" s="2" t="s">
        <v>386</v>
      </c>
      <c r="H514" s="2" t="s">
        <v>386</v>
      </c>
      <c r="I514" s="2" t="s">
        <v>2827</v>
      </c>
      <c r="J514" s="2" t="s">
        <v>223</v>
      </c>
      <c r="K514" s="2" t="s">
        <v>371</v>
      </c>
      <c r="L514" s="3">
        <v>16.75</v>
      </c>
      <c r="M514" s="3">
        <v>17.59</v>
      </c>
      <c r="N514" s="3">
        <v>37.99</v>
      </c>
      <c r="O514" s="2" t="s">
        <v>196</v>
      </c>
      <c r="P514" s="2" t="s">
        <v>197</v>
      </c>
      <c r="Q514" s="2" t="s">
        <v>198</v>
      </c>
      <c r="R514" s="2" t="s">
        <v>199</v>
      </c>
      <c r="S514" s="2" t="s">
        <v>2876</v>
      </c>
      <c r="T514" s="2" t="s">
        <v>386</v>
      </c>
      <c r="U514" s="2" t="s">
        <v>199</v>
      </c>
      <c r="V514" s="2" t="s">
        <v>202</v>
      </c>
      <c r="W514" s="2" t="s">
        <v>203</v>
      </c>
      <c r="X514" s="2" t="s">
        <v>199</v>
      </c>
      <c r="Y514" s="2" t="s">
        <v>204</v>
      </c>
      <c r="Z514" s="4">
        <v>251</v>
      </c>
      <c r="AA514" s="4">
        <f>=ROUNDDOWN(31.375,0)</f>
      </c>
      <c r="AB514" s="5">
        <v>8</v>
      </c>
      <c r="AC514" s="2" t="s">
        <v>199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199</v>
      </c>
      <c r="AW514" s="8" t="s">
        <v>199</v>
      </c>
      <c r="AX514" s="4" t="s">
        <v>199</v>
      </c>
      <c r="AY514" s="8" t="s">
        <v>199</v>
      </c>
      <c r="AZ514" s="7" t="s">
        <v>199</v>
      </c>
      <c r="BA514" s="7" t="s">
        <v>199</v>
      </c>
      <c r="BB514" s="7"/>
      <c r="BC514" s="4" t="s">
        <v>199</v>
      </c>
      <c r="BD514" s="8" t="s">
        <v>199</v>
      </c>
      <c r="BE514" s="4" t="s">
        <v>199</v>
      </c>
      <c r="BF514" s="8" t="s">
        <v>199</v>
      </c>
      <c r="BG514" s="7" t="s">
        <v>199</v>
      </c>
      <c r="BH514" s="7" t="s">
        <v>199</v>
      </c>
      <c r="BI514" s="7"/>
      <c r="BJ514" s="4">
        <v>128</v>
      </c>
      <c r="BK514" s="8">
        <v>2181.9</v>
      </c>
      <c r="BL514" s="2" t="s">
        <v>2897</v>
      </c>
      <c r="BM514" s="7"/>
      <c r="BN514" s="7"/>
      <c r="BO514" s="4"/>
      <c r="BP514" s="8"/>
      <c r="BQ514" s="4"/>
      <c r="BR514" s="8"/>
      <c r="BS514" s="7"/>
      <c r="BT514" s="7"/>
      <c r="BU514" s="2" t="s">
        <v>2829</v>
      </c>
      <c r="BV514" s="2" t="s">
        <v>199</v>
      </c>
      <c r="BW514" s="2" t="s">
        <v>199</v>
      </c>
      <c r="BX514" s="2" t="s">
        <v>208</v>
      </c>
      <c r="BY514" s="2" t="s">
        <v>209</v>
      </c>
      <c r="BZ514" s="2" t="s">
        <v>196</v>
      </c>
      <c r="CA514" s="2" t="s">
        <v>210</v>
      </c>
      <c r="CB514" s="2" t="s">
        <v>2373</v>
      </c>
      <c r="CC514" s="2" t="s">
        <v>212</v>
      </c>
      <c r="CD514" s="2" t="s">
        <v>199</v>
      </c>
      <c r="CE514" s="4">
        <v>251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>
        <v>253</v>
      </c>
      <c r="EU514" s="4">
        <v>249</v>
      </c>
      <c r="EV514" s="4">
        <v>246</v>
      </c>
      <c r="EW514" s="4">
        <v>243</v>
      </c>
      <c r="EX514" s="4">
        <v>240</v>
      </c>
      <c r="EY514" s="4">
        <v>237</v>
      </c>
      <c r="EZ514" s="4">
        <v>234</v>
      </c>
      <c r="FA514" s="4">
        <v>231</v>
      </c>
      <c r="FB514" s="4">
        <v>227</v>
      </c>
      <c r="FC514" s="4">
        <v>224</v>
      </c>
      <c r="FD514" s="4">
        <v>221</v>
      </c>
      <c r="FE514" s="4">
        <v>218</v>
      </c>
      <c r="FF514" s="4">
        <v>215</v>
      </c>
      <c r="FG514" s="4">
        <v>212</v>
      </c>
      <c r="FH514" s="4">
        <v>209</v>
      </c>
      <c r="FI514" s="4">
        <v>206</v>
      </c>
      <c r="FJ514" s="4">
        <v>203</v>
      </c>
      <c r="FK514" s="4">
        <v>200</v>
      </c>
      <c r="FL514" s="4">
        <v>194</v>
      </c>
      <c r="FM514" s="4">
        <v>187</v>
      </c>
      <c r="FN514" s="4">
        <v>178</v>
      </c>
      <c r="FO514" s="4">
        <v>169</v>
      </c>
      <c r="FP514" s="4">
        <v>159</v>
      </c>
      <c r="FQ514" s="4">
        <v>150</v>
      </c>
      <c r="FR514" s="4">
        <v>141</v>
      </c>
      <c r="FS514" s="4">
        <v>132</v>
      </c>
      <c r="FT514" s="19">
        <v>84.3</v>
      </c>
      <c r="FU514" s="19">
        <v>83</v>
      </c>
      <c r="FV514" s="19">
        <v>82</v>
      </c>
      <c r="FW514" s="19">
        <v>81</v>
      </c>
      <c r="FX514" s="19">
        <v>80</v>
      </c>
      <c r="FY514" s="19">
        <v>79</v>
      </c>
      <c r="FZ514" s="19">
        <v>78</v>
      </c>
      <c r="GA514" s="19">
        <v>77</v>
      </c>
      <c r="GB514" s="19">
        <v>75.7</v>
      </c>
      <c r="GC514" s="19">
        <v>74.7</v>
      </c>
      <c r="GD514" s="19">
        <v>73.7</v>
      </c>
      <c r="GE514" s="19">
        <v>72.7</v>
      </c>
      <c r="GF514" s="19">
        <v>71.7</v>
      </c>
      <c r="GG514" s="19">
        <v>70.7</v>
      </c>
      <c r="GH514" s="19">
        <v>52.3</v>
      </c>
      <c r="GI514" s="19">
        <v>41.2</v>
      </c>
      <c r="GJ514" s="19">
        <v>33.8</v>
      </c>
      <c r="GK514" s="19">
        <v>25</v>
      </c>
      <c r="GL514" s="19">
        <v>21.6</v>
      </c>
      <c r="GM514" s="19">
        <v>20.8</v>
      </c>
      <c r="GN514" s="19">
        <v>19.8</v>
      </c>
      <c r="GO514" s="19">
        <v>18.8</v>
      </c>
      <c r="GP514" s="19">
        <v>19.9</v>
      </c>
      <c r="GQ514" s="19">
        <v>18.8</v>
      </c>
      <c r="GR514" s="19">
        <v>17.6</v>
      </c>
      <c r="GS514" s="19">
        <v>16.5</v>
      </c>
    </row>
    <row r="515">
      <c r="A515" s="2" t="s">
        <v>2898</v>
      </c>
      <c r="B515" s="2" t="s">
        <v>245</v>
      </c>
      <c r="C515" s="2" t="s">
        <v>1007</v>
      </c>
      <c r="D515" s="2" t="s">
        <v>247</v>
      </c>
      <c r="E515" s="2" t="s">
        <v>248</v>
      </c>
      <c r="F515" s="2" t="s">
        <v>386</v>
      </c>
      <c r="G515" s="2" t="s">
        <v>386</v>
      </c>
      <c r="H515" s="2" t="s">
        <v>386</v>
      </c>
      <c r="I515" s="2" t="s">
        <v>2827</v>
      </c>
      <c r="J515" s="2" t="s">
        <v>194</v>
      </c>
      <c r="K515" s="2" t="s">
        <v>2800</v>
      </c>
      <c r="L515" s="3">
        <v>11.18</v>
      </c>
      <c r="M515" s="3">
        <v>11.74</v>
      </c>
      <c r="N515" s="3">
        <v>27.99</v>
      </c>
      <c r="O515" s="2" t="s">
        <v>196</v>
      </c>
      <c r="P515" s="2" t="s">
        <v>197</v>
      </c>
      <c r="Q515" s="2" t="s">
        <v>198</v>
      </c>
      <c r="R515" s="2" t="s">
        <v>199</v>
      </c>
      <c r="S515" s="2" t="s">
        <v>2899</v>
      </c>
      <c r="T515" s="2" t="s">
        <v>386</v>
      </c>
      <c r="U515" s="2" t="s">
        <v>637</v>
      </c>
      <c r="V515" s="2" t="s">
        <v>202</v>
      </c>
      <c r="W515" s="2" t="s">
        <v>203</v>
      </c>
      <c r="X515" s="2" t="s">
        <v>199</v>
      </c>
      <c r="Y515" s="2" t="s">
        <v>1236</v>
      </c>
      <c r="Z515" s="4">
        <v>32</v>
      </c>
      <c r="AA515" s="4">
        <f>=ROUNDDOWN(5.71428571428571,0)</f>
      </c>
      <c r="AB515" s="5">
        <v>5.6</v>
      </c>
      <c r="AC515" s="2" t="s">
        <v>2845</v>
      </c>
      <c r="AD515" s="4">
        <v>160</v>
      </c>
      <c r="AE515" s="4">
        <v>160</v>
      </c>
      <c r="AF515" s="6">
        <v>65</v>
      </c>
      <c r="AG515" s="6"/>
      <c r="AH515" s="7">
        <v>0.6129</v>
      </c>
      <c r="AI515" s="4"/>
      <c r="AJ515" s="4">
        <f>=ROUNDDOWN({0},0)</f>
      </c>
      <c r="AK515" s="5"/>
      <c r="AL515" s="2" t="s">
        <v>199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199</v>
      </c>
      <c r="AW515" s="8" t="s">
        <v>199</v>
      </c>
      <c r="AX515" s="4" t="s">
        <v>199</v>
      </c>
      <c r="AY515" s="8" t="s">
        <v>199</v>
      </c>
      <c r="AZ515" s="7" t="s">
        <v>199</v>
      </c>
      <c r="BA515" s="7" t="s">
        <v>199</v>
      </c>
      <c r="BB515" s="7"/>
      <c r="BC515" s="4" t="s">
        <v>199</v>
      </c>
      <c r="BD515" s="8" t="s">
        <v>199</v>
      </c>
      <c r="BE515" s="4" t="s">
        <v>199</v>
      </c>
      <c r="BF515" s="8" t="s">
        <v>199</v>
      </c>
      <c r="BG515" s="7" t="s">
        <v>199</v>
      </c>
      <c r="BH515" s="7" t="s">
        <v>199</v>
      </c>
      <c r="BI515" s="7"/>
      <c r="BJ515" s="4">
        <v>48</v>
      </c>
      <c r="BK515" s="8">
        <v>542.5</v>
      </c>
      <c r="BL515" s="2" t="s">
        <v>1323</v>
      </c>
      <c r="BM515" s="7"/>
      <c r="BN515" s="7"/>
      <c r="BO515" s="4"/>
      <c r="BP515" s="8"/>
      <c r="BQ515" s="4"/>
      <c r="BR515" s="8"/>
      <c r="BS515" s="7"/>
      <c r="BT515" s="7"/>
      <c r="BU515" s="2" t="s">
        <v>2829</v>
      </c>
      <c r="BV515" s="2" t="s">
        <v>199</v>
      </c>
      <c r="BW515" s="2" t="s">
        <v>199</v>
      </c>
      <c r="BX515" s="2" t="s">
        <v>208</v>
      </c>
      <c r="BY515" s="2" t="s">
        <v>209</v>
      </c>
      <c r="BZ515" s="2" t="s">
        <v>196</v>
      </c>
      <c r="CA515" s="2" t="s">
        <v>1409</v>
      </c>
      <c r="CB515" s="2" t="s">
        <v>1477</v>
      </c>
      <c r="CC515" s="2" t="s">
        <v>212</v>
      </c>
      <c r="CD515" s="2" t="s">
        <v>199</v>
      </c>
      <c r="CE515" s="4">
        <v>32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>
        <v>160</v>
      </c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>
        <v>36</v>
      </c>
      <c r="EU515" s="4">
        <v>28</v>
      </c>
      <c r="EV515" s="4">
        <v>23</v>
      </c>
      <c r="EW515" s="4">
        <v>178</v>
      </c>
      <c r="EX515" s="4">
        <v>173</v>
      </c>
      <c r="EY515" s="4">
        <v>168</v>
      </c>
      <c r="EZ515" s="4">
        <v>163</v>
      </c>
      <c r="FA515" s="4">
        <v>158</v>
      </c>
      <c r="FB515" s="4">
        <v>152</v>
      </c>
      <c r="FC515" s="4">
        <v>147</v>
      </c>
      <c r="FD515" s="4">
        <v>142</v>
      </c>
      <c r="FE515" s="4">
        <v>137</v>
      </c>
      <c r="FF515" s="4">
        <v>131</v>
      </c>
      <c r="FG515" s="4">
        <v>125</v>
      </c>
      <c r="FH515" s="4">
        <v>119</v>
      </c>
      <c r="FI515" s="4">
        <v>113</v>
      </c>
      <c r="FJ515" s="4">
        <v>107</v>
      </c>
      <c r="FK515" s="4">
        <v>101</v>
      </c>
      <c r="FL515" s="4">
        <v>95</v>
      </c>
      <c r="FM515" s="4">
        <v>89</v>
      </c>
      <c r="FN515" s="4">
        <v>83</v>
      </c>
      <c r="FO515" s="4">
        <v>76</v>
      </c>
      <c r="FP515" s="4">
        <v>69</v>
      </c>
      <c r="FQ515" s="4">
        <v>62</v>
      </c>
      <c r="FR515" s="4">
        <v>55</v>
      </c>
      <c r="FS515" s="4">
        <v>48</v>
      </c>
      <c r="FT515" s="19">
        <v>6</v>
      </c>
      <c r="FU515" s="19">
        <v>5.6</v>
      </c>
      <c r="FV515" s="19">
        <v>4.6</v>
      </c>
      <c r="FW515" s="19">
        <v>35.6</v>
      </c>
      <c r="FX515" s="19">
        <v>34.6</v>
      </c>
      <c r="FY515" s="19">
        <v>33.6</v>
      </c>
      <c r="FZ515" s="19">
        <v>32.6</v>
      </c>
      <c r="GA515" s="19">
        <v>31.6</v>
      </c>
      <c r="GB515" s="19">
        <v>30.4</v>
      </c>
      <c r="GC515" s="19">
        <v>24.5</v>
      </c>
      <c r="GD515" s="19">
        <v>23.7</v>
      </c>
      <c r="GE515" s="19">
        <v>22.8</v>
      </c>
      <c r="GF515" s="19">
        <v>21.8</v>
      </c>
      <c r="GG515" s="19">
        <v>20.8</v>
      </c>
      <c r="GH515" s="19">
        <v>19.8</v>
      </c>
      <c r="GI515" s="19">
        <v>18.8</v>
      </c>
      <c r="GJ515" s="19">
        <v>17.8</v>
      </c>
      <c r="GK515" s="19">
        <v>16.8</v>
      </c>
      <c r="GL515" s="19">
        <v>15.8</v>
      </c>
      <c r="GM515" s="19">
        <v>12.7</v>
      </c>
      <c r="GN515" s="19">
        <v>11.9</v>
      </c>
      <c r="GO515" s="19">
        <v>10.9</v>
      </c>
      <c r="GP515" s="19">
        <v>9.9</v>
      </c>
      <c r="GQ515" s="19">
        <v>8.9</v>
      </c>
      <c r="GR515" s="19">
        <v>7.9</v>
      </c>
      <c r="GS515" s="19">
        <v>6.9</v>
      </c>
    </row>
    <row r="516">
      <c r="A516" s="2" t="s">
        <v>2900</v>
      </c>
      <c r="B516" s="2" t="s">
        <v>245</v>
      </c>
      <c r="C516" s="2" t="s">
        <v>1007</v>
      </c>
      <c r="D516" s="2" t="s">
        <v>247</v>
      </c>
      <c r="E516" s="2" t="s">
        <v>248</v>
      </c>
      <c r="F516" s="2" t="s">
        <v>386</v>
      </c>
      <c r="G516" s="2" t="s">
        <v>386</v>
      </c>
      <c r="H516" s="2" t="s">
        <v>386</v>
      </c>
      <c r="I516" s="2" t="s">
        <v>2827</v>
      </c>
      <c r="J516" s="2" t="s">
        <v>214</v>
      </c>
      <c r="K516" s="2" t="s">
        <v>2800</v>
      </c>
      <c r="L516" s="3">
        <v>11.18</v>
      </c>
      <c r="M516" s="3">
        <v>11.74</v>
      </c>
      <c r="N516" s="3">
        <v>27.99</v>
      </c>
      <c r="O516" s="2" t="s">
        <v>196</v>
      </c>
      <c r="P516" s="2" t="s">
        <v>197</v>
      </c>
      <c r="Q516" s="2" t="s">
        <v>198</v>
      </c>
      <c r="R516" s="2" t="s">
        <v>199</v>
      </c>
      <c r="S516" s="2" t="s">
        <v>2899</v>
      </c>
      <c r="T516" s="2" t="s">
        <v>386</v>
      </c>
      <c r="U516" s="2" t="s">
        <v>637</v>
      </c>
      <c r="V516" s="2" t="s">
        <v>202</v>
      </c>
      <c r="W516" s="2" t="s">
        <v>203</v>
      </c>
      <c r="X516" s="2" t="s">
        <v>199</v>
      </c>
      <c r="Y516" s="2" t="s">
        <v>1236</v>
      </c>
      <c r="Z516" s="4">
        <v>384</v>
      </c>
      <c r="AA516" s="4">
        <f>=ROUNDDOWN(192,0)</f>
      </c>
      <c r="AB516" s="5">
        <v>2</v>
      </c>
      <c r="AC516" s="2" t="s">
        <v>199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199</v>
      </c>
      <c r="AW516" s="8" t="s">
        <v>199</v>
      </c>
      <c r="AX516" s="4" t="s">
        <v>199</v>
      </c>
      <c r="AY516" s="8" t="s">
        <v>199</v>
      </c>
      <c r="AZ516" s="7" t="s">
        <v>199</v>
      </c>
      <c r="BA516" s="7" t="s">
        <v>199</v>
      </c>
      <c r="BB516" s="7"/>
      <c r="BC516" s="4" t="s">
        <v>199</v>
      </c>
      <c r="BD516" s="8" t="s">
        <v>199</v>
      </c>
      <c r="BE516" s="4" t="s">
        <v>199</v>
      </c>
      <c r="BF516" s="8" t="s">
        <v>199</v>
      </c>
      <c r="BG516" s="7" t="s">
        <v>199</v>
      </c>
      <c r="BH516" s="7" t="s">
        <v>199</v>
      </c>
      <c r="BI516" s="7"/>
      <c r="BJ516" s="4">
        <v>48</v>
      </c>
      <c r="BK516" s="8">
        <v>535.45</v>
      </c>
      <c r="BL516" s="2" t="s">
        <v>1340</v>
      </c>
      <c r="BM516" s="7"/>
      <c r="BN516" s="7"/>
      <c r="BO516" s="4"/>
      <c r="BP516" s="8"/>
      <c r="BQ516" s="4"/>
      <c r="BR516" s="8"/>
      <c r="BS516" s="7"/>
      <c r="BT516" s="7"/>
      <c r="BU516" s="2" t="s">
        <v>2829</v>
      </c>
      <c r="BV516" s="2" t="s">
        <v>199</v>
      </c>
      <c r="BW516" s="2" t="s">
        <v>199</v>
      </c>
      <c r="BX516" s="2" t="s">
        <v>208</v>
      </c>
      <c r="BY516" s="2" t="s">
        <v>209</v>
      </c>
      <c r="BZ516" s="2" t="s">
        <v>196</v>
      </c>
      <c r="CA516" s="2" t="s">
        <v>1409</v>
      </c>
      <c r="CB516" s="2" t="s">
        <v>199</v>
      </c>
      <c r="CC516" s="2" t="s">
        <v>212</v>
      </c>
      <c r="CD516" s="2" t="s">
        <v>199</v>
      </c>
      <c r="CE516" s="4">
        <v>384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>
        <v>384</v>
      </c>
      <c r="EU516" s="4">
        <v>379</v>
      </c>
      <c r="EV516" s="4">
        <v>377</v>
      </c>
      <c r="EW516" s="4">
        <v>375</v>
      </c>
      <c r="EX516" s="4">
        <v>373</v>
      </c>
      <c r="EY516" s="4">
        <v>371</v>
      </c>
      <c r="EZ516" s="4">
        <v>369</v>
      </c>
      <c r="FA516" s="4">
        <v>367</v>
      </c>
      <c r="FB516" s="4">
        <v>365</v>
      </c>
      <c r="FC516" s="4">
        <v>363</v>
      </c>
      <c r="FD516" s="4">
        <v>361</v>
      </c>
      <c r="FE516" s="4">
        <v>359</v>
      </c>
      <c r="FF516" s="4">
        <v>357</v>
      </c>
      <c r="FG516" s="4">
        <v>355</v>
      </c>
      <c r="FH516" s="4">
        <v>353</v>
      </c>
      <c r="FI516" s="4">
        <v>351</v>
      </c>
      <c r="FJ516" s="4">
        <v>349</v>
      </c>
      <c r="FK516" s="4">
        <v>347</v>
      </c>
      <c r="FL516" s="4">
        <v>345</v>
      </c>
      <c r="FM516" s="4">
        <v>340</v>
      </c>
      <c r="FN516" s="4">
        <v>333</v>
      </c>
      <c r="FO516" s="4">
        <v>326</v>
      </c>
      <c r="FP516" s="4">
        <v>319</v>
      </c>
      <c r="FQ516" s="4">
        <v>312</v>
      </c>
      <c r="FR516" s="4">
        <v>305</v>
      </c>
      <c r="FS516" s="4">
        <v>298</v>
      </c>
      <c r="FT516" s="19">
        <v>128</v>
      </c>
      <c r="FU516" s="19">
        <v>189.5</v>
      </c>
      <c r="FV516" s="19">
        <v>188.5</v>
      </c>
      <c r="FW516" s="19">
        <v>187.5</v>
      </c>
      <c r="FX516" s="19">
        <v>186.5</v>
      </c>
      <c r="FY516" s="19">
        <v>185.5</v>
      </c>
      <c r="FZ516" s="19">
        <v>184.5</v>
      </c>
      <c r="GA516" s="19">
        <v>183.5</v>
      </c>
      <c r="GB516" s="19">
        <v>182.5</v>
      </c>
      <c r="GC516" s="19">
        <v>181.5</v>
      </c>
      <c r="GD516" s="19">
        <v>180.5</v>
      </c>
      <c r="GE516" s="19">
        <v>179.5</v>
      </c>
      <c r="GF516" s="19">
        <v>178.5</v>
      </c>
      <c r="GG516" s="19">
        <v>177.5</v>
      </c>
      <c r="GH516" s="19">
        <v>176.5</v>
      </c>
      <c r="GI516" s="19">
        <v>117</v>
      </c>
      <c r="GJ516" s="19">
        <v>87.3</v>
      </c>
      <c r="GK516" s="19">
        <v>69.4</v>
      </c>
      <c r="GL516" s="19">
        <v>57.5</v>
      </c>
      <c r="GM516" s="19">
        <v>48.6</v>
      </c>
      <c r="GN516" s="19">
        <v>47.6</v>
      </c>
      <c r="GO516" s="19">
        <v>46.6</v>
      </c>
      <c r="GP516" s="19">
        <v>39.9</v>
      </c>
      <c r="GQ516" s="19">
        <v>34.7</v>
      </c>
      <c r="GR516" s="19">
        <v>33.9</v>
      </c>
      <c r="GS516" s="19">
        <v>33.1</v>
      </c>
    </row>
    <row r="517">
      <c r="A517" s="2" t="s">
        <v>2901</v>
      </c>
      <c r="B517" s="2" t="s">
        <v>245</v>
      </c>
      <c r="C517" s="2" t="s">
        <v>1007</v>
      </c>
      <c r="D517" s="2" t="s">
        <v>247</v>
      </c>
      <c r="E517" s="2" t="s">
        <v>248</v>
      </c>
      <c r="F517" s="2" t="s">
        <v>386</v>
      </c>
      <c r="G517" s="2" t="s">
        <v>386</v>
      </c>
      <c r="H517" s="2" t="s">
        <v>386</v>
      </c>
      <c r="I517" s="2" t="s">
        <v>2827</v>
      </c>
      <c r="J517" s="2" t="s">
        <v>285</v>
      </c>
      <c r="K517" s="2" t="s">
        <v>2800</v>
      </c>
      <c r="L517" s="3">
        <v>12.92</v>
      </c>
      <c r="M517" s="3">
        <v>13.57</v>
      </c>
      <c r="N517" s="3">
        <v>30.99</v>
      </c>
      <c r="O517" s="2" t="s">
        <v>196</v>
      </c>
      <c r="P517" s="2" t="s">
        <v>197</v>
      </c>
      <c r="Q517" s="2" t="s">
        <v>198</v>
      </c>
      <c r="R517" s="2" t="s">
        <v>199</v>
      </c>
      <c r="S517" s="2" t="s">
        <v>2899</v>
      </c>
      <c r="T517" s="2" t="s">
        <v>386</v>
      </c>
      <c r="U517" s="2" t="s">
        <v>254</v>
      </c>
      <c r="V517" s="2" t="s">
        <v>202</v>
      </c>
      <c r="W517" s="2" t="s">
        <v>203</v>
      </c>
      <c r="X517" s="2" t="s">
        <v>199</v>
      </c>
      <c r="Y517" s="2" t="s">
        <v>1236</v>
      </c>
      <c r="Z517" s="4">
        <v>56</v>
      </c>
      <c r="AA517" s="4">
        <f>=ROUNDDOWN(18.6666666666667,0)</f>
      </c>
      <c r="AB517" s="5">
        <v>3</v>
      </c>
      <c r="AC517" s="2" t="s">
        <v>236</v>
      </c>
      <c r="AD517" s="4">
        <v>50</v>
      </c>
      <c r="AE517" s="4">
        <v>50</v>
      </c>
      <c r="AF517" s="6">
        <v>65</v>
      </c>
      <c r="AG517" s="6"/>
      <c r="AH517" s="7">
        <v>0.7097</v>
      </c>
      <c r="AI517" s="4"/>
      <c r="AJ517" s="4">
        <f>=ROUNDDOWN({0},0)</f>
      </c>
      <c r="AK517" s="5"/>
      <c r="AL517" s="2" t="s">
        <v>199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199</v>
      </c>
      <c r="AW517" s="8" t="s">
        <v>199</v>
      </c>
      <c r="AX517" s="4" t="s">
        <v>199</v>
      </c>
      <c r="AY517" s="8" t="s">
        <v>199</v>
      </c>
      <c r="AZ517" s="7" t="s">
        <v>199</v>
      </c>
      <c r="BA517" s="7" t="s">
        <v>199</v>
      </c>
      <c r="BB517" s="7"/>
      <c r="BC517" s="4" t="s">
        <v>199</v>
      </c>
      <c r="BD517" s="8" t="s">
        <v>199</v>
      </c>
      <c r="BE517" s="4" t="s">
        <v>199</v>
      </c>
      <c r="BF517" s="8" t="s">
        <v>199</v>
      </c>
      <c r="BG517" s="7" t="s">
        <v>199</v>
      </c>
      <c r="BH517" s="7" t="s">
        <v>199</v>
      </c>
      <c r="BI517" s="7"/>
      <c r="BJ517" s="4">
        <v>111</v>
      </c>
      <c r="BK517" s="8">
        <v>1434.32</v>
      </c>
      <c r="BL517" s="2" t="s">
        <v>1323</v>
      </c>
      <c r="BM517" s="7"/>
      <c r="BN517" s="7"/>
      <c r="BO517" s="4"/>
      <c r="BP517" s="8"/>
      <c r="BQ517" s="4"/>
      <c r="BR517" s="8"/>
      <c r="BS517" s="7"/>
      <c r="BT517" s="7"/>
      <c r="BU517" s="2" t="s">
        <v>2829</v>
      </c>
      <c r="BV517" s="2" t="s">
        <v>199</v>
      </c>
      <c r="BW517" s="2" t="s">
        <v>199</v>
      </c>
      <c r="BX517" s="2" t="s">
        <v>208</v>
      </c>
      <c r="BY517" s="2" t="s">
        <v>209</v>
      </c>
      <c r="BZ517" s="2" t="s">
        <v>196</v>
      </c>
      <c r="CA517" s="2" t="s">
        <v>1409</v>
      </c>
      <c r="CB517" s="2" t="s">
        <v>2089</v>
      </c>
      <c r="CC517" s="2" t="s">
        <v>212</v>
      </c>
      <c r="CD517" s="2" t="s">
        <v>199</v>
      </c>
      <c r="CE517" s="4">
        <v>56</v>
      </c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>
        <v>50</v>
      </c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>
        <v>57</v>
      </c>
      <c r="EU517" s="4">
        <v>54</v>
      </c>
      <c r="EV517" s="4">
        <v>52</v>
      </c>
      <c r="EW517" s="4">
        <v>50</v>
      </c>
      <c r="EX517" s="4">
        <v>48</v>
      </c>
      <c r="EY517" s="4">
        <v>46</v>
      </c>
      <c r="EZ517" s="4">
        <v>43</v>
      </c>
      <c r="FA517" s="4">
        <v>40</v>
      </c>
      <c r="FB517" s="4">
        <v>37</v>
      </c>
      <c r="FC517" s="4">
        <v>34</v>
      </c>
      <c r="FD517" s="4">
        <v>81</v>
      </c>
      <c r="FE517" s="4">
        <v>78</v>
      </c>
      <c r="FF517" s="4">
        <v>75</v>
      </c>
      <c r="FG517" s="4">
        <v>72</v>
      </c>
      <c r="FH517" s="4">
        <v>69</v>
      </c>
      <c r="FI517" s="4">
        <v>66</v>
      </c>
      <c r="FJ517" s="4">
        <v>63</v>
      </c>
      <c r="FK517" s="4">
        <v>60</v>
      </c>
      <c r="FL517" s="4">
        <v>57</v>
      </c>
      <c r="FM517" s="4">
        <v>54</v>
      </c>
      <c r="FN517" s="4">
        <v>51</v>
      </c>
      <c r="FO517" s="4">
        <v>48</v>
      </c>
      <c r="FP517" s="4">
        <v>45</v>
      </c>
      <c r="FQ517" s="4">
        <v>42</v>
      </c>
      <c r="FR517" s="4">
        <v>39</v>
      </c>
      <c r="FS517" s="4">
        <v>36</v>
      </c>
      <c r="FT517" s="19">
        <v>28.5</v>
      </c>
      <c r="FU517" s="19">
        <v>27</v>
      </c>
      <c r="FV517" s="19">
        <v>26</v>
      </c>
      <c r="FW517" s="19">
        <v>25</v>
      </c>
      <c r="FX517" s="19">
        <v>16</v>
      </c>
      <c r="FY517" s="19">
        <v>15.3</v>
      </c>
      <c r="FZ517" s="19">
        <v>14.3</v>
      </c>
      <c r="GA517" s="19">
        <v>13.3</v>
      </c>
      <c r="GB517" s="19">
        <v>12.3</v>
      </c>
      <c r="GC517" s="19">
        <v>11.3</v>
      </c>
      <c r="GD517" s="19">
        <v>27</v>
      </c>
      <c r="GE517" s="19">
        <v>26</v>
      </c>
      <c r="GF517" s="19">
        <v>25</v>
      </c>
      <c r="GG517" s="19">
        <v>24</v>
      </c>
      <c r="GH517" s="19">
        <v>23</v>
      </c>
      <c r="GI517" s="19">
        <v>22</v>
      </c>
      <c r="GJ517" s="19">
        <v>21</v>
      </c>
      <c r="GK517" s="19">
        <v>20</v>
      </c>
      <c r="GL517" s="19">
        <v>19</v>
      </c>
      <c r="GM517" s="19">
        <v>18</v>
      </c>
      <c r="GN517" s="19">
        <v>17</v>
      </c>
      <c r="GO517" s="19">
        <v>16</v>
      </c>
      <c r="GP517" s="19">
        <v>15</v>
      </c>
      <c r="GQ517" s="19">
        <v>14</v>
      </c>
      <c r="GR517" s="19">
        <v>13</v>
      </c>
      <c r="GS517" s="19">
        <v>12</v>
      </c>
    </row>
    <row r="518">
      <c r="A518" s="2" t="s">
        <v>2902</v>
      </c>
      <c r="B518" s="2" t="s">
        <v>245</v>
      </c>
      <c r="C518" s="2" t="s">
        <v>1007</v>
      </c>
      <c r="D518" s="2" t="s">
        <v>247</v>
      </c>
      <c r="E518" s="2" t="s">
        <v>248</v>
      </c>
      <c r="F518" s="2" t="s">
        <v>386</v>
      </c>
      <c r="G518" s="2" t="s">
        <v>386</v>
      </c>
      <c r="H518" s="2" t="s">
        <v>386</v>
      </c>
      <c r="I518" s="2" t="s">
        <v>2827</v>
      </c>
      <c r="J518" s="2" t="s">
        <v>219</v>
      </c>
      <c r="K518" s="2" t="s">
        <v>2800</v>
      </c>
      <c r="L518" s="3">
        <v>14.21</v>
      </c>
      <c r="M518" s="3">
        <v>14.92</v>
      </c>
      <c r="N518" s="3">
        <v>32.99</v>
      </c>
      <c r="O518" s="2" t="s">
        <v>196</v>
      </c>
      <c r="P518" s="2" t="s">
        <v>197</v>
      </c>
      <c r="Q518" s="2" t="s">
        <v>198</v>
      </c>
      <c r="R518" s="2" t="s">
        <v>199</v>
      </c>
      <c r="S518" s="2" t="s">
        <v>2899</v>
      </c>
      <c r="T518" s="2" t="s">
        <v>386</v>
      </c>
      <c r="U518" s="2" t="s">
        <v>254</v>
      </c>
      <c r="V518" s="2" t="s">
        <v>202</v>
      </c>
      <c r="W518" s="2" t="s">
        <v>203</v>
      </c>
      <c r="X518" s="2" t="s">
        <v>199</v>
      </c>
      <c r="Y518" s="2" t="s">
        <v>1236</v>
      </c>
      <c r="Z518" s="4">
        <v>2</v>
      </c>
      <c r="AA518" s="4">
        <f>=ROUNDDOWN(0.689655172413793,0)</f>
      </c>
      <c r="AB518" s="5">
        <v>2.9</v>
      </c>
      <c r="AC518" s="2" t="s">
        <v>236</v>
      </c>
      <c r="AD518" s="4">
        <v>80</v>
      </c>
      <c r="AE518" s="4">
        <v>80</v>
      </c>
      <c r="AF518" s="6">
        <v>65</v>
      </c>
      <c r="AG518" s="6"/>
      <c r="AH518" s="7">
        <v>0.2903</v>
      </c>
      <c r="AI518" s="4"/>
      <c r="AJ518" s="4">
        <f>=ROUNDDOWN({0},0)</f>
      </c>
      <c r="AK518" s="5"/>
      <c r="AL518" s="2" t="s">
        <v>199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199</v>
      </c>
      <c r="AW518" s="8" t="s">
        <v>199</v>
      </c>
      <c r="AX518" s="4" t="s">
        <v>199</v>
      </c>
      <c r="AY518" s="8" t="s">
        <v>199</v>
      </c>
      <c r="AZ518" s="7" t="s">
        <v>199</v>
      </c>
      <c r="BA518" s="7" t="s">
        <v>199</v>
      </c>
      <c r="BB518" s="7"/>
      <c r="BC518" s="4" t="s">
        <v>199</v>
      </c>
      <c r="BD518" s="8" t="s">
        <v>199</v>
      </c>
      <c r="BE518" s="4" t="s">
        <v>199</v>
      </c>
      <c r="BF518" s="8" t="s">
        <v>199</v>
      </c>
      <c r="BG518" s="7" t="s">
        <v>199</v>
      </c>
      <c r="BH518" s="7" t="s">
        <v>199</v>
      </c>
      <c r="BI518" s="7"/>
      <c r="BJ518" s="4">
        <v>191</v>
      </c>
      <c r="BK518" s="8">
        <v>2651.57</v>
      </c>
      <c r="BL518" s="2" t="s">
        <v>1340</v>
      </c>
      <c r="BM518" s="7"/>
      <c r="BN518" s="7"/>
      <c r="BO518" s="4"/>
      <c r="BP518" s="8"/>
      <c r="BQ518" s="4"/>
      <c r="BR518" s="8"/>
      <c r="BS518" s="7"/>
      <c r="BT518" s="7"/>
      <c r="BU518" s="2" t="s">
        <v>2829</v>
      </c>
      <c r="BV518" s="2" t="s">
        <v>199</v>
      </c>
      <c r="BW518" s="2" t="s">
        <v>199</v>
      </c>
      <c r="BX518" s="2" t="s">
        <v>208</v>
      </c>
      <c r="BY518" s="2" t="s">
        <v>209</v>
      </c>
      <c r="BZ518" s="2" t="s">
        <v>196</v>
      </c>
      <c r="CA518" s="2" t="s">
        <v>1409</v>
      </c>
      <c r="CB518" s="2" t="s">
        <v>1944</v>
      </c>
      <c r="CC518" s="2" t="s">
        <v>212</v>
      </c>
      <c r="CD518" s="2" t="s">
        <v>199</v>
      </c>
      <c r="CE518" s="4">
        <v>2</v>
      </c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>
        <v>80</v>
      </c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>
        <v>2</v>
      </c>
      <c r="EU518" s="4"/>
      <c r="EV518" s="4"/>
      <c r="EW518" s="4"/>
      <c r="EX518" s="4"/>
      <c r="EY518" s="4"/>
      <c r="EZ518" s="4"/>
      <c r="FA518" s="4"/>
      <c r="FB518" s="4"/>
      <c r="FC518" s="4"/>
      <c r="FD518" s="4">
        <v>80</v>
      </c>
      <c r="FE518" s="4">
        <v>77</v>
      </c>
      <c r="FF518" s="4">
        <v>74</v>
      </c>
      <c r="FG518" s="4">
        <v>71</v>
      </c>
      <c r="FH518" s="4">
        <v>68</v>
      </c>
      <c r="FI518" s="4">
        <v>65</v>
      </c>
      <c r="FJ518" s="4">
        <v>62</v>
      </c>
      <c r="FK518" s="4">
        <v>59</v>
      </c>
      <c r="FL518" s="4">
        <v>56</v>
      </c>
      <c r="FM518" s="4">
        <v>53</v>
      </c>
      <c r="FN518" s="4">
        <v>50</v>
      </c>
      <c r="FO518" s="4">
        <v>47</v>
      </c>
      <c r="FP518" s="4">
        <v>43</v>
      </c>
      <c r="FQ518" s="4">
        <v>40</v>
      </c>
      <c r="FR518" s="4">
        <v>37</v>
      </c>
      <c r="FS518" s="4">
        <v>34</v>
      </c>
      <c r="FT518" s="19">
        <v>0.7</v>
      </c>
      <c r="FU518" s="20">
        <v>0</v>
      </c>
      <c r="FV518" s="20">
        <v>0</v>
      </c>
      <c r="FW518" s="20">
        <v>0</v>
      </c>
      <c r="FX518" s="20">
        <v>0</v>
      </c>
      <c r="FY518" s="20">
        <v>0</v>
      </c>
      <c r="FZ518" s="20">
        <v>0</v>
      </c>
      <c r="GA518" s="20">
        <v>0</v>
      </c>
      <c r="GB518" s="20">
        <v>0</v>
      </c>
      <c r="GC518" s="20">
        <v>0</v>
      </c>
      <c r="GD518" s="19">
        <v>26.7</v>
      </c>
      <c r="GE518" s="19">
        <v>25.7</v>
      </c>
      <c r="GF518" s="19">
        <v>24.7</v>
      </c>
      <c r="GG518" s="19">
        <v>23.7</v>
      </c>
      <c r="GH518" s="19">
        <v>22.7</v>
      </c>
      <c r="GI518" s="19">
        <v>21.7</v>
      </c>
      <c r="GJ518" s="19">
        <v>20.7</v>
      </c>
      <c r="GK518" s="19">
        <v>19.7</v>
      </c>
      <c r="GL518" s="19">
        <v>18.7</v>
      </c>
      <c r="GM518" s="19">
        <v>17.7</v>
      </c>
      <c r="GN518" s="19">
        <v>16.7</v>
      </c>
      <c r="GO518" s="19">
        <v>15.7</v>
      </c>
      <c r="GP518" s="19">
        <v>14.3</v>
      </c>
      <c r="GQ518" s="19">
        <v>13.3</v>
      </c>
      <c r="GR518" s="19">
        <v>9.3</v>
      </c>
      <c r="GS518" s="19">
        <v>8.5</v>
      </c>
    </row>
    <row r="519">
      <c r="A519" s="2" t="s">
        <v>2903</v>
      </c>
      <c r="B519" s="2" t="s">
        <v>245</v>
      </c>
      <c r="C519" s="2" t="s">
        <v>1007</v>
      </c>
      <c r="D519" s="2" t="s">
        <v>247</v>
      </c>
      <c r="E519" s="2" t="s">
        <v>248</v>
      </c>
      <c r="F519" s="2" t="s">
        <v>386</v>
      </c>
      <c r="G519" s="2" t="s">
        <v>386</v>
      </c>
      <c r="H519" s="2" t="s">
        <v>386</v>
      </c>
      <c r="I519" s="2" t="s">
        <v>2827</v>
      </c>
      <c r="J519" s="2" t="s">
        <v>223</v>
      </c>
      <c r="K519" s="2" t="s">
        <v>2800</v>
      </c>
      <c r="L519" s="3">
        <v>16.75</v>
      </c>
      <c r="M519" s="3">
        <v>17.59</v>
      </c>
      <c r="N519" s="3">
        <v>37.99</v>
      </c>
      <c r="O519" s="2" t="s">
        <v>196</v>
      </c>
      <c r="P519" s="2" t="s">
        <v>197</v>
      </c>
      <c r="Q519" s="2" t="s">
        <v>198</v>
      </c>
      <c r="R519" s="2" t="s">
        <v>199</v>
      </c>
      <c r="S519" s="2" t="s">
        <v>2899</v>
      </c>
      <c r="T519" s="2" t="s">
        <v>386</v>
      </c>
      <c r="U519" s="2" t="s">
        <v>254</v>
      </c>
      <c r="V519" s="2" t="s">
        <v>202</v>
      </c>
      <c r="W519" s="2" t="s">
        <v>203</v>
      </c>
      <c r="X519" s="2" t="s">
        <v>199</v>
      </c>
      <c r="Y519" s="2" t="s">
        <v>1236</v>
      </c>
      <c r="Z519" s="4">
        <v>40</v>
      </c>
      <c r="AA519" s="4">
        <f>=ROUNDDOWN(33.3333333333333,0)</f>
      </c>
      <c r="AB519" s="5">
        <v>1.2</v>
      </c>
      <c r="AC519" s="2" t="s">
        <v>199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199</v>
      </c>
      <c r="AW519" s="8" t="s">
        <v>199</v>
      </c>
      <c r="AX519" s="4" t="s">
        <v>199</v>
      </c>
      <c r="AY519" s="8" t="s">
        <v>199</v>
      </c>
      <c r="AZ519" s="7" t="s">
        <v>199</v>
      </c>
      <c r="BA519" s="7" t="s">
        <v>199</v>
      </c>
      <c r="BB519" s="7"/>
      <c r="BC519" s="4" t="s">
        <v>199</v>
      </c>
      <c r="BD519" s="8" t="s">
        <v>199</v>
      </c>
      <c r="BE519" s="4" t="s">
        <v>199</v>
      </c>
      <c r="BF519" s="8" t="s">
        <v>199</v>
      </c>
      <c r="BG519" s="7" t="s">
        <v>199</v>
      </c>
      <c r="BH519" s="7" t="s">
        <v>199</v>
      </c>
      <c r="BI519" s="7"/>
      <c r="BJ519" s="4">
        <v>61</v>
      </c>
      <c r="BK519" s="8">
        <v>1018.79</v>
      </c>
      <c r="BL519" s="2" t="s">
        <v>2904</v>
      </c>
      <c r="BM519" s="7"/>
      <c r="BN519" s="7"/>
      <c r="BO519" s="4"/>
      <c r="BP519" s="8"/>
      <c r="BQ519" s="4"/>
      <c r="BR519" s="8"/>
      <c r="BS519" s="7"/>
      <c r="BT519" s="7"/>
      <c r="BU519" s="2" t="s">
        <v>2829</v>
      </c>
      <c r="BV519" s="2" t="s">
        <v>199</v>
      </c>
      <c r="BW519" s="2" t="s">
        <v>199</v>
      </c>
      <c r="BX519" s="2" t="s">
        <v>208</v>
      </c>
      <c r="BY519" s="2" t="s">
        <v>209</v>
      </c>
      <c r="BZ519" s="2" t="s">
        <v>196</v>
      </c>
      <c r="CA519" s="2" t="s">
        <v>1409</v>
      </c>
      <c r="CB519" s="2" t="s">
        <v>199</v>
      </c>
      <c r="CC519" s="2" t="s">
        <v>212</v>
      </c>
      <c r="CD519" s="2" t="s">
        <v>199</v>
      </c>
      <c r="CE519" s="4">
        <v>40</v>
      </c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>
        <v>40</v>
      </c>
      <c r="EU519" s="4">
        <v>39</v>
      </c>
      <c r="EV519" s="4">
        <v>38</v>
      </c>
      <c r="EW519" s="4">
        <v>37</v>
      </c>
      <c r="EX519" s="4">
        <v>36</v>
      </c>
      <c r="EY519" s="4">
        <v>35</v>
      </c>
      <c r="EZ519" s="4">
        <v>34</v>
      </c>
      <c r="FA519" s="4">
        <v>33</v>
      </c>
      <c r="FB519" s="4">
        <v>32</v>
      </c>
      <c r="FC519" s="4">
        <v>31</v>
      </c>
      <c r="FD519" s="4">
        <v>30</v>
      </c>
      <c r="FE519" s="4">
        <v>29</v>
      </c>
      <c r="FF519" s="4">
        <v>28</v>
      </c>
      <c r="FG519" s="4">
        <v>27</v>
      </c>
      <c r="FH519" s="4">
        <v>26</v>
      </c>
      <c r="FI519" s="4">
        <v>25</v>
      </c>
      <c r="FJ519" s="4">
        <v>24</v>
      </c>
      <c r="FK519" s="4">
        <v>23</v>
      </c>
      <c r="FL519" s="4">
        <v>22</v>
      </c>
      <c r="FM519" s="4">
        <v>21</v>
      </c>
      <c r="FN519" s="4">
        <v>20</v>
      </c>
      <c r="FO519" s="4">
        <v>19</v>
      </c>
      <c r="FP519" s="4">
        <v>18</v>
      </c>
      <c r="FQ519" s="4">
        <v>17</v>
      </c>
      <c r="FR519" s="4">
        <v>16</v>
      </c>
      <c r="FS519" s="4">
        <v>15</v>
      </c>
      <c r="FT519" s="19">
        <v>40</v>
      </c>
      <c r="FU519" s="19">
        <v>39</v>
      </c>
      <c r="FV519" s="19">
        <v>38</v>
      </c>
      <c r="FW519" s="19">
        <v>37</v>
      </c>
      <c r="FX519" s="19">
        <v>36</v>
      </c>
      <c r="FY519" s="19">
        <v>35</v>
      </c>
      <c r="FZ519" s="19">
        <v>34</v>
      </c>
      <c r="GA519" s="19">
        <v>33</v>
      </c>
      <c r="GB519" s="19">
        <v>32</v>
      </c>
      <c r="GC519" s="19">
        <v>31</v>
      </c>
      <c r="GD519" s="19">
        <v>30</v>
      </c>
      <c r="GE519" s="19">
        <v>29</v>
      </c>
      <c r="GF519" s="19">
        <v>28</v>
      </c>
      <c r="GG519" s="19">
        <v>27</v>
      </c>
      <c r="GH519" s="19">
        <v>26</v>
      </c>
      <c r="GI519" s="19">
        <v>25</v>
      </c>
      <c r="GJ519" s="19">
        <v>24</v>
      </c>
      <c r="GK519" s="19">
        <v>23</v>
      </c>
      <c r="GL519" s="19">
        <v>22</v>
      </c>
      <c r="GM519" s="19">
        <v>21</v>
      </c>
      <c r="GN519" s="19">
        <v>20</v>
      </c>
      <c r="GO519" s="19">
        <v>19</v>
      </c>
      <c r="GP519" s="19">
        <v>18</v>
      </c>
      <c r="GQ519" s="19">
        <v>17</v>
      </c>
      <c r="GR519" s="19">
        <v>16</v>
      </c>
      <c r="GS519" s="19">
        <v>15</v>
      </c>
    </row>
    <row r="520">
      <c r="A520" s="2" t="s">
        <v>2905</v>
      </c>
      <c r="B520" s="2" t="s">
        <v>245</v>
      </c>
      <c r="C520" s="2" t="s">
        <v>1007</v>
      </c>
      <c r="D520" s="2" t="s">
        <v>247</v>
      </c>
      <c r="E520" s="2" t="s">
        <v>248</v>
      </c>
      <c r="F520" s="2" t="s">
        <v>386</v>
      </c>
      <c r="G520" s="2" t="s">
        <v>386</v>
      </c>
      <c r="H520" s="2" t="s">
        <v>386</v>
      </c>
      <c r="I520" s="2" t="s">
        <v>2827</v>
      </c>
      <c r="J520" s="2" t="s">
        <v>194</v>
      </c>
      <c r="K520" s="2" t="s">
        <v>1202</v>
      </c>
      <c r="L520" s="3">
        <v>11.18</v>
      </c>
      <c r="M520" s="3">
        <v>11.74</v>
      </c>
      <c r="N520" s="3">
        <v>27.99</v>
      </c>
      <c r="O520" s="2" t="s">
        <v>196</v>
      </c>
      <c r="P520" s="2" t="s">
        <v>197</v>
      </c>
      <c r="Q520" s="2" t="s">
        <v>198</v>
      </c>
      <c r="R520" s="2" t="s">
        <v>199</v>
      </c>
      <c r="S520" s="2" t="s">
        <v>2906</v>
      </c>
      <c r="T520" s="2" t="s">
        <v>386</v>
      </c>
      <c r="U520" s="2" t="s">
        <v>199</v>
      </c>
      <c r="V520" s="2" t="s">
        <v>202</v>
      </c>
      <c r="W520" s="2" t="s">
        <v>203</v>
      </c>
      <c r="X520" s="2" t="s">
        <v>199</v>
      </c>
      <c r="Y520" s="2" t="s">
        <v>204</v>
      </c>
      <c r="Z520" s="4">
        <v>202</v>
      </c>
      <c r="AA520" s="4">
        <f>=ROUNDDOWN(53.1578947368421,0)</f>
      </c>
      <c r="AB520" s="5">
        <v>3.8</v>
      </c>
      <c r="AC520" s="2" t="s">
        <v>199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199</v>
      </c>
      <c r="AW520" s="8" t="s">
        <v>199</v>
      </c>
      <c r="AX520" s="4" t="s">
        <v>199</v>
      </c>
      <c r="AY520" s="8" t="s">
        <v>199</v>
      </c>
      <c r="AZ520" s="7" t="s">
        <v>199</v>
      </c>
      <c r="BA520" s="7" t="s">
        <v>199</v>
      </c>
      <c r="BB520" s="7" t="s">
        <v>199</v>
      </c>
      <c r="BC520" s="4" t="s">
        <v>199</v>
      </c>
      <c r="BD520" s="8" t="s">
        <v>199</v>
      </c>
      <c r="BE520" s="4" t="s">
        <v>199</v>
      </c>
      <c r="BF520" s="8" t="s">
        <v>199</v>
      </c>
      <c r="BG520" s="7" t="s">
        <v>199</v>
      </c>
      <c r="BH520" s="7" t="s">
        <v>199</v>
      </c>
      <c r="BI520" s="7"/>
      <c r="BJ520" s="4">
        <v>70</v>
      </c>
      <c r="BK520" s="8">
        <v>775.54</v>
      </c>
      <c r="BL520" s="2" t="s">
        <v>2907</v>
      </c>
      <c r="BM520" s="7"/>
      <c r="BN520" s="7"/>
      <c r="BO520" s="4"/>
      <c r="BP520" s="8"/>
      <c r="BQ520" s="4"/>
      <c r="BR520" s="8"/>
      <c r="BS520" s="7"/>
      <c r="BT520" s="7"/>
      <c r="BU520" s="2" t="s">
        <v>2829</v>
      </c>
      <c r="BV520" s="2" t="s">
        <v>199</v>
      </c>
      <c r="BW520" s="2" t="s">
        <v>199</v>
      </c>
      <c r="BX520" s="2" t="s">
        <v>208</v>
      </c>
      <c r="BY520" s="2" t="s">
        <v>209</v>
      </c>
      <c r="BZ520" s="2" t="s">
        <v>196</v>
      </c>
      <c r="CA520" s="2" t="s">
        <v>210</v>
      </c>
      <c r="CB520" s="2" t="s">
        <v>773</v>
      </c>
      <c r="CC520" s="2" t="s">
        <v>212</v>
      </c>
      <c r="CD520" s="2" t="s">
        <v>199</v>
      </c>
      <c r="CE520" s="4">
        <v>202</v>
      </c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>
        <v>202</v>
      </c>
      <c r="EU520" s="4">
        <v>198</v>
      </c>
      <c r="EV520" s="4">
        <v>194</v>
      </c>
      <c r="EW520" s="4">
        <v>190</v>
      </c>
      <c r="EX520" s="4">
        <v>186</v>
      </c>
      <c r="EY520" s="4">
        <v>182</v>
      </c>
      <c r="EZ520" s="4">
        <v>178</v>
      </c>
      <c r="FA520" s="4">
        <v>174</v>
      </c>
      <c r="FB520" s="4">
        <v>169</v>
      </c>
      <c r="FC520" s="4">
        <v>165</v>
      </c>
      <c r="FD520" s="4">
        <v>161</v>
      </c>
      <c r="FE520" s="4">
        <v>157</v>
      </c>
      <c r="FF520" s="4">
        <v>153</v>
      </c>
      <c r="FG520" s="4">
        <v>149</v>
      </c>
      <c r="FH520" s="4">
        <v>145</v>
      </c>
      <c r="FI520" s="4">
        <v>141</v>
      </c>
      <c r="FJ520" s="4">
        <v>137</v>
      </c>
      <c r="FK520" s="4">
        <v>133</v>
      </c>
      <c r="FL520" s="4">
        <v>129</v>
      </c>
      <c r="FM520" s="4">
        <v>125</v>
      </c>
      <c r="FN520" s="4">
        <v>121</v>
      </c>
      <c r="FO520" s="4">
        <v>116</v>
      </c>
      <c r="FP520" s="4">
        <v>111</v>
      </c>
      <c r="FQ520" s="4">
        <v>106</v>
      </c>
      <c r="FR520" s="4">
        <v>101</v>
      </c>
      <c r="FS520" s="4">
        <v>96</v>
      </c>
      <c r="FT520" s="19">
        <v>50.5</v>
      </c>
      <c r="FU520" s="19">
        <v>49.5</v>
      </c>
      <c r="FV520" s="19">
        <v>48.5</v>
      </c>
      <c r="FW520" s="19">
        <v>47.5</v>
      </c>
      <c r="FX520" s="19">
        <v>46.5</v>
      </c>
      <c r="FY520" s="19">
        <v>45.5</v>
      </c>
      <c r="FZ520" s="19">
        <v>44.5</v>
      </c>
      <c r="GA520" s="19">
        <v>43.5</v>
      </c>
      <c r="GB520" s="19">
        <v>42.3</v>
      </c>
      <c r="GC520" s="19">
        <v>41.3</v>
      </c>
      <c r="GD520" s="19">
        <v>40.3</v>
      </c>
      <c r="GE520" s="19">
        <v>39.3</v>
      </c>
      <c r="GF520" s="19">
        <v>38.3</v>
      </c>
      <c r="GG520" s="19">
        <v>37.3</v>
      </c>
      <c r="GH520" s="19">
        <v>36.3</v>
      </c>
      <c r="GI520" s="19">
        <v>35.3</v>
      </c>
      <c r="GJ520" s="19">
        <v>34.3</v>
      </c>
      <c r="GK520" s="19">
        <v>33.3</v>
      </c>
      <c r="GL520" s="19">
        <v>32.3</v>
      </c>
      <c r="GM520" s="19">
        <v>25</v>
      </c>
      <c r="GN520" s="19">
        <v>24.2</v>
      </c>
      <c r="GO520" s="19">
        <v>23.2</v>
      </c>
      <c r="GP520" s="19">
        <v>22.2</v>
      </c>
      <c r="GQ520" s="19">
        <v>21.2</v>
      </c>
      <c r="GR520" s="19">
        <v>20.2</v>
      </c>
      <c r="GS520" s="19">
        <v>19.2</v>
      </c>
    </row>
    <row r="521">
      <c r="A521" s="2" t="s">
        <v>2908</v>
      </c>
      <c r="B521" s="2" t="s">
        <v>245</v>
      </c>
      <c r="C521" s="2" t="s">
        <v>1007</v>
      </c>
      <c r="D521" s="2" t="s">
        <v>247</v>
      </c>
      <c r="E521" s="2" t="s">
        <v>248</v>
      </c>
      <c r="F521" s="2" t="s">
        <v>386</v>
      </c>
      <c r="G521" s="2" t="s">
        <v>386</v>
      </c>
      <c r="H521" s="2" t="s">
        <v>386</v>
      </c>
      <c r="I521" s="2" t="s">
        <v>2850</v>
      </c>
      <c r="J521" s="2" t="s">
        <v>194</v>
      </c>
      <c r="K521" s="2" t="s">
        <v>1202</v>
      </c>
      <c r="L521" s="3">
        <v>12.15</v>
      </c>
      <c r="M521" s="3">
        <v>12.76</v>
      </c>
      <c r="N521" s="3">
        <v>26.99</v>
      </c>
      <c r="O521" s="2" t="s">
        <v>196</v>
      </c>
      <c r="P521" s="2" t="s">
        <v>197</v>
      </c>
      <c r="Q521" s="2" t="s">
        <v>198</v>
      </c>
      <c r="R521" s="2" t="s">
        <v>199</v>
      </c>
      <c r="S521" s="2" t="s">
        <v>2906</v>
      </c>
      <c r="T521" s="2" t="s">
        <v>386</v>
      </c>
      <c r="U521" s="2" t="s">
        <v>254</v>
      </c>
      <c r="V521" s="2" t="s">
        <v>202</v>
      </c>
      <c r="W521" s="2" t="s">
        <v>510</v>
      </c>
      <c r="X521" s="2" t="s">
        <v>199</v>
      </c>
      <c r="Y521" s="2" t="s">
        <v>2743</v>
      </c>
      <c r="Z521" s="4">
        <v>44</v>
      </c>
      <c r="AA521" s="4">
        <f>=ROUNDDOWN(8.8,0)</f>
      </c>
      <c r="AB521" s="5">
        <v>5</v>
      </c>
      <c r="AC521" s="2" t="s">
        <v>2845</v>
      </c>
      <c r="AD521" s="4">
        <v>140</v>
      </c>
      <c r="AE521" s="4">
        <v>180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199</v>
      </c>
      <c r="AW521" s="8" t="s">
        <v>199</v>
      </c>
      <c r="AX521" s="4" t="s">
        <v>199</v>
      </c>
      <c r="AY521" s="8" t="s">
        <v>199</v>
      </c>
      <c r="AZ521" s="7" t="s">
        <v>199</v>
      </c>
      <c r="BA521" s="7" t="s">
        <v>199</v>
      </c>
      <c r="BB521" s="7" t="s">
        <v>199</v>
      </c>
      <c r="BC521" s="4" t="s">
        <v>199</v>
      </c>
      <c r="BD521" s="8" t="s">
        <v>199</v>
      </c>
      <c r="BE521" s="4" t="s">
        <v>199</v>
      </c>
      <c r="BF521" s="8" t="s">
        <v>199</v>
      </c>
      <c r="BG521" s="7" t="s">
        <v>199</v>
      </c>
      <c r="BH521" s="7" t="s">
        <v>199</v>
      </c>
      <c r="BI521" s="7"/>
      <c r="BJ521" s="4">
        <v>59</v>
      </c>
      <c r="BK521" s="8">
        <v>744.95</v>
      </c>
      <c r="BL521" s="2" t="s">
        <v>2909</v>
      </c>
      <c r="BM521" s="7"/>
      <c r="BN521" s="7"/>
      <c r="BO521" s="4"/>
      <c r="BP521" s="8"/>
      <c r="BQ521" s="4"/>
      <c r="BR521" s="8"/>
      <c r="BS521" s="7"/>
      <c r="BT521" s="7"/>
      <c r="BU521" s="2" t="s">
        <v>2853</v>
      </c>
      <c r="BV521" s="2" t="s">
        <v>199</v>
      </c>
      <c r="BW521" s="2" t="s">
        <v>199</v>
      </c>
      <c r="BX521" s="2" t="s">
        <v>208</v>
      </c>
      <c r="BY521" s="2" t="s">
        <v>209</v>
      </c>
      <c r="BZ521" s="2" t="s">
        <v>196</v>
      </c>
      <c r="CA521" s="2" t="s">
        <v>2746</v>
      </c>
      <c r="CB521" s="2" t="s">
        <v>2910</v>
      </c>
      <c r="CC521" s="2" t="s">
        <v>212</v>
      </c>
      <c r="CD521" s="2" t="s">
        <v>199</v>
      </c>
      <c r="CE521" s="4">
        <v>44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>
        <v>140</v>
      </c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>
        <v>40</v>
      </c>
      <c r="EN521" s="4"/>
      <c r="EO521" s="4"/>
      <c r="EP521" s="4"/>
      <c r="EQ521" s="4"/>
      <c r="ER521" s="4"/>
      <c r="ES521" s="4"/>
      <c r="ET521" s="4">
        <v>44</v>
      </c>
      <c r="EU521" s="4">
        <v>39</v>
      </c>
      <c r="EV521" s="4">
        <v>34</v>
      </c>
      <c r="EW521" s="4">
        <v>169</v>
      </c>
      <c r="EX521" s="4">
        <v>164</v>
      </c>
      <c r="EY521" s="4">
        <v>159</v>
      </c>
      <c r="EZ521" s="4">
        <v>154</v>
      </c>
      <c r="FA521" s="4">
        <v>149</v>
      </c>
      <c r="FB521" s="4">
        <v>143</v>
      </c>
      <c r="FC521" s="4">
        <v>138</v>
      </c>
      <c r="FD521" s="4">
        <v>133</v>
      </c>
      <c r="FE521" s="4">
        <v>128</v>
      </c>
      <c r="FF521" s="4">
        <v>123</v>
      </c>
      <c r="FG521" s="4">
        <v>118</v>
      </c>
      <c r="FH521" s="4">
        <v>113</v>
      </c>
      <c r="FI521" s="4">
        <v>108</v>
      </c>
      <c r="FJ521" s="4">
        <v>143</v>
      </c>
      <c r="FK521" s="4">
        <v>138</v>
      </c>
      <c r="FL521" s="4">
        <v>133</v>
      </c>
      <c r="FM521" s="4">
        <v>128</v>
      </c>
      <c r="FN521" s="4">
        <v>123</v>
      </c>
      <c r="FO521" s="4">
        <v>117</v>
      </c>
      <c r="FP521" s="4">
        <v>111</v>
      </c>
      <c r="FQ521" s="4">
        <v>105</v>
      </c>
      <c r="FR521" s="4">
        <v>99</v>
      </c>
      <c r="FS521" s="4">
        <v>93</v>
      </c>
      <c r="FT521" s="19">
        <v>8.8</v>
      </c>
      <c r="FU521" s="19">
        <v>7.8</v>
      </c>
      <c r="FV521" s="19">
        <v>6.8</v>
      </c>
      <c r="FW521" s="19">
        <v>33.8</v>
      </c>
      <c r="FX521" s="19">
        <v>32.8</v>
      </c>
      <c r="FY521" s="19">
        <v>31.8</v>
      </c>
      <c r="FZ521" s="19">
        <v>30.8</v>
      </c>
      <c r="GA521" s="19">
        <v>29.8</v>
      </c>
      <c r="GB521" s="19">
        <v>28.6</v>
      </c>
      <c r="GC521" s="19">
        <v>27.6</v>
      </c>
      <c r="GD521" s="19">
        <v>26.6</v>
      </c>
      <c r="GE521" s="19">
        <v>25.6</v>
      </c>
      <c r="GF521" s="19">
        <v>24.6</v>
      </c>
      <c r="GG521" s="19">
        <v>23.6</v>
      </c>
      <c r="GH521" s="19">
        <v>22.6</v>
      </c>
      <c r="GI521" s="19">
        <v>21.6</v>
      </c>
      <c r="GJ521" s="19">
        <v>28.6</v>
      </c>
      <c r="GK521" s="19">
        <v>27.6</v>
      </c>
      <c r="GL521" s="19">
        <v>22.2</v>
      </c>
      <c r="GM521" s="19">
        <v>21.3</v>
      </c>
      <c r="GN521" s="19">
        <v>20.5</v>
      </c>
      <c r="GO521" s="19">
        <v>19.5</v>
      </c>
      <c r="GP521" s="19">
        <v>18.5</v>
      </c>
      <c r="GQ521" s="19">
        <v>17.5</v>
      </c>
      <c r="GR521" s="19">
        <v>16.5</v>
      </c>
      <c r="GS521" s="19">
        <v>15.5</v>
      </c>
    </row>
    <row r="522">
      <c r="A522" s="2" t="s">
        <v>2911</v>
      </c>
      <c r="B522" s="2" t="s">
        <v>245</v>
      </c>
      <c r="C522" s="2" t="s">
        <v>1007</v>
      </c>
      <c r="D522" s="2" t="s">
        <v>247</v>
      </c>
      <c r="E522" s="2" t="s">
        <v>248</v>
      </c>
      <c r="F522" s="2" t="s">
        <v>386</v>
      </c>
      <c r="G522" s="2" t="s">
        <v>386</v>
      </c>
      <c r="H522" s="2" t="s">
        <v>386</v>
      </c>
      <c r="I522" s="2" t="s">
        <v>2827</v>
      </c>
      <c r="J522" s="2" t="s">
        <v>214</v>
      </c>
      <c r="K522" s="2" t="s">
        <v>1202</v>
      </c>
      <c r="L522" s="3">
        <v>11.18</v>
      </c>
      <c r="M522" s="3">
        <v>11.74</v>
      </c>
      <c r="N522" s="3">
        <v>27.99</v>
      </c>
      <c r="O522" s="2" t="s">
        <v>196</v>
      </c>
      <c r="P522" s="2" t="s">
        <v>197</v>
      </c>
      <c r="Q522" s="2" t="s">
        <v>198</v>
      </c>
      <c r="R522" s="2" t="s">
        <v>199</v>
      </c>
      <c r="S522" s="2" t="s">
        <v>2906</v>
      </c>
      <c r="T522" s="2" t="s">
        <v>386</v>
      </c>
      <c r="U522" s="2" t="s">
        <v>199</v>
      </c>
      <c r="V522" s="2" t="s">
        <v>202</v>
      </c>
      <c r="W522" s="2" t="s">
        <v>203</v>
      </c>
      <c r="X522" s="2" t="s">
        <v>199</v>
      </c>
      <c r="Y522" s="2" t="s">
        <v>204</v>
      </c>
      <c r="Z522" s="4">
        <v>266</v>
      </c>
      <c r="AA522" s="4">
        <f>=ROUNDDOWN(102.307692307692,0)</f>
      </c>
      <c r="AB522" s="5">
        <v>2.6</v>
      </c>
      <c r="AC522" s="2" t="s">
        <v>199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199</v>
      </c>
      <c r="AW522" s="8" t="s">
        <v>199</v>
      </c>
      <c r="AX522" s="4" t="s">
        <v>199</v>
      </c>
      <c r="AY522" s="8" t="s">
        <v>199</v>
      </c>
      <c r="AZ522" s="7" t="s">
        <v>199</v>
      </c>
      <c r="BA522" s="7" t="s">
        <v>199</v>
      </c>
      <c r="BB522" s="7" t="s">
        <v>199</v>
      </c>
      <c r="BC522" s="4" t="s">
        <v>199</v>
      </c>
      <c r="BD522" s="8" t="s">
        <v>199</v>
      </c>
      <c r="BE522" s="4" t="s">
        <v>199</v>
      </c>
      <c r="BF522" s="8" t="s">
        <v>199</v>
      </c>
      <c r="BG522" s="7" t="s">
        <v>199</v>
      </c>
      <c r="BH522" s="7" t="s">
        <v>199</v>
      </c>
      <c r="BI522" s="7"/>
      <c r="BJ522" s="4">
        <v>42</v>
      </c>
      <c r="BK522" s="8">
        <v>505.22</v>
      </c>
      <c r="BL522" s="2" t="s">
        <v>2912</v>
      </c>
      <c r="BM522" s="7"/>
      <c r="BN522" s="7"/>
      <c r="BO522" s="4"/>
      <c r="BP522" s="8"/>
      <c r="BQ522" s="4"/>
      <c r="BR522" s="8"/>
      <c r="BS522" s="7"/>
      <c r="BT522" s="7"/>
      <c r="BU522" s="2" t="s">
        <v>2829</v>
      </c>
      <c r="BV522" s="2" t="s">
        <v>199</v>
      </c>
      <c r="BW522" s="2" t="s">
        <v>199</v>
      </c>
      <c r="BX522" s="2" t="s">
        <v>208</v>
      </c>
      <c r="BY522" s="2" t="s">
        <v>209</v>
      </c>
      <c r="BZ522" s="2" t="s">
        <v>196</v>
      </c>
      <c r="CA522" s="2" t="s">
        <v>210</v>
      </c>
      <c r="CB522" s="2" t="s">
        <v>2913</v>
      </c>
      <c r="CC522" s="2" t="s">
        <v>212</v>
      </c>
      <c r="CD522" s="2" t="s">
        <v>199</v>
      </c>
      <c r="CE522" s="4">
        <v>266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>
        <v>268</v>
      </c>
      <c r="EU522" s="4">
        <v>263</v>
      </c>
      <c r="EV522" s="4">
        <v>260</v>
      </c>
      <c r="EW522" s="4">
        <v>257</v>
      </c>
      <c r="EX522" s="4">
        <v>254</v>
      </c>
      <c r="EY522" s="4">
        <v>251</v>
      </c>
      <c r="EZ522" s="4">
        <v>248</v>
      </c>
      <c r="FA522" s="4">
        <v>245</v>
      </c>
      <c r="FB522" s="4">
        <v>241</v>
      </c>
      <c r="FC522" s="4">
        <v>238</v>
      </c>
      <c r="FD522" s="4">
        <v>235</v>
      </c>
      <c r="FE522" s="4">
        <v>232</v>
      </c>
      <c r="FF522" s="4">
        <v>229</v>
      </c>
      <c r="FG522" s="4">
        <v>226</v>
      </c>
      <c r="FH522" s="4">
        <v>223</v>
      </c>
      <c r="FI522" s="4">
        <v>220</v>
      </c>
      <c r="FJ522" s="4">
        <v>216</v>
      </c>
      <c r="FK522" s="4">
        <v>212</v>
      </c>
      <c r="FL522" s="4">
        <v>208</v>
      </c>
      <c r="FM522" s="4">
        <v>204</v>
      </c>
      <c r="FN522" s="4">
        <v>200</v>
      </c>
      <c r="FO522" s="4">
        <v>196</v>
      </c>
      <c r="FP522" s="4">
        <v>192</v>
      </c>
      <c r="FQ522" s="4">
        <v>188</v>
      </c>
      <c r="FR522" s="4">
        <v>184</v>
      </c>
      <c r="FS522" s="4">
        <v>180</v>
      </c>
      <c r="FT522" s="19">
        <v>67</v>
      </c>
      <c r="FU522" s="19">
        <v>87.7</v>
      </c>
      <c r="FV522" s="19">
        <v>86.7</v>
      </c>
      <c r="FW522" s="19">
        <v>85.7</v>
      </c>
      <c r="FX522" s="19">
        <v>84.7</v>
      </c>
      <c r="FY522" s="19">
        <v>83.7</v>
      </c>
      <c r="FZ522" s="19">
        <v>82.7</v>
      </c>
      <c r="GA522" s="19">
        <v>81.7</v>
      </c>
      <c r="GB522" s="19">
        <v>80.3</v>
      </c>
      <c r="GC522" s="19">
        <v>79.3</v>
      </c>
      <c r="GD522" s="19">
        <v>78.3</v>
      </c>
      <c r="GE522" s="19">
        <v>77.3</v>
      </c>
      <c r="GF522" s="19">
        <v>76.3</v>
      </c>
      <c r="GG522" s="19">
        <v>56.5</v>
      </c>
      <c r="GH522" s="19">
        <v>55.8</v>
      </c>
      <c r="GI522" s="19">
        <v>55</v>
      </c>
      <c r="GJ522" s="19">
        <v>54</v>
      </c>
      <c r="GK522" s="19">
        <v>53</v>
      </c>
      <c r="GL522" s="19">
        <v>52</v>
      </c>
      <c r="GM522" s="19">
        <v>51</v>
      </c>
      <c r="GN522" s="19">
        <v>50</v>
      </c>
      <c r="GO522" s="19">
        <v>49</v>
      </c>
      <c r="GP522" s="19">
        <v>32</v>
      </c>
      <c r="GQ522" s="19">
        <v>18.8</v>
      </c>
      <c r="GR522" s="19">
        <v>14.2</v>
      </c>
      <c r="GS522" s="19">
        <v>11.3</v>
      </c>
    </row>
    <row r="523">
      <c r="A523" s="2" t="s">
        <v>2914</v>
      </c>
      <c r="B523" s="2" t="s">
        <v>245</v>
      </c>
      <c r="C523" s="2" t="s">
        <v>1007</v>
      </c>
      <c r="D523" s="2" t="s">
        <v>247</v>
      </c>
      <c r="E523" s="2" t="s">
        <v>248</v>
      </c>
      <c r="F523" s="2" t="s">
        <v>386</v>
      </c>
      <c r="G523" s="2" t="s">
        <v>386</v>
      </c>
      <c r="H523" s="2" t="s">
        <v>386</v>
      </c>
      <c r="I523" s="2" t="s">
        <v>2850</v>
      </c>
      <c r="J523" s="2" t="s">
        <v>214</v>
      </c>
      <c r="K523" s="2" t="s">
        <v>1202</v>
      </c>
      <c r="L523" s="3">
        <v>12.15</v>
      </c>
      <c r="M523" s="3">
        <v>12.76</v>
      </c>
      <c r="N523" s="3">
        <v>26.99</v>
      </c>
      <c r="O523" s="2" t="s">
        <v>196</v>
      </c>
      <c r="P523" s="2" t="s">
        <v>197</v>
      </c>
      <c r="Q523" s="2" t="s">
        <v>198</v>
      </c>
      <c r="R523" s="2" t="s">
        <v>199</v>
      </c>
      <c r="S523" s="2" t="s">
        <v>2906</v>
      </c>
      <c r="T523" s="2" t="s">
        <v>386</v>
      </c>
      <c r="U523" s="2" t="s">
        <v>254</v>
      </c>
      <c r="V523" s="2" t="s">
        <v>202</v>
      </c>
      <c r="W523" s="2" t="s">
        <v>510</v>
      </c>
      <c r="X523" s="2" t="s">
        <v>199</v>
      </c>
      <c r="Y523" s="2" t="s">
        <v>2743</v>
      </c>
      <c r="Z523" s="4">
        <v>234</v>
      </c>
      <c r="AA523" s="4">
        <f>=ROUNDDOWN(58.5,0)</f>
      </c>
      <c r="AB523" s="5">
        <v>4</v>
      </c>
      <c r="AC523" s="2" t="s">
        <v>199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199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199</v>
      </c>
      <c r="AW523" s="8" t="s">
        <v>199</v>
      </c>
      <c r="AX523" s="4" t="s">
        <v>199</v>
      </c>
      <c r="AY523" s="8" t="s">
        <v>199</v>
      </c>
      <c r="AZ523" s="7" t="s">
        <v>199</v>
      </c>
      <c r="BA523" s="7" t="s">
        <v>199</v>
      </c>
      <c r="BB523" s="7" t="s">
        <v>199</v>
      </c>
      <c r="BC523" s="4" t="s">
        <v>199</v>
      </c>
      <c r="BD523" s="8" t="s">
        <v>199</v>
      </c>
      <c r="BE523" s="4" t="s">
        <v>199</v>
      </c>
      <c r="BF523" s="8" t="s">
        <v>199</v>
      </c>
      <c r="BG523" s="7" t="s">
        <v>199</v>
      </c>
      <c r="BH523" s="7" t="s">
        <v>199</v>
      </c>
      <c r="BI523" s="7"/>
      <c r="BJ523" s="4">
        <v>22</v>
      </c>
      <c r="BK523" s="8">
        <v>276.9</v>
      </c>
      <c r="BL523" s="2" t="s">
        <v>1937</v>
      </c>
      <c r="BM523" s="7"/>
      <c r="BN523" s="7"/>
      <c r="BO523" s="4"/>
      <c r="BP523" s="8"/>
      <c r="BQ523" s="4"/>
      <c r="BR523" s="8"/>
      <c r="BS523" s="7"/>
      <c r="BT523" s="7"/>
      <c r="BU523" s="2" t="s">
        <v>2853</v>
      </c>
      <c r="BV523" s="2" t="s">
        <v>199</v>
      </c>
      <c r="BW523" s="2" t="s">
        <v>199</v>
      </c>
      <c r="BX523" s="2" t="s">
        <v>208</v>
      </c>
      <c r="BY523" s="2" t="s">
        <v>209</v>
      </c>
      <c r="BZ523" s="2" t="s">
        <v>196</v>
      </c>
      <c r="CA523" s="2" t="s">
        <v>2746</v>
      </c>
      <c r="CB523" s="2" t="s">
        <v>333</v>
      </c>
      <c r="CC523" s="2" t="s">
        <v>212</v>
      </c>
      <c r="CD523" s="2" t="s">
        <v>199</v>
      </c>
      <c r="CE523" s="4">
        <v>234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>
        <v>234</v>
      </c>
      <c r="EU523" s="4">
        <v>230</v>
      </c>
      <c r="EV523" s="4">
        <v>226</v>
      </c>
      <c r="EW523" s="4">
        <v>222</v>
      </c>
      <c r="EX523" s="4">
        <v>218</v>
      </c>
      <c r="EY523" s="4">
        <v>214</v>
      </c>
      <c r="EZ523" s="4">
        <v>210</v>
      </c>
      <c r="FA523" s="4">
        <v>206</v>
      </c>
      <c r="FB523" s="4">
        <v>201</v>
      </c>
      <c r="FC523" s="4">
        <v>197</v>
      </c>
      <c r="FD523" s="4">
        <v>193</v>
      </c>
      <c r="FE523" s="4">
        <v>189</v>
      </c>
      <c r="FF523" s="4">
        <v>185</v>
      </c>
      <c r="FG523" s="4">
        <v>181</v>
      </c>
      <c r="FH523" s="4">
        <v>177</v>
      </c>
      <c r="FI523" s="4">
        <v>173</v>
      </c>
      <c r="FJ523" s="4">
        <v>168</v>
      </c>
      <c r="FK523" s="4">
        <v>163</v>
      </c>
      <c r="FL523" s="4">
        <v>158</v>
      </c>
      <c r="FM523" s="4">
        <v>153</v>
      </c>
      <c r="FN523" s="4">
        <v>148</v>
      </c>
      <c r="FO523" s="4">
        <v>143</v>
      </c>
      <c r="FP523" s="4">
        <v>138</v>
      </c>
      <c r="FQ523" s="4">
        <v>133</v>
      </c>
      <c r="FR523" s="4">
        <v>128</v>
      </c>
      <c r="FS523" s="4">
        <v>123</v>
      </c>
      <c r="FT523" s="19">
        <v>58.5</v>
      </c>
      <c r="FU523" s="19">
        <v>57.5</v>
      </c>
      <c r="FV523" s="19">
        <v>56.5</v>
      </c>
      <c r="FW523" s="19">
        <v>55.5</v>
      </c>
      <c r="FX523" s="19">
        <v>54.5</v>
      </c>
      <c r="FY523" s="19">
        <v>53.5</v>
      </c>
      <c r="FZ523" s="19">
        <v>52.5</v>
      </c>
      <c r="GA523" s="19">
        <v>51.5</v>
      </c>
      <c r="GB523" s="19">
        <v>50.3</v>
      </c>
      <c r="GC523" s="19">
        <v>49.3</v>
      </c>
      <c r="GD523" s="19">
        <v>48.3</v>
      </c>
      <c r="GE523" s="19">
        <v>47.3</v>
      </c>
      <c r="GF523" s="19">
        <v>46.3</v>
      </c>
      <c r="GG523" s="19">
        <v>45.3</v>
      </c>
      <c r="GH523" s="19">
        <v>35.4</v>
      </c>
      <c r="GI523" s="19">
        <v>34.6</v>
      </c>
      <c r="GJ523" s="19">
        <v>33.6</v>
      </c>
      <c r="GK523" s="19">
        <v>32.6</v>
      </c>
      <c r="GL523" s="19">
        <v>31.6</v>
      </c>
      <c r="GM523" s="19">
        <v>30.6</v>
      </c>
      <c r="GN523" s="19">
        <v>29.6</v>
      </c>
      <c r="GO523" s="19">
        <v>28.6</v>
      </c>
      <c r="GP523" s="19">
        <v>17.3</v>
      </c>
      <c r="GQ523" s="19">
        <v>11.1</v>
      </c>
      <c r="GR523" s="19">
        <v>7.5</v>
      </c>
      <c r="GS523" s="19">
        <v>5.6</v>
      </c>
    </row>
    <row r="524">
      <c r="A524" s="2" t="s">
        <v>2915</v>
      </c>
      <c r="B524" s="2" t="s">
        <v>245</v>
      </c>
      <c r="C524" s="2" t="s">
        <v>1007</v>
      </c>
      <c r="D524" s="2" t="s">
        <v>247</v>
      </c>
      <c r="E524" s="2" t="s">
        <v>248</v>
      </c>
      <c r="F524" s="2" t="s">
        <v>386</v>
      </c>
      <c r="G524" s="2" t="s">
        <v>386</v>
      </c>
      <c r="H524" s="2" t="s">
        <v>386</v>
      </c>
      <c r="I524" s="2" t="s">
        <v>2827</v>
      </c>
      <c r="J524" s="2" t="s">
        <v>285</v>
      </c>
      <c r="K524" s="2" t="s">
        <v>1202</v>
      </c>
      <c r="L524" s="3">
        <v>12.92</v>
      </c>
      <c r="M524" s="3">
        <v>13.57</v>
      </c>
      <c r="N524" s="3">
        <v>30.99</v>
      </c>
      <c r="O524" s="2" t="s">
        <v>196</v>
      </c>
      <c r="P524" s="2" t="s">
        <v>197</v>
      </c>
      <c r="Q524" s="2" t="s">
        <v>198</v>
      </c>
      <c r="R524" s="2" t="s">
        <v>199</v>
      </c>
      <c r="S524" s="2" t="s">
        <v>2906</v>
      </c>
      <c r="T524" s="2" t="s">
        <v>386</v>
      </c>
      <c r="U524" s="2" t="s">
        <v>199</v>
      </c>
      <c r="V524" s="2" t="s">
        <v>202</v>
      </c>
      <c r="W524" s="2" t="s">
        <v>203</v>
      </c>
      <c r="X524" s="2" t="s">
        <v>199</v>
      </c>
      <c r="Y524" s="2" t="s">
        <v>204</v>
      </c>
      <c r="Z524" s="4">
        <v>75</v>
      </c>
      <c r="AA524" s="4">
        <f>=ROUNDDOWN(15,0)</f>
      </c>
      <c r="AB524" s="5">
        <v>5</v>
      </c>
      <c r="AC524" s="2" t="s">
        <v>2845</v>
      </c>
      <c r="AD524" s="4">
        <v>70</v>
      </c>
      <c r="AE524" s="4">
        <v>100</v>
      </c>
      <c r="AF524" s="6">
        <v>65</v>
      </c>
      <c r="AG524" s="6"/>
      <c r="AH524" s="7">
        <v>0.871</v>
      </c>
      <c r="AI524" s="4"/>
      <c r="AJ524" s="4">
        <f>=ROUNDDOWN({0},0)</f>
      </c>
      <c r="AK524" s="5"/>
      <c r="AL524" s="2" t="s">
        <v>199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199</v>
      </c>
      <c r="AW524" s="8" t="s">
        <v>199</v>
      </c>
      <c r="AX524" s="4" t="s">
        <v>199</v>
      </c>
      <c r="AY524" s="8" t="s">
        <v>199</v>
      </c>
      <c r="AZ524" s="7" t="s">
        <v>199</v>
      </c>
      <c r="BA524" s="7" t="s">
        <v>199</v>
      </c>
      <c r="BB524" s="7" t="s">
        <v>199</v>
      </c>
      <c r="BC524" s="4" t="s">
        <v>199</v>
      </c>
      <c r="BD524" s="8" t="s">
        <v>199</v>
      </c>
      <c r="BE524" s="4" t="s">
        <v>199</v>
      </c>
      <c r="BF524" s="8" t="s">
        <v>199</v>
      </c>
      <c r="BG524" s="7" t="s">
        <v>199</v>
      </c>
      <c r="BH524" s="7" t="s">
        <v>199</v>
      </c>
      <c r="BI524" s="7"/>
      <c r="BJ524" s="4">
        <v>122</v>
      </c>
      <c r="BK524" s="8">
        <v>1564.94</v>
      </c>
      <c r="BL524" s="2" t="s">
        <v>2916</v>
      </c>
      <c r="BM524" s="7"/>
      <c r="BN524" s="7"/>
      <c r="BO524" s="4"/>
      <c r="BP524" s="8"/>
      <c r="BQ524" s="4"/>
      <c r="BR524" s="8"/>
      <c r="BS524" s="7"/>
      <c r="BT524" s="7"/>
      <c r="BU524" s="2" t="s">
        <v>2829</v>
      </c>
      <c r="BV524" s="2" t="s">
        <v>199</v>
      </c>
      <c r="BW524" s="2" t="s">
        <v>199</v>
      </c>
      <c r="BX524" s="2" t="s">
        <v>208</v>
      </c>
      <c r="BY524" s="2" t="s">
        <v>209</v>
      </c>
      <c r="BZ524" s="2" t="s">
        <v>196</v>
      </c>
      <c r="CA524" s="2" t="s">
        <v>210</v>
      </c>
      <c r="CB524" s="2" t="s">
        <v>2917</v>
      </c>
      <c r="CC524" s="2" t="s">
        <v>212</v>
      </c>
      <c r="CD524" s="2" t="s">
        <v>199</v>
      </c>
      <c r="CE524" s="4">
        <v>75</v>
      </c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>
        <v>70</v>
      </c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>
        <v>30</v>
      </c>
      <c r="EN524" s="4"/>
      <c r="EO524" s="4"/>
      <c r="EP524" s="4"/>
      <c r="EQ524" s="4"/>
      <c r="ER524" s="4"/>
      <c r="ES524" s="4"/>
      <c r="ET524" s="4">
        <v>75</v>
      </c>
      <c r="EU524" s="4">
        <v>68</v>
      </c>
      <c r="EV524" s="4">
        <v>63</v>
      </c>
      <c r="EW524" s="4">
        <v>128</v>
      </c>
      <c r="EX524" s="4">
        <v>123</v>
      </c>
      <c r="EY524" s="4">
        <v>118</v>
      </c>
      <c r="EZ524" s="4">
        <v>113</v>
      </c>
      <c r="FA524" s="4">
        <v>108</v>
      </c>
      <c r="FB524" s="4">
        <v>102</v>
      </c>
      <c r="FC524" s="4">
        <v>97</v>
      </c>
      <c r="FD524" s="4">
        <v>92</v>
      </c>
      <c r="FE524" s="4">
        <v>87</v>
      </c>
      <c r="FF524" s="4">
        <v>82</v>
      </c>
      <c r="FG524" s="4">
        <v>77</v>
      </c>
      <c r="FH524" s="4">
        <v>72</v>
      </c>
      <c r="FI524" s="4">
        <v>67</v>
      </c>
      <c r="FJ524" s="4">
        <v>92</v>
      </c>
      <c r="FK524" s="4">
        <v>87</v>
      </c>
      <c r="FL524" s="4">
        <v>82</v>
      </c>
      <c r="FM524" s="4">
        <v>77</v>
      </c>
      <c r="FN524" s="4">
        <v>72</v>
      </c>
      <c r="FO524" s="4">
        <v>67</v>
      </c>
      <c r="FP524" s="4">
        <v>61</v>
      </c>
      <c r="FQ524" s="4">
        <v>56</v>
      </c>
      <c r="FR524" s="4">
        <v>51</v>
      </c>
      <c r="FS524" s="4">
        <v>46</v>
      </c>
      <c r="FT524" s="19">
        <v>12.5</v>
      </c>
      <c r="FU524" s="19">
        <v>13.6</v>
      </c>
      <c r="FV524" s="19">
        <v>12.6</v>
      </c>
      <c r="FW524" s="19">
        <v>25.6</v>
      </c>
      <c r="FX524" s="19">
        <v>24.6</v>
      </c>
      <c r="FY524" s="19">
        <v>23.6</v>
      </c>
      <c r="FZ524" s="19">
        <v>22.6</v>
      </c>
      <c r="GA524" s="19">
        <v>21.6</v>
      </c>
      <c r="GB524" s="19">
        <v>20.4</v>
      </c>
      <c r="GC524" s="19">
        <v>19.4</v>
      </c>
      <c r="GD524" s="19">
        <v>18.4</v>
      </c>
      <c r="GE524" s="19">
        <v>17.4</v>
      </c>
      <c r="GF524" s="19">
        <v>16.4</v>
      </c>
      <c r="GG524" s="19">
        <v>15.4</v>
      </c>
      <c r="GH524" s="19">
        <v>14.4</v>
      </c>
      <c r="GI524" s="19">
        <v>13.4</v>
      </c>
      <c r="GJ524" s="19">
        <v>18.4</v>
      </c>
      <c r="GK524" s="19">
        <v>17.4</v>
      </c>
      <c r="GL524" s="19">
        <v>16.4</v>
      </c>
      <c r="GM524" s="19">
        <v>15.4</v>
      </c>
      <c r="GN524" s="19">
        <v>14.4</v>
      </c>
      <c r="GO524" s="19">
        <v>13.4</v>
      </c>
      <c r="GP524" s="19">
        <v>12.2</v>
      </c>
      <c r="GQ524" s="19">
        <v>9.3</v>
      </c>
      <c r="GR524" s="19">
        <v>8.5</v>
      </c>
      <c r="GS524" s="19">
        <v>7.7</v>
      </c>
    </row>
    <row r="525">
      <c r="A525" s="2" t="s">
        <v>2918</v>
      </c>
      <c r="B525" s="2" t="s">
        <v>245</v>
      </c>
      <c r="C525" s="2" t="s">
        <v>1007</v>
      </c>
      <c r="D525" s="2" t="s">
        <v>247</v>
      </c>
      <c r="E525" s="2" t="s">
        <v>248</v>
      </c>
      <c r="F525" s="2" t="s">
        <v>386</v>
      </c>
      <c r="G525" s="2" t="s">
        <v>386</v>
      </c>
      <c r="H525" s="2" t="s">
        <v>386</v>
      </c>
      <c r="I525" s="2" t="s">
        <v>2850</v>
      </c>
      <c r="J525" s="2" t="s">
        <v>285</v>
      </c>
      <c r="K525" s="2" t="s">
        <v>1202</v>
      </c>
      <c r="L525" s="3">
        <v>14.85</v>
      </c>
      <c r="M525" s="3">
        <v>15.59</v>
      </c>
      <c r="N525" s="3">
        <v>32.99</v>
      </c>
      <c r="O525" s="2" t="s">
        <v>196</v>
      </c>
      <c r="P525" s="2" t="s">
        <v>197</v>
      </c>
      <c r="Q525" s="2" t="s">
        <v>198</v>
      </c>
      <c r="R525" s="2" t="s">
        <v>199</v>
      </c>
      <c r="S525" s="2" t="s">
        <v>2906</v>
      </c>
      <c r="T525" s="2" t="s">
        <v>386</v>
      </c>
      <c r="U525" s="2" t="s">
        <v>546</v>
      </c>
      <c r="V525" s="2" t="s">
        <v>202</v>
      </c>
      <c r="W525" s="2" t="s">
        <v>510</v>
      </c>
      <c r="X525" s="2" t="s">
        <v>199</v>
      </c>
      <c r="Y525" s="2" t="s">
        <v>2743</v>
      </c>
      <c r="Z525" s="4">
        <v>175</v>
      </c>
      <c r="AA525" s="4">
        <f>=ROUNDDOWN(31.25,0)</f>
      </c>
      <c r="AB525" s="5">
        <v>5.6</v>
      </c>
      <c r="AC525" s="2" t="s">
        <v>2845</v>
      </c>
      <c r="AD525" s="4">
        <v>20</v>
      </c>
      <c r="AE525" s="4">
        <v>50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199</v>
      </c>
      <c r="AW525" s="8" t="s">
        <v>199</v>
      </c>
      <c r="AX525" s="4" t="s">
        <v>199</v>
      </c>
      <c r="AY525" s="8" t="s">
        <v>199</v>
      </c>
      <c r="AZ525" s="7" t="s">
        <v>199</v>
      </c>
      <c r="BA525" s="7" t="s">
        <v>199</v>
      </c>
      <c r="BB525" s="7" t="s">
        <v>199</v>
      </c>
      <c r="BC525" s="4" t="s">
        <v>199</v>
      </c>
      <c r="BD525" s="8" t="s">
        <v>199</v>
      </c>
      <c r="BE525" s="4" t="s">
        <v>199</v>
      </c>
      <c r="BF525" s="8" t="s">
        <v>199</v>
      </c>
      <c r="BG525" s="7" t="s">
        <v>199</v>
      </c>
      <c r="BH525" s="7" t="s">
        <v>199</v>
      </c>
      <c r="BI525" s="7"/>
      <c r="BJ525" s="4">
        <v>52</v>
      </c>
      <c r="BK525" s="8">
        <v>795.72</v>
      </c>
      <c r="BL525" s="2" t="s">
        <v>2919</v>
      </c>
      <c r="BM525" s="7"/>
      <c r="BN525" s="7"/>
      <c r="BO525" s="4"/>
      <c r="BP525" s="8"/>
      <c r="BQ525" s="4"/>
      <c r="BR525" s="8"/>
      <c r="BS525" s="7"/>
      <c r="BT525" s="7"/>
      <c r="BU525" s="2" t="s">
        <v>2853</v>
      </c>
      <c r="BV525" s="2" t="s">
        <v>199</v>
      </c>
      <c r="BW525" s="2" t="s">
        <v>199</v>
      </c>
      <c r="BX525" s="2" t="s">
        <v>208</v>
      </c>
      <c r="BY525" s="2" t="s">
        <v>209</v>
      </c>
      <c r="BZ525" s="2" t="s">
        <v>196</v>
      </c>
      <c r="CA525" s="2" t="s">
        <v>2746</v>
      </c>
      <c r="CB525" s="2" t="s">
        <v>2890</v>
      </c>
      <c r="CC525" s="2" t="s">
        <v>212</v>
      </c>
      <c r="CD525" s="2" t="s">
        <v>199</v>
      </c>
      <c r="CE525" s="4">
        <v>175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>
        <v>20</v>
      </c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>
        <v>30</v>
      </c>
      <c r="EN525" s="4"/>
      <c r="EO525" s="4"/>
      <c r="EP525" s="4"/>
      <c r="EQ525" s="4"/>
      <c r="ER525" s="4"/>
      <c r="ES525" s="4"/>
      <c r="ET525" s="4">
        <v>177</v>
      </c>
      <c r="EU525" s="4">
        <v>169</v>
      </c>
      <c r="EV525" s="4">
        <v>163</v>
      </c>
      <c r="EW525" s="4">
        <v>177</v>
      </c>
      <c r="EX525" s="4">
        <v>171</v>
      </c>
      <c r="EY525" s="4">
        <v>165</v>
      </c>
      <c r="EZ525" s="4">
        <v>159</v>
      </c>
      <c r="FA525" s="4">
        <v>153</v>
      </c>
      <c r="FB525" s="4">
        <v>146</v>
      </c>
      <c r="FC525" s="4">
        <v>140</v>
      </c>
      <c r="FD525" s="4">
        <v>134</v>
      </c>
      <c r="FE525" s="4">
        <v>128</v>
      </c>
      <c r="FF525" s="4">
        <v>122</v>
      </c>
      <c r="FG525" s="4">
        <v>116</v>
      </c>
      <c r="FH525" s="4">
        <v>110</v>
      </c>
      <c r="FI525" s="4">
        <v>104</v>
      </c>
      <c r="FJ525" s="4">
        <v>128</v>
      </c>
      <c r="FK525" s="4">
        <v>122</v>
      </c>
      <c r="FL525" s="4">
        <v>116</v>
      </c>
      <c r="FM525" s="4">
        <v>110</v>
      </c>
      <c r="FN525" s="4">
        <v>104</v>
      </c>
      <c r="FO525" s="4">
        <v>98</v>
      </c>
      <c r="FP525" s="4">
        <v>91</v>
      </c>
      <c r="FQ525" s="4">
        <v>85</v>
      </c>
      <c r="FR525" s="4">
        <v>79</v>
      </c>
      <c r="FS525" s="4">
        <v>73</v>
      </c>
      <c r="FT525" s="19">
        <v>29.5</v>
      </c>
      <c r="FU525" s="19">
        <v>28.2</v>
      </c>
      <c r="FV525" s="19">
        <v>27.2</v>
      </c>
      <c r="FW525" s="19">
        <v>29.5</v>
      </c>
      <c r="FX525" s="19">
        <v>28.5</v>
      </c>
      <c r="FY525" s="19">
        <v>27.5</v>
      </c>
      <c r="FZ525" s="19">
        <v>26.5</v>
      </c>
      <c r="GA525" s="19">
        <v>25.5</v>
      </c>
      <c r="GB525" s="19">
        <v>24.3</v>
      </c>
      <c r="GC525" s="19">
        <v>23.3</v>
      </c>
      <c r="GD525" s="19">
        <v>22.3</v>
      </c>
      <c r="GE525" s="19">
        <v>21.3</v>
      </c>
      <c r="GF525" s="19">
        <v>20.3</v>
      </c>
      <c r="GG525" s="19">
        <v>19.3</v>
      </c>
      <c r="GH525" s="19">
        <v>18.3</v>
      </c>
      <c r="GI525" s="19">
        <v>17.3</v>
      </c>
      <c r="GJ525" s="19">
        <v>21.3</v>
      </c>
      <c r="GK525" s="19">
        <v>20.3</v>
      </c>
      <c r="GL525" s="19">
        <v>19.3</v>
      </c>
      <c r="GM525" s="19">
        <v>18.3</v>
      </c>
      <c r="GN525" s="19">
        <v>17.3</v>
      </c>
      <c r="GO525" s="19">
        <v>16.3</v>
      </c>
      <c r="GP525" s="19">
        <v>15.2</v>
      </c>
      <c r="GQ525" s="19">
        <v>14.2</v>
      </c>
      <c r="GR525" s="19">
        <v>11.3</v>
      </c>
      <c r="GS525" s="19">
        <v>10.4</v>
      </c>
    </row>
    <row r="526">
      <c r="A526" s="2" t="s">
        <v>2920</v>
      </c>
      <c r="B526" s="2" t="s">
        <v>245</v>
      </c>
      <c r="C526" s="2" t="s">
        <v>1007</v>
      </c>
      <c r="D526" s="2" t="s">
        <v>247</v>
      </c>
      <c r="E526" s="2" t="s">
        <v>248</v>
      </c>
      <c r="F526" s="2" t="s">
        <v>386</v>
      </c>
      <c r="G526" s="2" t="s">
        <v>386</v>
      </c>
      <c r="H526" s="2" t="s">
        <v>386</v>
      </c>
      <c r="I526" s="2" t="s">
        <v>2850</v>
      </c>
      <c r="J526" s="2" t="s">
        <v>219</v>
      </c>
      <c r="K526" s="2" t="s">
        <v>1202</v>
      </c>
      <c r="L526" s="3">
        <v>14.85</v>
      </c>
      <c r="M526" s="3">
        <v>15.59</v>
      </c>
      <c r="N526" s="3">
        <v>32.99</v>
      </c>
      <c r="O526" s="2" t="s">
        <v>196</v>
      </c>
      <c r="P526" s="2" t="s">
        <v>197</v>
      </c>
      <c r="Q526" s="2" t="s">
        <v>198</v>
      </c>
      <c r="R526" s="2" t="s">
        <v>199</v>
      </c>
      <c r="S526" s="2" t="s">
        <v>2906</v>
      </c>
      <c r="T526" s="2" t="s">
        <v>386</v>
      </c>
      <c r="U526" s="2" t="s">
        <v>546</v>
      </c>
      <c r="V526" s="2" t="s">
        <v>202</v>
      </c>
      <c r="W526" s="2" t="s">
        <v>510</v>
      </c>
      <c r="X526" s="2" t="s">
        <v>199</v>
      </c>
      <c r="Y526" s="2" t="s">
        <v>2743</v>
      </c>
      <c r="Z526" s="4">
        <v>340</v>
      </c>
      <c r="AA526" s="4">
        <f>=ROUNDDOWN(13.6,0)</f>
      </c>
      <c r="AB526" s="5">
        <v>25</v>
      </c>
      <c r="AC526" s="2" t="s">
        <v>2845</v>
      </c>
      <c r="AD526" s="4">
        <v>250</v>
      </c>
      <c r="AE526" s="4">
        <v>470</v>
      </c>
      <c r="AF526" s="6">
        <v>65</v>
      </c>
      <c r="AG526" s="6"/>
      <c r="AH526" s="7">
        <v>0.7742</v>
      </c>
      <c r="AI526" s="4"/>
      <c r="AJ526" s="4">
        <f>=ROUNDDOWN({0},0)</f>
      </c>
      <c r="AK526" s="5"/>
      <c r="AL526" s="2" t="s">
        <v>199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199</v>
      </c>
      <c r="AW526" s="8" t="s">
        <v>199</v>
      </c>
      <c r="AX526" s="4" t="s">
        <v>199</v>
      </c>
      <c r="AY526" s="8" t="s">
        <v>199</v>
      </c>
      <c r="AZ526" s="7" t="s">
        <v>199</v>
      </c>
      <c r="BA526" s="7" t="s">
        <v>199</v>
      </c>
      <c r="BB526" s="7"/>
      <c r="BC526" s="4" t="s">
        <v>199</v>
      </c>
      <c r="BD526" s="8" t="s">
        <v>199</v>
      </c>
      <c r="BE526" s="4" t="s">
        <v>199</v>
      </c>
      <c r="BF526" s="8" t="s">
        <v>199</v>
      </c>
      <c r="BG526" s="7" t="s">
        <v>199</v>
      </c>
      <c r="BH526" s="7" t="s">
        <v>199</v>
      </c>
      <c r="BI526" s="7"/>
      <c r="BJ526" s="4">
        <v>179</v>
      </c>
      <c r="BK526" s="8">
        <v>2832.75</v>
      </c>
      <c r="BL526" s="2" t="s">
        <v>2921</v>
      </c>
      <c r="BM526" s="7"/>
      <c r="BN526" s="7"/>
      <c r="BO526" s="4"/>
      <c r="BP526" s="8"/>
      <c r="BQ526" s="4"/>
      <c r="BR526" s="8"/>
      <c r="BS526" s="7"/>
      <c r="BT526" s="7"/>
      <c r="BU526" s="2" t="s">
        <v>2853</v>
      </c>
      <c r="BV526" s="2" t="s">
        <v>199</v>
      </c>
      <c r="BW526" s="2" t="s">
        <v>199</v>
      </c>
      <c r="BX526" s="2" t="s">
        <v>208</v>
      </c>
      <c r="BY526" s="2" t="s">
        <v>209</v>
      </c>
      <c r="BZ526" s="2" t="s">
        <v>196</v>
      </c>
      <c r="CA526" s="2" t="s">
        <v>2746</v>
      </c>
      <c r="CB526" s="2" t="s">
        <v>1867</v>
      </c>
      <c r="CC526" s="2" t="s">
        <v>212</v>
      </c>
      <c r="CD526" s="2" t="s">
        <v>199</v>
      </c>
      <c r="CE526" s="4">
        <v>340</v>
      </c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>
        <v>250</v>
      </c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>
        <v>220</v>
      </c>
      <c r="EN526" s="4"/>
      <c r="EO526" s="4"/>
      <c r="EP526" s="4"/>
      <c r="EQ526" s="4"/>
      <c r="ER526" s="4"/>
      <c r="ES526" s="4"/>
      <c r="ET526" s="4">
        <v>346</v>
      </c>
      <c r="EU526" s="4">
        <v>316</v>
      </c>
      <c r="EV526" s="4">
        <v>291</v>
      </c>
      <c r="EW526" s="4">
        <v>516</v>
      </c>
      <c r="EX526" s="4">
        <v>491</v>
      </c>
      <c r="EY526" s="4">
        <v>466</v>
      </c>
      <c r="EZ526" s="4">
        <v>441</v>
      </c>
      <c r="FA526" s="4">
        <v>416</v>
      </c>
      <c r="FB526" s="4">
        <v>386</v>
      </c>
      <c r="FC526" s="4">
        <v>361</v>
      </c>
      <c r="FD526" s="4">
        <v>336</v>
      </c>
      <c r="FE526" s="4">
        <v>311</v>
      </c>
      <c r="FF526" s="4">
        <v>286</v>
      </c>
      <c r="FG526" s="4">
        <v>261</v>
      </c>
      <c r="FH526" s="4">
        <v>236</v>
      </c>
      <c r="FI526" s="4">
        <v>211</v>
      </c>
      <c r="FJ526" s="4">
        <v>406</v>
      </c>
      <c r="FK526" s="4">
        <v>381</v>
      </c>
      <c r="FL526" s="4">
        <v>356</v>
      </c>
      <c r="FM526" s="4">
        <v>331</v>
      </c>
      <c r="FN526" s="4">
        <v>306</v>
      </c>
      <c r="FO526" s="4">
        <v>281</v>
      </c>
      <c r="FP526" s="4">
        <v>251</v>
      </c>
      <c r="FQ526" s="4">
        <v>226</v>
      </c>
      <c r="FR526" s="4">
        <v>201</v>
      </c>
      <c r="FS526" s="4">
        <v>176</v>
      </c>
      <c r="FT526" s="19">
        <v>13.3</v>
      </c>
      <c r="FU526" s="19">
        <v>12.6</v>
      </c>
      <c r="FV526" s="19">
        <v>11.6</v>
      </c>
      <c r="FW526" s="19">
        <v>20.6</v>
      </c>
      <c r="FX526" s="19">
        <v>18.9</v>
      </c>
      <c r="FY526" s="19">
        <v>17.9</v>
      </c>
      <c r="FZ526" s="19">
        <v>17</v>
      </c>
      <c r="GA526" s="19">
        <v>16</v>
      </c>
      <c r="GB526" s="19">
        <v>15.4</v>
      </c>
      <c r="GC526" s="19">
        <v>14.4</v>
      </c>
      <c r="GD526" s="19">
        <v>13.4</v>
      </c>
      <c r="GE526" s="19">
        <v>12.4</v>
      </c>
      <c r="GF526" s="19">
        <v>11.4</v>
      </c>
      <c r="GG526" s="19">
        <v>10.4</v>
      </c>
      <c r="GH526" s="19">
        <v>9.4</v>
      </c>
      <c r="GI526" s="19">
        <v>8.4</v>
      </c>
      <c r="GJ526" s="19">
        <v>16.2</v>
      </c>
      <c r="GK526" s="19">
        <v>15.2</v>
      </c>
      <c r="GL526" s="19">
        <v>13.7</v>
      </c>
      <c r="GM526" s="19">
        <v>12.7</v>
      </c>
      <c r="GN526" s="19">
        <v>11.8</v>
      </c>
      <c r="GO526" s="19">
        <v>10.8</v>
      </c>
      <c r="GP526" s="19">
        <v>10</v>
      </c>
      <c r="GQ526" s="19">
        <v>8.7</v>
      </c>
      <c r="GR526" s="19">
        <v>7.2</v>
      </c>
      <c r="GS526" s="19">
        <v>6.1</v>
      </c>
    </row>
    <row r="527">
      <c r="A527" s="2" t="s">
        <v>2922</v>
      </c>
      <c r="B527" s="2" t="s">
        <v>245</v>
      </c>
      <c r="C527" s="2" t="s">
        <v>1007</v>
      </c>
      <c r="D527" s="2" t="s">
        <v>247</v>
      </c>
      <c r="E527" s="2" t="s">
        <v>248</v>
      </c>
      <c r="F527" s="2" t="s">
        <v>386</v>
      </c>
      <c r="G527" s="2" t="s">
        <v>386</v>
      </c>
      <c r="H527" s="2" t="s">
        <v>386</v>
      </c>
      <c r="I527" s="2" t="s">
        <v>2827</v>
      </c>
      <c r="J527" s="2" t="s">
        <v>223</v>
      </c>
      <c r="K527" s="2" t="s">
        <v>1202</v>
      </c>
      <c r="L527" s="3">
        <v>16.75</v>
      </c>
      <c r="M527" s="3">
        <v>17.59</v>
      </c>
      <c r="N527" s="3">
        <v>37.99</v>
      </c>
      <c r="O527" s="2" t="s">
        <v>196</v>
      </c>
      <c r="P527" s="2" t="s">
        <v>197</v>
      </c>
      <c r="Q527" s="2" t="s">
        <v>198</v>
      </c>
      <c r="R527" s="2" t="s">
        <v>199</v>
      </c>
      <c r="S527" s="2" t="s">
        <v>2906</v>
      </c>
      <c r="T527" s="2" t="s">
        <v>386</v>
      </c>
      <c r="U527" s="2" t="s">
        <v>199</v>
      </c>
      <c r="V527" s="2" t="s">
        <v>202</v>
      </c>
      <c r="W527" s="2" t="s">
        <v>203</v>
      </c>
      <c r="X527" s="2" t="s">
        <v>199</v>
      </c>
      <c r="Y527" s="2" t="s">
        <v>204</v>
      </c>
      <c r="Z527" s="4">
        <v>250</v>
      </c>
      <c r="AA527" s="4">
        <f>=ROUNDDOWN(31.25,0)</f>
      </c>
      <c r="AB527" s="5">
        <v>8</v>
      </c>
      <c r="AC527" s="2" t="s">
        <v>892</v>
      </c>
      <c r="AD527" s="4">
        <v>30</v>
      </c>
      <c r="AE527" s="4">
        <v>30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199</v>
      </c>
      <c r="AW527" s="8" t="s">
        <v>199</v>
      </c>
      <c r="AX527" s="4" t="s">
        <v>199</v>
      </c>
      <c r="AY527" s="8" t="s">
        <v>199</v>
      </c>
      <c r="AZ527" s="7" t="s">
        <v>199</v>
      </c>
      <c r="BA527" s="7" t="s">
        <v>199</v>
      </c>
      <c r="BB527" s="7"/>
      <c r="BC527" s="4" t="s">
        <v>199</v>
      </c>
      <c r="BD527" s="8" t="s">
        <v>199</v>
      </c>
      <c r="BE527" s="4" t="s">
        <v>199</v>
      </c>
      <c r="BF527" s="8" t="s">
        <v>199</v>
      </c>
      <c r="BG527" s="7" t="s">
        <v>199</v>
      </c>
      <c r="BH527" s="7" t="s">
        <v>199</v>
      </c>
      <c r="BI527" s="7"/>
      <c r="BJ527" s="4">
        <v>71</v>
      </c>
      <c r="BK527" s="8">
        <v>1214.19</v>
      </c>
      <c r="BL527" s="2" t="s">
        <v>2923</v>
      </c>
      <c r="BM527" s="7"/>
      <c r="BN527" s="7"/>
      <c r="BO527" s="4"/>
      <c r="BP527" s="8"/>
      <c r="BQ527" s="4"/>
      <c r="BR527" s="8"/>
      <c r="BS527" s="7"/>
      <c r="BT527" s="7"/>
      <c r="BU527" s="2" t="s">
        <v>2829</v>
      </c>
      <c r="BV527" s="2" t="s">
        <v>199</v>
      </c>
      <c r="BW527" s="2" t="s">
        <v>199</v>
      </c>
      <c r="BX527" s="2" t="s">
        <v>208</v>
      </c>
      <c r="BY527" s="2" t="s">
        <v>209</v>
      </c>
      <c r="BZ527" s="2" t="s">
        <v>196</v>
      </c>
      <c r="CA527" s="2" t="s">
        <v>210</v>
      </c>
      <c r="CB527" s="2" t="s">
        <v>2815</v>
      </c>
      <c r="CC527" s="2" t="s">
        <v>212</v>
      </c>
      <c r="CD527" s="2" t="s">
        <v>199</v>
      </c>
      <c r="CE527" s="4">
        <v>250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>
        <v>30</v>
      </c>
      <c r="EN527" s="4"/>
      <c r="EO527" s="4"/>
      <c r="EP527" s="4"/>
      <c r="EQ527" s="4"/>
      <c r="ER527" s="4"/>
      <c r="ES527" s="4"/>
      <c r="ET527" s="4">
        <v>252</v>
      </c>
      <c r="EU527" s="4">
        <v>242</v>
      </c>
      <c r="EV527" s="4">
        <v>234</v>
      </c>
      <c r="EW527" s="4">
        <v>226</v>
      </c>
      <c r="EX527" s="4">
        <v>218</v>
      </c>
      <c r="EY527" s="4">
        <v>210</v>
      </c>
      <c r="EZ527" s="4">
        <v>202</v>
      </c>
      <c r="FA527" s="4">
        <v>194</v>
      </c>
      <c r="FB527" s="4">
        <v>184</v>
      </c>
      <c r="FC527" s="4">
        <v>176</v>
      </c>
      <c r="FD527" s="4">
        <v>168</v>
      </c>
      <c r="FE527" s="4">
        <v>160</v>
      </c>
      <c r="FF527" s="4">
        <v>152</v>
      </c>
      <c r="FG527" s="4">
        <v>144</v>
      </c>
      <c r="FH527" s="4">
        <v>136</v>
      </c>
      <c r="FI527" s="4">
        <v>128</v>
      </c>
      <c r="FJ527" s="4">
        <v>150</v>
      </c>
      <c r="FK527" s="4">
        <v>142</v>
      </c>
      <c r="FL527" s="4">
        <v>134</v>
      </c>
      <c r="FM527" s="4">
        <v>126</v>
      </c>
      <c r="FN527" s="4">
        <v>118</v>
      </c>
      <c r="FO527" s="4">
        <v>110</v>
      </c>
      <c r="FP527" s="4">
        <v>100</v>
      </c>
      <c r="FQ527" s="4">
        <v>92</v>
      </c>
      <c r="FR527" s="4">
        <v>84</v>
      </c>
      <c r="FS527" s="4">
        <v>76</v>
      </c>
      <c r="FT527" s="19">
        <v>31.5</v>
      </c>
      <c r="FU527" s="19">
        <v>30.3</v>
      </c>
      <c r="FV527" s="19">
        <v>29.3</v>
      </c>
      <c r="FW527" s="19">
        <v>28.3</v>
      </c>
      <c r="FX527" s="19">
        <v>27.3</v>
      </c>
      <c r="FY527" s="19">
        <v>26.3</v>
      </c>
      <c r="FZ527" s="19">
        <v>25.3</v>
      </c>
      <c r="GA527" s="19">
        <v>24.3</v>
      </c>
      <c r="GB527" s="19">
        <v>23</v>
      </c>
      <c r="GC527" s="19">
        <v>22</v>
      </c>
      <c r="GD527" s="19">
        <v>21</v>
      </c>
      <c r="GE527" s="19">
        <v>20</v>
      </c>
      <c r="GF527" s="19">
        <v>19</v>
      </c>
      <c r="GG527" s="19">
        <v>18</v>
      </c>
      <c r="GH527" s="19">
        <v>17</v>
      </c>
      <c r="GI527" s="19">
        <v>16</v>
      </c>
      <c r="GJ527" s="19">
        <v>18.8</v>
      </c>
      <c r="GK527" s="19">
        <v>17.8</v>
      </c>
      <c r="GL527" s="19">
        <v>16.8</v>
      </c>
      <c r="GM527" s="19">
        <v>15.8</v>
      </c>
      <c r="GN527" s="19">
        <v>14.8</v>
      </c>
      <c r="GO527" s="19">
        <v>13.8</v>
      </c>
      <c r="GP527" s="19">
        <v>12.5</v>
      </c>
      <c r="GQ527" s="19">
        <v>11.5</v>
      </c>
      <c r="GR527" s="19">
        <v>10.5</v>
      </c>
      <c r="GS527" s="19">
        <v>8.4</v>
      </c>
    </row>
    <row r="528">
      <c r="A528" s="2" t="s">
        <v>2924</v>
      </c>
      <c r="B528" s="2" t="s">
        <v>245</v>
      </c>
      <c r="C528" s="2" t="s">
        <v>1007</v>
      </c>
      <c r="D528" s="2" t="s">
        <v>247</v>
      </c>
      <c r="E528" s="2" t="s">
        <v>248</v>
      </c>
      <c r="F528" s="2" t="s">
        <v>386</v>
      </c>
      <c r="G528" s="2" t="s">
        <v>386</v>
      </c>
      <c r="H528" s="2" t="s">
        <v>386</v>
      </c>
      <c r="I528" s="2" t="s">
        <v>2827</v>
      </c>
      <c r="J528" s="2" t="s">
        <v>194</v>
      </c>
      <c r="K528" s="2" t="s">
        <v>544</v>
      </c>
      <c r="L528" s="3">
        <v>11.18</v>
      </c>
      <c r="M528" s="3">
        <v>11.74</v>
      </c>
      <c r="N528" s="3">
        <v>27.99</v>
      </c>
      <c r="O528" s="2" t="s">
        <v>196</v>
      </c>
      <c r="P528" s="2" t="s">
        <v>197</v>
      </c>
      <c r="Q528" s="2" t="s">
        <v>198</v>
      </c>
      <c r="R528" s="2" t="s">
        <v>199</v>
      </c>
      <c r="S528" s="2" t="s">
        <v>2925</v>
      </c>
      <c r="T528" s="2" t="s">
        <v>386</v>
      </c>
      <c r="U528" s="2" t="s">
        <v>199</v>
      </c>
      <c r="V528" s="2" t="s">
        <v>202</v>
      </c>
      <c r="W528" s="2" t="s">
        <v>203</v>
      </c>
      <c r="X528" s="2" t="s">
        <v>199</v>
      </c>
      <c r="Y528" s="2" t="s">
        <v>204</v>
      </c>
      <c r="Z528" s="4">
        <v>171</v>
      </c>
      <c r="AA528" s="4">
        <f>=ROUNDDOWN(30.5357142857143,0)</f>
      </c>
      <c r="AB528" s="5">
        <v>5.6</v>
      </c>
      <c r="AC528" s="2" t="s">
        <v>236</v>
      </c>
      <c r="AD528" s="4">
        <v>80</v>
      </c>
      <c r="AE528" s="4">
        <v>80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 t="s">
        <v>199</v>
      </c>
      <c r="AW528" s="8" t="s">
        <v>199</v>
      </c>
      <c r="AX528" s="4" t="s">
        <v>199</v>
      </c>
      <c r="AY528" s="8" t="s">
        <v>199</v>
      </c>
      <c r="AZ528" s="7" t="s">
        <v>199</v>
      </c>
      <c r="BA528" s="7" t="s">
        <v>199</v>
      </c>
      <c r="BB528" s="7"/>
      <c r="BC528" s="4" t="s">
        <v>199</v>
      </c>
      <c r="BD528" s="8" t="s">
        <v>199</v>
      </c>
      <c r="BE528" s="4" t="s">
        <v>199</v>
      </c>
      <c r="BF528" s="8" t="s">
        <v>199</v>
      </c>
      <c r="BG528" s="7" t="s">
        <v>199</v>
      </c>
      <c r="BH528" s="7" t="s">
        <v>199</v>
      </c>
      <c r="BI528" s="7"/>
      <c r="BJ528" s="4">
        <v>85</v>
      </c>
      <c r="BK528" s="8">
        <v>938.75</v>
      </c>
      <c r="BL528" s="2" t="s">
        <v>2926</v>
      </c>
      <c r="BM528" s="7"/>
      <c r="BN528" s="7"/>
      <c r="BO528" s="4"/>
      <c r="BP528" s="8"/>
      <c r="BQ528" s="4"/>
      <c r="BR528" s="8"/>
      <c r="BS528" s="7"/>
      <c r="BT528" s="7"/>
      <c r="BU528" s="2" t="s">
        <v>2829</v>
      </c>
      <c r="BV528" s="2" t="s">
        <v>199</v>
      </c>
      <c r="BW528" s="2" t="s">
        <v>199</v>
      </c>
      <c r="BX528" s="2" t="s">
        <v>208</v>
      </c>
      <c r="BY528" s="2" t="s">
        <v>209</v>
      </c>
      <c r="BZ528" s="2" t="s">
        <v>196</v>
      </c>
      <c r="CA528" s="2" t="s">
        <v>2847</v>
      </c>
      <c r="CB528" s="2" t="s">
        <v>351</v>
      </c>
      <c r="CC528" s="2" t="s">
        <v>212</v>
      </c>
      <c r="CD528" s="2" t="s">
        <v>199</v>
      </c>
      <c r="CE528" s="4">
        <v>171</v>
      </c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>
        <v>80</v>
      </c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>
        <v>172</v>
      </c>
      <c r="EU528" s="4">
        <v>159</v>
      </c>
      <c r="EV528" s="4">
        <v>154</v>
      </c>
      <c r="EW528" s="4">
        <v>149</v>
      </c>
      <c r="EX528" s="4">
        <v>144</v>
      </c>
      <c r="EY528" s="4">
        <v>139</v>
      </c>
      <c r="EZ528" s="4">
        <v>134</v>
      </c>
      <c r="FA528" s="4">
        <v>129</v>
      </c>
      <c r="FB528" s="4">
        <v>123</v>
      </c>
      <c r="FC528" s="4">
        <v>118</v>
      </c>
      <c r="FD528" s="4">
        <v>193</v>
      </c>
      <c r="FE528" s="4">
        <v>188</v>
      </c>
      <c r="FF528" s="4">
        <v>183</v>
      </c>
      <c r="FG528" s="4">
        <v>178</v>
      </c>
      <c r="FH528" s="4">
        <v>173</v>
      </c>
      <c r="FI528" s="4">
        <v>168</v>
      </c>
      <c r="FJ528" s="4">
        <v>163</v>
      </c>
      <c r="FK528" s="4">
        <v>158</v>
      </c>
      <c r="FL528" s="4">
        <v>153</v>
      </c>
      <c r="FM528" s="4">
        <v>148</v>
      </c>
      <c r="FN528" s="4">
        <v>143</v>
      </c>
      <c r="FO528" s="4">
        <v>137</v>
      </c>
      <c r="FP528" s="4">
        <v>131</v>
      </c>
      <c r="FQ528" s="4">
        <v>152</v>
      </c>
      <c r="FR528" s="4">
        <v>146</v>
      </c>
      <c r="FS528" s="4">
        <v>140</v>
      </c>
      <c r="FT528" s="19">
        <v>24.6</v>
      </c>
      <c r="FU528" s="19">
        <v>31.8</v>
      </c>
      <c r="FV528" s="19">
        <v>30.8</v>
      </c>
      <c r="FW528" s="19">
        <v>29.8</v>
      </c>
      <c r="FX528" s="19">
        <v>28.8</v>
      </c>
      <c r="FY528" s="19">
        <v>27.8</v>
      </c>
      <c r="FZ528" s="19">
        <v>26.8</v>
      </c>
      <c r="GA528" s="19">
        <v>25.8</v>
      </c>
      <c r="GB528" s="19">
        <v>24.6</v>
      </c>
      <c r="GC528" s="19">
        <v>23.6</v>
      </c>
      <c r="GD528" s="19">
        <v>38.6</v>
      </c>
      <c r="GE528" s="19">
        <v>37.6</v>
      </c>
      <c r="GF528" s="19">
        <v>36.6</v>
      </c>
      <c r="GG528" s="19">
        <v>35.6</v>
      </c>
      <c r="GH528" s="19">
        <v>34.6</v>
      </c>
      <c r="GI528" s="19">
        <v>33.6</v>
      </c>
      <c r="GJ528" s="19">
        <v>32.6</v>
      </c>
      <c r="GK528" s="19">
        <v>31.6</v>
      </c>
      <c r="GL528" s="19">
        <v>25.5</v>
      </c>
      <c r="GM528" s="19">
        <v>24.7</v>
      </c>
      <c r="GN528" s="19">
        <v>23.8</v>
      </c>
      <c r="GO528" s="19">
        <v>22.8</v>
      </c>
      <c r="GP528" s="19">
        <v>21.8</v>
      </c>
      <c r="GQ528" s="19">
        <v>25.3</v>
      </c>
      <c r="GR528" s="19">
        <v>24.3</v>
      </c>
      <c r="GS528" s="19">
        <v>23.3</v>
      </c>
    </row>
    <row r="529">
      <c r="A529" s="2" t="s">
        <v>2927</v>
      </c>
      <c r="B529" s="2" t="s">
        <v>245</v>
      </c>
      <c r="C529" s="2" t="s">
        <v>1007</v>
      </c>
      <c r="D529" s="2" t="s">
        <v>247</v>
      </c>
      <c r="E529" s="2" t="s">
        <v>248</v>
      </c>
      <c r="F529" s="2" t="s">
        <v>386</v>
      </c>
      <c r="G529" s="2" t="s">
        <v>386</v>
      </c>
      <c r="H529" s="2" t="s">
        <v>386</v>
      </c>
      <c r="I529" s="2" t="s">
        <v>2827</v>
      </c>
      <c r="J529" s="2" t="s">
        <v>214</v>
      </c>
      <c r="K529" s="2" t="s">
        <v>544</v>
      </c>
      <c r="L529" s="3">
        <v>11.18</v>
      </c>
      <c r="M529" s="3">
        <v>11.74</v>
      </c>
      <c r="N529" s="3">
        <v>27.99</v>
      </c>
      <c r="O529" s="2" t="s">
        <v>196</v>
      </c>
      <c r="P529" s="2" t="s">
        <v>197</v>
      </c>
      <c r="Q529" s="2" t="s">
        <v>198</v>
      </c>
      <c r="R529" s="2" t="s">
        <v>199</v>
      </c>
      <c r="S529" s="2" t="s">
        <v>2925</v>
      </c>
      <c r="T529" s="2" t="s">
        <v>386</v>
      </c>
      <c r="U529" s="2" t="s">
        <v>199</v>
      </c>
      <c r="V529" s="2" t="s">
        <v>202</v>
      </c>
      <c r="W529" s="2" t="s">
        <v>203</v>
      </c>
      <c r="X529" s="2" t="s">
        <v>199</v>
      </c>
      <c r="Y529" s="2" t="s">
        <v>204</v>
      </c>
      <c r="Z529" s="4">
        <v>291</v>
      </c>
      <c r="AA529" s="4">
        <f>=ROUNDDOWN(76.5789473684211,0)</f>
      </c>
      <c r="AB529" s="5">
        <v>3.8</v>
      </c>
      <c r="AC529" s="2" t="s">
        <v>199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199</v>
      </c>
      <c r="AW529" s="8" t="s">
        <v>199</v>
      </c>
      <c r="AX529" s="4" t="s">
        <v>199</v>
      </c>
      <c r="AY529" s="8" t="s">
        <v>199</v>
      </c>
      <c r="AZ529" s="7" t="s">
        <v>199</v>
      </c>
      <c r="BA529" s="7" t="s">
        <v>199</v>
      </c>
      <c r="BB529" s="7"/>
      <c r="BC529" s="4" t="s">
        <v>199</v>
      </c>
      <c r="BD529" s="8" t="s">
        <v>199</v>
      </c>
      <c r="BE529" s="4" t="s">
        <v>199</v>
      </c>
      <c r="BF529" s="8" t="s">
        <v>199</v>
      </c>
      <c r="BG529" s="7" t="s">
        <v>199</v>
      </c>
      <c r="BH529" s="7" t="s">
        <v>199</v>
      </c>
      <c r="BI529" s="7"/>
      <c r="BJ529" s="4">
        <v>84</v>
      </c>
      <c r="BK529" s="8">
        <v>992.56</v>
      </c>
      <c r="BL529" s="2" t="s">
        <v>2928</v>
      </c>
      <c r="BM529" s="7"/>
      <c r="BN529" s="7"/>
      <c r="BO529" s="4"/>
      <c r="BP529" s="8"/>
      <c r="BQ529" s="4"/>
      <c r="BR529" s="8"/>
      <c r="BS529" s="7"/>
      <c r="BT529" s="7"/>
      <c r="BU529" s="2" t="s">
        <v>2829</v>
      </c>
      <c r="BV529" s="2" t="s">
        <v>199</v>
      </c>
      <c r="BW529" s="2" t="s">
        <v>199</v>
      </c>
      <c r="BX529" s="2" t="s">
        <v>208</v>
      </c>
      <c r="BY529" s="2" t="s">
        <v>209</v>
      </c>
      <c r="BZ529" s="2" t="s">
        <v>196</v>
      </c>
      <c r="CA529" s="2" t="s">
        <v>2847</v>
      </c>
      <c r="CB529" s="2" t="s">
        <v>2929</v>
      </c>
      <c r="CC529" s="2" t="s">
        <v>212</v>
      </c>
      <c r="CD529" s="2" t="s">
        <v>199</v>
      </c>
      <c r="CE529" s="4">
        <v>291</v>
      </c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>
        <v>293</v>
      </c>
      <c r="EU529" s="4">
        <v>289</v>
      </c>
      <c r="EV529" s="4">
        <v>286</v>
      </c>
      <c r="EW529" s="4">
        <v>283</v>
      </c>
      <c r="EX529" s="4">
        <v>280</v>
      </c>
      <c r="EY529" s="4">
        <v>277</v>
      </c>
      <c r="EZ529" s="4">
        <v>274</v>
      </c>
      <c r="FA529" s="4">
        <v>271</v>
      </c>
      <c r="FB529" s="4">
        <v>266</v>
      </c>
      <c r="FC529" s="4">
        <v>262</v>
      </c>
      <c r="FD529" s="4">
        <v>258</v>
      </c>
      <c r="FE529" s="4">
        <v>254</v>
      </c>
      <c r="FF529" s="4">
        <v>250</v>
      </c>
      <c r="FG529" s="4">
        <v>246</v>
      </c>
      <c r="FH529" s="4">
        <v>242</v>
      </c>
      <c r="FI529" s="4">
        <v>238</v>
      </c>
      <c r="FJ529" s="4">
        <v>233</v>
      </c>
      <c r="FK529" s="4">
        <v>228</v>
      </c>
      <c r="FL529" s="4">
        <v>223</v>
      </c>
      <c r="FM529" s="4">
        <v>215</v>
      </c>
      <c r="FN529" s="4">
        <v>205</v>
      </c>
      <c r="FO529" s="4">
        <v>195</v>
      </c>
      <c r="FP529" s="4">
        <v>185</v>
      </c>
      <c r="FQ529" s="4">
        <v>266</v>
      </c>
      <c r="FR529" s="4">
        <v>256</v>
      </c>
      <c r="FS529" s="4">
        <v>246</v>
      </c>
      <c r="FT529" s="19">
        <v>97.7</v>
      </c>
      <c r="FU529" s="19">
        <v>96.3</v>
      </c>
      <c r="FV529" s="19">
        <v>95.3</v>
      </c>
      <c r="FW529" s="19">
        <v>94.3</v>
      </c>
      <c r="FX529" s="19">
        <v>70</v>
      </c>
      <c r="FY529" s="19">
        <v>69.3</v>
      </c>
      <c r="FZ529" s="19">
        <v>68.5</v>
      </c>
      <c r="GA529" s="19">
        <v>67.8</v>
      </c>
      <c r="GB529" s="19">
        <v>66.5</v>
      </c>
      <c r="GC529" s="19">
        <v>65.5</v>
      </c>
      <c r="GD529" s="19">
        <v>64.5</v>
      </c>
      <c r="GE529" s="19">
        <v>63.5</v>
      </c>
      <c r="GF529" s="19">
        <v>62.5</v>
      </c>
      <c r="GG529" s="19">
        <v>61.5</v>
      </c>
      <c r="GH529" s="19">
        <v>48.4</v>
      </c>
      <c r="GI529" s="19">
        <v>39.7</v>
      </c>
      <c r="GJ529" s="19">
        <v>33.3</v>
      </c>
      <c r="GK529" s="19">
        <v>28.5</v>
      </c>
      <c r="GL529" s="19">
        <v>22.3</v>
      </c>
      <c r="GM529" s="19">
        <v>21.5</v>
      </c>
      <c r="GN529" s="19">
        <v>20.5</v>
      </c>
      <c r="GO529" s="19">
        <v>19.5</v>
      </c>
      <c r="GP529" s="19">
        <v>15.4</v>
      </c>
      <c r="GQ529" s="19">
        <v>16.6</v>
      </c>
      <c r="GR529" s="19">
        <v>14.2</v>
      </c>
      <c r="GS529" s="19">
        <v>12.3</v>
      </c>
    </row>
    <row r="530">
      <c r="A530" s="2" t="s">
        <v>2930</v>
      </c>
      <c r="B530" s="2" t="s">
        <v>245</v>
      </c>
      <c r="C530" s="2" t="s">
        <v>1007</v>
      </c>
      <c r="D530" s="2" t="s">
        <v>247</v>
      </c>
      <c r="E530" s="2" t="s">
        <v>248</v>
      </c>
      <c r="F530" s="2" t="s">
        <v>386</v>
      </c>
      <c r="G530" s="2" t="s">
        <v>386</v>
      </c>
      <c r="H530" s="2" t="s">
        <v>386</v>
      </c>
      <c r="I530" s="2" t="s">
        <v>2827</v>
      </c>
      <c r="J530" s="2" t="s">
        <v>285</v>
      </c>
      <c r="K530" s="2" t="s">
        <v>544</v>
      </c>
      <c r="L530" s="3">
        <v>12.92</v>
      </c>
      <c r="M530" s="3">
        <v>13.57</v>
      </c>
      <c r="N530" s="3">
        <v>30.99</v>
      </c>
      <c r="O530" s="2" t="s">
        <v>196</v>
      </c>
      <c r="P530" s="2" t="s">
        <v>197</v>
      </c>
      <c r="Q530" s="2" t="s">
        <v>198</v>
      </c>
      <c r="R530" s="2" t="s">
        <v>199</v>
      </c>
      <c r="S530" s="2" t="s">
        <v>2925</v>
      </c>
      <c r="T530" s="2" t="s">
        <v>386</v>
      </c>
      <c r="U530" s="2" t="s">
        <v>199</v>
      </c>
      <c r="V530" s="2" t="s">
        <v>202</v>
      </c>
      <c r="W530" s="2" t="s">
        <v>203</v>
      </c>
      <c r="X530" s="2" t="s">
        <v>199</v>
      </c>
      <c r="Y530" s="2" t="s">
        <v>204</v>
      </c>
      <c r="Z530" s="4">
        <v>21</v>
      </c>
      <c r="AA530" s="4">
        <f>=ROUNDDOWN(4.2,0)</f>
      </c>
      <c r="AB530" s="5">
        <v>5</v>
      </c>
      <c r="AC530" s="2" t="s">
        <v>236</v>
      </c>
      <c r="AD530" s="4">
        <v>80</v>
      </c>
      <c r="AE530" s="4">
        <v>80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199</v>
      </c>
      <c r="AW530" s="8" t="s">
        <v>199</v>
      </c>
      <c r="AX530" s="4" t="s">
        <v>199</v>
      </c>
      <c r="AY530" s="8" t="s">
        <v>199</v>
      </c>
      <c r="AZ530" s="7" t="s">
        <v>199</v>
      </c>
      <c r="BA530" s="7" t="s">
        <v>199</v>
      </c>
      <c r="BB530" s="7"/>
      <c r="BC530" s="4" t="s">
        <v>199</v>
      </c>
      <c r="BD530" s="8" t="s">
        <v>199</v>
      </c>
      <c r="BE530" s="4" t="s">
        <v>199</v>
      </c>
      <c r="BF530" s="8" t="s">
        <v>199</v>
      </c>
      <c r="BG530" s="7" t="s">
        <v>199</v>
      </c>
      <c r="BH530" s="7" t="s">
        <v>199</v>
      </c>
      <c r="BI530" s="7"/>
      <c r="BJ530" s="4">
        <v>129</v>
      </c>
      <c r="BK530" s="8">
        <v>1656.59</v>
      </c>
      <c r="BL530" s="2" t="s">
        <v>2931</v>
      </c>
      <c r="BM530" s="7"/>
      <c r="BN530" s="7"/>
      <c r="BO530" s="4"/>
      <c r="BP530" s="8"/>
      <c r="BQ530" s="4"/>
      <c r="BR530" s="8"/>
      <c r="BS530" s="7"/>
      <c r="BT530" s="7"/>
      <c r="BU530" s="2" t="s">
        <v>2829</v>
      </c>
      <c r="BV530" s="2" t="s">
        <v>199</v>
      </c>
      <c r="BW530" s="2" t="s">
        <v>199</v>
      </c>
      <c r="BX530" s="2" t="s">
        <v>208</v>
      </c>
      <c r="BY530" s="2" t="s">
        <v>209</v>
      </c>
      <c r="BZ530" s="2" t="s">
        <v>196</v>
      </c>
      <c r="CA530" s="2" t="s">
        <v>2847</v>
      </c>
      <c r="CB530" s="2" t="s">
        <v>2848</v>
      </c>
      <c r="CC530" s="2" t="s">
        <v>212</v>
      </c>
      <c r="CD530" s="2" t="s">
        <v>199</v>
      </c>
      <c r="CE530" s="4">
        <v>21</v>
      </c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>
        <v>80</v>
      </c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>
        <v>21</v>
      </c>
      <c r="EU530" s="4">
        <v>17</v>
      </c>
      <c r="EV530" s="4">
        <v>13</v>
      </c>
      <c r="EW530" s="4">
        <v>9</v>
      </c>
      <c r="EX530" s="4">
        <v>5</v>
      </c>
      <c r="EY530" s="4">
        <v>1</v>
      </c>
      <c r="EZ530" s="4"/>
      <c r="FA530" s="4"/>
      <c r="FB530" s="4"/>
      <c r="FC530" s="4"/>
      <c r="FD530" s="4">
        <v>80</v>
      </c>
      <c r="FE530" s="4">
        <v>76</v>
      </c>
      <c r="FF530" s="4">
        <v>72</v>
      </c>
      <c r="FG530" s="4">
        <v>68</v>
      </c>
      <c r="FH530" s="4">
        <v>63</v>
      </c>
      <c r="FI530" s="4">
        <v>58</v>
      </c>
      <c r="FJ530" s="4">
        <v>53</v>
      </c>
      <c r="FK530" s="4">
        <v>48</v>
      </c>
      <c r="FL530" s="4">
        <v>43</v>
      </c>
      <c r="FM530" s="4">
        <v>38</v>
      </c>
      <c r="FN530" s="4">
        <v>33</v>
      </c>
      <c r="FO530" s="4">
        <v>28</v>
      </c>
      <c r="FP530" s="4">
        <v>22</v>
      </c>
      <c r="FQ530" s="4">
        <v>146</v>
      </c>
      <c r="FR530" s="4">
        <v>141</v>
      </c>
      <c r="FS530" s="4">
        <v>136</v>
      </c>
      <c r="FT530" s="19">
        <v>5.3</v>
      </c>
      <c r="FU530" s="19">
        <v>4.3</v>
      </c>
      <c r="FV530" s="19">
        <v>3.3</v>
      </c>
      <c r="FW530" s="19">
        <v>2.3</v>
      </c>
      <c r="FX530" s="19">
        <v>1.3</v>
      </c>
      <c r="FY530" s="19">
        <v>0.3</v>
      </c>
      <c r="FZ530" s="20">
        <v>0</v>
      </c>
      <c r="GA530" s="20">
        <v>0</v>
      </c>
      <c r="GB530" s="20">
        <v>0</v>
      </c>
      <c r="GC530" s="20">
        <v>0</v>
      </c>
      <c r="GD530" s="19">
        <v>20</v>
      </c>
      <c r="GE530" s="19">
        <v>19</v>
      </c>
      <c r="GF530" s="19">
        <v>14.4</v>
      </c>
      <c r="GG530" s="19">
        <v>13.6</v>
      </c>
      <c r="GH530" s="19">
        <v>12.6</v>
      </c>
      <c r="GI530" s="19">
        <v>11.6</v>
      </c>
      <c r="GJ530" s="19">
        <v>10.6</v>
      </c>
      <c r="GK530" s="19">
        <v>9.6</v>
      </c>
      <c r="GL530" s="19">
        <v>8.6</v>
      </c>
      <c r="GM530" s="19">
        <v>7.6</v>
      </c>
      <c r="GN530" s="19">
        <v>6.6</v>
      </c>
      <c r="GO530" s="19">
        <v>5.6</v>
      </c>
      <c r="GP530" s="19">
        <v>4.4</v>
      </c>
      <c r="GQ530" s="19">
        <v>29.2</v>
      </c>
      <c r="GR530" s="19">
        <v>23.5</v>
      </c>
      <c r="GS530" s="19">
        <v>22.7</v>
      </c>
    </row>
    <row r="531">
      <c r="A531" s="2" t="s">
        <v>2932</v>
      </c>
      <c r="B531" s="2" t="s">
        <v>245</v>
      </c>
      <c r="C531" s="2" t="s">
        <v>1007</v>
      </c>
      <c r="D531" s="2" t="s">
        <v>247</v>
      </c>
      <c r="E531" s="2" t="s">
        <v>248</v>
      </c>
      <c r="F531" s="2" t="s">
        <v>386</v>
      </c>
      <c r="G531" s="2" t="s">
        <v>386</v>
      </c>
      <c r="H531" s="2" t="s">
        <v>386</v>
      </c>
      <c r="I531" s="2" t="s">
        <v>2827</v>
      </c>
      <c r="J531" s="2" t="s">
        <v>219</v>
      </c>
      <c r="K531" s="2" t="s">
        <v>544</v>
      </c>
      <c r="L531" s="3">
        <v>14.21</v>
      </c>
      <c r="M531" s="3">
        <v>14.92</v>
      </c>
      <c r="N531" s="3">
        <v>32.99</v>
      </c>
      <c r="O531" s="2" t="s">
        <v>196</v>
      </c>
      <c r="P531" s="2" t="s">
        <v>197</v>
      </c>
      <c r="Q531" s="2" t="s">
        <v>198</v>
      </c>
      <c r="R531" s="2" t="s">
        <v>199</v>
      </c>
      <c r="S531" s="2" t="s">
        <v>2925</v>
      </c>
      <c r="T531" s="2" t="s">
        <v>386</v>
      </c>
      <c r="U531" s="2" t="s">
        <v>199</v>
      </c>
      <c r="V531" s="2" t="s">
        <v>202</v>
      </c>
      <c r="W531" s="2" t="s">
        <v>203</v>
      </c>
      <c r="X531" s="2" t="s">
        <v>199</v>
      </c>
      <c r="Y531" s="2" t="s">
        <v>204</v>
      </c>
      <c r="Z531" s="4">
        <v>949</v>
      </c>
      <c r="AA531" s="4">
        <f>=ROUNDDOWN(31.6333333333333,0)</f>
      </c>
      <c r="AB531" s="5">
        <v>30</v>
      </c>
      <c r="AC531" s="2" t="s">
        <v>236</v>
      </c>
      <c r="AD531" s="4">
        <v>330</v>
      </c>
      <c r="AE531" s="4">
        <v>330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199</v>
      </c>
      <c r="AW531" s="8" t="s">
        <v>199</v>
      </c>
      <c r="AX531" s="4" t="s">
        <v>199</v>
      </c>
      <c r="AY531" s="8" t="s">
        <v>199</v>
      </c>
      <c r="AZ531" s="7" t="s">
        <v>199</v>
      </c>
      <c r="BA531" s="7" t="s">
        <v>199</v>
      </c>
      <c r="BB531" s="7"/>
      <c r="BC531" s="4" t="s">
        <v>199</v>
      </c>
      <c r="BD531" s="8" t="s">
        <v>199</v>
      </c>
      <c r="BE531" s="4" t="s">
        <v>199</v>
      </c>
      <c r="BF531" s="8" t="s">
        <v>199</v>
      </c>
      <c r="BG531" s="7" t="s">
        <v>199</v>
      </c>
      <c r="BH531" s="7" t="s">
        <v>199</v>
      </c>
      <c r="BI531" s="7"/>
      <c r="BJ531" s="4">
        <v>342</v>
      </c>
      <c r="BK531" s="8">
        <v>4804.47</v>
      </c>
      <c r="BL531" s="2" t="s">
        <v>2933</v>
      </c>
      <c r="BM531" s="7"/>
      <c r="BN531" s="7"/>
      <c r="BO531" s="4"/>
      <c r="BP531" s="8"/>
      <c r="BQ531" s="4"/>
      <c r="BR531" s="8"/>
      <c r="BS531" s="7"/>
      <c r="BT531" s="7"/>
      <c r="BU531" s="2" t="s">
        <v>2829</v>
      </c>
      <c r="BV531" s="2" t="s">
        <v>199</v>
      </c>
      <c r="BW531" s="2" t="s">
        <v>199</v>
      </c>
      <c r="BX531" s="2" t="s">
        <v>208</v>
      </c>
      <c r="BY531" s="2" t="s">
        <v>209</v>
      </c>
      <c r="BZ531" s="2" t="s">
        <v>196</v>
      </c>
      <c r="CA531" s="2" t="s">
        <v>2847</v>
      </c>
      <c r="CB531" s="2" t="s">
        <v>287</v>
      </c>
      <c r="CC531" s="2" t="s">
        <v>212</v>
      </c>
      <c r="CD531" s="2" t="s">
        <v>199</v>
      </c>
      <c r="CE531" s="4">
        <v>949</v>
      </c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>
        <v>330</v>
      </c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>
        <v>949</v>
      </c>
      <c r="EU531" s="4">
        <v>919</v>
      </c>
      <c r="EV531" s="4">
        <v>889</v>
      </c>
      <c r="EW531" s="4">
        <v>859</v>
      </c>
      <c r="EX531" s="4">
        <v>829</v>
      </c>
      <c r="EY531" s="4">
        <v>799</v>
      </c>
      <c r="EZ531" s="4">
        <v>769</v>
      </c>
      <c r="FA531" s="4">
        <v>739</v>
      </c>
      <c r="FB531" s="4">
        <v>703</v>
      </c>
      <c r="FC531" s="4">
        <v>673</v>
      </c>
      <c r="FD531" s="4">
        <v>973</v>
      </c>
      <c r="FE531" s="4">
        <v>943</v>
      </c>
      <c r="FF531" s="4">
        <v>913</v>
      </c>
      <c r="FG531" s="4">
        <v>883</v>
      </c>
      <c r="FH531" s="4">
        <v>853</v>
      </c>
      <c r="FI531" s="4">
        <v>823</v>
      </c>
      <c r="FJ531" s="4">
        <v>793</v>
      </c>
      <c r="FK531" s="4">
        <v>763</v>
      </c>
      <c r="FL531" s="4">
        <v>733</v>
      </c>
      <c r="FM531" s="4">
        <v>703</v>
      </c>
      <c r="FN531" s="4">
        <v>673</v>
      </c>
      <c r="FO531" s="4">
        <v>643</v>
      </c>
      <c r="FP531" s="4">
        <v>607</v>
      </c>
      <c r="FQ531" s="4">
        <v>832</v>
      </c>
      <c r="FR531" s="4">
        <v>802</v>
      </c>
      <c r="FS531" s="4">
        <v>772</v>
      </c>
      <c r="FT531" s="19">
        <v>31.6</v>
      </c>
      <c r="FU531" s="19">
        <v>30.6</v>
      </c>
      <c r="FV531" s="19">
        <v>29.6</v>
      </c>
      <c r="FW531" s="19">
        <v>28.6</v>
      </c>
      <c r="FX531" s="19">
        <v>25.9</v>
      </c>
      <c r="FY531" s="19">
        <v>25</v>
      </c>
      <c r="FZ531" s="19">
        <v>24</v>
      </c>
      <c r="GA531" s="19">
        <v>23.1</v>
      </c>
      <c r="GB531" s="19">
        <v>23.4</v>
      </c>
      <c r="GC531" s="19">
        <v>22.4</v>
      </c>
      <c r="GD531" s="19">
        <v>32.4</v>
      </c>
      <c r="GE531" s="19">
        <v>31.4</v>
      </c>
      <c r="GF531" s="19">
        <v>30.4</v>
      </c>
      <c r="GG531" s="19">
        <v>29.4</v>
      </c>
      <c r="GH531" s="19">
        <v>28.4</v>
      </c>
      <c r="GI531" s="19">
        <v>27.4</v>
      </c>
      <c r="GJ531" s="19">
        <v>26.4</v>
      </c>
      <c r="GK531" s="19">
        <v>25.4</v>
      </c>
      <c r="GL531" s="19">
        <v>22.9</v>
      </c>
      <c r="GM531" s="19">
        <v>22</v>
      </c>
      <c r="GN531" s="19">
        <v>21</v>
      </c>
      <c r="GO531" s="19">
        <v>20.1</v>
      </c>
      <c r="GP531" s="19">
        <v>20.2</v>
      </c>
      <c r="GQ531" s="19">
        <v>26</v>
      </c>
      <c r="GR531" s="19">
        <v>24.3</v>
      </c>
      <c r="GS531" s="19">
        <v>22.7</v>
      </c>
    </row>
    <row r="532">
      <c r="A532" s="2" t="s">
        <v>2934</v>
      </c>
      <c r="B532" s="2" t="s">
        <v>245</v>
      </c>
      <c r="C532" s="2" t="s">
        <v>1007</v>
      </c>
      <c r="D532" s="2" t="s">
        <v>247</v>
      </c>
      <c r="E532" s="2" t="s">
        <v>248</v>
      </c>
      <c r="F532" s="2" t="s">
        <v>386</v>
      </c>
      <c r="G532" s="2" t="s">
        <v>386</v>
      </c>
      <c r="H532" s="2" t="s">
        <v>386</v>
      </c>
      <c r="I532" s="2" t="s">
        <v>2827</v>
      </c>
      <c r="J532" s="2" t="s">
        <v>223</v>
      </c>
      <c r="K532" s="2" t="s">
        <v>544</v>
      </c>
      <c r="L532" s="3">
        <v>16.75</v>
      </c>
      <c r="M532" s="3">
        <v>17.59</v>
      </c>
      <c r="N532" s="3">
        <v>37.99</v>
      </c>
      <c r="O532" s="2" t="s">
        <v>196</v>
      </c>
      <c r="P532" s="2" t="s">
        <v>197</v>
      </c>
      <c r="Q532" s="2" t="s">
        <v>198</v>
      </c>
      <c r="R532" s="2" t="s">
        <v>199</v>
      </c>
      <c r="S532" s="2" t="s">
        <v>2925</v>
      </c>
      <c r="T532" s="2" t="s">
        <v>386</v>
      </c>
      <c r="U532" s="2" t="s">
        <v>199</v>
      </c>
      <c r="V532" s="2" t="s">
        <v>202</v>
      </c>
      <c r="W532" s="2" t="s">
        <v>203</v>
      </c>
      <c r="X532" s="2" t="s">
        <v>199</v>
      </c>
      <c r="Y532" s="2" t="s">
        <v>204</v>
      </c>
      <c r="Z532" s="4">
        <v>106</v>
      </c>
      <c r="AA532" s="4">
        <f>=ROUNDDOWN(18.9285714285714,0)</f>
      </c>
      <c r="AB532" s="5">
        <v>5.6</v>
      </c>
      <c r="AC532" s="2" t="s">
        <v>236</v>
      </c>
      <c r="AD532" s="4">
        <v>100</v>
      </c>
      <c r="AE532" s="4">
        <v>100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199</v>
      </c>
      <c r="AW532" s="8" t="s">
        <v>199</v>
      </c>
      <c r="AX532" s="4" t="s">
        <v>199</v>
      </c>
      <c r="AY532" s="8" t="s">
        <v>199</v>
      </c>
      <c r="AZ532" s="7" t="s">
        <v>199</v>
      </c>
      <c r="BA532" s="7" t="s">
        <v>199</v>
      </c>
      <c r="BB532" s="7"/>
      <c r="BC532" s="4" t="s">
        <v>199</v>
      </c>
      <c r="BD532" s="8" t="s">
        <v>199</v>
      </c>
      <c r="BE532" s="4" t="s">
        <v>199</v>
      </c>
      <c r="BF532" s="8" t="s">
        <v>199</v>
      </c>
      <c r="BG532" s="7" t="s">
        <v>199</v>
      </c>
      <c r="BH532" s="7" t="s">
        <v>199</v>
      </c>
      <c r="BI532" s="7"/>
      <c r="BJ532" s="4">
        <v>97</v>
      </c>
      <c r="BK532" s="8">
        <v>1640.94</v>
      </c>
      <c r="BL532" s="2" t="s">
        <v>2935</v>
      </c>
      <c r="BM532" s="7"/>
      <c r="BN532" s="7"/>
      <c r="BO532" s="4"/>
      <c r="BP532" s="8"/>
      <c r="BQ532" s="4"/>
      <c r="BR532" s="8"/>
      <c r="BS532" s="7"/>
      <c r="BT532" s="7"/>
      <c r="BU532" s="2" t="s">
        <v>2829</v>
      </c>
      <c r="BV532" s="2" t="s">
        <v>199</v>
      </c>
      <c r="BW532" s="2" t="s">
        <v>199</v>
      </c>
      <c r="BX532" s="2" t="s">
        <v>208</v>
      </c>
      <c r="BY532" s="2" t="s">
        <v>209</v>
      </c>
      <c r="BZ532" s="2" t="s">
        <v>196</v>
      </c>
      <c r="CA532" s="2" t="s">
        <v>2847</v>
      </c>
      <c r="CB532" s="2" t="s">
        <v>2936</v>
      </c>
      <c r="CC532" s="2" t="s">
        <v>212</v>
      </c>
      <c r="CD532" s="2" t="s">
        <v>199</v>
      </c>
      <c r="CE532" s="4">
        <v>106</v>
      </c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>
        <v>100</v>
      </c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>
        <v>107</v>
      </c>
      <c r="EU532" s="4">
        <v>102</v>
      </c>
      <c r="EV532" s="4">
        <v>98</v>
      </c>
      <c r="EW532" s="4">
        <v>94</v>
      </c>
      <c r="EX532" s="4">
        <v>90</v>
      </c>
      <c r="EY532" s="4">
        <v>86</v>
      </c>
      <c r="EZ532" s="4">
        <v>82</v>
      </c>
      <c r="FA532" s="4">
        <v>78</v>
      </c>
      <c r="FB532" s="4">
        <v>73</v>
      </c>
      <c r="FC532" s="4">
        <v>69</v>
      </c>
      <c r="FD532" s="4">
        <v>165</v>
      </c>
      <c r="FE532" s="4">
        <v>161</v>
      </c>
      <c r="FF532" s="4">
        <v>157</v>
      </c>
      <c r="FG532" s="4">
        <v>153</v>
      </c>
      <c r="FH532" s="4">
        <v>149</v>
      </c>
      <c r="FI532" s="4">
        <v>145</v>
      </c>
      <c r="FJ532" s="4">
        <v>141</v>
      </c>
      <c r="FK532" s="4">
        <v>137</v>
      </c>
      <c r="FL532" s="4">
        <v>133</v>
      </c>
      <c r="FM532" s="4">
        <v>129</v>
      </c>
      <c r="FN532" s="4">
        <v>125</v>
      </c>
      <c r="FO532" s="4">
        <v>121</v>
      </c>
      <c r="FP532" s="4">
        <v>116</v>
      </c>
      <c r="FQ532" s="4">
        <v>129</v>
      </c>
      <c r="FR532" s="4">
        <v>125</v>
      </c>
      <c r="FS532" s="4">
        <v>121</v>
      </c>
      <c r="FT532" s="19">
        <v>26.8</v>
      </c>
      <c r="FU532" s="19">
        <v>25.5</v>
      </c>
      <c r="FV532" s="19">
        <v>24.5</v>
      </c>
      <c r="FW532" s="19">
        <v>23.5</v>
      </c>
      <c r="FX532" s="19">
        <v>22.5</v>
      </c>
      <c r="FY532" s="19">
        <v>21.5</v>
      </c>
      <c r="FZ532" s="19">
        <v>20.5</v>
      </c>
      <c r="GA532" s="19">
        <v>19.5</v>
      </c>
      <c r="GB532" s="19">
        <v>18.3</v>
      </c>
      <c r="GC532" s="19">
        <v>17.3</v>
      </c>
      <c r="GD532" s="19">
        <v>41.3</v>
      </c>
      <c r="GE532" s="19">
        <v>40.3</v>
      </c>
      <c r="GF532" s="19">
        <v>39.3</v>
      </c>
      <c r="GG532" s="19">
        <v>38.3</v>
      </c>
      <c r="GH532" s="19">
        <v>37.3</v>
      </c>
      <c r="GI532" s="19">
        <v>36.3</v>
      </c>
      <c r="GJ532" s="19">
        <v>35.3</v>
      </c>
      <c r="GK532" s="19">
        <v>34.3</v>
      </c>
      <c r="GL532" s="19">
        <v>33.3</v>
      </c>
      <c r="GM532" s="19">
        <v>32.3</v>
      </c>
      <c r="GN532" s="19">
        <v>31.3</v>
      </c>
      <c r="GO532" s="19">
        <v>30.3</v>
      </c>
      <c r="GP532" s="19">
        <v>29</v>
      </c>
      <c r="GQ532" s="19">
        <v>32.3</v>
      </c>
      <c r="GR532" s="19">
        <v>31.3</v>
      </c>
      <c r="GS532" s="19">
        <v>30.3</v>
      </c>
    </row>
    <row r="533">
      <c r="A533" s="2" t="s">
        <v>2937</v>
      </c>
      <c r="B533" s="2" t="s">
        <v>245</v>
      </c>
      <c r="C533" s="2" t="s">
        <v>1007</v>
      </c>
      <c r="D533" s="2" t="s">
        <v>247</v>
      </c>
      <c r="E533" s="2" t="s">
        <v>248</v>
      </c>
      <c r="F533" s="2" t="s">
        <v>386</v>
      </c>
      <c r="G533" s="2" t="s">
        <v>386</v>
      </c>
      <c r="H533" s="2" t="s">
        <v>386</v>
      </c>
      <c r="I533" s="2" t="s">
        <v>2827</v>
      </c>
      <c r="J533" s="2" t="s">
        <v>194</v>
      </c>
      <c r="K533" s="2" t="s">
        <v>233</v>
      </c>
      <c r="L533" s="3">
        <v>11.18</v>
      </c>
      <c r="M533" s="3">
        <v>11.74</v>
      </c>
      <c r="N533" s="3">
        <v>27.99</v>
      </c>
      <c r="O533" s="2" t="s">
        <v>196</v>
      </c>
      <c r="P533" s="2" t="s">
        <v>197</v>
      </c>
      <c r="Q533" s="2" t="s">
        <v>198</v>
      </c>
      <c r="R533" s="2" t="s">
        <v>199</v>
      </c>
      <c r="S533" s="2" t="s">
        <v>2938</v>
      </c>
      <c r="T533" s="2" t="s">
        <v>386</v>
      </c>
      <c r="U533" s="2" t="s">
        <v>199</v>
      </c>
      <c r="V533" s="2" t="s">
        <v>202</v>
      </c>
      <c r="W533" s="2" t="s">
        <v>203</v>
      </c>
      <c r="X533" s="2" t="s">
        <v>199</v>
      </c>
      <c r="Y533" s="2" t="s">
        <v>2939</v>
      </c>
      <c r="Z533" s="4">
        <v>226</v>
      </c>
      <c r="AA533" s="4">
        <f>=ROUNDDOWN(25.1111111111111,0)</f>
      </c>
      <c r="AB533" s="5">
        <v>9</v>
      </c>
      <c r="AC533" s="2" t="s">
        <v>892</v>
      </c>
      <c r="AD533" s="4">
        <v>30</v>
      </c>
      <c r="AE533" s="4">
        <v>30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199</v>
      </c>
      <c r="AW533" s="8" t="s">
        <v>199</v>
      </c>
      <c r="AX533" s="4" t="s">
        <v>199</v>
      </c>
      <c r="AY533" s="8" t="s">
        <v>199</v>
      </c>
      <c r="AZ533" s="7" t="s">
        <v>199</v>
      </c>
      <c r="BA533" s="7" t="s">
        <v>199</v>
      </c>
      <c r="BB533" s="7" t="s">
        <v>199</v>
      </c>
      <c r="BC533" s="4" t="s">
        <v>199</v>
      </c>
      <c r="BD533" s="8" t="s">
        <v>199</v>
      </c>
      <c r="BE533" s="4" t="s">
        <v>199</v>
      </c>
      <c r="BF533" s="8" t="s">
        <v>199</v>
      </c>
      <c r="BG533" s="7" t="s">
        <v>199</v>
      </c>
      <c r="BH533" s="7" t="s">
        <v>199</v>
      </c>
      <c r="BI533" s="7"/>
      <c r="BJ533" s="4">
        <v>177</v>
      </c>
      <c r="BK533" s="8">
        <v>2221.93</v>
      </c>
      <c r="BL533" s="2" t="s">
        <v>2940</v>
      </c>
      <c r="BM533" s="7"/>
      <c r="BN533" s="7"/>
      <c r="BO533" s="4"/>
      <c r="BP533" s="8"/>
      <c r="BQ533" s="4"/>
      <c r="BR533" s="8"/>
      <c r="BS533" s="7"/>
      <c r="BT533" s="7"/>
      <c r="BU533" s="2" t="s">
        <v>2829</v>
      </c>
      <c r="BV533" s="2" t="s">
        <v>199</v>
      </c>
      <c r="BW533" s="2" t="s">
        <v>199</v>
      </c>
      <c r="BX533" s="2" t="s">
        <v>208</v>
      </c>
      <c r="BY533" s="2" t="s">
        <v>209</v>
      </c>
      <c r="BZ533" s="2" t="s">
        <v>196</v>
      </c>
      <c r="CA533" s="2" t="s">
        <v>210</v>
      </c>
      <c r="CB533" s="2" t="s">
        <v>2893</v>
      </c>
      <c r="CC533" s="2" t="s">
        <v>212</v>
      </c>
      <c r="CD533" s="2" t="s">
        <v>199</v>
      </c>
      <c r="CE533" s="4">
        <v>226</v>
      </c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>
        <v>30</v>
      </c>
      <c r="EN533" s="4"/>
      <c r="EO533" s="4"/>
      <c r="EP533" s="4"/>
      <c r="EQ533" s="4"/>
      <c r="ER533" s="4"/>
      <c r="ES533" s="4"/>
      <c r="ET533" s="4">
        <v>236</v>
      </c>
      <c r="EU533" s="4">
        <v>221</v>
      </c>
      <c r="EV533" s="4">
        <v>215</v>
      </c>
      <c r="EW533" s="4">
        <v>209</v>
      </c>
      <c r="EX533" s="4">
        <v>203</v>
      </c>
      <c r="EY533" s="4">
        <v>197</v>
      </c>
      <c r="EZ533" s="4">
        <v>191</v>
      </c>
      <c r="FA533" s="4">
        <v>185</v>
      </c>
      <c r="FB533" s="4">
        <v>178</v>
      </c>
      <c r="FC533" s="4">
        <v>172</v>
      </c>
      <c r="FD533" s="4">
        <v>166</v>
      </c>
      <c r="FE533" s="4">
        <v>160</v>
      </c>
      <c r="FF533" s="4">
        <v>151</v>
      </c>
      <c r="FG533" s="4">
        <v>142</v>
      </c>
      <c r="FH533" s="4">
        <v>132</v>
      </c>
      <c r="FI533" s="4">
        <v>122</v>
      </c>
      <c r="FJ533" s="4">
        <v>142</v>
      </c>
      <c r="FK533" s="4">
        <v>132</v>
      </c>
      <c r="FL533" s="4">
        <v>122</v>
      </c>
      <c r="FM533" s="4">
        <v>113</v>
      </c>
      <c r="FN533" s="4">
        <v>103</v>
      </c>
      <c r="FO533" s="4">
        <v>92</v>
      </c>
      <c r="FP533" s="4">
        <v>81</v>
      </c>
      <c r="FQ533" s="4">
        <v>70</v>
      </c>
      <c r="FR533" s="4">
        <v>59</v>
      </c>
      <c r="FS533" s="4">
        <v>48</v>
      </c>
      <c r="FT533" s="19">
        <v>29.5</v>
      </c>
      <c r="FU533" s="19">
        <v>36.8</v>
      </c>
      <c r="FV533" s="19">
        <v>35.8</v>
      </c>
      <c r="FW533" s="19">
        <v>34.8</v>
      </c>
      <c r="FX533" s="19">
        <v>33.8</v>
      </c>
      <c r="FY533" s="19">
        <v>32.8</v>
      </c>
      <c r="FZ533" s="19">
        <v>31.8</v>
      </c>
      <c r="GA533" s="19">
        <v>30.8</v>
      </c>
      <c r="GB533" s="19">
        <v>25.4</v>
      </c>
      <c r="GC533" s="19">
        <v>21.5</v>
      </c>
      <c r="GD533" s="19">
        <v>20.8</v>
      </c>
      <c r="GE533" s="19">
        <v>16</v>
      </c>
      <c r="GF533" s="19">
        <v>15.1</v>
      </c>
      <c r="GG533" s="19">
        <v>14.2</v>
      </c>
      <c r="GH533" s="19">
        <v>13.2</v>
      </c>
      <c r="GI533" s="19">
        <v>12.2</v>
      </c>
      <c r="GJ533" s="19">
        <v>14.2</v>
      </c>
      <c r="GK533" s="19">
        <v>13.2</v>
      </c>
      <c r="GL533" s="19">
        <v>12.2</v>
      </c>
      <c r="GM533" s="19">
        <v>10.3</v>
      </c>
      <c r="GN533" s="19">
        <v>9.4</v>
      </c>
      <c r="GO533" s="19">
        <v>8.4</v>
      </c>
      <c r="GP533" s="19">
        <v>7.4</v>
      </c>
      <c r="GQ533" s="19">
        <v>6.4</v>
      </c>
      <c r="GR533" s="19">
        <v>5.4</v>
      </c>
      <c r="GS533" s="19">
        <v>4.8</v>
      </c>
    </row>
    <row r="534">
      <c r="A534" s="2" t="s">
        <v>2941</v>
      </c>
      <c r="B534" s="2" t="s">
        <v>245</v>
      </c>
      <c r="C534" s="2" t="s">
        <v>1007</v>
      </c>
      <c r="D534" s="2" t="s">
        <v>247</v>
      </c>
      <c r="E534" s="2" t="s">
        <v>248</v>
      </c>
      <c r="F534" s="2" t="s">
        <v>386</v>
      </c>
      <c r="G534" s="2" t="s">
        <v>386</v>
      </c>
      <c r="H534" s="2" t="s">
        <v>386</v>
      </c>
      <c r="I534" s="2" t="s">
        <v>2850</v>
      </c>
      <c r="J534" s="2" t="s">
        <v>194</v>
      </c>
      <c r="K534" s="2" t="s">
        <v>233</v>
      </c>
      <c r="L534" s="3">
        <v>12.15</v>
      </c>
      <c r="M534" s="3">
        <v>12.76</v>
      </c>
      <c r="N534" s="3">
        <v>26.99</v>
      </c>
      <c r="O534" s="2" t="s">
        <v>196</v>
      </c>
      <c r="P534" s="2" t="s">
        <v>197</v>
      </c>
      <c r="Q534" s="2" t="s">
        <v>198</v>
      </c>
      <c r="R534" s="2" t="s">
        <v>199</v>
      </c>
      <c r="S534" s="2" t="s">
        <v>2938</v>
      </c>
      <c r="T534" s="2" t="s">
        <v>386</v>
      </c>
      <c r="U534" s="2" t="s">
        <v>254</v>
      </c>
      <c r="V534" s="2" t="s">
        <v>202</v>
      </c>
      <c r="W534" s="2" t="s">
        <v>203</v>
      </c>
      <c r="X534" s="2" t="s">
        <v>510</v>
      </c>
      <c r="Y534" s="2" t="s">
        <v>2851</v>
      </c>
      <c r="Z534" s="4">
        <v>152</v>
      </c>
      <c r="AA534" s="4">
        <f>=ROUNDDOWN(50.6666666666667,0)</f>
      </c>
      <c r="AB534" s="5">
        <v>3</v>
      </c>
      <c r="AC534" s="2" t="s">
        <v>2845</v>
      </c>
      <c r="AD534" s="4">
        <v>70</v>
      </c>
      <c r="AE534" s="4">
        <v>70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199</v>
      </c>
      <c r="AW534" s="8" t="s">
        <v>199</v>
      </c>
      <c r="AX534" s="4" t="s">
        <v>199</v>
      </c>
      <c r="AY534" s="8" t="s">
        <v>199</v>
      </c>
      <c r="AZ534" s="7" t="s">
        <v>199</v>
      </c>
      <c r="BA534" s="7" t="s">
        <v>199</v>
      </c>
      <c r="BB534" s="7" t="s">
        <v>199</v>
      </c>
      <c r="BC534" s="4" t="s">
        <v>199</v>
      </c>
      <c r="BD534" s="8" t="s">
        <v>199</v>
      </c>
      <c r="BE534" s="4" t="s">
        <v>199</v>
      </c>
      <c r="BF534" s="8" t="s">
        <v>199</v>
      </c>
      <c r="BG534" s="7" t="s">
        <v>199</v>
      </c>
      <c r="BH534" s="7" t="s">
        <v>199</v>
      </c>
      <c r="BI534" s="7"/>
      <c r="BJ534" s="4">
        <v>4</v>
      </c>
      <c r="BK534" s="8">
        <v>50.79</v>
      </c>
      <c r="BL534" s="2" t="s">
        <v>2942</v>
      </c>
      <c r="BM534" s="7"/>
      <c r="BN534" s="7"/>
      <c r="BO534" s="4"/>
      <c r="BP534" s="8"/>
      <c r="BQ534" s="4"/>
      <c r="BR534" s="8"/>
      <c r="BS534" s="7"/>
      <c r="BT534" s="7"/>
      <c r="BU534" s="2" t="s">
        <v>2853</v>
      </c>
      <c r="BV534" s="2" t="s">
        <v>199</v>
      </c>
      <c r="BW534" s="2" t="s">
        <v>199</v>
      </c>
      <c r="BX534" s="2" t="s">
        <v>208</v>
      </c>
      <c r="BY534" s="2" t="s">
        <v>209</v>
      </c>
      <c r="BZ534" s="2" t="s">
        <v>196</v>
      </c>
      <c r="CA534" s="2" t="s">
        <v>2854</v>
      </c>
      <c r="CB534" s="2" t="s">
        <v>2943</v>
      </c>
      <c r="CC534" s="2" t="s">
        <v>212</v>
      </c>
      <c r="CD534" s="2" t="s">
        <v>199</v>
      </c>
      <c r="CE534" s="4">
        <v>152</v>
      </c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>
        <v>70</v>
      </c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>
        <v>152</v>
      </c>
      <c r="EU534" s="4">
        <v>149</v>
      </c>
      <c r="EV534" s="4">
        <v>146</v>
      </c>
      <c r="EW534" s="4">
        <v>213</v>
      </c>
      <c r="EX534" s="4">
        <v>210</v>
      </c>
      <c r="EY534" s="4">
        <v>207</v>
      </c>
      <c r="EZ534" s="4">
        <v>204</v>
      </c>
      <c r="FA534" s="4">
        <v>201</v>
      </c>
      <c r="FB534" s="4">
        <v>197</v>
      </c>
      <c r="FC534" s="4">
        <v>194</v>
      </c>
      <c r="FD534" s="4">
        <v>191</v>
      </c>
      <c r="FE534" s="4">
        <v>188</v>
      </c>
      <c r="FF534" s="4">
        <v>185</v>
      </c>
      <c r="FG534" s="4">
        <v>182</v>
      </c>
      <c r="FH534" s="4">
        <v>179</v>
      </c>
      <c r="FI534" s="4">
        <v>176</v>
      </c>
      <c r="FJ534" s="4">
        <v>173</v>
      </c>
      <c r="FK534" s="4">
        <v>170</v>
      </c>
      <c r="FL534" s="4">
        <v>167</v>
      </c>
      <c r="FM534" s="4">
        <v>164</v>
      </c>
      <c r="FN534" s="4">
        <v>161</v>
      </c>
      <c r="FO534" s="4">
        <v>157</v>
      </c>
      <c r="FP534" s="4">
        <v>153</v>
      </c>
      <c r="FQ534" s="4">
        <v>149</v>
      </c>
      <c r="FR534" s="4">
        <v>145</v>
      </c>
      <c r="FS534" s="4">
        <v>141</v>
      </c>
      <c r="FT534" s="19">
        <v>50.7</v>
      </c>
      <c r="FU534" s="19">
        <v>49.7</v>
      </c>
      <c r="FV534" s="19">
        <v>48.7</v>
      </c>
      <c r="FW534" s="19">
        <v>71</v>
      </c>
      <c r="FX534" s="19">
        <v>70</v>
      </c>
      <c r="FY534" s="19">
        <v>69</v>
      </c>
      <c r="FZ534" s="19">
        <v>68</v>
      </c>
      <c r="GA534" s="19">
        <v>67</v>
      </c>
      <c r="GB534" s="19">
        <v>65.7</v>
      </c>
      <c r="GC534" s="19">
        <v>64.7</v>
      </c>
      <c r="GD534" s="19">
        <v>63.7</v>
      </c>
      <c r="GE534" s="19">
        <v>62.7</v>
      </c>
      <c r="GF534" s="19">
        <v>61.7</v>
      </c>
      <c r="GG534" s="19">
        <v>60.7</v>
      </c>
      <c r="GH534" s="19">
        <v>59.7</v>
      </c>
      <c r="GI534" s="19">
        <v>58.7</v>
      </c>
      <c r="GJ534" s="19">
        <v>57.7</v>
      </c>
      <c r="GK534" s="19">
        <v>56.7</v>
      </c>
      <c r="GL534" s="19">
        <v>41.8</v>
      </c>
      <c r="GM534" s="19">
        <v>41</v>
      </c>
      <c r="GN534" s="19">
        <v>40.3</v>
      </c>
      <c r="GO534" s="19">
        <v>39.3</v>
      </c>
      <c r="GP534" s="19">
        <v>38.3</v>
      </c>
      <c r="GQ534" s="19">
        <v>37.3</v>
      </c>
      <c r="GR534" s="19">
        <v>36.3</v>
      </c>
      <c r="GS534" s="19">
        <v>35.3</v>
      </c>
    </row>
    <row r="535">
      <c r="A535" s="2" t="s">
        <v>2944</v>
      </c>
      <c r="B535" s="2" t="s">
        <v>245</v>
      </c>
      <c r="C535" s="2" t="s">
        <v>1007</v>
      </c>
      <c r="D535" s="2" t="s">
        <v>247</v>
      </c>
      <c r="E535" s="2" t="s">
        <v>248</v>
      </c>
      <c r="F535" s="2" t="s">
        <v>386</v>
      </c>
      <c r="G535" s="2" t="s">
        <v>386</v>
      </c>
      <c r="H535" s="2" t="s">
        <v>386</v>
      </c>
      <c r="I535" s="2" t="s">
        <v>2827</v>
      </c>
      <c r="J535" s="2" t="s">
        <v>214</v>
      </c>
      <c r="K535" s="2" t="s">
        <v>233</v>
      </c>
      <c r="L535" s="3">
        <v>11.18</v>
      </c>
      <c r="M535" s="3">
        <v>11.74</v>
      </c>
      <c r="N535" s="3">
        <v>27.99</v>
      </c>
      <c r="O535" s="2" t="s">
        <v>196</v>
      </c>
      <c r="P535" s="2" t="s">
        <v>197</v>
      </c>
      <c r="Q535" s="2" t="s">
        <v>198</v>
      </c>
      <c r="R535" s="2" t="s">
        <v>199</v>
      </c>
      <c r="S535" s="2" t="s">
        <v>2938</v>
      </c>
      <c r="T535" s="2" t="s">
        <v>386</v>
      </c>
      <c r="U535" s="2" t="s">
        <v>199</v>
      </c>
      <c r="V535" s="2" t="s">
        <v>202</v>
      </c>
      <c r="W535" s="2" t="s">
        <v>203</v>
      </c>
      <c r="X535" s="2" t="s">
        <v>199</v>
      </c>
      <c r="Y535" s="2" t="s">
        <v>204</v>
      </c>
      <c r="Z535" s="4">
        <v>342</v>
      </c>
      <c r="AA535" s="4">
        <f>=ROUNDDOWN(48.8571428571429,0)</f>
      </c>
      <c r="AB535" s="5">
        <v>7</v>
      </c>
      <c r="AC535" s="2" t="s">
        <v>199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199</v>
      </c>
      <c r="AW535" s="8" t="s">
        <v>199</v>
      </c>
      <c r="AX535" s="4" t="s">
        <v>199</v>
      </c>
      <c r="AY535" s="8" t="s">
        <v>199</v>
      </c>
      <c r="AZ535" s="7" t="s">
        <v>199</v>
      </c>
      <c r="BA535" s="7" t="s">
        <v>199</v>
      </c>
      <c r="BB535" s="7" t="s">
        <v>199</v>
      </c>
      <c r="BC535" s="4" t="s">
        <v>199</v>
      </c>
      <c r="BD535" s="8" t="s">
        <v>199</v>
      </c>
      <c r="BE535" s="4" t="s">
        <v>199</v>
      </c>
      <c r="BF535" s="8" t="s">
        <v>199</v>
      </c>
      <c r="BG535" s="7" t="s">
        <v>199</v>
      </c>
      <c r="BH535" s="7" t="s">
        <v>199</v>
      </c>
      <c r="BI535" s="7"/>
      <c r="BJ535" s="4">
        <v>89</v>
      </c>
      <c r="BK535" s="8">
        <v>986.56</v>
      </c>
      <c r="BL535" s="2" t="s">
        <v>2945</v>
      </c>
      <c r="BM535" s="7"/>
      <c r="BN535" s="7"/>
      <c r="BO535" s="4"/>
      <c r="BP535" s="8"/>
      <c r="BQ535" s="4"/>
      <c r="BR535" s="8"/>
      <c r="BS535" s="7"/>
      <c r="BT535" s="7"/>
      <c r="BU535" s="2" t="s">
        <v>2829</v>
      </c>
      <c r="BV535" s="2" t="s">
        <v>199</v>
      </c>
      <c r="BW535" s="2" t="s">
        <v>199</v>
      </c>
      <c r="BX535" s="2" t="s">
        <v>208</v>
      </c>
      <c r="BY535" s="2" t="s">
        <v>209</v>
      </c>
      <c r="BZ535" s="2" t="s">
        <v>196</v>
      </c>
      <c r="CA535" s="2" t="s">
        <v>210</v>
      </c>
      <c r="CB535" s="2" t="s">
        <v>2946</v>
      </c>
      <c r="CC535" s="2" t="s">
        <v>212</v>
      </c>
      <c r="CD535" s="2" t="s">
        <v>199</v>
      </c>
      <c r="CE535" s="4">
        <v>342</v>
      </c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>
        <v>343</v>
      </c>
      <c r="EU535" s="4">
        <v>328</v>
      </c>
      <c r="EV535" s="4">
        <v>321</v>
      </c>
      <c r="EW535" s="4">
        <v>314</v>
      </c>
      <c r="EX535" s="4">
        <v>307</v>
      </c>
      <c r="EY535" s="4">
        <v>300</v>
      </c>
      <c r="EZ535" s="4">
        <v>293</v>
      </c>
      <c r="FA535" s="4">
        <v>286</v>
      </c>
      <c r="FB535" s="4">
        <v>278</v>
      </c>
      <c r="FC535" s="4">
        <v>271</v>
      </c>
      <c r="FD535" s="4">
        <v>264</v>
      </c>
      <c r="FE535" s="4">
        <v>257</v>
      </c>
      <c r="FF535" s="4">
        <v>250</v>
      </c>
      <c r="FG535" s="4">
        <v>243</v>
      </c>
      <c r="FH535" s="4">
        <v>236</v>
      </c>
      <c r="FI535" s="4">
        <v>229</v>
      </c>
      <c r="FJ535" s="4">
        <v>221</v>
      </c>
      <c r="FK535" s="4">
        <v>213</v>
      </c>
      <c r="FL535" s="4">
        <v>205</v>
      </c>
      <c r="FM535" s="4">
        <v>194</v>
      </c>
      <c r="FN535" s="4">
        <v>181</v>
      </c>
      <c r="FO535" s="4">
        <v>168</v>
      </c>
      <c r="FP535" s="4">
        <v>154</v>
      </c>
      <c r="FQ535" s="4">
        <v>140</v>
      </c>
      <c r="FR535" s="4">
        <v>126</v>
      </c>
      <c r="FS535" s="4">
        <v>112</v>
      </c>
      <c r="FT535" s="19">
        <v>38.1</v>
      </c>
      <c r="FU535" s="19">
        <v>46.9</v>
      </c>
      <c r="FV535" s="19">
        <v>45.9</v>
      </c>
      <c r="FW535" s="19">
        <v>44.9</v>
      </c>
      <c r="FX535" s="19">
        <v>43.9</v>
      </c>
      <c r="FY535" s="19">
        <v>42.9</v>
      </c>
      <c r="FZ535" s="19">
        <v>41.9</v>
      </c>
      <c r="GA535" s="19">
        <v>40.9</v>
      </c>
      <c r="GB535" s="19">
        <v>39.7</v>
      </c>
      <c r="GC535" s="19">
        <v>38.7</v>
      </c>
      <c r="GD535" s="19">
        <v>37.7</v>
      </c>
      <c r="GE535" s="19">
        <v>36.7</v>
      </c>
      <c r="GF535" s="19">
        <v>35.7</v>
      </c>
      <c r="GG535" s="19">
        <v>30.4</v>
      </c>
      <c r="GH535" s="19">
        <v>29.5</v>
      </c>
      <c r="GI535" s="19">
        <v>25.4</v>
      </c>
      <c r="GJ535" s="19">
        <v>22.1</v>
      </c>
      <c r="GK535" s="19">
        <v>19.4</v>
      </c>
      <c r="GL535" s="19">
        <v>15.8</v>
      </c>
      <c r="GM535" s="19">
        <v>13.9</v>
      </c>
      <c r="GN535" s="19">
        <v>12.9</v>
      </c>
      <c r="GO535" s="19">
        <v>12</v>
      </c>
      <c r="GP535" s="19">
        <v>8.6</v>
      </c>
      <c r="GQ535" s="19">
        <v>5.6</v>
      </c>
      <c r="GR535" s="19">
        <v>4.1</v>
      </c>
      <c r="GS535" s="19">
        <v>3</v>
      </c>
    </row>
    <row r="536">
      <c r="A536" s="2" t="s">
        <v>2947</v>
      </c>
      <c r="B536" s="2" t="s">
        <v>245</v>
      </c>
      <c r="C536" s="2" t="s">
        <v>1007</v>
      </c>
      <c r="D536" s="2" t="s">
        <v>247</v>
      </c>
      <c r="E536" s="2" t="s">
        <v>248</v>
      </c>
      <c r="F536" s="2" t="s">
        <v>386</v>
      </c>
      <c r="G536" s="2" t="s">
        <v>386</v>
      </c>
      <c r="H536" s="2" t="s">
        <v>386</v>
      </c>
      <c r="I536" s="2" t="s">
        <v>2850</v>
      </c>
      <c r="J536" s="2" t="s">
        <v>214</v>
      </c>
      <c r="K536" s="2" t="s">
        <v>233</v>
      </c>
      <c r="L536" s="3">
        <v>12.15</v>
      </c>
      <c r="M536" s="3">
        <v>12.76</v>
      </c>
      <c r="N536" s="3">
        <v>26.99</v>
      </c>
      <c r="O536" s="2" t="s">
        <v>196</v>
      </c>
      <c r="P536" s="2" t="s">
        <v>197</v>
      </c>
      <c r="Q536" s="2" t="s">
        <v>198</v>
      </c>
      <c r="R536" s="2" t="s">
        <v>199</v>
      </c>
      <c r="S536" s="2" t="s">
        <v>2938</v>
      </c>
      <c r="T536" s="2" t="s">
        <v>386</v>
      </c>
      <c r="U536" s="2" t="s">
        <v>254</v>
      </c>
      <c r="V536" s="2" t="s">
        <v>202</v>
      </c>
      <c r="W536" s="2" t="s">
        <v>203</v>
      </c>
      <c r="X536" s="2" t="s">
        <v>510</v>
      </c>
      <c r="Y536" s="2" t="s">
        <v>2851</v>
      </c>
      <c r="Z536" s="4">
        <v>275</v>
      </c>
      <c r="AA536" s="4">
        <f>=ROUNDDOWN(39.2857142857143,0)</f>
      </c>
      <c r="AB536" s="5">
        <v>7</v>
      </c>
      <c r="AC536" s="2" t="s">
        <v>892</v>
      </c>
      <c r="AD536" s="4">
        <v>160</v>
      </c>
      <c r="AE536" s="4">
        <v>160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199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199</v>
      </c>
      <c r="AW536" s="8" t="s">
        <v>199</v>
      </c>
      <c r="AX536" s="4" t="s">
        <v>199</v>
      </c>
      <c r="AY536" s="8" t="s">
        <v>199</v>
      </c>
      <c r="AZ536" s="7" t="s">
        <v>199</v>
      </c>
      <c r="BA536" s="7" t="s">
        <v>199</v>
      </c>
      <c r="BB536" s="7" t="s">
        <v>199</v>
      </c>
      <c r="BC536" s="4" t="s">
        <v>199</v>
      </c>
      <c r="BD536" s="8" t="s">
        <v>199</v>
      </c>
      <c r="BE536" s="4" t="s">
        <v>199</v>
      </c>
      <c r="BF536" s="8" t="s">
        <v>199</v>
      </c>
      <c r="BG536" s="7" t="s">
        <v>199</v>
      </c>
      <c r="BH536" s="7" t="s">
        <v>199</v>
      </c>
      <c r="BI536" s="7"/>
      <c r="BJ536" s="4">
        <v>22</v>
      </c>
      <c r="BK536" s="8">
        <v>290.89</v>
      </c>
      <c r="BL536" s="2" t="s">
        <v>1323</v>
      </c>
      <c r="BM536" s="7"/>
      <c r="BN536" s="7"/>
      <c r="BO536" s="4"/>
      <c r="BP536" s="8"/>
      <c r="BQ536" s="4"/>
      <c r="BR536" s="8"/>
      <c r="BS536" s="7"/>
      <c r="BT536" s="7"/>
      <c r="BU536" s="2" t="s">
        <v>2853</v>
      </c>
      <c r="BV536" s="2" t="s">
        <v>199</v>
      </c>
      <c r="BW536" s="2" t="s">
        <v>199</v>
      </c>
      <c r="BX536" s="2" t="s">
        <v>208</v>
      </c>
      <c r="BY536" s="2" t="s">
        <v>209</v>
      </c>
      <c r="BZ536" s="2" t="s">
        <v>196</v>
      </c>
      <c r="CA536" s="2" t="s">
        <v>2854</v>
      </c>
      <c r="CB536" s="2" t="s">
        <v>2948</v>
      </c>
      <c r="CC536" s="2" t="s">
        <v>212</v>
      </c>
      <c r="CD536" s="2" t="s">
        <v>199</v>
      </c>
      <c r="CE536" s="4">
        <v>275</v>
      </c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>
        <v>160</v>
      </c>
      <c r="EN536" s="4"/>
      <c r="EO536" s="4"/>
      <c r="EP536" s="4"/>
      <c r="EQ536" s="4"/>
      <c r="ER536" s="4"/>
      <c r="ES536" s="4"/>
      <c r="ET536" s="4">
        <v>280</v>
      </c>
      <c r="EU536" s="4">
        <v>254</v>
      </c>
      <c r="EV536" s="4">
        <v>247</v>
      </c>
      <c r="EW536" s="4">
        <v>240</v>
      </c>
      <c r="EX536" s="4">
        <v>233</v>
      </c>
      <c r="EY536" s="4">
        <v>226</v>
      </c>
      <c r="EZ536" s="4">
        <v>219</v>
      </c>
      <c r="FA536" s="4">
        <v>212</v>
      </c>
      <c r="FB536" s="4">
        <v>204</v>
      </c>
      <c r="FC536" s="4">
        <v>197</v>
      </c>
      <c r="FD536" s="4">
        <v>190</v>
      </c>
      <c r="FE536" s="4">
        <v>183</v>
      </c>
      <c r="FF536" s="4">
        <v>176</v>
      </c>
      <c r="FG536" s="4">
        <v>169</v>
      </c>
      <c r="FH536" s="4">
        <v>162</v>
      </c>
      <c r="FI536" s="4">
        <v>154</v>
      </c>
      <c r="FJ536" s="4">
        <v>305</v>
      </c>
      <c r="FK536" s="4">
        <v>296</v>
      </c>
      <c r="FL536" s="4">
        <v>287</v>
      </c>
      <c r="FM536" s="4">
        <v>273</v>
      </c>
      <c r="FN536" s="4">
        <v>255</v>
      </c>
      <c r="FO536" s="4">
        <v>237</v>
      </c>
      <c r="FP536" s="4">
        <v>218</v>
      </c>
      <c r="FQ536" s="4">
        <v>199</v>
      </c>
      <c r="FR536" s="4">
        <v>180</v>
      </c>
      <c r="FS536" s="4">
        <v>162</v>
      </c>
      <c r="FT536" s="19">
        <v>23.3</v>
      </c>
      <c r="FU536" s="19">
        <v>36.3</v>
      </c>
      <c r="FV536" s="19">
        <v>35.3</v>
      </c>
      <c r="FW536" s="19">
        <v>34.3</v>
      </c>
      <c r="FX536" s="19">
        <v>33.3</v>
      </c>
      <c r="FY536" s="19">
        <v>32.3</v>
      </c>
      <c r="FZ536" s="19">
        <v>31.3</v>
      </c>
      <c r="GA536" s="19">
        <v>30.3</v>
      </c>
      <c r="GB536" s="19">
        <v>29.1</v>
      </c>
      <c r="GC536" s="19">
        <v>28.1</v>
      </c>
      <c r="GD536" s="19">
        <v>27.1</v>
      </c>
      <c r="GE536" s="19">
        <v>26.1</v>
      </c>
      <c r="GF536" s="19">
        <v>22</v>
      </c>
      <c r="GG536" s="19">
        <v>21.1</v>
      </c>
      <c r="GH536" s="19">
        <v>18</v>
      </c>
      <c r="GI536" s="19">
        <v>15.4</v>
      </c>
      <c r="GJ536" s="19">
        <v>25.4</v>
      </c>
      <c r="GK536" s="19">
        <v>19.7</v>
      </c>
      <c r="GL536" s="19">
        <v>16.9</v>
      </c>
      <c r="GM536" s="19">
        <v>15.2</v>
      </c>
      <c r="GN536" s="19">
        <v>13.4</v>
      </c>
      <c r="GO536" s="19">
        <v>12.5</v>
      </c>
      <c r="GP536" s="19">
        <v>9.9</v>
      </c>
      <c r="GQ536" s="19">
        <v>7.1</v>
      </c>
      <c r="GR536" s="19">
        <v>5.8</v>
      </c>
      <c r="GS536" s="19">
        <v>4.6</v>
      </c>
    </row>
    <row r="537">
      <c r="A537" s="2" t="s">
        <v>2949</v>
      </c>
      <c r="B537" s="2" t="s">
        <v>245</v>
      </c>
      <c r="C537" s="2" t="s">
        <v>1007</v>
      </c>
      <c r="D537" s="2" t="s">
        <v>247</v>
      </c>
      <c r="E537" s="2" t="s">
        <v>248</v>
      </c>
      <c r="F537" s="2" t="s">
        <v>386</v>
      </c>
      <c r="G537" s="2" t="s">
        <v>386</v>
      </c>
      <c r="H537" s="2" t="s">
        <v>386</v>
      </c>
      <c r="I537" s="2" t="s">
        <v>2827</v>
      </c>
      <c r="J537" s="2" t="s">
        <v>285</v>
      </c>
      <c r="K537" s="2" t="s">
        <v>233</v>
      </c>
      <c r="L537" s="3">
        <v>12.92</v>
      </c>
      <c r="M537" s="3">
        <v>13.57</v>
      </c>
      <c r="N537" s="3">
        <v>30.99</v>
      </c>
      <c r="O537" s="2" t="s">
        <v>196</v>
      </c>
      <c r="P537" s="2" t="s">
        <v>197</v>
      </c>
      <c r="Q537" s="2" t="s">
        <v>198</v>
      </c>
      <c r="R537" s="2" t="s">
        <v>199</v>
      </c>
      <c r="S537" s="2" t="s">
        <v>2938</v>
      </c>
      <c r="T537" s="2" t="s">
        <v>386</v>
      </c>
      <c r="U537" s="2" t="s">
        <v>199</v>
      </c>
      <c r="V537" s="2" t="s">
        <v>202</v>
      </c>
      <c r="W537" s="2" t="s">
        <v>203</v>
      </c>
      <c r="X537" s="2" t="s">
        <v>199</v>
      </c>
      <c r="Y537" s="2" t="s">
        <v>204</v>
      </c>
      <c r="Z537" s="4">
        <v>49</v>
      </c>
      <c r="AA537" s="4">
        <f>=ROUNDDOWN(4.45454545454546,0)</f>
      </c>
      <c r="AB537" s="5">
        <v>11</v>
      </c>
      <c r="AC537" s="2" t="s">
        <v>2845</v>
      </c>
      <c r="AD537" s="4">
        <v>50</v>
      </c>
      <c r="AE537" s="4">
        <v>260</v>
      </c>
      <c r="AF537" s="6">
        <v>65</v>
      </c>
      <c r="AG537" s="6"/>
      <c r="AH537" s="7">
        <v>0.9677</v>
      </c>
      <c r="AI537" s="4"/>
      <c r="AJ537" s="4">
        <f>=ROUNDDOWN({0},0)</f>
      </c>
      <c r="AK537" s="5"/>
      <c r="AL537" s="2" t="s">
        <v>199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199</v>
      </c>
      <c r="AW537" s="8" t="s">
        <v>199</v>
      </c>
      <c r="AX537" s="4" t="s">
        <v>199</v>
      </c>
      <c r="AY537" s="8" t="s">
        <v>199</v>
      </c>
      <c r="AZ537" s="7" t="s">
        <v>199</v>
      </c>
      <c r="BA537" s="7" t="s">
        <v>199</v>
      </c>
      <c r="BB537" s="7" t="s">
        <v>199</v>
      </c>
      <c r="BC537" s="4" t="s">
        <v>199</v>
      </c>
      <c r="BD537" s="8" t="s">
        <v>199</v>
      </c>
      <c r="BE537" s="4" t="s">
        <v>199</v>
      </c>
      <c r="BF537" s="8" t="s">
        <v>199</v>
      </c>
      <c r="BG537" s="7" t="s">
        <v>199</v>
      </c>
      <c r="BH537" s="7" t="s">
        <v>199</v>
      </c>
      <c r="BI537" s="7"/>
      <c r="BJ537" s="4">
        <v>183</v>
      </c>
      <c r="BK537" s="8">
        <v>2532.01</v>
      </c>
      <c r="BL537" s="2" t="s">
        <v>2950</v>
      </c>
      <c r="BM537" s="7"/>
      <c r="BN537" s="7"/>
      <c r="BO537" s="4"/>
      <c r="BP537" s="8"/>
      <c r="BQ537" s="4"/>
      <c r="BR537" s="8"/>
      <c r="BS537" s="7"/>
      <c r="BT537" s="7"/>
      <c r="BU537" s="2" t="s">
        <v>2829</v>
      </c>
      <c r="BV537" s="2" t="s">
        <v>199</v>
      </c>
      <c r="BW537" s="2" t="s">
        <v>199</v>
      </c>
      <c r="BX537" s="2" t="s">
        <v>208</v>
      </c>
      <c r="BY537" s="2" t="s">
        <v>209</v>
      </c>
      <c r="BZ537" s="2" t="s">
        <v>196</v>
      </c>
      <c r="CA537" s="2" t="s">
        <v>210</v>
      </c>
      <c r="CB537" s="2" t="s">
        <v>2582</v>
      </c>
      <c r="CC537" s="2" t="s">
        <v>212</v>
      </c>
      <c r="CD537" s="2" t="s">
        <v>199</v>
      </c>
      <c r="CE537" s="4">
        <v>49</v>
      </c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>
        <v>50</v>
      </c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>
        <v>60</v>
      </c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>
        <v>150</v>
      </c>
      <c r="EN537" s="4"/>
      <c r="EO537" s="4"/>
      <c r="EP537" s="4"/>
      <c r="EQ537" s="4"/>
      <c r="ER537" s="4"/>
      <c r="ES537" s="4"/>
      <c r="ET537" s="4">
        <v>51</v>
      </c>
      <c r="EU537" s="4">
        <v>43</v>
      </c>
      <c r="EV537" s="4">
        <v>36</v>
      </c>
      <c r="EW537" s="4">
        <v>79</v>
      </c>
      <c r="EX537" s="4">
        <v>72</v>
      </c>
      <c r="EY537" s="4">
        <v>62</v>
      </c>
      <c r="EZ537" s="4">
        <v>51</v>
      </c>
      <c r="FA537" s="4">
        <v>40</v>
      </c>
      <c r="FB537" s="4">
        <v>28</v>
      </c>
      <c r="FC537" s="4">
        <v>17</v>
      </c>
      <c r="FD537" s="4">
        <v>66</v>
      </c>
      <c r="FE537" s="4">
        <v>55</v>
      </c>
      <c r="FF537" s="4">
        <v>44</v>
      </c>
      <c r="FG537" s="4">
        <v>33</v>
      </c>
      <c r="FH537" s="4">
        <v>22</v>
      </c>
      <c r="FI537" s="4">
        <v>10</v>
      </c>
      <c r="FJ537" s="4">
        <v>150</v>
      </c>
      <c r="FK537" s="4">
        <v>138</v>
      </c>
      <c r="FL537" s="4">
        <v>127</v>
      </c>
      <c r="FM537" s="4">
        <v>116</v>
      </c>
      <c r="FN537" s="4">
        <v>104</v>
      </c>
      <c r="FO537" s="4">
        <v>92</v>
      </c>
      <c r="FP537" s="4">
        <v>79</v>
      </c>
      <c r="FQ537" s="4">
        <v>67</v>
      </c>
      <c r="FR537" s="4">
        <v>55</v>
      </c>
      <c r="FS537" s="4">
        <v>44</v>
      </c>
      <c r="FT537" s="19">
        <v>7.3</v>
      </c>
      <c r="FU537" s="19">
        <v>5.4</v>
      </c>
      <c r="FV537" s="19">
        <v>4</v>
      </c>
      <c r="FW537" s="19">
        <v>7.9</v>
      </c>
      <c r="FX537" s="19">
        <v>6.5</v>
      </c>
      <c r="FY537" s="19">
        <v>5.6</v>
      </c>
      <c r="FZ537" s="19">
        <v>4.6</v>
      </c>
      <c r="GA537" s="19">
        <v>3.6</v>
      </c>
      <c r="GB537" s="19">
        <v>2.5</v>
      </c>
      <c r="GC537" s="19">
        <v>1.5</v>
      </c>
      <c r="GD537" s="19">
        <v>6</v>
      </c>
      <c r="GE537" s="19">
        <v>5</v>
      </c>
      <c r="GF537" s="19">
        <v>4</v>
      </c>
      <c r="GG537" s="19">
        <v>3</v>
      </c>
      <c r="GH537" s="19">
        <v>2</v>
      </c>
      <c r="GI537" s="19">
        <v>0.9</v>
      </c>
      <c r="GJ537" s="19">
        <v>12.5</v>
      </c>
      <c r="GK537" s="19">
        <v>11.5</v>
      </c>
      <c r="GL537" s="19">
        <v>10.6</v>
      </c>
      <c r="GM537" s="19">
        <v>9.7</v>
      </c>
      <c r="GN537" s="19">
        <v>8.7</v>
      </c>
      <c r="GO537" s="19">
        <v>7.7</v>
      </c>
      <c r="GP537" s="19">
        <v>6.6</v>
      </c>
      <c r="GQ537" s="19">
        <v>5.6</v>
      </c>
      <c r="GR537" s="19">
        <v>4.6</v>
      </c>
      <c r="GS537" s="19">
        <v>3.7</v>
      </c>
    </row>
    <row r="538">
      <c r="A538" s="2" t="s">
        <v>2951</v>
      </c>
      <c r="B538" s="2" t="s">
        <v>245</v>
      </c>
      <c r="C538" s="2" t="s">
        <v>1007</v>
      </c>
      <c r="D538" s="2" t="s">
        <v>247</v>
      </c>
      <c r="E538" s="2" t="s">
        <v>248</v>
      </c>
      <c r="F538" s="2" t="s">
        <v>386</v>
      </c>
      <c r="G538" s="2" t="s">
        <v>386</v>
      </c>
      <c r="H538" s="2" t="s">
        <v>386</v>
      </c>
      <c r="I538" s="2" t="s">
        <v>2850</v>
      </c>
      <c r="J538" s="2" t="s">
        <v>285</v>
      </c>
      <c r="K538" s="2" t="s">
        <v>233</v>
      </c>
      <c r="L538" s="3">
        <v>14.85</v>
      </c>
      <c r="M538" s="3">
        <v>15.59</v>
      </c>
      <c r="N538" s="3">
        <v>32.99</v>
      </c>
      <c r="O538" s="2" t="s">
        <v>196</v>
      </c>
      <c r="P538" s="2" t="s">
        <v>197</v>
      </c>
      <c r="Q538" s="2" t="s">
        <v>198</v>
      </c>
      <c r="R538" s="2" t="s">
        <v>199</v>
      </c>
      <c r="S538" s="2" t="s">
        <v>2938</v>
      </c>
      <c r="T538" s="2" t="s">
        <v>386</v>
      </c>
      <c r="U538" s="2" t="s">
        <v>546</v>
      </c>
      <c r="V538" s="2" t="s">
        <v>202</v>
      </c>
      <c r="W538" s="2" t="s">
        <v>203</v>
      </c>
      <c r="X538" s="2" t="s">
        <v>510</v>
      </c>
      <c r="Y538" s="2" t="s">
        <v>2851</v>
      </c>
      <c r="Z538" s="4">
        <v>129</v>
      </c>
      <c r="AA538" s="4">
        <f>=ROUNDDOWN(32.25,0)</f>
      </c>
      <c r="AB538" s="5">
        <v>4</v>
      </c>
      <c r="AC538" s="2" t="s">
        <v>2845</v>
      </c>
      <c r="AD538" s="4">
        <v>80</v>
      </c>
      <c r="AE538" s="4">
        <v>80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199</v>
      </c>
      <c r="AW538" s="8" t="s">
        <v>199</v>
      </c>
      <c r="AX538" s="4" t="s">
        <v>199</v>
      </c>
      <c r="AY538" s="8" t="s">
        <v>199</v>
      </c>
      <c r="AZ538" s="7" t="s">
        <v>199</v>
      </c>
      <c r="BA538" s="7" t="s">
        <v>199</v>
      </c>
      <c r="BB538" s="7" t="s">
        <v>199</v>
      </c>
      <c r="BC538" s="4" t="s">
        <v>199</v>
      </c>
      <c r="BD538" s="8" t="s">
        <v>199</v>
      </c>
      <c r="BE538" s="4" t="s">
        <v>199</v>
      </c>
      <c r="BF538" s="8" t="s">
        <v>199</v>
      </c>
      <c r="BG538" s="7" t="s">
        <v>199</v>
      </c>
      <c r="BH538" s="7" t="s">
        <v>199</v>
      </c>
      <c r="BI538" s="7"/>
      <c r="BJ538" s="4">
        <v>13</v>
      </c>
      <c r="BK538" s="8">
        <v>206.84</v>
      </c>
      <c r="BL538" s="2" t="s">
        <v>1937</v>
      </c>
      <c r="BM538" s="7"/>
      <c r="BN538" s="7"/>
      <c r="BO538" s="4"/>
      <c r="BP538" s="8"/>
      <c r="BQ538" s="4"/>
      <c r="BR538" s="8"/>
      <c r="BS538" s="7"/>
      <c r="BT538" s="7"/>
      <c r="BU538" s="2" t="s">
        <v>2853</v>
      </c>
      <c r="BV538" s="2" t="s">
        <v>199</v>
      </c>
      <c r="BW538" s="2" t="s">
        <v>199</v>
      </c>
      <c r="BX538" s="2" t="s">
        <v>208</v>
      </c>
      <c r="BY538" s="2" t="s">
        <v>209</v>
      </c>
      <c r="BZ538" s="2" t="s">
        <v>196</v>
      </c>
      <c r="CA538" s="2" t="s">
        <v>2854</v>
      </c>
      <c r="CB538" s="2" t="s">
        <v>2952</v>
      </c>
      <c r="CC538" s="2" t="s">
        <v>212</v>
      </c>
      <c r="CD538" s="2" t="s">
        <v>199</v>
      </c>
      <c r="CE538" s="4">
        <v>129</v>
      </c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>
        <v>80</v>
      </c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>
        <v>130</v>
      </c>
      <c r="EU538" s="4">
        <v>118</v>
      </c>
      <c r="EV538" s="4">
        <v>114</v>
      </c>
      <c r="EW538" s="4">
        <v>190</v>
      </c>
      <c r="EX538" s="4">
        <v>186</v>
      </c>
      <c r="EY538" s="4">
        <v>182</v>
      </c>
      <c r="EZ538" s="4">
        <v>178</v>
      </c>
      <c r="FA538" s="4">
        <v>174</v>
      </c>
      <c r="FB538" s="4">
        <v>169</v>
      </c>
      <c r="FC538" s="4">
        <v>165</v>
      </c>
      <c r="FD538" s="4">
        <v>161</v>
      </c>
      <c r="FE538" s="4">
        <v>157</v>
      </c>
      <c r="FF538" s="4">
        <v>153</v>
      </c>
      <c r="FG538" s="4">
        <v>149</v>
      </c>
      <c r="FH538" s="4">
        <v>145</v>
      </c>
      <c r="FI538" s="4">
        <v>141</v>
      </c>
      <c r="FJ538" s="4">
        <v>137</v>
      </c>
      <c r="FK538" s="4">
        <v>133</v>
      </c>
      <c r="FL538" s="4">
        <v>129</v>
      </c>
      <c r="FM538" s="4">
        <v>125</v>
      </c>
      <c r="FN538" s="4">
        <v>121</v>
      </c>
      <c r="FO538" s="4">
        <v>117</v>
      </c>
      <c r="FP538" s="4">
        <v>112</v>
      </c>
      <c r="FQ538" s="4">
        <v>108</v>
      </c>
      <c r="FR538" s="4">
        <v>104</v>
      </c>
      <c r="FS538" s="4">
        <v>100</v>
      </c>
      <c r="FT538" s="19">
        <v>21.7</v>
      </c>
      <c r="FU538" s="19">
        <v>29.5</v>
      </c>
      <c r="FV538" s="19">
        <v>28.5</v>
      </c>
      <c r="FW538" s="19">
        <v>47.5</v>
      </c>
      <c r="FX538" s="19">
        <v>46.5</v>
      </c>
      <c r="FY538" s="19">
        <v>45.5</v>
      </c>
      <c r="FZ538" s="19">
        <v>44.5</v>
      </c>
      <c r="GA538" s="19">
        <v>43.5</v>
      </c>
      <c r="GB538" s="19">
        <v>42.3</v>
      </c>
      <c r="GC538" s="19">
        <v>41.3</v>
      </c>
      <c r="GD538" s="19">
        <v>40.3</v>
      </c>
      <c r="GE538" s="19">
        <v>39.3</v>
      </c>
      <c r="GF538" s="19">
        <v>38.3</v>
      </c>
      <c r="GG538" s="19">
        <v>37.3</v>
      </c>
      <c r="GH538" s="19">
        <v>36.3</v>
      </c>
      <c r="GI538" s="19">
        <v>35.3</v>
      </c>
      <c r="GJ538" s="19">
        <v>34.3</v>
      </c>
      <c r="GK538" s="19">
        <v>33.3</v>
      </c>
      <c r="GL538" s="19">
        <v>32.3</v>
      </c>
      <c r="GM538" s="19">
        <v>31.3</v>
      </c>
      <c r="GN538" s="19">
        <v>30.3</v>
      </c>
      <c r="GO538" s="19">
        <v>29.3</v>
      </c>
      <c r="GP538" s="19">
        <v>28</v>
      </c>
      <c r="GQ538" s="19">
        <v>27</v>
      </c>
      <c r="GR538" s="19">
        <v>26</v>
      </c>
      <c r="GS538" s="19">
        <v>20</v>
      </c>
    </row>
    <row r="539">
      <c r="A539" s="2" t="s">
        <v>2953</v>
      </c>
      <c r="B539" s="2" t="s">
        <v>245</v>
      </c>
      <c r="C539" s="2" t="s">
        <v>1007</v>
      </c>
      <c r="D539" s="2" t="s">
        <v>247</v>
      </c>
      <c r="E539" s="2" t="s">
        <v>248</v>
      </c>
      <c r="F539" s="2" t="s">
        <v>386</v>
      </c>
      <c r="G539" s="2" t="s">
        <v>386</v>
      </c>
      <c r="H539" s="2" t="s">
        <v>386</v>
      </c>
      <c r="I539" s="2" t="s">
        <v>2827</v>
      </c>
      <c r="J539" s="2" t="s">
        <v>219</v>
      </c>
      <c r="K539" s="2" t="s">
        <v>233</v>
      </c>
      <c r="L539" s="3">
        <v>14.21</v>
      </c>
      <c r="M539" s="3">
        <v>14.92</v>
      </c>
      <c r="N539" s="3">
        <v>32.99</v>
      </c>
      <c r="O539" s="2" t="s">
        <v>196</v>
      </c>
      <c r="P539" s="2" t="s">
        <v>724</v>
      </c>
      <c r="Q539" s="2" t="s">
        <v>198</v>
      </c>
      <c r="R539" s="2" t="s">
        <v>199</v>
      </c>
      <c r="S539" s="2" t="s">
        <v>2938</v>
      </c>
      <c r="T539" s="2" t="s">
        <v>386</v>
      </c>
      <c r="U539" s="2" t="s">
        <v>199</v>
      </c>
      <c r="V539" s="2" t="s">
        <v>202</v>
      </c>
      <c r="W539" s="2" t="s">
        <v>203</v>
      </c>
      <c r="X539" s="2" t="s">
        <v>199</v>
      </c>
      <c r="Y539" s="2" t="s">
        <v>204</v>
      </c>
      <c r="Z539" s="4">
        <v>445</v>
      </c>
      <c r="AA539" s="4">
        <f>=ROUNDDOWN(16.4814814814815,0)</f>
      </c>
      <c r="AB539" s="5">
        <v>27</v>
      </c>
      <c r="AC539" s="2" t="s">
        <v>2845</v>
      </c>
      <c r="AD539" s="4">
        <v>250</v>
      </c>
      <c r="AE539" s="4">
        <v>850</v>
      </c>
      <c r="AF539" s="6">
        <v>65</v>
      </c>
      <c r="AG539" s="6"/>
      <c r="AH539" s="7">
        <v>0.4516</v>
      </c>
      <c r="AI539" s="4"/>
      <c r="AJ539" s="4">
        <f>=ROUNDDOWN({0},0)</f>
      </c>
      <c r="AK539" s="5"/>
      <c r="AL539" s="2" t="s">
        <v>199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199</v>
      </c>
      <c r="AW539" s="8" t="s">
        <v>199</v>
      </c>
      <c r="AX539" s="4" t="s">
        <v>199</v>
      </c>
      <c r="AY539" s="8" t="s">
        <v>199</v>
      </c>
      <c r="AZ539" s="7" t="s">
        <v>199</v>
      </c>
      <c r="BA539" s="7" t="s">
        <v>199</v>
      </c>
      <c r="BB539" s="7" t="s">
        <v>199</v>
      </c>
      <c r="BC539" s="4" t="s">
        <v>199</v>
      </c>
      <c r="BD539" s="8" t="s">
        <v>199</v>
      </c>
      <c r="BE539" s="4" t="s">
        <v>199</v>
      </c>
      <c r="BF539" s="8" t="s">
        <v>199</v>
      </c>
      <c r="BG539" s="7" t="s">
        <v>199</v>
      </c>
      <c r="BH539" s="7" t="s">
        <v>199</v>
      </c>
      <c r="BI539" s="7"/>
      <c r="BJ539" s="4">
        <v>158</v>
      </c>
      <c r="BK539" s="8">
        <v>2257.4</v>
      </c>
      <c r="BL539" s="2" t="s">
        <v>2954</v>
      </c>
      <c r="BM539" s="7"/>
      <c r="BN539" s="7"/>
      <c r="BO539" s="4"/>
      <c r="BP539" s="8"/>
      <c r="BQ539" s="4"/>
      <c r="BR539" s="8"/>
      <c r="BS539" s="7"/>
      <c r="BT539" s="7"/>
      <c r="BU539" s="2" t="s">
        <v>2829</v>
      </c>
      <c r="BV539" s="2" t="s">
        <v>199</v>
      </c>
      <c r="BW539" s="2" t="s">
        <v>199</v>
      </c>
      <c r="BX539" s="2" t="s">
        <v>208</v>
      </c>
      <c r="BY539" s="2" t="s">
        <v>209</v>
      </c>
      <c r="BZ539" s="2" t="s">
        <v>196</v>
      </c>
      <c r="CA539" s="2" t="s">
        <v>210</v>
      </c>
      <c r="CB539" s="2" t="s">
        <v>2917</v>
      </c>
      <c r="CC539" s="2" t="s">
        <v>212</v>
      </c>
      <c r="CD539" s="2" t="s">
        <v>199</v>
      </c>
      <c r="CE539" s="4">
        <v>445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>
        <v>250</v>
      </c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>
        <v>100</v>
      </c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>
        <v>500</v>
      </c>
      <c r="EN539" s="4"/>
      <c r="EO539" s="4"/>
      <c r="EP539" s="4"/>
      <c r="EQ539" s="4"/>
      <c r="ER539" s="4"/>
      <c r="ES539" s="4"/>
      <c r="ET539" s="4">
        <v>454</v>
      </c>
      <c r="EU539" s="4">
        <v>402</v>
      </c>
      <c r="EV539" s="4">
        <v>375</v>
      </c>
      <c r="EW539" s="4">
        <v>598</v>
      </c>
      <c r="EX539" s="4">
        <v>571</v>
      </c>
      <c r="EY539" s="4">
        <v>544</v>
      </c>
      <c r="EZ539" s="4">
        <v>517</v>
      </c>
      <c r="FA539" s="4">
        <v>490</v>
      </c>
      <c r="FB539" s="4">
        <v>458</v>
      </c>
      <c r="FC539" s="4">
        <v>431</v>
      </c>
      <c r="FD539" s="4">
        <v>504</v>
      </c>
      <c r="FE539" s="4">
        <v>477</v>
      </c>
      <c r="FF539" s="4">
        <v>450</v>
      </c>
      <c r="FG539" s="4">
        <v>423</v>
      </c>
      <c r="FH539" s="4">
        <v>396</v>
      </c>
      <c r="FI539" s="4">
        <v>369</v>
      </c>
      <c r="FJ539" s="4">
        <v>842</v>
      </c>
      <c r="FK539" s="4">
        <v>815</v>
      </c>
      <c r="FL539" s="4">
        <v>788</v>
      </c>
      <c r="FM539" s="4">
        <v>761</v>
      </c>
      <c r="FN539" s="4">
        <v>734</v>
      </c>
      <c r="FO539" s="4">
        <v>707</v>
      </c>
      <c r="FP539" s="4">
        <v>675</v>
      </c>
      <c r="FQ539" s="4">
        <v>648</v>
      </c>
      <c r="FR539" s="4">
        <v>621</v>
      </c>
      <c r="FS539" s="4">
        <v>594</v>
      </c>
      <c r="FT539" s="19">
        <v>13.8</v>
      </c>
      <c r="FU539" s="19">
        <v>14.9</v>
      </c>
      <c r="FV539" s="19">
        <v>13.9</v>
      </c>
      <c r="FW539" s="19">
        <v>22.1</v>
      </c>
      <c r="FX539" s="19">
        <v>20.4</v>
      </c>
      <c r="FY539" s="19">
        <v>19.4</v>
      </c>
      <c r="FZ539" s="19">
        <v>18.5</v>
      </c>
      <c r="GA539" s="19">
        <v>17.5</v>
      </c>
      <c r="GB539" s="19">
        <v>17</v>
      </c>
      <c r="GC539" s="19">
        <v>16</v>
      </c>
      <c r="GD539" s="19">
        <v>18.7</v>
      </c>
      <c r="GE539" s="19">
        <v>17.7</v>
      </c>
      <c r="GF539" s="19">
        <v>16.7</v>
      </c>
      <c r="GG539" s="19">
        <v>15.7</v>
      </c>
      <c r="GH539" s="19">
        <v>14.7</v>
      </c>
      <c r="GI539" s="19">
        <v>13.7</v>
      </c>
      <c r="GJ539" s="19">
        <v>31.2</v>
      </c>
      <c r="GK539" s="19">
        <v>30.2</v>
      </c>
      <c r="GL539" s="19">
        <v>28.1</v>
      </c>
      <c r="GM539" s="19">
        <v>27.2</v>
      </c>
      <c r="GN539" s="19">
        <v>26.2</v>
      </c>
      <c r="GO539" s="19">
        <v>25.3</v>
      </c>
      <c r="GP539" s="19">
        <v>25</v>
      </c>
      <c r="GQ539" s="19">
        <v>23.1</v>
      </c>
      <c r="GR539" s="19">
        <v>20.7</v>
      </c>
      <c r="GS539" s="19">
        <v>19.2</v>
      </c>
    </row>
    <row r="540">
      <c r="A540" s="2" t="s">
        <v>2955</v>
      </c>
      <c r="B540" s="2" t="s">
        <v>245</v>
      </c>
      <c r="C540" s="2" t="s">
        <v>1007</v>
      </c>
      <c r="D540" s="2" t="s">
        <v>247</v>
      </c>
      <c r="E540" s="2" t="s">
        <v>248</v>
      </c>
      <c r="F540" s="2" t="s">
        <v>386</v>
      </c>
      <c r="G540" s="2" t="s">
        <v>386</v>
      </c>
      <c r="H540" s="2" t="s">
        <v>386</v>
      </c>
      <c r="I540" s="2" t="s">
        <v>2850</v>
      </c>
      <c r="J540" s="2" t="s">
        <v>219</v>
      </c>
      <c r="K540" s="2" t="s">
        <v>233</v>
      </c>
      <c r="L540" s="3">
        <v>14.85</v>
      </c>
      <c r="M540" s="3">
        <v>15.59</v>
      </c>
      <c r="N540" s="3">
        <v>32.99</v>
      </c>
      <c r="O540" s="2" t="s">
        <v>196</v>
      </c>
      <c r="P540" s="2" t="s">
        <v>197</v>
      </c>
      <c r="Q540" s="2" t="s">
        <v>198</v>
      </c>
      <c r="R540" s="2" t="s">
        <v>199</v>
      </c>
      <c r="S540" s="2" t="s">
        <v>2938</v>
      </c>
      <c r="T540" s="2" t="s">
        <v>386</v>
      </c>
      <c r="U540" s="2" t="s">
        <v>546</v>
      </c>
      <c r="V540" s="2" t="s">
        <v>202</v>
      </c>
      <c r="W540" s="2" t="s">
        <v>203</v>
      </c>
      <c r="X540" s="2" t="s">
        <v>510</v>
      </c>
      <c r="Y540" s="2" t="s">
        <v>2851</v>
      </c>
      <c r="Z540" s="4">
        <v>275</v>
      </c>
      <c r="AA540" s="4">
        <f>=ROUNDDOWN(17.1875,0)</f>
      </c>
      <c r="AB540" s="5">
        <v>16</v>
      </c>
      <c r="AC540" s="2" t="s">
        <v>2845</v>
      </c>
      <c r="AD540" s="4">
        <v>250</v>
      </c>
      <c r="AE540" s="4">
        <v>250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199</v>
      </c>
      <c r="AW540" s="8" t="s">
        <v>199</v>
      </c>
      <c r="AX540" s="4" t="s">
        <v>199</v>
      </c>
      <c r="AY540" s="8" t="s">
        <v>199</v>
      </c>
      <c r="AZ540" s="7" t="s">
        <v>199</v>
      </c>
      <c r="BA540" s="7" t="s">
        <v>199</v>
      </c>
      <c r="BB540" s="7" t="s">
        <v>199</v>
      </c>
      <c r="BC540" s="4" t="s">
        <v>199</v>
      </c>
      <c r="BD540" s="8" t="s">
        <v>199</v>
      </c>
      <c r="BE540" s="4" t="s">
        <v>199</v>
      </c>
      <c r="BF540" s="8" t="s">
        <v>199</v>
      </c>
      <c r="BG540" s="7" t="s">
        <v>199</v>
      </c>
      <c r="BH540" s="7" t="s">
        <v>199</v>
      </c>
      <c r="BI540" s="7"/>
      <c r="BJ540" s="4">
        <v>132</v>
      </c>
      <c r="BK540" s="8">
        <v>2081.54</v>
      </c>
      <c r="BL540" s="2" t="s">
        <v>779</v>
      </c>
      <c r="BM540" s="7"/>
      <c r="BN540" s="7"/>
      <c r="BO540" s="4"/>
      <c r="BP540" s="8"/>
      <c r="BQ540" s="4"/>
      <c r="BR540" s="8"/>
      <c r="BS540" s="7"/>
      <c r="BT540" s="7"/>
      <c r="BU540" s="2" t="s">
        <v>2853</v>
      </c>
      <c r="BV540" s="2" t="s">
        <v>199</v>
      </c>
      <c r="BW540" s="2" t="s">
        <v>199</v>
      </c>
      <c r="BX540" s="2" t="s">
        <v>208</v>
      </c>
      <c r="BY540" s="2" t="s">
        <v>209</v>
      </c>
      <c r="BZ540" s="2" t="s">
        <v>196</v>
      </c>
      <c r="CA540" s="2" t="s">
        <v>2854</v>
      </c>
      <c r="CB540" s="2" t="s">
        <v>2956</v>
      </c>
      <c r="CC540" s="2" t="s">
        <v>212</v>
      </c>
      <c r="CD540" s="2" t="s">
        <v>199</v>
      </c>
      <c r="CE540" s="4">
        <v>275</v>
      </c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>
        <v>250</v>
      </c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>
        <v>283</v>
      </c>
      <c r="EU540" s="4">
        <v>261</v>
      </c>
      <c r="EV540" s="4">
        <v>245</v>
      </c>
      <c r="EW540" s="4">
        <v>479</v>
      </c>
      <c r="EX540" s="4">
        <v>463</v>
      </c>
      <c r="EY540" s="4">
        <v>447</v>
      </c>
      <c r="EZ540" s="4">
        <v>431</v>
      </c>
      <c r="FA540" s="4">
        <v>415</v>
      </c>
      <c r="FB540" s="4">
        <v>396</v>
      </c>
      <c r="FC540" s="4">
        <v>380</v>
      </c>
      <c r="FD540" s="4">
        <v>364</v>
      </c>
      <c r="FE540" s="4">
        <v>348</v>
      </c>
      <c r="FF540" s="4">
        <v>332</v>
      </c>
      <c r="FG540" s="4">
        <v>316</v>
      </c>
      <c r="FH540" s="4">
        <v>300</v>
      </c>
      <c r="FI540" s="4">
        <v>284</v>
      </c>
      <c r="FJ540" s="4">
        <v>268</v>
      </c>
      <c r="FK540" s="4">
        <v>252</v>
      </c>
      <c r="FL540" s="4">
        <v>236</v>
      </c>
      <c r="FM540" s="4">
        <v>220</v>
      </c>
      <c r="FN540" s="4">
        <v>204</v>
      </c>
      <c r="FO540" s="4">
        <v>188</v>
      </c>
      <c r="FP540" s="4">
        <v>169</v>
      </c>
      <c r="FQ540" s="4">
        <v>153</v>
      </c>
      <c r="FR540" s="4">
        <v>137</v>
      </c>
      <c r="FS540" s="4">
        <v>121</v>
      </c>
      <c r="FT540" s="19">
        <v>15.7</v>
      </c>
      <c r="FU540" s="19">
        <v>16.3</v>
      </c>
      <c r="FV540" s="19">
        <v>15.3</v>
      </c>
      <c r="FW540" s="19">
        <v>29.9</v>
      </c>
      <c r="FX540" s="19">
        <v>27.2</v>
      </c>
      <c r="FY540" s="19">
        <v>26.3</v>
      </c>
      <c r="FZ540" s="19">
        <v>25.4</v>
      </c>
      <c r="GA540" s="19">
        <v>24.4</v>
      </c>
      <c r="GB540" s="19">
        <v>24.8</v>
      </c>
      <c r="GC540" s="19">
        <v>23.8</v>
      </c>
      <c r="GD540" s="19">
        <v>22.8</v>
      </c>
      <c r="GE540" s="19">
        <v>21.8</v>
      </c>
      <c r="GF540" s="19">
        <v>20.8</v>
      </c>
      <c r="GG540" s="19">
        <v>19.8</v>
      </c>
      <c r="GH540" s="19">
        <v>18.8</v>
      </c>
      <c r="GI540" s="19">
        <v>17.8</v>
      </c>
      <c r="GJ540" s="19">
        <v>16.8</v>
      </c>
      <c r="GK540" s="19">
        <v>15.8</v>
      </c>
      <c r="GL540" s="19">
        <v>13.9</v>
      </c>
      <c r="GM540" s="19">
        <v>12.9</v>
      </c>
      <c r="GN540" s="19">
        <v>12</v>
      </c>
      <c r="GO540" s="19">
        <v>11.1</v>
      </c>
      <c r="GP540" s="19">
        <v>10.6</v>
      </c>
      <c r="GQ540" s="19">
        <v>9</v>
      </c>
      <c r="GR540" s="19">
        <v>7.6</v>
      </c>
      <c r="GS540" s="19">
        <v>6.7</v>
      </c>
    </row>
    <row r="541">
      <c r="A541" s="2" t="s">
        <v>2957</v>
      </c>
      <c r="B541" s="2" t="s">
        <v>245</v>
      </c>
      <c r="C541" s="2" t="s">
        <v>1007</v>
      </c>
      <c r="D541" s="2" t="s">
        <v>247</v>
      </c>
      <c r="E541" s="2" t="s">
        <v>248</v>
      </c>
      <c r="F541" s="2" t="s">
        <v>386</v>
      </c>
      <c r="G541" s="2" t="s">
        <v>386</v>
      </c>
      <c r="H541" s="2" t="s">
        <v>386</v>
      </c>
      <c r="I541" s="2" t="s">
        <v>2827</v>
      </c>
      <c r="J541" s="2" t="s">
        <v>223</v>
      </c>
      <c r="K541" s="2" t="s">
        <v>233</v>
      </c>
      <c r="L541" s="3">
        <v>16.75</v>
      </c>
      <c r="M541" s="3">
        <v>17.59</v>
      </c>
      <c r="N541" s="3">
        <v>37.99</v>
      </c>
      <c r="O541" s="2" t="s">
        <v>196</v>
      </c>
      <c r="P541" s="2" t="s">
        <v>197</v>
      </c>
      <c r="Q541" s="2" t="s">
        <v>198</v>
      </c>
      <c r="R541" s="2" t="s">
        <v>199</v>
      </c>
      <c r="S541" s="2" t="s">
        <v>2938</v>
      </c>
      <c r="T541" s="2" t="s">
        <v>386</v>
      </c>
      <c r="U541" s="2" t="s">
        <v>199</v>
      </c>
      <c r="V541" s="2" t="s">
        <v>202</v>
      </c>
      <c r="W541" s="2" t="s">
        <v>203</v>
      </c>
      <c r="X541" s="2" t="s">
        <v>199</v>
      </c>
      <c r="Y541" s="2" t="s">
        <v>204</v>
      </c>
      <c r="Z541" s="4">
        <v>51</v>
      </c>
      <c r="AA541" s="4">
        <f>=ROUNDDOWN(3.4,0)</f>
      </c>
      <c r="AB541" s="5">
        <v>15</v>
      </c>
      <c r="AC541" s="2" t="s">
        <v>2845</v>
      </c>
      <c r="AD541" s="4">
        <v>50</v>
      </c>
      <c r="AE541" s="4">
        <v>330</v>
      </c>
      <c r="AF541" s="6">
        <v>65</v>
      </c>
      <c r="AG541" s="6"/>
      <c r="AH541" s="7">
        <v>0.9677</v>
      </c>
      <c r="AI541" s="4"/>
      <c r="AJ541" s="4">
        <f>=ROUNDDOWN({0},0)</f>
      </c>
      <c r="AK541" s="5"/>
      <c r="AL541" s="2" t="s">
        <v>199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199</v>
      </c>
      <c r="AW541" s="8" t="s">
        <v>199</v>
      </c>
      <c r="AX541" s="4" t="s">
        <v>199</v>
      </c>
      <c r="AY541" s="8" t="s">
        <v>199</v>
      </c>
      <c r="AZ541" s="7" t="s">
        <v>199</v>
      </c>
      <c r="BA541" s="7" t="s">
        <v>199</v>
      </c>
      <c r="BB541" s="7"/>
      <c r="BC541" s="4" t="s">
        <v>199</v>
      </c>
      <c r="BD541" s="8" t="s">
        <v>199</v>
      </c>
      <c r="BE541" s="4" t="s">
        <v>199</v>
      </c>
      <c r="BF541" s="8" t="s">
        <v>199</v>
      </c>
      <c r="BG541" s="7" t="s">
        <v>199</v>
      </c>
      <c r="BH541" s="7" t="s">
        <v>199</v>
      </c>
      <c r="BI541" s="7"/>
      <c r="BJ541" s="4">
        <v>192</v>
      </c>
      <c r="BK541" s="8">
        <v>3246.39</v>
      </c>
      <c r="BL541" s="2" t="s">
        <v>2958</v>
      </c>
      <c r="BM541" s="7"/>
      <c r="BN541" s="7"/>
      <c r="BO541" s="4"/>
      <c r="BP541" s="8"/>
      <c r="BQ541" s="4"/>
      <c r="BR541" s="8"/>
      <c r="BS541" s="7"/>
      <c r="BT541" s="7"/>
      <c r="BU541" s="2" t="s">
        <v>2829</v>
      </c>
      <c r="BV541" s="2" t="s">
        <v>199</v>
      </c>
      <c r="BW541" s="2" t="s">
        <v>199</v>
      </c>
      <c r="BX541" s="2" t="s">
        <v>208</v>
      </c>
      <c r="BY541" s="2" t="s">
        <v>209</v>
      </c>
      <c r="BZ541" s="2" t="s">
        <v>196</v>
      </c>
      <c r="CA541" s="2" t="s">
        <v>210</v>
      </c>
      <c r="CB541" s="2" t="s">
        <v>2959</v>
      </c>
      <c r="CC541" s="2" t="s">
        <v>212</v>
      </c>
      <c r="CD541" s="2" t="s">
        <v>199</v>
      </c>
      <c r="CE541" s="4">
        <v>51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>
        <v>50</v>
      </c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>
        <v>80</v>
      </c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>
        <v>200</v>
      </c>
      <c r="EN541" s="4"/>
      <c r="EO541" s="4"/>
      <c r="EP541" s="4"/>
      <c r="EQ541" s="4"/>
      <c r="ER541" s="4"/>
      <c r="ES541" s="4"/>
      <c r="ET541" s="4">
        <v>61</v>
      </c>
      <c r="EU541" s="4">
        <v>43</v>
      </c>
      <c r="EV541" s="4">
        <v>31</v>
      </c>
      <c r="EW541" s="4">
        <v>69</v>
      </c>
      <c r="EX541" s="4">
        <v>57</v>
      </c>
      <c r="EY541" s="4">
        <v>45</v>
      </c>
      <c r="EZ541" s="4">
        <v>33</v>
      </c>
      <c r="FA541" s="4">
        <v>20</v>
      </c>
      <c r="FB541" s="4">
        <v>3</v>
      </c>
      <c r="FC541" s="4"/>
      <c r="FD541" s="4">
        <v>80</v>
      </c>
      <c r="FE541" s="4">
        <v>59</v>
      </c>
      <c r="FF541" s="4">
        <v>44</v>
      </c>
      <c r="FG541" s="4">
        <v>29</v>
      </c>
      <c r="FH541" s="4">
        <v>14</v>
      </c>
      <c r="FI541" s="4"/>
      <c r="FJ541" s="4">
        <v>200</v>
      </c>
      <c r="FK541" s="4">
        <v>180</v>
      </c>
      <c r="FL541" s="4">
        <v>165</v>
      </c>
      <c r="FM541" s="4">
        <v>151</v>
      </c>
      <c r="FN541" s="4">
        <v>135</v>
      </c>
      <c r="FO541" s="4">
        <v>119</v>
      </c>
      <c r="FP541" s="4">
        <v>101</v>
      </c>
      <c r="FQ541" s="4">
        <v>85</v>
      </c>
      <c r="FR541" s="4">
        <v>69</v>
      </c>
      <c r="FS541" s="4">
        <v>53</v>
      </c>
      <c r="FT541" s="19">
        <v>4.4</v>
      </c>
      <c r="FU541" s="19">
        <v>3.6</v>
      </c>
      <c r="FV541" s="19">
        <v>2.6</v>
      </c>
      <c r="FW541" s="19">
        <v>5.8</v>
      </c>
      <c r="FX541" s="19">
        <v>4.1</v>
      </c>
      <c r="FY541" s="19">
        <v>3.2</v>
      </c>
      <c r="FZ541" s="19">
        <v>2.4</v>
      </c>
      <c r="GA541" s="19">
        <v>1.3</v>
      </c>
      <c r="GB541" s="19">
        <v>0.2</v>
      </c>
      <c r="GC541" s="20">
        <v>0</v>
      </c>
      <c r="GD541" s="19">
        <v>5</v>
      </c>
      <c r="GE541" s="19">
        <v>3.9</v>
      </c>
      <c r="GF541" s="19">
        <v>3.1</v>
      </c>
      <c r="GG541" s="19">
        <v>1.9</v>
      </c>
      <c r="GH541" s="19">
        <v>0.9</v>
      </c>
      <c r="GI541" s="20">
        <v>0</v>
      </c>
      <c r="GJ541" s="19">
        <v>12.5</v>
      </c>
      <c r="GK541" s="19">
        <v>12</v>
      </c>
      <c r="GL541" s="19">
        <v>10.3</v>
      </c>
      <c r="GM541" s="19">
        <v>9.4</v>
      </c>
      <c r="GN541" s="19">
        <v>8.4</v>
      </c>
      <c r="GO541" s="19">
        <v>7.4</v>
      </c>
      <c r="GP541" s="19">
        <v>6.7</v>
      </c>
      <c r="GQ541" s="19">
        <v>5.3</v>
      </c>
      <c r="GR541" s="19">
        <v>4.3</v>
      </c>
      <c r="GS541" s="19">
        <v>3.3</v>
      </c>
    </row>
    <row r="542">
      <c r="A542" s="2" t="s">
        <v>2960</v>
      </c>
      <c r="B542" s="2" t="s">
        <v>1019</v>
      </c>
      <c r="C542" s="2" t="s">
        <v>1923</v>
      </c>
      <c r="D542" s="2" t="s">
        <v>1973</v>
      </c>
      <c r="E542" s="2" t="s">
        <v>1974</v>
      </c>
      <c r="F542" s="2" t="s">
        <v>2961</v>
      </c>
      <c r="G542" s="2" t="s">
        <v>2961</v>
      </c>
      <c r="H542" s="2" t="s">
        <v>2961</v>
      </c>
      <c r="I542" s="2" t="s">
        <v>2962</v>
      </c>
      <c r="J542" s="2" t="s">
        <v>219</v>
      </c>
      <c r="K542" s="2" t="s">
        <v>252</v>
      </c>
      <c r="L542" s="3">
        <v>95.23</v>
      </c>
      <c r="M542" s="3">
        <v>99.99</v>
      </c>
      <c r="N542" s="3">
        <v>199.99</v>
      </c>
      <c r="O542" s="2" t="s">
        <v>196</v>
      </c>
      <c r="P542" s="2" t="s">
        <v>197</v>
      </c>
      <c r="Q542" s="2" t="s">
        <v>198</v>
      </c>
      <c r="R542" s="2" t="s">
        <v>199</v>
      </c>
      <c r="S542" s="2" t="s">
        <v>2963</v>
      </c>
      <c r="T542" s="2" t="s">
        <v>1322</v>
      </c>
      <c r="U542" s="2" t="s">
        <v>280</v>
      </c>
      <c r="V542" s="2" t="s">
        <v>202</v>
      </c>
      <c r="W542" s="2" t="s">
        <v>203</v>
      </c>
      <c r="X542" s="2" t="s">
        <v>199</v>
      </c>
      <c r="Y542" s="2" t="s">
        <v>2964</v>
      </c>
      <c r="Z542" s="4">
        <v>215</v>
      </c>
      <c r="AA542" s="4">
        <f>=ROUNDDOWN(19.5454545454545,0)</f>
      </c>
      <c r="AB542" s="5">
        <v>11</v>
      </c>
      <c r="AC542" s="2" t="s">
        <v>199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94</v>
      </c>
      <c r="BK542" s="8">
        <v>10074.38</v>
      </c>
      <c r="BL542" s="2" t="s">
        <v>2965</v>
      </c>
      <c r="BM542" s="7"/>
      <c r="BN542" s="7"/>
      <c r="BO542" s="4"/>
      <c r="BP542" s="8"/>
      <c r="BQ542" s="4"/>
      <c r="BR542" s="8"/>
      <c r="BS542" s="7"/>
      <c r="BT542" s="7"/>
      <c r="BU542" s="2" t="s">
        <v>2966</v>
      </c>
      <c r="BV542" s="2" t="s">
        <v>199</v>
      </c>
      <c r="BW542" s="2" t="s">
        <v>199</v>
      </c>
      <c r="BX542" s="2" t="s">
        <v>208</v>
      </c>
      <c r="BY542" s="2" t="s">
        <v>209</v>
      </c>
      <c r="BZ542" s="2" t="s">
        <v>196</v>
      </c>
      <c r="CA542" s="2" t="s">
        <v>2967</v>
      </c>
      <c r="CB542" s="2" t="s">
        <v>365</v>
      </c>
      <c r="CC542" s="2" t="s">
        <v>212</v>
      </c>
      <c r="CD542" s="2" t="s">
        <v>199</v>
      </c>
      <c r="CE542" s="4">
        <v>215</v>
      </c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>
        <v>224</v>
      </c>
      <c r="EU542" s="4">
        <v>212</v>
      </c>
      <c r="EV542" s="4">
        <v>206</v>
      </c>
      <c r="EW542" s="4">
        <v>202</v>
      </c>
      <c r="EX542" s="4">
        <v>198</v>
      </c>
      <c r="EY542" s="4">
        <v>194</v>
      </c>
      <c r="EZ542" s="4">
        <v>191</v>
      </c>
      <c r="FA542" s="4">
        <v>188</v>
      </c>
      <c r="FB542" s="4">
        <v>184</v>
      </c>
      <c r="FC542" s="4">
        <v>182</v>
      </c>
      <c r="FD542" s="4">
        <v>179</v>
      </c>
      <c r="FE542" s="4">
        <v>177</v>
      </c>
      <c r="FF542" s="4">
        <v>175</v>
      </c>
      <c r="FG542" s="4">
        <v>174</v>
      </c>
      <c r="FH542" s="4">
        <v>172</v>
      </c>
      <c r="FI542" s="4">
        <v>171</v>
      </c>
      <c r="FJ542" s="4">
        <v>170</v>
      </c>
      <c r="FK542" s="4">
        <v>169</v>
      </c>
      <c r="FL542" s="4">
        <v>168</v>
      </c>
      <c r="FM542" s="4">
        <v>167</v>
      </c>
      <c r="FN542" s="4">
        <v>165</v>
      </c>
      <c r="FO542" s="4">
        <v>164</v>
      </c>
      <c r="FP542" s="4">
        <v>163</v>
      </c>
      <c r="FQ542" s="4">
        <v>162</v>
      </c>
      <c r="FR542" s="4">
        <v>160</v>
      </c>
      <c r="FS542" s="4">
        <v>159</v>
      </c>
      <c r="FT542" s="19">
        <v>37.3</v>
      </c>
      <c r="FU542" s="19">
        <v>53</v>
      </c>
      <c r="FV542" s="19">
        <v>51.5</v>
      </c>
      <c r="FW542" s="19">
        <v>50.5</v>
      </c>
      <c r="FX542" s="19">
        <v>49.5</v>
      </c>
      <c r="FY542" s="19">
        <v>64.7</v>
      </c>
      <c r="FZ542" s="19">
        <v>63.7</v>
      </c>
      <c r="GA542" s="19">
        <v>62.7</v>
      </c>
      <c r="GB542" s="19">
        <v>92</v>
      </c>
      <c r="GC542" s="19">
        <v>91</v>
      </c>
      <c r="GD542" s="19">
        <v>89.5</v>
      </c>
      <c r="GE542" s="19">
        <v>88.5</v>
      </c>
      <c r="GF542" s="19">
        <v>175</v>
      </c>
      <c r="GG542" s="19">
        <v>174</v>
      </c>
      <c r="GH542" s="19">
        <v>172</v>
      </c>
      <c r="GI542" s="19">
        <v>171</v>
      </c>
      <c r="GJ542" s="19">
        <v>170</v>
      </c>
      <c r="GK542" s="19">
        <v>169</v>
      </c>
      <c r="GL542" s="19">
        <v>168</v>
      </c>
      <c r="GM542" s="19">
        <v>167</v>
      </c>
      <c r="GN542" s="19">
        <v>165</v>
      </c>
      <c r="GO542" s="19">
        <v>164</v>
      </c>
      <c r="GP542" s="19">
        <v>81.5</v>
      </c>
      <c r="GQ542" s="19">
        <v>81</v>
      </c>
      <c r="GR542" s="19">
        <v>80</v>
      </c>
      <c r="GS542" s="19">
        <v>79.5</v>
      </c>
    </row>
    <row r="543">
      <c r="A543" s="2" t="s">
        <v>2968</v>
      </c>
      <c r="B543" s="2" t="s">
        <v>630</v>
      </c>
      <c r="C543" s="2" t="s">
        <v>604</v>
      </c>
      <c r="D543" s="2" t="s">
        <v>631</v>
      </c>
      <c r="E543" s="2" t="s">
        <v>632</v>
      </c>
      <c r="F543" s="2" t="s">
        <v>1391</v>
      </c>
      <c r="G543" s="2" t="s">
        <v>1391</v>
      </c>
      <c r="H543" s="2" t="s">
        <v>1391</v>
      </c>
      <c r="I543" s="2" t="s">
        <v>2969</v>
      </c>
      <c r="J543" s="2" t="s">
        <v>232</v>
      </c>
      <c r="K543" s="2" t="s">
        <v>1269</v>
      </c>
      <c r="L543" s="3">
        <v>51.3</v>
      </c>
      <c r="M543" s="3">
        <v>53.86</v>
      </c>
      <c r="N543" s="3">
        <v>109.99</v>
      </c>
      <c r="O543" s="2" t="s">
        <v>196</v>
      </c>
      <c r="P543" s="2" t="s">
        <v>197</v>
      </c>
      <c r="Q543" s="2" t="s">
        <v>198</v>
      </c>
      <c r="R543" s="2" t="s">
        <v>199</v>
      </c>
      <c r="S543" s="2" t="s">
        <v>2970</v>
      </c>
      <c r="T543" s="2" t="s">
        <v>636</v>
      </c>
      <c r="U543" s="2" t="s">
        <v>637</v>
      </c>
      <c r="V543" s="2" t="s">
        <v>638</v>
      </c>
      <c r="W543" s="2" t="s">
        <v>2697</v>
      </c>
      <c r="X543" s="2" t="s">
        <v>199</v>
      </c>
      <c r="Y543" s="2" t="s">
        <v>756</v>
      </c>
      <c r="Z543" s="4">
        <v>84</v>
      </c>
      <c r="AA543" s="4">
        <f>=ROUNDDOWN(28,0)</f>
      </c>
      <c r="AB543" s="5">
        <v>3</v>
      </c>
      <c r="AC543" s="2" t="s">
        <v>199</v>
      </c>
      <c r="AD543" s="4"/>
      <c r="AE543" s="4"/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199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199</v>
      </c>
      <c r="BD543" s="8" t="s">
        <v>199</v>
      </c>
      <c r="BE543" s="4" t="s">
        <v>199</v>
      </c>
      <c r="BF543" s="8" t="s">
        <v>199</v>
      </c>
      <c r="BG543" s="7" t="s">
        <v>199</v>
      </c>
      <c r="BH543" s="7" t="s">
        <v>199</v>
      </c>
      <c r="BI543" s="7"/>
      <c r="BJ543" s="4">
        <v>12</v>
      </c>
      <c r="BK543" s="8">
        <v>696.09</v>
      </c>
      <c r="BL543" s="2" t="s">
        <v>2971</v>
      </c>
      <c r="BM543" s="7"/>
      <c r="BN543" s="7"/>
      <c r="BO543" s="4"/>
      <c r="BP543" s="8"/>
      <c r="BQ543" s="4"/>
      <c r="BR543" s="8"/>
      <c r="BS543" s="7"/>
      <c r="BT543" s="7"/>
      <c r="BU543" s="2" t="s">
        <v>2972</v>
      </c>
      <c r="BV543" s="2" t="s">
        <v>199</v>
      </c>
      <c r="BW543" s="2" t="s">
        <v>199</v>
      </c>
      <c r="BX543" s="2" t="s">
        <v>208</v>
      </c>
      <c r="BY543" s="2" t="s">
        <v>209</v>
      </c>
      <c r="BZ543" s="2" t="s">
        <v>196</v>
      </c>
      <c r="CA543" s="2" t="s">
        <v>2973</v>
      </c>
      <c r="CB543" s="2" t="s">
        <v>2496</v>
      </c>
      <c r="CC543" s="2" t="s">
        <v>212</v>
      </c>
      <c r="CD543" s="2" t="s">
        <v>199</v>
      </c>
      <c r="CE543" s="4">
        <v>84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>
        <v>85</v>
      </c>
      <c r="EU543" s="4">
        <v>80</v>
      </c>
      <c r="EV543" s="4">
        <v>77</v>
      </c>
      <c r="EW543" s="4">
        <v>74</v>
      </c>
      <c r="EX543" s="4">
        <v>71</v>
      </c>
      <c r="EY543" s="4">
        <v>68</v>
      </c>
      <c r="EZ543" s="4">
        <v>65</v>
      </c>
      <c r="FA543" s="4">
        <v>62</v>
      </c>
      <c r="FB543" s="4">
        <v>59</v>
      </c>
      <c r="FC543" s="4">
        <v>56</v>
      </c>
      <c r="FD543" s="4">
        <v>53</v>
      </c>
      <c r="FE543" s="4">
        <v>50</v>
      </c>
      <c r="FF543" s="4">
        <v>47</v>
      </c>
      <c r="FG543" s="4">
        <v>44</v>
      </c>
      <c r="FH543" s="4">
        <v>41</v>
      </c>
      <c r="FI543" s="4">
        <v>38</v>
      </c>
      <c r="FJ543" s="4">
        <v>35</v>
      </c>
      <c r="FK543" s="4">
        <v>32</v>
      </c>
      <c r="FL543" s="4">
        <v>29</v>
      </c>
      <c r="FM543" s="4">
        <v>26</v>
      </c>
      <c r="FN543" s="4">
        <v>23</v>
      </c>
      <c r="FO543" s="4">
        <v>20</v>
      </c>
      <c r="FP543" s="4">
        <v>17</v>
      </c>
      <c r="FQ543" s="4">
        <v>14</v>
      </c>
      <c r="FR543" s="4">
        <v>11</v>
      </c>
      <c r="FS543" s="4">
        <v>8</v>
      </c>
      <c r="FT543" s="19">
        <v>21.3</v>
      </c>
      <c r="FU543" s="19">
        <v>26.7</v>
      </c>
      <c r="FV543" s="19">
        <v>25.7</v>
      </c>
      <c r="FW543" s="19">
        <v>24.7</v>
      </c>
      <c r="FX543" s="19">
        <v>23.7</v>
      </c>
      <c r="FY543" s="19">
        <v>22.7</v>
      </c>
      <c r="FZ543" s="19">
        <v>21.7</v>
      </c>
      <c r="GA543" s="19">
        <v>20.7</v>
      </c>
      <c r="GB543" s="19">
        <v>19.7</v>
      </c>
      <c r="GC543" s="19">
        <v>18.7</v>
      </c>
      <c r="GD543" s="19">
        <v>17.7</v>
      </c>
      <c r="GE543" s="19">
        <v>16.7</v>
      </c>
      <c r="GF543" s="19">
        <v>15.7</v>
      </c>
      <c r="GG543" s="19">
        <v>14.7</v>
      </c>
      <c r="GH543" s="19">
        <v>13.7</v>
      </c>
      <c r="GI543" s="19">
        <v>12.7</v>
      </c>
      <c r="GJ543" s="19">
        <v>11.7</v>
      </c>
      <c r="GK543" s="19">
        <v>10.7</v>
      </c>
      <c r="GL543" s="19">
        <v>9.7</v>
      </c>
      <c r="GM543" s="19">
        <v>8.7</v>
      </c>
      <c r="GN543" s="19">
        <v>7.7</v>
      </c>
      <c r="GO543" s="19">
        <v>6.7</v>
      </c>
      <c r="GP543" s="19">
        <v>5.7</v>
      </c>
      <c r="GQ543" s="19">
        <v>4.7</v>
      </c>
      <c r="GR543" s="19">
        <v>3.7</v>
      </c>
      <c r="GS543" s="19">
        <v>2.7</v>
      </c>
    </row>
    <row r="544">
      <c r="A544" s="2" t="s">
        <v>2974</v>
      </c>
      <c r="B544" s="2" t="s">
        <v>630</v>
      </c>
      <c r="C544" s="2" t="s">
        <v>604</v>
      </c>
      <c r="D544" s="2" t="s">
        <v>228</v>
      </c>
      <c r="E544" s="2" t="s">
        <v>988</v>
      </c>
      <c r="F544" s="2" t="s">
        <v>1391</v>
      </c>
      <c r="G544" s="2" t="s">
        <v>1391</v>
      </c>
      <c r="H544" s="2" t="s">
        <v>1391</v>
      </c>
      <c r="I544" s="2" t="s">
        <v>2975</v>
      </c>
      <c r="J544" s="2" t="s">
        <v>232</v>
      </c>
      <c r="K544" s="2" t="s">
        <v>723</v>
      </c>
      <c r="L544" s="3">
        <v>59.85</v>
      </c>
      <c r="M544" s="3">
        <v>62.84</v>
      </c>
      <c r="N544" s="3">
        <v>129.99</v>
      </c>
      <c r="O544" s="2" t="s">
        <v>196</v>
      </c>
      <c r="P544" s="2" t="s">
        <v>621</v>
      </c>
      <c r="Q544" s="2" t="s">
        <v>198</v>
      </c>
      <c r="R544" s="2" t="s">
        <v>199</v>
      </c>
      <c r="S544" s="2" t="s">
        <v>2976</v>
      </c>
      <c r="T544" s="2" t="s">
        <v>636</v>
      </c>
      <c r="U544" s="2" t="s">
        <v>637</v>
      </c>
      <c r="V544" s="2" t="s">
        <v>638</v>
      </c>
      <c r="W544" s="2" t="s">
        <v>2697</v>
      </c>
      <c r="X544" s="2" t="s">
        <v>199</v>
      </c>
      <c r="Y544" s="2" t="s">
        <v>2070</v>
      </c>
      <c r="Z544" s="4">
        <v>472</v>
      </c>
      <c r="AA544" s="4">
        <f>=ROUNDDOWN(42.9090909090909,0)</f>
      </c>
      <c r="AB544" s="5">
        <v>11</v>
      </c>
      <c r="AC544" s="2" t="s">
        <v>1339</v>
      </c>
      <c r="AD544" s="4">
        <v>180</v>
      </c>
      <c r="AE544" s="4">
        <v>300</v>
      </c>
      <c r="AF544" s="6">
        <v>66</v>
      </c>
      <c r="AG544" s="6">
        <v>74</v>
      </c>
      <c r="AH544" s="7">
        <v>1</v>
      </c>
      <c r="AI544" s="4"/>
      <c r="AJ544" s="4">
        <f>=ROUNDDOWN({0},0)</f>
      </c>
      <c r="AK544" s="5"/>
      <c r="AL544" s="2" t="s">
        <v>199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199</v>
      </c>
      <c r="BD544" s="8" t="s">
        <v>199</v>
      </c>
      <c r="BE544" s="4" t="s">
        <v>199</v>
      </c>
      <c r="BF544" s="8" t="s">
        <v>199</v>
      </c>
      <c r="BG544" s="7" t="s">
        <v>199</v>
      </c>
      <c r="BH544" s="7" t="s">
        <v>199</v>
      </c>
      <c r="BI544" s="7"/>
      <c r="BJ544" s="4">
        <v>100</v>
      </c>
      <c r="BK544" s="8">
        <v>7104.46</v>
      </c>
      <c r="BL544" s="2" t="s">
        <v>2977</v>
      </c>
      <c r="BM544" s="7"/>
      <c r="BN544" s="7"/>
      <c r="BO544" s="4"/>
      <c r="BP544" s="8"/>
      <c r="BQ544" s="4"/>
      <c r="BR544" s="8"/>
      <c r="BS544" s="7"/>
      <c r="BT544" s="7"/>
      <c r="BU544" s="2" t="s">
        <v>2978</v>
      </c>
      <c r="BV544" s="2" t="s">
        <v>199</v>
      </c>
      <c r="BW544" s="2" t="s">
        <v>199</v>
      </c>
      <c r="BX544" s="2" t="s">
        <v>208</v>
      </c>
      <c r="BY544" s="2" t="s">
        <v>209</v>
      </c>
      <c r="BZ544" s="2" t="s">
        <v>196</v>
      </c>
      <c r="CA544" s="2" t="s">
        <v>2073</v>
      </c>
      <c r="CB544" s="2" t="s">
        <v>2979</v>
      </c>
      <c r="CC544" s="2" t="s">
        <v>212</v>
      </c>
      <c r="CD544" s="2" t="s">
        <v>199</v>
      </c>
      <c r="CE544" s="4">
        <v>371</v>
      </c>
      <c r="CF544" s="4"/>
      <c r="CG544" s="4"/>
      <c r="CH544" s="4">
        <v>101</v>
      </c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>
        <v>180</v>
      </c>
      <c r="EQ544" s="4"/>
      <c r="ER544" s="4">
        <v>120</v>
      </c>
      <c r="ES544" s="4"/>
      <c r="ET544" s="4">
        <v>475</v>
      </c>
      <c r="EU544" s="4">
        <v>463</v>
      </c>
      <c r="EV544" s="4">
        <v>453</v>
      </c>
      <c r="EW544" s="4">
        <v>443</v>
      </c>
      <c r="EX544" s="4">
        <v>433</v>
      </c>
      <c r="EY544" s="4">
        <v>423</v>
      </c>
      <c r="EZ544" s="4">
        <v>413</v>
      </c>
      <c r="FA544" s="4">
        <v>403</v>
      </c>
      <c r="FB544" s="4">
        <v>392</v>
      </c>
      <c r="FC544" s="4">
        <v>382</v>
      </c>
      <c r="FD544" s="4">
        <v>371</v>
      </c>
      <c r="FE544" s="4">
        <v>360</v>
      </c>
      <c r="FF544" s="4">
        <v>349</v>
      </c>
      <c r="FG544" s="4">
        <v>338</v>
      </c>
      <c r="FH544" s="4">
        <v>327</v>
      </c>
      <c r="FI544" s="4">
        <v>316</v>
      </c>
      <c r="FJ544" s="4">
        <v>305</v>
      </c>
      <c r="FK544" s="4">
        <v>294</v>
      </c>
      <c r="FL544" s="4">
        <v>463</v>
      </c>
      <c r="FM544" s="4">
        <v>572</v>
      </c>
      <c r="FN544" s="4">
        <v>561</v>
      </c>
      <c r="FO544" s="4">
        <v>550</v>
      </c>
      <c r="FP544" s="4">
        <v>538</v>
      </c>
      <c r="FQ544" s="4">
        <v>527</v>
      </c>
      <c r="FR544" s="4">
        <v>516</v>
      </c>
      <c r="FS544" s="4">
        <v>505</v>
      </c>
      <c r="FT544" s="19">
        <v>48.8</v>
      </c>
      <c r="FU544" s="19">
        <v>47.7</v>
      </c>
      <c r="FV544" s="19">
        <v>46.7</v>
      </c>
      <c r="FW544" s="19">
        <v>45.7</v>
      </c>
      <c r="FX544" s="19">
        <v>44.7</v>
      </c>
      <c r="FY544" s="19">
        <v>43.7</v>
      </c>
      <c r="FZ544" s="19">
        <v>42.7</v>
      </c>
      <c r="GA544" s="19">
        <v>39.5</v>
      </c>
      <c r="GB544" s="19">
        <v>38.5</v>
      </c>
      <c r="GC544" s="19">
        <v>37.6</v>
      </c>
      <c r="GD544" s="19">
        <v>36.6</v>
      </c>
      <c r="GE544" s="19">
        <v>35.6</v>
      </c>
      <c r="GF544" s="19">
        <v>34.6</v>
      </c>
      <c r="GG544" s="19">
        <v>33.6</v>
      </c>
      <c r="GH544" s="19">
        <v>32.6</v>
      </c>
      <c r="GI544" s="19">
        <v>31.6</v>
      </c>
      <c r="GJ544" s="19">
        <v>30.6</v>
      </c>
      <c r="GK544" s="19">
        <v>29.6</v>
      </c>
      <c r="GL544" s="19">
        <v>38.6</v>
      </c>
      <c r="GM544" s="19">
        <v>67.6</v>
      </c>
      <c r="GN544" s="19">
        <v>66.6</v>
      </c>
      <c r="GO544" s="19">
        <v>65.6</v>
      </c>
      <c r="GP544" s="19">
        <v>64.5</v>
      </c>
      <c r="GQ544" s="19">
        <v>63.5</v>
      </c>
      <c r="GR544" s="19">
        <v>62.5</v>
      </c>
      <c r="GS544" s="19">
        <v>61.5</v>
      </c>
    </row>
    <row r="545">
      <c r="A545" s="2" t="s">
        <v>2980</v>
      </c>
      <c r="B545" s="2" t="s">
        <v>736</v>
      </c>
      <c r="C545" s="2" t="s">
        <v>1007</v>
      </c>
      <c r="D545" s="2" t="s">
        <v>228</v>
      </c>
      <c r="E545" s="2" t="s">
        <v>988</v>
      </c>
      <c r="F545" s="2" t="s">
        <v>2981</v>
      </c>
      <c r="G545" s="2" t="s">
        <v>2982</v>
      </c>
      <c r="H545" s="2" t="s">
        <v>2983</v>
      </c>
      <c r="I545" s="2" t="s">
        <v>2984</v>
      </c>
      <c r="J545" s="2" t="s">
        <v>1011</v>
      </c>
      <c r="K545" s="2" t="s">
        <v>2985</v>
      </c>
      <c r="L545" s="3">
        <v>33.33</v>
      </c>
      <c r="M545" s="3">
        <v>35</v>
      </c>
      <c r="N545" s="3">
        <v>69.99</v>
      </c>
      <c r="O545" s="2" t="s">
        <v>196</v>
      </c>
      <c r="P545" s="2" t="s">
        <v>197</v>
      </c>
      <c r="Q545" s="2" t="s">
        <v>198</v>
      </c>
      <c r="R545" s="2" t="s">
        <v>199</v>
      </c>
      <c r="S545" s="2" t="s">
        <v>2986</v>
      </c>
      <c r="T545" s="2" t="s">
        <v>2068</v>
      </c>
      <c r="U545" s="2" t="s">
        <v>853</v>
      </c>
      <c r="V545" s="2" t="s">
        <v>202</v>
      </c>
      <c r="W545" s="2" t="s">
        <v>255</v>
      </c>
      <c r="X545" s="2" t="s">
        <v>203</v>
      </c>
      <c r="Y545" s="2" t="s">
        <v>2987</v>
      </c>
      <c r="Z545" s="4">
        <v>196</v>
      </c>
      <c r="AA545" s="4">
        <f>=ROUNDDOWN(130.666666666667,0)</f>
      </c>
      <c r="AB545" s="5">
        <v>1.5</v>
      </c>
      <c r="AC545" s="2" t="s">
        <v>892</v>
      </c>
      <c r="AD545" s="4">
        <v>40</v>
      </c>
      <c r="AE545" s="4">
        <v>40</v>
      </c>
      <c r="AF545" s="6">
        <v>64</v>
      </c>
      <c r="AG545" s="6"/>
      <c r="AH545" s="7">
        <v>1</v>
      </c>
      <c r="AI545" s="4"/>
      <c r="AJ545" s="4">
        <f>=ROUNDDOWN({0},0)</f>
      </c>
      <c r="AK545" s="5"/>
      <c r="AL545" s="2" t="s">
        <v>199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31</v>
      </c>
      <c r="BK545" s="8">
        <v>1191.64</v>
      </c>
      <c r="BL545" s="2" t="s">
        <v>2988</v>
      </c>
      <c r="BM545" s="7"/>
      <c r="BN545" s="7"/>
      <c r="BO545" s="4"/>
      <c r="BP545" s="8"/>
      <c r="BQ545" s="4"/>
      <c r="BR545" s="8"/>
      <c r="BS545" s="7"/>
      <c r="BT545" s="7"/>
      <c r="BU545" s="2" t="s">
        <v>2989</v>
      </c>
      <c r="BV545" s="2" t="s">
        <v>199</v>
      </c>
      <c r="BW545" s="2" t="s">
        <v>199</v>
      </c>
      <c r="BX545" s="2" t="s">
        <v>260</v>
      </c>
      <c r="BY545" s="2" t="s">
        <v>209</v>
      </c>
      <c r="BZ545" s="2" t="s">
        <v>196</v>
      </c>
      <c r="CA545" s="2" t="s">
        <v>901</v>
      </c>
      <c r="CB545" s="2" t="s">
        <v>904</v>
      </c>
      <c r="CC545" s="2" t="s">
        <v>212</v>
      </c>
      <c r="CD545" s="2" t="s">
        <v>199</v>
      </c>
      <c r="CE545" s="4">
        <v>196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>
        <v>40</v>
      </c>
      <c r="EN545" s="4"/>
      <c r="EO545" s="4"/>
      <c r="EP545" s="4"/>
      <c r="EQ545" s="4"/>
      <c r="ER545" s="4"/>
      <c r="ES545" s="4"/>
      <c r="ET545" s="4">
        <v>199</v>
      </c>
      <c r="EU545" s="4">
        <v>198</v>
      </c>
      <c r="EV545" s="4">
        <v>197</v>
      </c>
      <c r="EW545" s="4">
        <v>196</v>
      </c>
      <c r="EX545" s="4">
        <v>195</v>
      </c>
      <c r="EY545" s="4">
        <v>194</v>
      </c>
      <c r="EZ545" s="4">
        <v>193</v>
      </c>
      <c r="FA545" s="4">
        <v>192</v>
      </c>
      <c r="FB545" s="4">
        <v>191</v>
      </c>
      <c r="FC545" s="4">
        <v>190</v>
      </c>
      <c r="FD545" s="4">
        <v>189</v>
      </c>
      <c r="FE545" s="4">
        <v>188</v>
      </c>
      <c r="FF545" s="4">
        <v>187</v>
      </c>
      <c r="FG545" s="4">
        <v>186</v>
      </c>
      <c r="FH545" s="4">
        <v>185</v>
      </c>
      <c r="FI545" s="4">
        <v>184</v>
      </c>
      <c r="FJ545" s="4">
        <v>223</v>
      </c>
      <c r="FK545" s="4">
        <v>222</v>
      </c>
      <c r="FL545" s="4">
        <v>221</v>
      </c>
      <c r="FM545" s="4">
        <v>220</v>
      </c>
      <c r="FN545" s="4">
        <v>219</v>
      </c>
      <c r="FO545" s="4">
        <v>218</v>
      </c>
      <c r="FP545" s="4">
        <v>217</v>
      </c>
      <c r="FQ545" s="4">
        <v>216</v>
      </c>
      <c r="FR545" s="4">
        <v>215</v>
      </c>
      <c r="FS545" s="4">
        <v>214</v>
      </c>
      <c r="FT545" s="19">
        <v>199</v>
      </c>
      <c r="FU545" s="19">
        <v>198</v>
      </c>
      <c r="FV545" s="19">
        <v>197</v>
      </c>
      <c r="FW545" s="19">
        <v>196</v>
      </c>
      <c r="FX545" s="19">
        <v>195</v>
      </c>
      <c r="FY545" s="19">
        <v>194</v>
      </c>
      <c r="FZ545" s="19">
        <v>193</v>
      </c>
      <c r="GA545" s="19">
        <v>192</v>
      </c>
      <c r="GB545" s="19">
        <v>191</v>
      </c>
      <c r="GC545" s="19">
        <v>190</v>
      </c>
      <c r="GD545" s="19">
        <v>189</v>
      </c>
      <c r="GE545" s="19">
        <v>188</v>
      </c>
      <c r="GF545" s="19">
        <v>187</v>
      </c>
      <c r="GG545" s="19">
        <v>186</v>
      </c>
      <c r="GH545" s="19">
        <v>185</v>
      </c>
      <c r="GI545" s="19">
        <v>184</v>
      </c>
      <c r="GJ545" s="19">
        <v>223</v>
      </c>
      <c r="GK545" s="19">
        <v>222</v>
      </c>
      <c r="GL545" s="19">
        <v>221</v>
      </c>
      <c r="GM545" s="19">
        <v>220</v>
      </c>
      <c r="GN545" s="19">
        <v>219</v>
      </c>
      <c r="GO545" s="19">
        <v>218</v>
      </c>
      <c r="GP545" s="19">
        <v>217</v>
      </c>
      <c r="GQ545" s="19">
        <v>216</v>
      </c>
      <c r="GR545" s="19">
        <v>107.5</v>
      </c>
      <c r="GS545" s="19">
        <v>107</v>
      </c>
    </row>
    <row r="546">
      <c r="A546" s="2" t="s">
        <v>2990</v>
      </c>
      <c r="B546" s="2" t="s">
        <v>613</v>
      </c>
      <c r="C546" s="2" t="s">
        <v>604</v>
      </c>
      <c r="D546" s="2" t="s">
        <v>2991</v>
      </c>
      <c r="E546" s="2" t="s">
        <v>2992</v>
      </c>
      <c r="F546" s="2" t="s">
        <v>2993</v>
      </c>
      <c r="G546" s="2" t="s">
        <v>2993</v>
      </c>
      <c r="H546" s="2" t="s">
        <v>2993</v>
      </c>
      <c r="I546" s="2" t="s">
        <v>2994</v>
      </c>
      <c r="J546" s="2" t="s">
        <v>2995</v>
      </c>
      <c r="K546" s="2" t="s">
        <v>2996</v>
      </c>
      <c r="L546" s="3">
        <v>157.5</v>
      </c>
      <c r="M546" s="3">
        <v>165.38</v>
      </c>
      <c r="N546" s="3">
        <v>329</v>
      </c>
      <c r="O546" s="2" t="s">
        <v>196</v>
      </c>
      <c r="P546" s="2" t="s">
        <v>841</v>
      </c>
      <c r="Q546" s="2" t="s">
        <v>198</v>
      </c>
      <c r="R546" s="2" t="s">
        <v>199</v>
      </c>
      <c r="S546" s="2" t="s">
        <v>199</v>
      </c>
      <c r="T546" s="2" t="s">
        <v>199</v>
      </c>
      <c r="U546" s="2" t="s">
        <v>280</v>
      </c>
      <c r="V546" s="2" t="s">
        <v>493</v>
      </c>
      <c r="W546" s="2" t="s">
        <v>510</v>
      </c>
      <c r="X546" s="2" t="s">
        <v>203</v>
      </c>
      <c r="Y546" s="2" t="s">
        <v>2997</v>
      </c>
      <c r="Z546" s="4">
        <v>158</v>
      </c>
      <c r="AA546" s="4">
        <f>=ROUNDDOWN(79,0)</f>
      </c>
      <c r="AB546" s="5">
        <v>2</v>
      </c>
      <c r="AC546" s="2" t="s">
        <v>199</v>
      </c>
      <c r="AD546" s="4"/>
      <c r="AE546" s="4"/>
      <c r="AF546" s="6">
        <v>76</v>
      </c>
      <c r="AG546" s="6"/>
      <c r="AH546" s="7">
        <v>1</v>
      </c>
      <c r="AI546" s="4"/>
      <c r="AJ546" s="4">
        <f>=ROUNDDOWN({0},0)</f>
      </c>
      <c r="AK546" s="5"/>
      <c r="AL546" s="2" t="s">
        <v>199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199</v>
      </c>
      <c r="AW546" s="8" t="s">
        <v>199</v>
      </c>
      <c r="AX546" s="4" t="s">
        <v>199</v>
      </c>
      <c r="AY546" s="8" t="s">
        <v>199</v>
      </c>
      <c r="AZ546" s="7" t="s">
        <v>199</v>
      </c>
      <c r="BA546" s="7" t="s">
        <v>199</v>
      </c>
      <c r="BB546" s="7"/>
      <c r="BC546" s="4" t="s">
        <v>199</v>
      </c>
      <c r="BD546" s="8" t="s">
        <v>199</v>
      </c>
      <c r="BE546" s="4" t="s">
        <v>199</v>
      </c>
      <c r="BF546" s="8" t="s">
        <v>199</v>
      </c>
      <c r="BG546" s="7" t="s">
        <v>199</v>
      </c>
      <c r="BH546" s="7" t="s">
        <v>199</v>
      </c>
      <c r="BI546" s="7"/>
      <c r="BJ546" s="4">
        <v>14</v>
      </c>
      <c r="BK546" s="8">
        <v>2370.31</v>
      </c>
      <c r="BL546" s="2" t="s">
        <v>2552</v>
      </c>
      <c r="BM546" s="7"/>
      <c r="BN546" s="7"/>
      <c r="BO546" s="4"/>
      <c r="BP546" s="8"/>
      <c r="BQ546" s="4"/>
      <c r="BR546" s="8"/>
      <c r="BS546" s="7"/>
      <c r="BT546" s="7"/>
      <c r="BU546" s="2" t="s">
        <v>2998</v>
      </c>
      <c r="BV546" s="2" t="s">
        <v>199</v>
      </c>
      <c r="BW546" s="2" t="s">
        <v>199</v>
      </c>
      <c r="BX546" s="2" t="s">
        <v>208</v>
      </c>
      <c r="BY546" s="2" t="s">
        <v>209</v>
      </c>
      <c r="BZ546" s="2" t="s">
        <v>196</v>
      </c>
      <c r="CA546" s="2" t="s">
        <v>827</v>
      </c>
      <c r="CB546" s="2" t="s">
        <v>2999</v>
      </c>
      <c r="CC546" s="2" t="s">
        <v>212</v>
      </c>
      <c r="CD546" s="2" t="s">
        <v>199</v>
      </c>
      <c r="CE546" s="4"/>
      <c r="CF546" s="4">
        <v>158</v>
      </c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>
        <v>159</v>
      </c>
      <c r="EU546" s="4">
        <v>157</v>
      </c>
      <c r="EV546" s="4">
        <v>155</v>
      </c>
      <c r="EW546" s="4">
        <v>153</v>
      </c>
      <c r="EX546" s="4">
        <v>151</v>
      </c>
      <c r="EY546" s="4">
        <v>149</v>
      </c>
      <c r="EZ546" s="4">
        <v>147</v>
      </c>
      <c r="FA546" s="4">
        <v>145</v>
      </c>
      <c r="FB546" s="4">
        <v>143</v>
      </c>
      <c r="FC546" s="4">
        <v>141</v>
      </c>
      <c r="FD546" s="4">
        <v>139</v>
      </c>
      <c r="FE546" s="4">
        <v>137</v>
      </c>
      <c r="FF546" s="4">
        <v>135</v>
      </c>
      <c r="FG546" s="4">
        <v>133</v>
      </c>
      <c r="FH546" s="4">
        <v>131</v>
      </c>
      <c r="FI546" s="4">
        <v>129</v>
      </c>
      <c r="FJ546" s="4">
        <v>127</v>
      </c>
      <c r="FK546" s="4">
        <v>125</v>
      </c>
      <c r="FL546" s="4">
        <v>123</v>
      </c>
      <c r="FM546" s="4">
        <v>121</v>
      </c>
      <c r="FN546" s="4">
        <v>119</v>
      </c>
      <c r="FO546" s="4">
        <v>117</v>
      </c>
      <c r="FP546" s="4">
        <v>115</v>
      </c>
      <c r="FQ546" s="4">
        <v>113</v>
      </c>
      <c r="FR546" s="4">
        <v>111</v>
      </c>
      <c r="FS546" s="4">
        <v>109</v>
      </c>
      <c r="FT546" s="19">
        <v>79.5</v>
      </c>
      <c r="FU546" s="19">
        <v>78.5</v>
      </c>
      <c r="FV546" s="19">
        <v>77.5</v>
      </c>
      <c r="FW546" s="19">
        <v>76.5</v>
      </c>
      <c r="FX546" s="19">
        <v>75.5</v>
      </c>
      <c r="FY546" s="19">
        <v>74.5</v>
      </c>
      <c r="FZ546" s="19">
        <v>73.5</v>
      </c>
      <c r="GA546" s="19">
        <v>72.5</v>
      </c>
      <c r="GB546" s="19">
        <v>71.5</v>
      </c>
      <c r="GC546" s="19">
        <v>70.5</v>
      </c>
      <c r="GD546" s="19">
        <v>69.5</v>
      </c>
      <c r="GE546" s="19">
        <v>68.5</v>
      </c>
      <c r="GF546" s="19">
        <v>67.5</v>
      </c>
      <c r="GG546" s="19">
        <v>66.5</v>
      </c>
      <c r="GH546" s="19">
        <v>65.5</v>
      </c>
      <c r="GI546" s="19">
        <v>64.5</v>
      </c>
      <c r="GJ546" s="19">
        <v>63.5</v>
      </c>
      <c r="GK546" s="19">
        <v>62.5</v>
      </c>
      <c r="GL546" s="19">
        <v>61.5</v>
      </c>
      <c r="GM546" s="19">
        <v>60.5</v>
      </c>
      <c r="GN546" s="19">
        <v>59.5</v>
      </c>
      <c r="GO546" s="19">
        <v>58.5</v>
      </c>
      <c r="GP546" s="19">
        <v>57.5</v>
      </c>
      <c r="GQ546" s="19">
        <v>56.5</v>
      </c>
      <c r="GR546" s="19">
        <v>55.5</v>
      </c>
      <c r="GS546" s="19">
        <v>54.5</v>
      </c>
    </row>
    <row r="547">
      <c r="A547" s="2" t="s">
        <v>3000</v>
      </c>
      <c r="B547" s="2" t="s">
        <v>613</v>
      </c>
      <c r="C547" s="2" t="s">
        <v>604</v>
      </c>
      <c r="D547" s="2" t="s">
        <v>2991</v>
      </c>
      <c r="E547" s="2" t="s">
        <v>2992</v>
      </c>
      <c r="F547" s="2" t="s">
        <v>2993</v>
      </c>
      <c r="G547" s="2" t="s">
        <v>2993</v>
      </c>
      <c r="H547" s="2" t="s">
        <v>2993</v>
      </c>
      <c r="I547" s="2" t="s">
        <v>3001</v>
      </c>
      <c r="J547" s="2" t="s">
        <v>3002</v>
      </c>
      <c r="K547" s="2" t="s">
        <v>2996</v>
      </c>
      <c r="L547" s="3">
        <v>166.5</v>
      </c>
      <c r="M547" s="3">
        <v>174.83</v>
      </c>
      <c r="N547" s="3">
        <v>349</v>
      </c>
      <c r="O547" s="2" t="s">
        <v>196</v>
      </c>
      <c r="P547" s="2" t="s">
        <v>841</v>
      </c>
      <c r="Q547" s="2" t="s">
        <v>198</v>
      </c>
      <c r="R547" s="2" t="s">
        <v>199</v>
      </c>
      <c r="S547" s="2" t="s">
        <v>199</v>
      </c>
      <c r="T547" s="2" t="s">
        <v>199</v>
      </c>
      <c r="U547" s="2" t="s">
        <v>280</v>
      </c>
      <c r="V547" s="2" t="s">
        <v>493</v>
      </c>
      <c r="W547" s="2" t="s">
        <v>510</v>
      </c>
      <c r="X547" s="2" t="s">
        <v>203</v>
      </c>
      <c r="Y547" s="2" t="s">
        <v>2997</v>
      </c>
      <c r="Z547" s="4">
        <v>40</v>
      </c>
      <c r="AA547" s="4">
        <f>=ROUNDDOWN(20,0)</f>
      </c>
      <c r="AB547" s="5">
        <v>2</v>
      </c>
      <c r="AC547" s="2" t="s">
        <v>199</v>
      </c>
      <c r="AD547" s="4"/>
      <c r="AE547" s="4"/>
      <c r="AF547" s="6">
        <v>76</v>
      </c>
      <c r="AG547" s="6"/>
      <c r="AH547" s="7">
        <v>1</v>
      </c>
      <c r="AI547" s="4"/>
      <c r="AJ547" s="4">
        <f>=ROUNDDOWN({0},0)</f>
      </c>
      <c r="AK547" s="5"/>
      <c r="AL547" s="2" t="s">
        <v>199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199</v>
      </c>
      <c r="AW547" s="8" t="s">
        <v>199</v>
      </c>
      <c r="AX547" s="4" t="s">
        <v>199</v>
      </c>
      <c r="AY547" s="8" t="s">
        <v>199</v>
      </c>
      <c r="AZ547" s="7" t="s">
        <v>199</v>
      </c>
      <c r="BA547" s="7" t="s">
        <v>199</v>
      </c>
      <c r="BB547" s="7"/>
      <c r="BC547" s="4" t="s">
        <v>199</v>
      </c>
      <c r="BD547" s="8" t="s">
        <v>199</v>
      </c>
      <c r="BE547" s="4" t="s">
        <v>199</v>
      </c>
      <c r="BF547" s="8" t="s">
        <v>199</v>
      </c>
      <c r="BG547" s="7" t="s">
        <v>199</v>
      </c>
      <c r="BH547" s="7" t="s">
        <v>199</v>
      </c>
      <c r="BI547" s="7"/>
      <c r="BJ547" s="4">
        <v>18</v>
      </c>
      <c r="BK547" s="8">
        <v>3263.5</v>
      </c>
      <c r="BL547" s="2" t="s">
        <v>2552</v>
      </c>
      <c r="BM547" s="7"/>
      <c r="BN547" s="7"/>
      <c r="BO547" s="4"/>
      <c r="BP547" s="8"/>
      <c r="BQ547" s="4"/>
      <c r="BR547" s="8"/>
      <c r="BS547" s="7"/>
      <c r="BT547" s="7"/>
      <c r="BU547" s="2" t="s">
        <v>3003</v>
      </c>
      <c r="BV547" s="2" t="s">
        <v>199</v>
      </c>
      <c r="BW547" s="2" t="s">
        <v>199</v>
      </c>
      <c r="BX547" s="2" t="s">
        <v>208</v>
      </c>
      <c r="BY547" s="2" t="s">
        <v>209</v>
      </c>
      <c r="BZ547" s="2" t="s">
        <v>196</v>
      </c>
      <c r="CA547" s="2" t="s">
        <v>827</v>
      </c>
      <c r="CB547" s="2" t="s">
        <v>3004</v>
      </c>
      <c r="CC547" s="2" t="s">
        <v>212</v>
      </c>
      <c r="CD547" s="2" t="s">
        <v>199</v>
      </c>
      <c r="CE547" s="4"/>
      <c r="CF547" s="4">
        <v>40</v>
      </c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>
        <v>42</v>
      </c>
      <c r="EU547" s="4">
        <v>40</v>
      </c>
      <c r="EV547" s="4">
        <v>38</v>
      </c>
      <c r="EW547" s="4">
        <v>36</v>
      </c>
      <c r="EX547" s="4">
        <v>34</v>
      </c>
      <c r="EY547" s="4">
        <v>32</v>
      </c>
      <c r="EZ547" s="4">
        <v>30</v>
      </c>
      <c r="FA547" s="4">
        <v>28</v>
      </c>
      <c r="FB547" s="4">
        <v>26</v>
      </c>
      <c r="FC547" s="4">
        <v>24</v>
      </c>
      <c r="FD547" s="4">
        <v>22</v>
      </c>
      <c r="FE547" s="4">
        <v>20</v>
      </c>
      <c r="FF547" s="4">
        <v>18</v>
      </c>
      <c r="FG547" s="4">
        <v>16</v>
      </c>
      <c r="FH547" s="4">
        <v>14</v>
      </c>
      <c r="FI547" s="4">
        <v>12</v>
      </c>
      <c r="FJ547" s="4">
        <v>10</v>
      </c>
      <c r="FK547" s="4">
        <v>8</v>
      </c>
      <c r="FL547" s="4">
        <v>6</v>
      </c>
      <c r="FM547" s="4">
        <v>4</v>
      </c>
      <c r="FN547" s="4">
        <v>2</v>
      </c>
      <c r="FO547" s="4"/>
      <c r="FP547" s="4"/>
      <c r="FQ547" s="4"/>
      <c r="FR547" s="4"/>
      <c r="FS547" s="4"/>
      <c r="FT547" s="19">
        <v>21</v>
      </c>
      <c r="FU547" s="19">
        <v>20</v>
      </c>
      <c r="FV547" s="19">
        <v>19</v>
      </c>
      <c r="FW547" s="19">
        <v>18</v>
      </c>
      <c r="FX547" s="19">
        <v>17</v>
      </c>
      <c r="FY547" s="19">
        <v>16</v>
      </c>
      <c r="FZ547" s="19">
        <v>15</v>
      </c>
      <c r="GA547" s="19">
        <v>14</v>
      </c>
      <c r="GB547" s="19">
        <v>13</v>
      </c>
      <c r="GC547" s="19">
        <v>12</v>
      </c>
      <c r="GD547" s="19">
        <v>11</v>
      </c>
      <c r="GE547" s="19">
        <v>10</v>
      </c>
      <c r="GF547" s="19">
        <v>9</v>
      </c>
      <c r="GG547" s="19">
        <v>8</v>
      </c>
      <c r="GH547" s="19">
        <v>7</v>
      </c>
      <c r="GI547" s="19">
        <v>6</v>
      </c>
      <c r="GJ547" s="19">
        <v>5</v>
      </c>
      <c r="GK547" s="19">
        <v>4</v>
      </c>
      <c r="GL547" s="19">
        <v>3</v>
      </c>
      <c r="GM547" s="19">
        <v>2</v>
      </c>
      <c r="GN547" s="19">
        <v>1</v>
      </c>
      <c r="GO547" s="20">
        <v>0</v>
      </c>
      <c r="GP547" s="20">
        <v>0</v>
      </c>
      <c r="GQ547" s="20">
        <v>0</v>
      </c>
      <c r="GR547" s="20">
        <v>0</v>
      </c>
      <c r="GS547" s="20">
        <v>0</v>
      </c>
    </row>
    <row r="548">
      <c r="A548" s="2" t="s">
        <v>3005</v>
      </c>
      <c r="B548" s="2" t="s">
        <v>554</v>
      </c>
      <c r="C548" s="2" t="s">
        <v>246</v>
      </c>
      <c r="D548" s="2" t="s">
        <v>861</v>
      </c>
      <c r="E548" s="2" t="s">
        <v>556</v>
      </c>
      <c r="F548" s="2" t="s">
        <v>3006</v>
      </c>
      <c r="G548" s="2" t="s">
        <v>3006</v>
      </c>
      <c r="H548" s="2" t="s">
        <v>3006</v>
      </c>
      <c r="I548" s="2" t="s">
        <v>3007</v>
      </c>
      <c r="J548" s="2" t="s">
        <v>559</v>
      </c>
      <c r="K548" s="2" t="s">
        <v>3008</v>
      </c>
      <c r="L548" s="3">
        <v>52.38</v>
      </c>
      <c r="M548" s="3">
        <v>55</v>
      </c>
      <c r="N548" s="3">
        <v>109.99</v>
      </c>
      <c r="O548" s="2" t="s">
        <v>196</v>
      </c>
      <c r="P548" s="2" t="s">
        <v>841</v>
      </c>
      <c r="Q548" s="2" t="s">
        <v>198</v>
      </c>
      <c r="R548" s="2" t="s">
        <v>199</v>
      </c>
      <c r="S548" s="2" t="s">
        <v>199</v>
      </c>
      <c r="T548" s="2" t="s">
        <v>199</v>
      </c>
      <c r="U548" s="2" t="s">
        <v>280</v>
      </c>
      <c r="V548" s="2" t="s">
        <v>493</v>
      </c>
      <c r="W548" s="2" t="s">
        <v>728</v>
      </c>
      <c r="X548" s="2" t="s">
        <v>623</v>
      </c>
      <c r="Y548" s="2" t="s">
        <v>3009</v>
      </c>
      <c r="Z548" s="4">
        <v>39</v>
      </c>
      <c r="AA548" s="4">
        <f>=ROUNDDOWN(39,0)</f>
      </c>
      <c r="AB548" s="5">
        <v>1</v>
      </c>
      <c r="AC548" s="2" t="s">
        <v>199</v>
      </c>
      <c r="AD548" s="4"/>
      <c r="AE548" s="4"/>
      <c r="AF548" s="6">
        <v>61</v>
      </c>
      <c r="AG548" s="6"/>
      <c r="AH548" s="7">
        <v>1</v>
      </c>
      <c r="AI548" s="4"/>
      <c r="AJ548" s="4">
        <f>=ROUNDDOWN({0},0)</f>
      </c>
      <c r="AK548" s="5"/>
      <c r="AL548" s="2" t="s">
        <v>199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6</v>
      </c>
      <c r="BK548" s="8">
        <v>358.05</v>
      </c>
      <c r="BL548" s="2" t="s">
        <v>3010</v>
      </c>
      <c r="BM548" s="7"/>
      <c r="BN548" s="7"/>
      <c r="BO548" s="4"/>
      <c r="BP548" s="8"/>
      <c r="BQ548" s="4"/>
      <c r="BR548" s="8"/>
      <c r="BS548" s="7"/>
      <c r="BT548" s="7"/>
      <c r="BU548" s="2" t="s">
        <v>3011</v>
      </c>
      <c r="BV548" s="2" t="s">
        <v>199</v>
      </c>
      <c r="BW548" s="2" t="s">
        <v>199</v>
      </c>
      <c r="BX548" s="2" t="s">
        <v>208</v>
      </c>
      <c r="BY548" s="2" t="s">
        <v>209</v>
      </c>
      <c r="BZ548" s="2" t="s">
        <v>196</v>
      </c>
      <c r="CA548" s="2" t="s">
        <v>3012</v>
      </c>
      <c r="CB548" s="2" t="s">
        <v>199</v>
      </c>
      <c r="CC548" s="2" t="s">
        <v>212</v>
      </c>
      <c r="CD548" s="2" t="s">
        <v>199</v>
      </c>
      <c r="CE548" s="4"/>
      <c r="CF548" s="4">
        <v>39</v>
      </c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>
        <v>41</v>
      </c>
      <c r="EU548" s="4">
        <v>38</v>
      </c>
      <c r="EV548" s="4">
        <v>37</v>
      </c>
      <c r="EW548" s="4">
        <v>36</v>
      </c>
      <c r="EX548" s="4">
        <v>35</v>
      </c>
      <c r="EY548" s="4">
        <v>34</v>
      </c>
      <c r="EZ548" s="4">
        <v>33</v>
      </c>
      <c r="FA548" s="4">
        <v>32</v>
      </c>
      <c r="FB548" s="4">
        <v>31</v>
      </c>
      <c r="FC548" s="4">
        <v>30</v>
      </c>
      <c r="FD548" s="4">
        <v>29</v>
      </c>
      <c r="FE548" s="4">
        <v>28</v>
      </c>
      <c r="FF548" s="4">
        <v>27</v>
      </c>
      <c r="FG548" s="4">
        <v>26</v>
      </c>
      <c r="FH548" s="4">
        <v>25</v>
      </c>
      <c r="FI548" s="4">
        <v>24</v>
      </c>
      <c r="FJ548" s="4">
        <v>23</v>
      </c>
      <c r="FK548" s="4">
        <v>22</v>
      </c>
      <c r="FL548" s="4">
        <v>21</v>
      </c>
      <c r="FM548" s="4">
        <v>20</v>
      </c>
      <c r="FN548" s="4">
        <v>19</v>
      </c>
      <c r="FO548" s="4">
        <v>18</v>
      </c>
      <c r="FP548" s="4">
        <v>17</v>
      </c>
      <c r="FQ548" s="4">
        <v>16</v>
      </c>
      <c r="FR548" s="4">
        <v>15</v>
      </c>
      <c r="FS548" s="4">
        <v>14</v>
      </c>
      <c r="FT548" s="19">
        <v>20.5</v>
      </c>
      <c r="FU548" s="19">
        <v>38</v>
      </c>
      <c r="FV548" s="19">
        <v>37</v>
      </c>
      <c r="FW548" s="19">
        <v>36</v>
      </c>
      <c r="FX548" s="19">
        <v>35</v>
      </c>
      <c r="FY548" s="19">
        <v>34</v>
      </c>
      <c r="FZ548" s="19">
        <v>33</v>
      </c>
      <c r="GA548" s="19">
        <v>32</v>
      </c>
      <c r="GB548" s="19">
        <v>31</v>
      </c>
      <c r="GC548" s="19">
        <v>30</v>
      </c>
      <c r="GD548" s="19">
        <v>29</v>
      </c>
      <c r="GE548" s="19">
        <v>28</v>
      </c>
      <c r="GF548" s="19">
        <v>27</v>
      </c>
      <c r="GG548" s="19">
        <v>26</v>
      </c>
      <c r="GH548" s="19">
        <v>25</v>
      </c>
      <c r="GI548" s="19">
        <v>24</v>
      </c>
      <c r="GJ548" s="19">
        <v>23</v>
      </c>
      <c r="GK548" s="19">
        <v>22</v>
      </c>
      <c r="GL548" s="19">
        <v>21</v>
      </c>
      <c r="GM548" s="19">
        <v>20</v>
      </c>
      <c r="GN548" s="19">
        <v>19</v>
      </c>
      <c r="GO548" s="19">
        <v>18</v>
      </c>
      <c r="GP548" s="19">
        <v>17</v>
      </c>
      <c r="GQ548" s="19">
        <v>16</v>
      </c>
      <c r="GR548" s="19">
        <v>15</v>
      </c>
      <c r="GS548" s="19">
        <v>14</v>
      </c>
    </row>
    <row r="549">
      <c r="A549" s="2" t="s">
        <v>3013</v>
      </c>
      <c r="B549" s="2" t="s">
        <v>630</v>
      </c>
      <c r="C549" s="2" t="s">
        <v>719</v>
      </c>
      <c r="D549" s="2" t="s">
        <v>631</v>
      </c>
      <c r="E549" s="2" t="s">
        <v>720</v>
      </c>
      <c r="F549" s="2" t="s">
        <v>3014</v>
      </c>
      <c r="G549" s="2" t="s">
        <v>3014</v>
      </c>
      <c r="H549" s="2" t="s">
        <v>3014</v>
      </c>
      <c r="I549" s="2" t="s">
        <v>3015</v>
      </c>
      <c r="J549" s="2" t="s">
        <v>241</v>
      </c>
      <c r="K549" s="2" t="s">
        <v>490</v>
      </c>
      <c r="L549" s="3">
        <v>90</v>
      </c>
      <c r="M549" s="3">
        <v>94.5</v>
      </c>
      <c r="N549" s="3">
        <v>179.99</v>
      </c>
      <c r="O549" s="2" t="s">
        <v>196</v>
      </c>
      <c r="P549" s="2" t="s">
        <v>724</v>
      </c>
      <c r="Q549" s="2" t="s">
        <v>198</v>
      </c>
      <c r="R549" s="2" t="s">
        <v>199</v>
      </c>
      <c r="S549" s="2" t="s">
        <v>3016</v>
      </c>
      <c r="T549" s="2" t="s">
        <v>726</v>
      </c>
      <c r="U549" s="2" t="s">
        <v>492</v>
      </c>
      <c r="V549" s="2" t="s">
        <v>301</v>
      </c>
      <c r="W549" s="2" t="s">
        <v>727</v>
      </c>
      <c r="X549" s="2" t="s">
        <v>3017</v>
      </c>
      <c r="Y549" s="2" t="s">
        <v>3018</v>
      </c>
      <c r="Z549" s="4">
        <v>107</v>
      </c>
      <c r="AA549" s="4">
        <f>=ROUNDDOWN(71.3333333333333,0)</f>
      </c>
      <c r="AB549" s="5">
        <v>1.5</v>
      </c>
      <c r="AC549" s="2" t="s">
        <v>199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</v>
      </c>
      <c r="BK549" s="8">
        <v>102.06</v>
      </c>
      <c r="BL549" s="2" t="s">
        <v>1465</v>
      </c>
      <c r="BM549" s="7"/>
      <c r="BN549" s="7"/>
      <c r="BO549" s="4"/>
      <c r="BP549" s="8"/>
      <c r="BQ549" s="4"/>
      <c r="BR549" s="8"/>
      <c r="BS549" s="7"/>
      <c r="BT549" s="7"/>
      <c r="BU549" s="2" t="s">
        <v>3019</v>
      </c>
      <c r="BV549" s="2" t="s">
        <v>199</v>
      </c>
      <c r="BW549" s="2" t="s">
        <v>199</v>
      </c>
      <c r="BX549" s="2" t="s">
        <v>208</v>
      </c>
      <c r="BY549" s="2" t="s">
        <v>209</v>
      </c>
      <c r="BZ549" s="2" t="s">
        <v>196</v>
      </c>
      <c r="CA549" s="2" t="s">
        <v>3020</v>
      </c>
      <c r="CB549" s="2" t="s">
        <v>3021</v>
      </c>
      <c r="CC549" s="2" t="s">
        <v>212</v>
      </c>
      <c r="CD549" s="2" t="s">
        <v>199</v>
      </c>
      <c r="CE549" s="4">
        <v>79</v>
      </c>
      <c r="CF549" s="4"/>
      <c r="CG549" s="4"/>
      <c r="CH549" s="4">
        <v>28</v>
      </c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>
        <v>108</v>
      </c>
      <c r="EU549" s="4">
        <v>106</v>
      </c>
      <c r="EV549" s="4">
        <v>104</v>
      </c>
      <c r="EW549" s="4">
        <v>103</v>
      </c>
      <c r="EX549" s="4">
        <v>102</v>
      </c>
      <c r="EY549" s="4">
        <v>100</v>
      </c>
      <c r="EZ549" s="4">
        <v>98</v>
      </c>
      <c r="FA549" s="4">
        <v>96</v>
      </c>
      <c r="FB549" s="4">
        <v>94</v>
      </c>
      <c r="FC549" s="4">
        <v>92</v>
      </c>
      <c r="FD549" s="4">
        <v>90</v>
      </c>
      <c r="FE549" s="4">
        <v>88</v>
      </c>
      <c r="FF549" s="4">
        <v>86</v>
      </c>
      <c r="FG549" s="4">
        <v>84</v>
      </c>
      <c r="FH549" s="4">
        <v>82</v>
      </c>
      <c r="FI549" s="4">
        <v>80</v>
      </c>
      <c r="FJ549" s="4">
        <v>78</v>
      </c>
      <c r="FK549" s="4">
        <v>76</v>
      </c>
      <c r="FL549" s="4">
        <v>74</v>
      </c>
      <c r="FM549" s="4">
        <v>72</v>
      </c>
      <c r="FN549" s="4">
        <v>70</v>
      </c>
      <c r="FO549" s="4">
        <v>68</v>
      </c>
      <c r="FP549" s="4">
        <v>65</v>
      </c>
      <c r="FQ549" s="4">
        <v>63</v>
      </c>
      <c r="FR549" s="4">
        <v>61</v>
      </c>
      <c r="FS549" s="4">
        <v>59</v>
      </c>
      <c r="FT549" s="19">
        <v>54</v>
      </c>
      <c r="FU549" s="19">
        <v>53</v>
      </c>
      <c r="FV549" s="19">
        <v>52</v>
      </c>
      <c r="FW549" s="19">
        <v>51.5</v>
      </c>
      <c r="FX549" s="19">
        <v>51</v>
      </c>
      <c r="FY549" s="19">
        <v>50</v>
      </c>
      <c r="FZ549" s="19">
        <v>49</v>
      </c>
      <c r="GA549" s="19">
        <v>48</v>
      </c>
      <c r="GB549" s="19">
        <v>47</v>
      </c>
      <c r="GC549" s="19">
        <v>46</v>
      </c>
      <c r="GD549" s="19">
        <v>45</v>
      </c>
      <c r="GE549" s="19">
        <v>44</v>
      </c>
      <c r="GF549" s="19">
        <v>43</v>
      </c>
      <c r="GG549" s="19">
        <v>42</v>
      </c>
      <c r="GH549" s="19">
        <v>41</v>
      </c>
      <c r="GI549" s="19">
        <v>40</v>
      </c>
      <c r="GJ549" s="19">
        <v>39</v>
      </c>
      <c r="GK549" s="19">
        <v>38</v>
      </c>
      <c r="GL549" s="19">
        <v>37</v>
      </c>
      <c r="GM549" s="19">
        <v>36</v>
      </c>
      <c r="GN549" s="19">
        <v>35</v>
      </c>
      <c r="GO549" s="19">
        <v>34</v>
      </c>
      <c r="GP549" s="19">
        <v>32.5</v>
      </c>
      <c r="GQ549" s="19">
        <v>31.5</v>
      </c>
      <c r="GR549" s="19">
        <v>30.5</v>
      </c>
      <c r="GS549" s="19">
        <v>29.5</v>
      </c>
    </row>
    <row r="550">
      <c r="A550" s="2" t="s">
        <v>3022</v>
      </c>
      <c r="B550" s="2" t="s">
        <v>736</v>
      </c>
      <c r="C550" s="2" t="s">
        <v>2637</v>
      </c>
      <c r="D550" s="2" t="s">
        <v>759</v>
      </c>
      <c r="E550" s="2" t="s">
        <v>3023</v>
      </c>
      <c r="F550" s="2" t="s">
        <v>3024</v>
      </c>
      <c r="G550" s="2" t="s">
        <v>3025</v>
      </c>
      <c r="H550" s="2" t="s">
        <v>3026</v>
      </c>
      <c r="I550" s="2" t="s">
        <v>3027</v>
      </c>
      <c r="J550" s="2" t="s">
        <v>232</v>
      </c>
      <c r="K550" s="2" t="s">
        <v>1379</v>
      </c>
      <c r="L550" s="3">
        <v>42.85</v>
      </c>
      <c r="M550" s="3">
        <v>44.99</v>
      </c>
      <c r="N550" s="3">
        <v>89.99</v>
      </c>
      <c r="O550" s="2" t="s">
        <v>196</v>
      </c>
      <c r="P550" s="2" t="s">
        <v>841</v>
      </c>
      <c r="Q550" s="2" t="s">
        <v>198</v>
      </c>
      <c r="R550" s="2" t="s">
        <v>199</v>
      </c>
      <c r="S550" s="2" t="s">
        <v>3028</v>
      </c>
      <c r="T550" s="2" t="s">
        <v>300</v>
      </c>
      <c r="U550" s="2" t="s">
        <v>637</v>
      </c>
      <c r="V550" s="2" t="s">
        <v>301</v>
      </c>
      <c r="W550" s="2" t="s">
        <v>203</v>
      </c>
      <c r="X550" s="2" t="s">
        <v>510</v>
      </c>
      <c r="Y550" s="2" t="s">
        <v>3029</v>
      </c>
      <c r="Z550" s="4">
        <v>109</v>
      </c>
      <c r="AA550" s="4">
        <f>=ROUNDDOWN(36.3333333333333,0)</f>
      </c>
      <c r="AB550" s="5">
        <v>3</v>
      </c>
      <c r="AC550" s="2" t="s">
        <v>199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199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25</v>
      </c>
      <c r="BK550" s="8">
        <v>1202.51</v>
      </c>
      <c r="BL550" s="2" t="s">
        <v>3030</v>
      </c>
      <c r="BM550" s="7"/>
      <c r="BN550" s="7"/>
      <c r="BO550" s="4"/>
      <c r="BP550" s="8"/>
      <c r="BQ550" s="4"/>
      <c r="BR550" s="8"/>
      <c r="BS550" s="7"/>
      <c r="BT550" s="7"/>
      <c r="BU550" s="2" t="s">
        <v>3031</v>
      </c>
      <c r="BV550" s="2" t="s">
        <v>199</v>
      </c>
      <c r="BW550" s="2" t="s">
        <v>199</v>
      </c>
      <c r="BX550" s="2" t="s">
        <v>208</v>
      </c>
      <c r="BY550" s="2" t="s">
        <v>209</v>
      </c>
      <c r="BZ550" s="2" t="s">
        <v>196</v>
      </c>
      <c r="CA550" s="2" t="s">
        <v>307</v>
      </c>
      <c r="CB550" s="2" t="s">
        <v>3032</v>
      </c>
      <c r="CC550" s="2" t="s">
        <v>212</v>
      </c>
      <c r="CD550" s="2" t="s">
        <v>199</v>
      </c>
      <c r="CE550" s="4">
        <v>109</v>
      </c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>
        <v>112</v>
      </c>
      <c r="EU550" s="4">
        <v>107</v>
      </c>
      <c r="EV550" s="4">
        <v>104</v>
      </c>
      <c r="EW550" s="4">
        <v>101</v>
      </c>
      <c r="EX550" s="4">
        <v>98</v>
      </c>
      <c r="EY550" s="4">
        <v>95</v>
      </c>
      <c r="EZ550" s="4">
        <v>92</v>
      </c>
      <c r="FA550" s="4">
        <v>89</v>
      </c>
      <c r="FB550" s="4">
        <v>86</v>
      </c>
      <c r="FC550" s="4">
        <v>83</v>
      </c>
      <c r="FD550" s="4">
        <v>80</v>
      </c>
      <c r="FE550" s="4">
        <v>77</v>
      </c>
      <c r="FF550" s="4">
        <v>74</v>
      </c>
      <c r="FG550" s="4">
        <v>71</v>
      </c>
      <c r="FH550" s="4">
        <v>68</v>
      </c>
      <c r="FI550" s="4">
        <v>65</v>
      </c>
      <c r="FJ550" s="4">
        <v>62</v>
      </c>
      <c r="FK550" s="4">
        <v>59</v>
      </c>
      <c r="FL550" s="4">
        <v>56</v>
      </c>
      <c r="FM550" s="4">
        <v>53</v>
      </c>
      <c r="FN550" s="4">
        <v>50</v>
      </c>
      <c r="FO550" s="4">
        <v>47</v>
      </c>
      <c r="FP550" s="4">
        <v>43</v>
      </c>
      <c r="FQ550" s="4">
        <v>40</v>
      </c>
      <c r="FR550" s="4">
        <v>37</v>
      </c>
      <c r="FS550" s="4">
        <v>33</v>
      </c>
      <c r="FT550" s="19">
        <v>28</v>
      </c>
      <c r="FU550" s="19">
        <v>35.7</v>
      </c>
      <c r="FV550" s="19">
        <v>34.7</v>
      </c>
      <c r="FW550" s="19">
        <v>33.7</v>
      </c>
      <c r="FX550" s="19">
        <v>32.7</v>
      </c>
      <c r="FY550" s="19">
        <v>31.7</v>
      </c>
      <c r="FZ550" s="19">
        <v>30.7</v>
      </c>
      <c r="GA550" s="19">
        <v>29.7</v>
      </c>
      <c r="GB550" s="19">
        <v>28.7</v>
      </c>
      <c r="GC550" s="19">
        <v>27.7</v>
      </c>
      <c r="GD550" s="19">
        <v>26.7</v>
      </c>
      <c r="GE550" s="19">
        <v>25.7</v>
      </c>
      <c r="GF550" s="19">
        <v>24.7</v>
      </c>
      <c r="GG550" s="19">
        <v>23.7</v>
      </c>
      <c r="GH550" s="19">
        <v>22.7</v>
      </c>
      <c r="GI550" s="19">
        <v>21.7</v>
      </c>
      <c r="GJ550" s="19">
        <v>20.7</v>
      </c>
      <c r="GK550" s="19">
        <v>19.7</v>
      </c>
      <c r="GL550" s="19">
        <v>18.7</v>
      </c>
      <c r="GM550" s="19">
        <v>17.7</v>
      </c>
      <c r="GN550" s="19">
        <v>16.7</v>
      </c>
      <c r="GO550" s="19">
        <v>11.8</v>
      </c>
      <c r="GP550" s="19">
        <v>14.3</v>
      </c>
      <c r="GQ550" s="19">
        <v>13.3</v>
      </c>
      <c r="GR550" s="19">
        <v>12.3</v>
      </c>
      <c r="GS550" s="19">
        <v>11</v>
      </c>
    </row>
    <row r="551">
      <c r="A551" s="2" t="s">
        <v>3033</v>
      </c>
      <c r="B551" s="2" t="s">
        <v>554</v>
      </c>
      <c r="C551" s="2" t="s">
        <v>246</v>
      </c>
      <c r="D551" s="2" t="s">
        <v>861</v>
      </c>
      <c r="E551" s="2" t="s">
        <v>862</v>
      </c>
      <c r="F551" s="2" t="s">
        <v>3034</v>
      </c>
      <c r="G551" s="2" t="s">
        <v>3034</v>
      </c>
      <c r="H551" s="2" t="s">
        <v>3034</v>
      </c>
      <c r="I551" s="2" t="s">
        <v>3035</v>
      </c>
      <c r="J551" s="2" t="s">
        <v>559</v>
      </c>
      <c r="K551" s="2" t="s">
        <v>656</v>
      </c>
      <c r="L551" s="3">
        <v>61.71</v>
      </c>
      <c r="M551" s="3">
        <v>64.8</v>
      </c>
      <c r="N551" s="3">
        <v>127.49</v>
      </c>
      <c r="O551" s="2" t="s">
        <v>196</v>
      </c>
      <c r="P551" s="2" t="s">
        <v>197</v>
      </c>
      <c r="Q551" s="2" t="s">
        <v>198</v>
      </c>
      <c r="R551" s="2" t="s">
        <v>199</v>
      </c>
      <c r="S551" s="2" t="s">
        <v>3036</v>
      </c>
      <c r="T551" s="2" t="s">
        <v>199</v>
      </c>
      <c r="U551" s="2" t="s">
        <v>853</v>
      </c>
      <c r="V551" s="2" t="s">
        <v>562</v>
      </c>
      <c r="W551" s="2" t="s">
        <v>510</v>
      </c>
      <c r="X551" s="2" t="s">
        <v>255</v>
      </c>
      <c r="Y551" s="2" t="s">
        <v>563</v>
      </c>
      <c r="Z551" s="4">
        <v>76</v>
      </c>
      <c r="AA551" s="4">
        <f>=ROUNDDOWN(16.5217391304348,0)</f>
      </c>
      <c r="AB551" s="5">
        <v>4.6</v>
      </c>
      <c r="AC551" s="2" t="s">
        <v>199</v>
      </c>
      <c r="AD551" s="4"/>
      <c r="AE551" s="4"/>
      <c r="AF551" s="6">
        <v>61</v>
      </c>
      <c r="AG551" s="6"/>
      <c r="AH551" s="7">
        <v>1</v>
      </c>
      <c r="AI551" s="4"/>
      <c r="AJ551" s="4">
        <f>=ROUNDDOWN({0},0)</f>
      </c>
      <c r="AK551" s="5"/>
      <c r="AL551" s="2" t="s">
        <v>199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19</v>
      </c>
      <c r="BK551" s="8">
        <v>1382.92</v>
      </c>
      <c r="BL551" s="2" t="s">
        <v>3037</v>
      </c>
      <c r="BM551" s="7"/>
      <c r="BN551" s="7"/>
      <c r="BO551" s="4"/>
      <c r="BP551" s="8"/>
      <c r="BQ551" s="4"/>
      <c r="BR551" s="8"/>
      <c r="BS551" s="7"/>
      <c r="BT551" s="7"/>
      <c r="BU551" s="2" t="s">
        <v>3038</v>
      </c>
      <c r="BV551" s="2" t="s">
        <v>199</v>
      </c>
      <c r="BW551" s="2" t="s">
        <v>199</v>
      </c>
      <c r="BX551" s="2" t="s">
        <v>208</v>
      </c>
      <c r="BY551" s="2" t="s">
        <v>209</v>
      </c>
      <c r="BZ551" s="2" t="s">
        <v>196</v>
      </c>
      <c r="CA551" s="2" t="s">
        <v>567</v>
      </c>
      <c r="CB551" s="2" t="s">
        <v>3039</v>
      </c>
      <c r="CC551" s="2" t="s">
        <v>212</v>
      </c>
      <c r="CD551" s="2" t="s">
        <v>199</v>
      </c>
      <c r="CE551" s="4"/>
      <c r="CF551" s="4">
        <v>76</v>
      </c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>
        <v>79</v>
      </c>
      <c r="EU551" s="4">
        <v>72</v>
      </c>
      <c r="EV551" s="4">
        <v>67</v>
      </c>
      <c r="EW551" s="4">
        <v>62</v>
      </c>
      <c r="EX551" s="4">
        <v>57</v>
      </c>
      <c r="EY551" s="4">
        <v>52</v>
      </c>
      <c r="EZ551" s="4">
        <v>47</v>
      </c>
      <c r="FA551" s="4">
        <v>42</v>
      </c>
      <c r="FB551" s="4">
        <v>36</v>
      </c>
      <c r="FC551" s="4">
        <v>31</v>
      </c>
      <c r="FD551" s="4">
        <v>26</v>
      </c>
      <c r="FE551" s="4">
        <v>21</v>
      </c>
      <c r="FF551" s="4">
        <v>16</v>
      </c>
      <c r="FG551" s="4">
        <v>11</v>
      </c>
      <c r="FH551" s="4">
        <v>6</v>
      </c>
      <c r="FI551" s="4">
        <v>1</v>
      </c>
      <c r="FJ551" s="4"/>
      <c r="FK551" s="4"/>
      <c r="FL551" s="4"/>
      <c r="FM551" s="4">
        <v>102</v>
      </c>
      <c r="FN551" s="4">
        <v>97</v>
      </c>
      <c r="FO551" s="4">
        <v>92</v>
      </c>
      <c r="FP551" s="4">
        <v>86</v>
      </c>
      <c r="FQ551" s="4">
        <v>81</v>
      </c>
      <c r="FR551" s="4">
        <v>76</v>
      </c>
      <c r="FS551" s="4">
        <v>71</v>
      </c>
      <c r="FT551" s="19">
        <v>13.2</v>
      </c>
      <c r="FU551" s="19">
        <v>14.4</v>
      </c>
      <c r="FV551" s="19">
        <v>13.4</v>
      </c>
      <c r="FW551" s="19">
        <v>12.4</v>
      </c>
      <c r="FX551" s="19">
        <v>11.4</v>
      </c>
      <c r="FY551" s="19">
        <v>10.4</v>
      </c>
      <c r="FZ551" s="19">
        <v>9.4</v>
      </c>
      <c r="GA551" s="19">
        <v>8.4</v>
      </c>
      <c r="GB551" s="19">
        <v>7.2</v>
      </c>
      <c r="GC551" s="19">
        <v>6.2</v>
      </c>
      <c r="GD551" s="19">
        <v>5.2</v>
      </c>
      <c r="GE551" s="19">
        <v>4.2</v>
      </c>
      <c r="GF551" s="19">
        <v>3.2</v>
      </c>
      <c r="GG551" s="19">
        <v>2.2</v>
      </c>
      <c r="GH551" s="19">
        <v>1.2</v>
      </c>
      <c r="GI551" s="19">
        <v>0.2</v>
      </c>
      <c r="GJ551" s="20">
        <v>0</v>
      </c>
      <c r="GK551" s="20">
        <v>0</v>
      </c>
      <c r="GL551" s="20">
        <v>0</v>
      </c>
      <c r="GM551" s="19">
        <v>20.4</v>
      </c>
      <c r="GN551" s="19">
        <v>19.4</v>
      </c>
      <c r="GO551" s="19">
        <v>18.4</v>
      </c>
      <c r="GP551" s="19">
        <v>17.2</v>
      </c>
      <c r="GQ551" s="19">
        <v>16.2</v>
      </c>
      <c r="GR551" s="19">
        <v>15.2</v>
      </c>
      <c r="GS551" s="19">
        <v>14.2</v>
      </c>
    </row>
    <row r="552">
      <c r="A552" s="2" t="s">
        <v>3040</v>
      </c>
      <c r="B552" s="2" t="s">
        <v>591</v>
      </c>
      <c r="C552" s="2" t="s">
        <v>592</v>
      </c>
      <c r="D552" s="2" t="s">
        <v>593</v>
      </c>
      <c r="E552" s="2" t="s">
        <v>594</v>
      </c>
      <c r="F552" s="2" t="s">
        <v>3041</v>
      </c>
      <c r="G552" s="2" t="s">
        <v>3041</v>
      </c>
      <c r="H552" s="2" t="s">
        <v>3041</v>
      </c>
      <c r="I552" s="2" t="s">
        <v>3042</v>
      </c>
      <c r="J552" s="2" t="s">
        <v>559</v>
      </c>
      <c r="K552" s="2" t="s">
        <v>195</v>
      </c>
      <c r="L552" s="3">
        <v>63</v>
      </c>
      <c r="M552" s="3">
        <v>66.15</v>
      </c>
      <c r="N552" s="3">
        <v>129.99</v>
      </c>
      <c r="O552" s="2" t="s">
        <v>196</v>
      </c>
      <c r="P552" s="2" t="s">
        <v>197</v>
      </c>
      <c r="Q552" s="2" t="s">
        <v>198</v>
      </c>
      <c r="R552" s="2" t="s">
        <v>199</v>
      </c>
      <c r="S552" s="2" t="s">
        <v>199</v>
      </c>
      <c r="T552" s="2" t="s">
        <v>199</v>
      </c>
      <c r="U552" s="2" t="s">
        <v>280</v>
      </c>
      <c r="V552" s="2" t="s">
        <v>493</v>
      </c>
      <c r="W552" s="2" t="s">
        <v>3043</v>
      </c>
      <c r="X552" s="2" t="s">
        <v>728</v>
      </c>
      <c r="Y552" s="2" t="s">
        <v>1326</v>
      </c>
      <c r="Z552" s="4">
        <v>100</v>
      </c>
      <c r="AA552" s="4">
        <f>=ROUNDDOWN(24.390243902439,0)</f>
      </c>
      <c r="AB552" s="5">
        <v>4.1</v>
      </c>
      <c r="AC552" s="2" t="s">
        <v>199</v>
      </c>
      <c r="AD552" s="4"/>
      <c r="AE552" s="4"/>
      <c r="AF552" s="6">
        <v>65</v>
      </c>
      <c r="AG552" s="6"/>
      <c r="AH552" s="7">
        <v>0.129</v>
      </c>
      <c r="AI552" s="4"/>
      <c r="AJ552" s="4">
        <f>=ROUNDDOWN({0},0)</f>
      </c>
      <c r="AK552" s="5"/>
      <c r="AL552" s="2" t="s">
        <v>199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3</v>
      </c>
      <c r="BK552" s="8">
        <v>217.35</v>
      </c>
      <c r="BL552" s="2" t="s">
        <v>684</v>
      </c>
      <c r="BM552" s="7"/>
      <c r="BN552" s="7"/>
      <c r="BO552" s="4"/>
      <c r="BP552" s="8"/>
      <c r="BQ552" s="4"/>
      <c r="BR552" s="8"/>
      <c r="BS552" s="7"/>
      <c r="BT552" s="7"/>
      <c r="BU552" s="2" t="s">
        <v>3044</v>
      </c>
      <c r="BV552" s="2" t="s">
        <v>199</v>
      </c>
      <c r="BW552" s="2" t="s">
        <v>199</v>
      </c>
      <c r="BX552" s="2" t="s">
        <v>208</v>
      </c>
      <c r="BY552" s="2" t="s">
        <v>209</v>
      </c>
      <c r="BZ552" s="2" t="s">
        <v>196</v>
      </c>
      <c r="CA552" s="2" t="s">
        <v>1424</v>
      </c>
      <c r="CB552" s="2" t="s">
        <v>3045</v>
      </c>
      <c r="CC552" s="2" t="s">
        <v>212</v>
      </c>
      <c r="CD552" s="2" t="s">
        <v>199</v>
      </c>
      <c r="CE552" s="4"/>
      <c r="CF552" s="4">
        <v>100</v>
      </c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>
        <v>100</v>
      </c>
      <c r="EU552" s="4">
        <v>96</v>
      </c>
      <c r="EV552" s="4">
        <v>92</v>
      </c>
      <c r="EW552" s="4">
        <v>88</v>
      </c>
      <c r="EX552" s="4">
        <v>84</v>
      </c>
      <c r="EY552" s="4">
        <v>80</v>
      </c>
      <c r="EZ552" s="4">
        <v>76</v>
      </c>
      <c r="FA552" s="4">
        <v>72</v>
      </c>
      <c r="FB552" s="4">
        <v>67</v>
      </c>
      <c r="FC552" s="4">
        <v>63</v>
      </c>
      <c r="FD552" s="4">
        <v>59</v>
      </c>
      <c r="FE552" s="4">
        <v>55</v>
      </c>
      <c r="FF552" s="4">
        <v>51</v>
      </c>
      <c r="FG552" s="4">
        <v>47</v>
      </c>
      <c r="FH552" s="4">
        <v>43</v>
      </c>
      <c r="FI552" s="4">
        <v>39</v>
      </c>
      <c r="FJ552" s="4">
        <v>35</v>
      </c>
      <c r="FK552" s="4">
        <v>31</v>
      </c>
      <c r="FL552" s="4">
        <v>27</v>
      </c>
      <c r="FM552" s="4">
        <v>23</v>
      </c>
      <c r="FN552" s="4">
        <v>19</v>
      </c>
      <c r="FO552" s="4">
        <v>15</v>
      </c>
      <c r="FP552" s="4">
        <v>10</v>
      </c>
      <c r="FQ552" s="4">
        <v>106</v>
      </c>
      <c r="FR552" s="4">
        <v>102</v>
      </c>
      <c r="FS552" s="4">
        <v>98</v>
      </c>
      <c r="FT552" s="19">
        <v>25</v>
      </c>
      <c r="FU552" s="19">
        <v>24</v>
      </c>
      <c r="FV552" s="19">
        <v>23</v>
      </c>
      <c r="FW552" s="19">
        <v>22</v>
      </c>
      <c r="FX552" s="19">
        <v>21</v>
      </c>
      <c r="FY552" s="19">
        <v>20</v>
      </c>
      <c r="FZ552" s="19">
        <v>19</v>
      </c>
      <c r="GA552" s="19">
        <v>18</v>
      </c>
      <c r="GB552" s="19">
        <v>16.8</v>
      </c>
      <c r="GC552" s="19">
        <v>15.8</v>
      </c>
      <c r="GD552" s="19">
        <v>14.8</v>
      </c>
      <c r="GE552" s="19">
        <v>13.8</v>
      </c>
      <c r="GF552" s="19">
        <v>12.8</v>
      </c>
      <c r="GG552" s="19">
        <v>11.8</v>
      </c>
      <c r="GH552" s="19">
        <v>10.8</v>
      </c>
      <c r="GI552" s="19">
        <v>9.8</v>
      </c>
      <c r="GJ552" s="19">
        <v>8.8</v>
      </c>
      <c r="GK552" s="19">
        <v>7.8</v>
      </c>
      <c r="GL552" s="19">
        <v>6.8</v>
      </c>
      <c r="GM552" s="19">
        <v>5.8</v>
      </c>
      <c r="GN552" s="19">
        <v>4.8</v>
      </c>
      <c r="GO552" s="19">
        <v>3.8</v>
      </c>
      <c r="GP552" s="19">
        <v>2.5</v>
      </c>
      <c r="GQ552" s="19">
        <v>26.5</v>
      </c>
      <c r="GR552" s="19">
        <v>25.5</v>
      </c>
      <c r="GS552" s="19">
        <v>24.5</v>
      </c>
    </row>
    <row r="553">
      <c r="A553" s="2" t="s">
        <v>3046</v>
      </c>
      <c r="B553" s="2" t="s">
        <v>648</v>
      </c>
      <c r="C553" s="2" t="s">
        <v>1007</v>
      </c>
      <c r="D553" s="2" t="s">
        <v>3047</v>
      </c>
      <c r="E553" s="2" t="s">
        <v>573</v>
      </c>
      <c r="F553" s="2" t="s">
        <v>3048</v>
      </c>
      <c r="G553" s="2" t="s">
        <v>3049</v>
      </c>
      <c r="H553" s="2" t="s">
        <v>3050</v>
      </c>
      <c r="I553" s="2" t="s">
        <v>3051</v>
      </c>
      <c r="J553" s="2" t="s">
        <v>559</v>
      </c>
      <c r="K553" s="2" t="s">
        <v>360</v>
      </c>
      <c r="L553" s="3">
        <v>26.4</v>
      </c>
      <c r="M553" s="3">
        <v>27.72</v>
      </c>
      <c r="N553" s="3">
        <v>54.99</v>
      </c>
      <c r="O553" s="2" t="s">
        <v>196</v>
      </c>
      <c r="P553" s="2" t="s">
        <v>197</v>
      </c>
      <c r="Q553" s="2" t="s">
        <v>198</v>
      </c>
      <c r="R553" s="2" t="s">
        <v>199</v>
      </c>
      <c r="S553" s="2" t="s">
        <v>3052</v>
      </c>
      <c r="T553" s="2" t="s">
        <v>199</v>
      </c>
      <c r="U553" s="2" t="s">
        <v>199</v>
      </c>
      <c r="V553" s="2" t="s">
        <v>3053</v>
      </c>
      <c r="W553" s="2" t="s">
        <v>203</v>
      </c>
      <c r="X553" s="2" t="s">
        <v>199</v>
      </c>
      <c r="Y553" s="2" t="s">
        <v>204</v>
      </c>
      <c r="Z553" s="4">
        <v>742</v>
      </c>
      <c r="AA553" s="4">
        <f>=ROUNDDOWN(106,0)</f>
      </c>
      <c r="AB553" s="5">
        <v>7</v>
      </c>
      <c r="AC553" s="2" t="s">
        <v>199</v>
      </c>
      <c r="AD553" s="4"/>
      <c r="AE553" s="4"/>
      <c r="AF553" s="6">
        <v>73</v>
      </c>
      <c r="AG553" s="6"/>
      <c r="AH553" s="7">
        <v>1</v>
      </c>
      <c r="AI553" s="4"/>
      <c r="AJ553" s="4">
        <f>=ROUNDDOWN({0},0)</f>
      </c>
      <c r="AK553" s="5"/>
      <c r="AL553" s="2" t="s">
        <v>199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199</v>
      </c>
      <c r="BD553" s="8" t="s">
        <v>199</v>
      </c>
      <c r="BE553" s="4" t="s">
        <v>199</v>
      </c>
      <c r="BF553" s="8" t="s">
        <v>199</v>
      </c>
      <c r="BG553" s="7" t="s">
        <v>199</v>
      </c>
      <c r="BH553" s="7" t="s">
        <v>199</v>
      </c>
      <c r="BI553" s="7"/>
      <c r="BJ553" s="4">
        <v>16</v>
      </c>
      <c r="BK553" s="8">
        <v>462.71</v>
      </c>
      <c r="BL553" s="2" t="s">
        <v>3054</v>
      </c>
      <c r="BM553" s="7"/>
      <c r="BN553" s="7"/>
      <c r="BO553" s="4"/>
      <c r="BP553" s="8"/>
      <c r="BQ553" s="4"/>
      <c r="BR553" s="8"/>
      <c r="BS553" s="7"/>
      <c r="BT553" s="7"/>
      <c r="BU553" s="2" t="s">
        <v>3055</v>
      </c>
      <c r="BV553" s="2" t="s">
        <v>199</v>
      </c>
      <c r="BW553" s="2" t="s">
        <v>199</v>
      </c>
      <c r="BX553" s="2" t="s">
        <v>208</v>
      </c>
      <c r="BY553" s="2" t="s">
        <v>209</v>
      </c>
      <c r="BZ553" s="2" t="s">
        <v>196</v>
      </c>
      <c r="CA553" s="2" t="s">
        <v>210</v>
      </c>
      <c r="CB553" s="2" t="s">
        <v>3056</v>
      </c>
      <c r="CC553" s="2" t="s">
        <v>212</v>
      </c>
      <c r="CD553" s="2" t="s">
        <v>199</v>
      </c>
      <c r="CE553" s="4">
        <v>742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>
        <v>744</v>
      </c>
      <c r="EU553" s="4">
        <v>738</v>
      </c>
      <c r="EV553" s="4">
        <v>734</v>
      </c>
      <c r="EW553" s="4">
        <v>730</v>
      </c>
      <c r="EX553" s="4">
        <v>726</v>
      </c>
      <c r="EY553" s="4">
        <v>722</v>
      </c>
      <c r="EZ553" s="4">
        <v>718</v>
      </c>
      <c r="FA553" s="4">
        <v>714</v>
      </c>
      <c r="FB553" s="4">
        <v>710</v>
      </c>
      <c r="FC553" s="4">
        <v>704</v>
      </c>
      <c r="FD553" s="4">
        <v>697</v>
      </c>
      <c r="FE553" s="4">
        <v>690</v>
      </c>
      <c r="FF553" s="4">
        <v>683</v>
      </c>
      <c r="FG553" s="4">
        <v>676</v>
      </c>
      <c r="FH553" s="4">
        <v>669</v>
      </c>
      <c r="FI553" s="4">
        <v>662</v>
      </c>
      <c r="FJ553" s="4">
        <v>655</v>
      </c>
      <c r="FK553" s="4">
        <v>648</v>
      </c>
      <c r="FL553" s="4">
        <v>641</v>
      </c>
      <c r="FM553" s="4">
        <v>634</v>
      </c>
      <c r="FN553" s="4">
        <v>627</v>
      </c>
      <c r="FO553" s="4">
        <v>620</v>
      </c>
      <c r="FP553" s="4">
        <v>613</v>
      </c>
      <c r="FQ553" s="4">
        <v>606</v>
      </c>
      <c r="FR553" s="4">
        <v>599</v>
      </c>
      <c r="FS553" s="4">
        <v>592</v>
      </c>
      <c r="FT553" s="19">
        <v>186</v>
      </c>
      <c r="FU553" s="19">
        <v>184.5</v>
      </c>
      <c r="FV553" s="19">
        <v>183.5</v>
      </c>
      <c r="FW553" s="19">
        <v>182.5</v>
      </c>
      <c r="FX553" s="19">
        <v>181.5</v>
      </c>
      <c r="FY553" s="19">
        <v>180.5</v>
      </c>
      <c r="FZ553" s="19">
        <v>143.6</v>
      </c>
      <c r="GA553" s="19">
        <v>119</v>
      </c>
      <c r="GB553" s="19">
        <v>101.4</v>
      </c>
      <c r="GC553" s="19">
        <v>100.6</v>
      </c>
      <c r="GD553" s="19">
        <v>99.6</v>
      </c>
      <c r="GE553" s="19">
        <v>98.6</v>
      </c>
      <c r="GF553" s="19">
        <v>97.6</v>
      </c>
      <c r="GG553" s="19">
        <v>96.6</v>
      </c>
      <c r="GH553" s="19">
        <v>95.6</v>
      </c>
      <c r="GI553" s="19">
        <v>94.6</v>
      </c>
      <c r="GJ553" s="19">
        <v>93.6</v>
      </c>
      <c r="GK553" s="19">
        <v>92.6</v>
      </c>
      <c r="GL553" s="19">
        <v>91.6</v>
      </c>
      <c r="GM553" s="19">
        <v>90.6</v>
      </c>
      <c r="GN553" s="19">
        <v>89.6</v>
      </c>
      <c r="GO553" s="19">
        <v>88.6</v>
      </c>
      <c r="GP553" s="19">
        <v>87.6</v>
      </c>
      <c r="GQ553" s="19">
        <v>86.6</v>
      </c>
      <c r="GR553" s="19">
        <v>85.6</v>
      </c>
      <c r="GS553" s="19">
        <v>84.6</v>
      </c>
    </row>
    <row r="554">
      <c r="A554" s="2" t="s">
        <v>3057</v>
      </c>
      <c r="B554" s="2" t="s">
        <v>648</v>
      </c>
      <c r="C554" s="2" t="s">
        <v>1007</v>
      </c>
      <c r="D554" s="2" t="s">
        <v>3047</v>
      </c>
      <c r="E554" s="2" t="s">
        <v>573</v>
      </c>
      <c r="F554" s="2" t="s">
        <v>3048</v>
      </c>
      <c r="G554" s="2" t="s">
        <v>3049</v>
      </c>
      <c r="H554" s="2" t="s">
        <v>3050</v>
      </c>
      <c r="I554" s="2" t="s">
        <v>3051</v>
      </c>
      <c r="J554" s="2" t="s">
        <v>559</v>
      </c>
      <c r="K554" s="2" t="s">
        <v>371</v>
      </c>
      <c r="L554" s="3">
        <v>26.4</v>
      </c>
      <c r="M554" s="3">
        <v>27.72</v>
      </c>
      <c r="N554" s="3">
        <v>54.99</v>
      </c>
      <c r="O554" s="2" t="s">
        <v>196</v>
      </c>
      <c r="P554" s="2" t="s">
        <v>517</v>
      </c>
      <c r="Q554" s="2" t="s">
        <v>198</v>
      </c>
      <c r="R554" s="2" t="s">
        <v>199</v>
      </c>
      <c r="S554" s="2" t="s">
        <v>3058</v>
      </c>
      <c r="T554" s="2" t="s">
        <v>199</v>
      </c>
      <c r="U554" s="2" t="s">
        <v>199</v>
      </c>
      <c r="V554" s="2" t="s">
        <v>3053</v>
      </c>
      <c r="W554" s="2" t="s">
        <v>203</v>
      </c>
      <c r="X554" s="2" t="s">
        <v>199</v>
      </c>
      <c r="Y554" s="2" t="s">
        <v>204</v>
      </c>
      <c r="Z554" s="4">
        <v>910</v>
      </c>
      <c r="AA554" s="4">
        <f>=ROUNDDOWN(130,0)</f>
      </c>
      <c r="AB554" s="5">
        <v>7</v>
      </c>
      <c r="AC554" s="2" t="s">
        <v>199</v>
      </c>
      <c r="AD554" s="4"/>
      <c r="AE554" s="4"/>
      <c r="AF554" s="6">
        <v>73</v>
      </c>
      <c r="AG554" s="6"/>
      <c r="AH554" s="7">
        <v>1</v>
      </c>
      <c r="AI554" s="4"/>
      <c r="AJ554" s="4">
        <f>=ROUNDDOWN({0},0)</f>
      </c>
      <c r="AK554" s="5"/>
      <c r="AL554" s="2" t="s">
        <v>199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199</v>
      </c>
      <c r="BD554" s="8" t="s">
        <v>199</v>
      </c>
      <c r="BE554" s="4" t="s">
        <v>199</v>
      </c>
      <c r="BF554" s="8" t="s">
        <v>199</v>
      </c>
      <c r="BG554" s="7" t="s">
        <v>199</v>
      </c>
      <c r="BH554" s="7" t="s">
        <v>199</v>
      </c>
      <c r="BI554" s="7"/>
      <c r="BJ554" s="4">
        <v>40</v>
      </c>
      <c r="BK554" s="8">
        <v>1104.12</v>
      </c>
      <c r="BL554" s="2" t="s">
        <v>3059</v>
      </c>
      <c r="BM554" s="7"/>
      <c r="BN554" s="7"/>
      <c r="BO554" s="4"/>
      <c r="BP554" s="8"/>
      <c r="BQ554" s="4"/>
      <c r="BR554" s="8"/>
      <c r="BS554" s="7"/>
      <c r="BT554" s="7"/>
      <c r="BU554" s="2" t="s">
        <v>3055</v>
      </c>
      <c r="BV554" s="2" t="s">
        <v>199</v>
      </c>
      <c r="BW554" s="2" t="s">
        <v>199</v>
      </c>
      <c r="BX554" s="2" t="s">
        <v>208</v>
      </c>
      <c r="BY554" s="2" t="s">
        <v>209</v>
      </c>
      <c r="BZ554" s="2" t="s">
        <v>196</v>
      </c>
      <c r="CA554" s="2" t="s">
        <v>210</v>
      </c>
      <c r="CB554" s="2" t="s">
        <v>3060</v>
      </c>
      <c r="CC554" s="2" t="s">
        <v>212</v>
      </c>
      <c r="CD554" s="2" t="s">
        <v>199</v>
      </c>
      <c r="CE554" s="4">
        <v>910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>
        <v>913</v>
      </c>
      <c r="EU554" s="4">
        <v>906</v>
      </c>
      <c r="EV554" s="4">
        <v>902</v>
      </c>
      <c r="EW554" s="4">
        <v>898</v>
      </c>
      <c r="EX554" s="4">
        <v>894</v>
      </c>
      <c r="EY554" s="4">
        <v>890</v>
      </c>
      <c r="EZ554" s="4">
        <v>886</v>
      </c>
      <c r="FA554" s="4">
        <v>882</v>
      </c>
      <c r="FB554" s="4">
        <v>878</v>
      </c>
      <c r="FC554" s="4">
        <v>874</v>
      </c>
      <c r="FD554" s="4">
        <v>870</v>
      </c>
      <c r="FE554" s="4">
        <v>866</v>
      </c>
      <c r="FF554" s="4">
        <v>862</v>
      </c>
      <c r="FG554" s="4">
        <v>857</v>
      </c>
      <c r="FH554" s="4">
        <v>850</v>
      </c>
      <c r="FI554" s="4">
        <v>843</v>
      </c>
      <c r="FJ554" s="4">
        <v>836</v>
      </c>
      <c r="FK554" s="4">
        <v>829</v>
      </c>
      <c r="FL554" s="4">
        <v>822</v>
      </c>
      <c r="FM554" s="4">
        <v>815</v>
      </c>
      <c r="FN554" s="4">
        <v>808</v>
      </c>
      <c r="FO554" s="4">
        <v>801</v>
      </c>
      <c r="FP554" s="4">
        <v>794</v>
      </c>
      <c r="FQ554" s="4">
        <v>787</v>
      </c>
      <c r="FR554" s="4">
        <v>780</v>
      </c>
      <c r="FS554" s="4">
        <v>773</v>
      </c>
      <c r="FT554" s="19">
        <v>182.6</v>
      </c>
      <c r="FU554" s="19">
        <v>226.5</v>
      </c>
      <c r="FV554" s="19">
        <v>225.5</v>
      </c>
      <c r="FW554" s="19">
        <v>224.5</v>
      </c>
      <c r="FX554" s="19">
        <v>223.5</v>
      </c>
      <c r="FY554" s="19">
        <v>222.5</v>
      </c>
      <c r="FZ554" s="19">
        <v>221.5</v>
      </c>
      <c r="GA554" s="19">
        <v>220.5</v>
      </c>
      <c r="GB554" s="19">
        <v>219.5</v>
      </c>
      <c r="GC554" s="19">
        <v>218.5</v>
      </c>
      <c r="GD554" s="19">
        <v>174</v>
      </c>
      <c r="GE554" s="19">
        <v>144.3</v>
      </c>
      <c r="GF554" s="19">
        <v>143.7</v>
      </c>
      <c r="GG554" s="19">
        <v>122.4</v>
      </c>
      <c r="GH554" s="19">
        <v>121.4</v>
      </c>
      <c r="GI554" s="19">
        <v>120.4</v>
      </c>
      <c r="GJ554" s="19">
        <v>119.4</v>
      </c>
      <c r="GK554" s="19">
        <v>118.4</v>
      </c>
      <c r="GL554" s="19">
        <v>117.4</v>
      </c>
      <c r="GM554" s="19">
        <v>116.4</v>
      </c>
      <c r="GN554" s="19">
        <v>115.4</v>
      </c>
      <c r="GO554" s="19">
        <v>114.4</v>
      </c>
      <c r="GP554" s="19">
        <v>113.4</v>
      </c>
      <c r="GQ554" s="19">
        <v>112.4</v>
      </c>
      <c r="GR554" s="19">
        <v>111.4</v>
      </c>
      <c r="GS554" s="19">
        <v>110.4</v>
      </c>
    </row>
    <row r="555">
      <c r="A555" s="2" t="s">
        <v>3061</v>
      </c>
      <c r="B555" s="2" t="s">
        <v>883</v>
      </c>
      <c r="C555" s="2" t="s">
        <v>884</v>
      </c>
      <c r="D555" s="2" t="s">
        <v>885</v>
      </c>
      <c r="E555" s="2" t="s">
        <v>886</v>
      </c>
      <c r="F555" s="2" t="s">
        <v>3062</v>
      </c>
      <c r="G555" s="2" t="s">
        <v>3062</v>
      </c>
      <c r="H555" s="2" t="s">
        <v>3062</v>
      </c>
      <c r="I555" s="2" t="s">
        <v>3063</v>
      </c>
      <c r="J555" s="2" t="s">
        <v>664</v>
      </c>
      <c r="K555" s="2" t="s">
        <v>371</v>
      </c>
      <c r="L555" s="3">
        <v>9.51</v>
      </c>
      <c r="M555" s="3">
        <v>9.99</v>
      </c>
      <c r="N555" s="3">
        <v>24.99</v>
      </c>
      <c r="O555" s="2" t="s">
        <v>196</v>
      </c>
      <c r="P555" s="2" t="s">
        <v>197</v>
      </c>
      <c r="Q555" s="2" t="s">
        <v>198</v>
      </c>
      <c r="R555" s="2" t="s">
        <v>199</v>
      </c>
      <c r="S555" s="2" t="s">
        <v>199</v>
      </c>
      <c r="T555" s="2" t="s">
        <v>199</v>
      </c>
      <c r="U555" s="2" t="s">
        <v>280</v>
      </c>
      <c r="V555" s="2" t="s">
        <v>493</v>
      </c>
      <c r="W555" s="2" t="s">
        <v>203</v>
      </c>
      <c r="X555" s="2" t="s">
        <v>199</v>
      </c>
      <c r="Y555" s="2" t="s">
        <v>3064</v>
      </c>
      <c r="Z555" s="4">
        <v>366</v>
      </c>
      <c r="AA555" s="4">
        <f>=ROUNDDOWN(98.9189189189189,0)</f>
      </c>
      <c r="AB555" s="5">
        <v>3.7</v>
      </c>
      <c r="AC555" s="2" t="s">
        <v>199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199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13</v>
      </c>
      <c r="BK555" s="8">
        <v>170.68</v>
      </c>
      <c r="BL555" s="2" t="s">
        <v>3065</v>
      </c>
      <c r="BM555" s="7"/>
      <c r="BN555" s="7"/>
      <c r="BO555" s="4"/>
      <c r="BP555" s="8"/>
      <c r="BQ555" s="4"/>
      <c r="BR555" s="8"/>
      <c r="BS555" s="7"/>
      <c r="BT555" s="7"/>
      <c r="BU555" s="2" t="s">
        <v>3066</v>
      </c>
      <c r="BV555" s="2" t="s">
        <v>199</v>
      </c>
      <c r="BW555" s="2" t="s">
        <v>199</v>
      </c>
      <c r="BX555" s="2" t="s">
        <v>208</v>
      </c>
      <c r="BY555" s="2" t="s">
        <v>209</v>
      </c>
      <c r="BZ555" s="2" t="s">
        <v>196</v>
      </c>
      <c r="CA555" s="2" t="s">
        <v>3067</v>
      </c>
      <c r="CB555" s="2" t="s">
        <v>1271</v>
      </c>
      <c r="CC555" s="2" t="s">
        <v>212</v>
      </c>
      <c r="CD555" s="2" t="s">
        <v>199</v>
      </c>
      <c r="CE555" s="4">
        <v>366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>
        <v>368</v>
      </c>
      <c r="EU555" s="4">
        <v>349</v>
      </c>
      <c r="EV555" s="4">
        <v>345</v>
      </c>
      <c r="EW555" s="4">
        <v>341</v>
      </c>
      <c r="EX555" s="4">
        <v>337</v>
      </c>
      <c r="EY555" s="4">
        <v>333</v>
      </c>
      <c r="EZ555" s="4">
        <v>329</v>
      </c>
      <c r="FA555" s="4">
        <v>325</v>
      </c>
      <c r="FB555" s="4">
        <v>321</v>
      </c>
      <c r="FC555" s="4">
        <v>317</v>
      </c>
      <c r="FD555" s="4">
        <v>313</v>
      </c>
      <c r="FE555" s="4">
        <v>309</v>
      </c>
      <c r="FF555" s="4">
        <v>305</v>
      </c>
      <c r="FG555" s="4">
        <v>301</v>
      </c>
      <c r="FH555" s="4">
        <v>297</v>
      </c>
      <c r="FI555" s="4">
        <v>293</v>
      </c>
      <c r="FJ555" s="4">
        <v>289</v>
      </c>
      <c r="FK555" s="4">
        <v>285</v>
      </c>
      <c r="FL555" s="4">
        <v>281</v>
      </c>
      <c r="FM555" s="4">
        <v>277</v>
      </c>
      <c r="FN555" s="4">
        <v>273</v>
      </c>
      <c r="FO555" s="4">
        <v>269</v>
      </c>
      <c r="FP555" s="4">
        <v>265</v>
      </c>
      <c r="FQ555" s="4">
        <v>261</v>
      </c>
      <c r="FR555" s="4">
        <v>257</v>
      </c>
      <c r="FS555" s="4">
        <v>253</v>
      </c>
      <c r="FT555" s="19">
        <v>46</v>
      </c>
      <c r="FU555" s="19">
        <v>87.3</v>
      </c>
      <c r="FV555" s="19">
        <v>86.3</v>
      </c>
      <c r="FW555" s="19">
        <v>85.3</v>
      </c>
      <c r="FX555" s="19">
        <v>84.3</v>
      </c>
      <c r="FY555" s="19">
        <v>83.3</v>
      </c>
      <c r="FZ555" s="19">
        <v>82.3</v>
      </c>
      <c r="GA555" s="19">
        <v>81.3</v>
      </c>
      <c r="GB555" s="19">
        <v>80.3</v>
      </c>
      <c r="GC555" s="19">
        <v>79.3</v>
      </c>
      <c r="GD555" s="19">
        <v>78.3</v>
      </c>
      <c r="GE555" s="19">
        <v>77.3</v>
      </c>
      <c r="GF555" s="19">
        <v>76.3</v>
      </c>
      <c r="GG555" s="19">
        <v>75.3</v>
      </c>
      <c r="GH555" s="19">
        <v>74.3</v>
      </c>
      <c r="GI555" s="19">
        <v>73.3</v>
      </c>
      <c r="GJ555" s="19">
        <v>72.3</v>
      </c>
      <c r="GK555" s="19">
        <v>71.3</v>
      </c>
      <c r="GL555" s="19">
        <v>70.3</v>
      </c>
      <c r="GM555" s="19">
        <v>69.3</v>
      </c>
      <c r="GN555" s="19">
        <v>68.3</v>
      </c>
      <c r="GO555" s="19">
        <v>67.3</v>
      </c>
      <c r="GP555" s="19">
        <v>66.3</v>
      </c>
      <c r="GQ555" s="19">
        <v>65.3</v>
      </c>
      <c r="GR555" s="19">
        <v>64.3</v>
      </c>
      <c r="GS555" s="19">
        <v>63.3</v>
      </c>
    </row>
    <row r="556">
      <c r="A556" s="2" t="s">
        <v>3068</v>
      </c>
      <c r="B556" s="2" t="s">
        <v>883</v>
      </c>
      <c r="C556" s="2" t="s">
        <v>884</v>
      </c>
      <c r="D556" s="2" t="s">
        <v>885</v>
      </c>
      <c r="E556" s="2" t="s">
        <v>886</v>
      </c>
      <c r="F556" s="2" t="s">
        <v>3069</v>
      </c>
      <c r="G556" s="2" t="s">
        <v>3069</v>
      </c>
      <c r="H556" s="2" t="s">
        <v>3069</v>
      </c>
      <c r="I556" s="2" t="s">
        <v>3070</v>
      </c>
      <c r="J556" s="2" t="s">
        <v>2312</v>
      </c>
      <c r="K556" s="2" t="s">
        <v>371</v>
      </c>
      <c r="L556" s="3">
        <v>8.66</v>
      </c>
      <c r="M556" s="3">
        <v>9.09</v>
      </c>
      <c r="N556" s="3">
        <v>19.99</v>
      </c>
      <c r="O556" s="2" t="s">
        <v>196</v>
      </c>
      <c r="P556" s="2" t="s">
        <v>621</v>
      </c>
      <c r="Q556" s="2" t="s">
        <v>198</v>
      </c>
      <c r="R556" s="2" t="s">
        <v>199</v>
      </c>
      <c r="S556" s="2" t="s">
        <v>199</v>
      </c>
      <c r="T556" s="2" t="s">
        <v>199</v>
      </c>
      <c r="U556" s="2" t="s">
        <v>280</v>
      </c>
      <c r="V556" s="2" t="s">
        <v>493</v>
      </c>
      <c r="W556" s="2" t="s">
        <v>203</v>
      </c>
      <c r="X556" s="2" t="s">
        <v>199</v>
      </c>
      <c r="Y556" s="2" t="s">
        <v>3064</v>
      </c>
      <c r="Z556" s="4">
        <v>2010</v>
      </c>
      <c r="AA556" s="4">
        <f>=ROUNDDOWN(35.8928571428571,0)</f>
      </c>
      <c r="AB556" s="5">
        <v>56</v>
      </c>
      <c r="AC556" s="2" t="s">
        <v>199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/>
      <c r="BK556" s="8"/>
      <c r="BL556" s="2" t="s">
        <v>1521</v>
      </c>
      <c r="BM556" s="7"/>
      <c r="BN556" s="7"/>
      <c r="BO556" s="4"/>
      <c r="BP556" s="8"/>
      <c r="BQ556" s="4"/>
      <c r="BR556" s="8"/>
      <c r="BS556" s="7"/>
      <c r="BT556" s="7"/>
      <c r="BU556" s="2" t="s">
        <v>3071</v>
      </c>
      <c r="BV556" s="2" t="s">
        <v>199</v>
      </c>
      <c r="BW556" s="2" t="s">
        <v>199</v>
      </c>
      <c r="BX556" s="2" t="s">
        <v>208</v>
      </c>
      <c r="BY556" s="2" t="s">
        <v>209</v>
      </c>
      <c r="BZ556" s="2" t="s">
        <v>196</v>
      </c>
      <c r="CA556" s="2" t="s">
        <v>3067</v>
      </c>
      <c r="CB556" s="2" t="s">
        <v>1706</v>
      </c>
      <c r="CC556" s="2" t="s">
        <v>212</v>
      </c>
      <c r="CD556" s="2" t="s">
        <v>199</v>
      </c>
      <c r="CE556" s="4">
        <v>2004</v>
      </c>
      <c r="CF556" s="4">
        <v>3</v>
      </c>
      <c r="CG556" s="4"/>
      <c r="CH556" s="4">
        <v>3</v>
      </c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>
        <v>2010</v>
      </c>
      <c r="EU556" s="4">
        <v>1496</v>
      </c>
      <c r="EV556" s="4">
        <v>1434</v>
      </c>
      <c r="EW556" s="4">
        <v>1378</v>
      </c>
      <c r="EX556" s="4">
        <v>1322</v>
      </c>
      <c r="EY556" s="4">
        <v>1266</v>
      </c>
      <c r="EZ556" s="4">
        <v>1210</v>
      </c>
      <c r="FA556" s="4">
        <v>1154</v>
      </c>
      <c r="FB556" s="4">
        <v>1098</v>
      </c>
      <c r="FC556" s="4">
        <v>1042</v>
      </c>
      <c r="FD556" s="4">
        <v>986</v>
      </c>
      <c r="FE556" s="4">
        <v>930</v>
      </c>
      <c r="FF556" s="4">
        <v>874</v>
      </c>
      <c r="FG556" s="4">
        <v>818</v>
      </c>
      <c r="FH556" s="4">
        <v>762</v>
      </c>
      <c r="FI556" s="4">
        <v>700</v>
      </c>
      <c r="FJ556" s="4">
        <v>644</v>
      </c>
      <c r="FK556" s="4">
        <v>588</v>
      </c>
      <c r="FL556" s="4">
        <v>532</v>
      </c>
      <c r="FM556" s="4">
        <v>476</v>
      </c>
      <c r="FN556" s="4">
        <v>414</v>
      </c>
      <c r="FO556" s="4">
        <v>358</v>
      </c>
      <c r="FP556" s="4">
        <v>302</v>
      </c>
      <c r="FQ556" s="4">
        <v>1006</v>
      </c>
      <c r="FR556" s="4">
        <v>950</v>
      </c>
      <c r="FS556" s="4">
        <v>894</v>
      </c>
      <c r="FT556" s="19">
        <v>11.7</v>
      </c>
      <c r="FU556" s="19">
        <v>25.8</v>
      </c>
      <c r="FV556" s="19">
        <v>25.6</v>
      </c>
      <c r="FW556" s="19">
        <v>24.6</v>
      </c>
      <c r="FX556" s="19">
        <v>23.6</v>
      </c>
      <c r="FY556" s="19">
        <v>22.6</v>
      </c>
      <c r="FZ556" s="19">
        <v>21.6</v>
      </c>
      <c r="GA556" s="19">
        <v>20.6</v>
      </c>
      <c r="GB556" s="19">
        <v>19.6</v>
      </c>
      <c r="GC556" s="19">
        <v>18.6</v>
      </c>
      <c r="GD556" s="9"/>
      <c r="GE556" s="19">
        <v>16</v>
      </c>
      <c r="GF556" s="19">
        <v>15.1</v>
      </c>
      <c r="GG556" s="19">
        <v>14.1</v>
      </c>
      <c r="GH556" s="19">
        <v>13.1</v>
      </c>
      <c r="GI556" s="19">
        <v>12.5</v>
      </c>
      <c r="GJ556" s="19">
        <v>11.1</v>
      </c>
      <c r="GK556" s="19">
        <v>10.1</v>
      </c>
      <c r="GL556" s="19">
        <v>9.2</v>
      </c>
      <c r="GM556" s="19">
        <v>8.2</v>
      </c>
      <c r="GN556" s="19">
        <v>7.4</v>
      </c>
      <c r="GO556" s="19">
        <v>6.4</v>
      </c>
      <c r="GP556" s="19">
        <v>5.4</v>
      </c>
      <c r="GQ556" s="19">
        <v>18</v>
      </c>
      <c r="GR556" s="19">
        <v>17</v>
      </c>
      <c r="GS556" s="19">
        <v>15.4</v>
      </c>
    </row>
    <row r="557">
      <c r="A557" s="2" t="s">
        <v>3072</v>
      </c>
      <c r="B557" s="2" t="s">
        <v>245</v>
      </c>
      <c r="C557" s="2" t="s">
        <v>1007</v>
      </c>
      <c r="D557" s="2" t="s">
        <v>247</v>
      </c>
      <c r="E557" s="2" t="s">
        <v>248</v>
      </c>
      <c r="F557" s="2" t="s">
        <v>1547</v>
      </c>
      <c r="G557" s="2" t="s">
        <v>1547</v>
      </c>
      <c r="H557" s="2" t="s">
        <v>1547</v>
      </c>
      <c r="I557" s="2" t="s">
        <v>3073</v>
      </c>
      <c r="J557" s="2" t="s">
        <v>3074</v>
      </c>
      <c r="K557" s="2" t="s">
        <v>3075</v>
      </c>
      <c r="L557" s="3">
        <v>12.6</v>
      </c>
      <c r="M557" s="3">
        <v>13.23</v>
      </c>
      <c r="N557" s="3">
        <v>27.99</v>
      </c>
      <c r="O557" s="2" t="s">
        <v>196</v>
      </c>
      <c r="P557" s="2" t="s">
        <v>197</v>
      </c>
      <c r="Q557" s="2" t="s">
        <v>198</v>
      </c>
      <c r="R557" s="2" t="s">
        <v>199</v>
      </c>
      <c r="S557" s="2" t="s">
        <v>3076</v>
      </c>
      <c r="T557" s="2" t="s">
        <v>386</v>
      </c>
      <c r="U557" s="2" t="s">
        <v>199</v>
      </c>
      <c r="V557" s="2" t="s">
        <v>1547</v>
      </c>
      <c r="W557" s="2" t="s">
        <v>203</v>
      </c>
      <c r="X557" s="2" t="s">
        <v>199</v>
      </c>
      <c r="Y557" s="2" t="s">
        <v>3077</v>
      </c>
      <c r="Z557" s="4">
        <v>141</v>
      </c>
      <c r="AA557" s="4">
        <f>=ROUNDDOWN(28.2,0)</f>
      </c>
      <c r="AB557" s="5">
        <v>5</v>
      </c>
      <c r="AC557" s="2" t="s">
        <v>236</v>
      </c>
      <c r="AD557" s="4">
        <v>20</v>
      </c>
      <c r="AE557" s="4">
        <v>20</v>
      </c>
      <c r="AF557" s="6">
        <v>65</v>
      </c>
      <c r="AG557" s="6"/>
      <c r="AH557" s="7">
        <v>0.6774</v>
      </c>
      <c r="AI557" s="4"/>
      <c r="AJ557" s="4">
        <f>=ROUNDDOWN({0},0)</f>
      </c>
      <c r="AK557" s="5"/>
      <c r="AL557" s="2" t="s">
        <v>199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199</v>
      </c>
      <c r="AW557" s="8" t="s">
        <v>199</v>
      </c>
      <c r="AX557" s="4" t="s">
        <v>199</v>
      </c>
      <c r="AY557" s="8" t="s">
        <v>199</v>
      </c>
      <c r="AZ557" s="7" t="s">
        <v>199</v>
      </c>
      <c r="BA557" s="7" t="s">
        <v>199</v>
      </c>
      <c r="BB557" s="7"/>
      <c r="BC557" s="4" t="s">
        <v>199</v>
      </c>
      <c r="BD557" s="8" t="s">
        <v>199</v>
      </c>
      <c r="BE557" s="4" t="s">
        <v>199</v>
      </c>
      <c r="BF557" s="8" t="s">
        <v>199</v>
      </c>
      <c r="BG557" s="7" t="s">
        <v>199</v>
      </c>
      <c r="BH557" s="7" t="s">
        <v>199</v>
      </c>
      <c r="BI557" s="7"/>
      <c r="BJ557" s="4">
        <v>11</v>
      </c>
      <c r="BK557" s="8">
        <v>154.12</v>
      </c>
      <c r="BL557" s="2" t="s">
        <v>3078</v>
      </c>
      <c r="BM557" s="7"/>
      <c r="BN557" s="7"/>
      <c r="BO557" s="4"/>
      <c r="BP557" s="8"/>
      <c r="BQ557" s="4"/>
      <c r="BR557" s="8"/>
      <c r="BS557" s="7"/>
      <c r="BT557" s="7"/>
      <c r="BU557" s="2" t="s">
        <v>3079</v>
      </c>
      <c r="BV557" s="2" t="s">
        <v>199</v>
      </c>
      <c r="BW557" s="2" t="s">
        <v>199</v>
      </c>
      <c r="BX557" s="2" t="s">
        <v>208</v>
      </c>
      <c r="BY557" s="2" t="s">
        <v>209</v>
      </c>
      <c r="BZ557" s="2" t="s">
        <v>196</v>
      </c>
      <c r="CA557" s="2" t="s">
        <v>2746</v>
      </c>
      <c r="CB557" s="2" t="s">
        <v>628</v>
      </c>
      <c r="CC557" s="2" t="s">
        <v>212</v>
      </c>
      <c r="CD557" s="2" t="s">
        <v>199</v>
      </c>
      <c r="CE557" s="4">
        <v>141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>
        <v>20</v>
      </c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>
        <v>141</v>
      </c>
      <c r="EU557" s="4">
        <v>133</v>
      </c>
      <c r="EV557" s="4">
        <v>129</v>
      </c>
      <c r="EW557" s="4">
        <v>125</v>
      </c>
      <c r="EX557" s="4">
        <v>121</v>
      </c>
      <c r="EY557" s="4">
        <v>117</v>
      </c>
      <c r="EZ557" s="4">
        <v>113</v>
      </c>
      <c r="FA557" s="4">
        <v>109</v>
      </c>
      <c r="FB557" s="4">
        <v>105</v>
      </c>
      <c r="FC557" s="4">
        <v>101</v>
      </c>
      <c r="FD557" s="4">
        <v>117</v>
      </c>
      <c r="FE557" s="4">
        <v>113</v>
      </c>
      <c r="FF557" s="4">
        <v>109</v>
      </c>
      <c r="FG557" s="4">
        <v>104</v>
      </c>
      <c r="FH557" s="4">
        <v>99</v>
      </c>
      <c r="FI557" s="4">
        <v>94</v>
      </c>
      <c r="FJ557" s="4">
        <v>89</v>
      </c>
      <c r="FK557" s="4">
        <v>84</v>
      </c>
      <c r="FL557" s="4">
        <v>77</v>
      </c>
      <c r="FM557" s="4">
        <v>72</v>
      </c>
      <c r="FN557" s="4">
        <v>67</v>
      </c>
      <c r="FO557" s="4">
        <v>62</v>
      </c>
      <c r="FP557" s="4">
        <v>57</v>
      </c>
      <c r="FQ557" s="4">
        <v>117</v>
      </c>
      <c r="FR557" s="4">
        <v>111</v>
      </c>
      <c r="FS557" s="4">
        <v>102</v>
      </c>
      <c r="FT557" s="19">
        <v>28.2</v>
      </c>
      <c r="FU557" s="19">
        <v>33.3</v>
      </c>
      <c r="FV557" s="19">
        <v>32.3</v>
      </c>
      <c r="FW557" s="19">
        <v>31.3</v>
      </c>
      <c r="FX557" s="19">
        <v>30.3</v>
      </c>
      <c r="FY557" s="19">
        <v>29.3</v>
      </c>
      <c r="FZ557" s="19">
        <v>28.3</v>
      </c>
      <c r="GA557" s="19">
        <v>27.3</v>
      </c>
      <c r="GB557" s="19">
        <v>26.3</v>
      </c>
      <c r="GC557" s="19">
        <v>25.3</v>
      </c>
      <c r="GD557" s="19">
        <v>29.3</v>
      </c>
      <c r="GE557" s="19">
        <v>22.6</v>
      </c>
      <c r="GF557" s="19">
        <v>21.8</v>
      </c>
      <c r="GG557" s="19">
        <v>20.8</v>
      </c>
      <c r="GH557" s="19">
        <v>16.5</v>
      </c>
      <c r="GI557" s="19">
        <v>15.7</v>
      </c>
      <c r="GJ557" s="19">
        <v>14.8</v>
      </c>
      <c r="GK557" s="19">
        <v>14</v>
      </c>
      <c r="GL557" s="19">
        <v>15.4</v>
      </c>
      <c r="GM557" s="19">
        <v>14.4</v>
      </c>
      <c r="GN557" s="19">
        <v>13.4</v>
      </c>
      <c r="GO557" s="19">
        <v>10.3</v>
      </c>
      <c r="GP557" s="19">
        <v>8.1</v>
      </c>
      <c r="GQ557" s="19">
        <v>16.7</v>
      </c>
      <c r="GR557" s="19">
        <v>15.9</v>
      </c>
      <c r="GS557" s="19">
        <v>17</v>
      </c>
    </row>
    <row r="558">
      <c r="A558" s="2" t="s">
        <v>3080</v>
      </c>
      <c r="B558" s="2" t="s">
        <v>245</v>
      </c>
      <c r="C558" s="2" t="s">
        <v>1007</v>
      </c>
      <c r="D558" s="2" t="s">
        <v>247</v>
      </c>
      <c r="E558" s="2" t="s">
        <v>248</v>
      </c>
      <c r="F558" s="2" t="s">
        <v>1547</v>
      </c>
      <c r="G558" s="2" t="s">
        <v>1547</v>
      </c>
      <c r="H558" s="2" t="s">
        <v>1547</v>
      </c>
      <c r="I558" s="2" t="s">
        <v>3073</v>
      </c>
      <c r="J558" s="2" t="s">
        <v>219</v>
      </c>
      <c r="K558" s="2" t="s">
        <v>3075</v>
      </c>
      <c r="L558" s="3">
        <v>14.85</v>
      </c>
      <c r="M558" s="3">
        <v>15.59</v>
      </c>
      <c r="N558" s="3">
        <v>32.99</v>
      </c>
      <c r="O558" s="2" t="s">
        <v>196</v>
      </c>
      <c r="P558" s="2" t="s">
        <v>197</v>
      </c>
      <c r="Q558" s="2" t="s">
        <v>198</v>
      </c>
      <c r="R558" s="2" t="s">
        <v>199</v>
      </c>
      <c r="S558" s="2" t="s">
        <v>3076</v>
      </c>
      <c r="T558" s="2" t="s">
        <v>386</v>
      </c>
      <c r="U558" s="2" t="s">
        <v>199</v>
      </c>
      <c r="V558" s="2" t="s">
        <v>1547</v>
      </c>
      <c r="W558" s="2" t="s">
        <v>203</v>
      </c>
      <c r="X558" s="2" t="s">
        <v>199</v>
      </c>
      <c r="Y558" s="2" t="s">
        <v>3077</v>
      </c>
      <c r="Z558" s="4">
        <v>78</v>
      </c>
      <c r="AA558" s="4">
        <f>=ROUNDDOWN(6,0)</f>
      </c>
      <c r="AB558" s="5">
        <v>13</v>
      </c>
      <c r="AC558" s="2" t="s">
        <v>236</v>
      </c>
      <c r="AD558" s="4">
        <v>250</v>
      </c>
      <c r="AE558" s="4">
        <v>250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199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199</v>
      </c>
      <c r="AW558" s="8" t="s">
        <v>199</v>
      </c>
      <c r="AX558" s="4" t="s">
        <v>199</v>
      </c>
      <c r="AY558" s="8" t="s">
        <v>199</v>
      </c>
      <c r="AZ558" s="7" t="s">
        <v>199</v>
      </c>
      <c r="BA558" s="7" t="s">
        <v>199</v>
      </c>
      <c r="BB558" s="7"/>
      <c r="BC558" s="4" t="s">
        <v>199</v>
      </c>
      <c r="BD558" s="8" t="s">
        <v>199</v>
      </c>
      <c r="BE558" s="4" t="s">
        <v>199</v>
      </c>
      <c r="BF558" s="8" t="s">
        <v>199</v>
      </c>
      <c r="BG558" s="7" t="s">
        <v>199</v>
      </c>
      <c r="BH558" s="7" t="s">
        <v>199</v>
      </c>
      <c r="BI558" s="7"/>
      <c r="BJ558" s="4">
        <v>127</v>
      </c>
      <c r="BK558" s="8">
        <v>2198.91</v>
      </c>
      <c r="BL558" s="2" t="s">
        <v>3081</v>
      </c>
      <c r="BM558" s="7"/>
      <c r="BN558" s="7"/>
      <c r="BO558" s="4"/>
      <c r="BP558" s="8"/>
      <c r="BQ558" s="4"/>
      <c r="BR558" s="8"/>
      <c r="BS558" s="7"/>
      <c r="BT558" s="7"/>
      <c r="BU558" s="2" t="s">
        <v>3079</v>
      </c>
      <c r="BV558" s="2" t="s">
        <v>199</v>
      </c>
      <c r="BW558" s="2" t="s">
        <v>199</v>
      </c>
      <c r="BX558" s="2" t="s">
        <v>208</v>
      </c>
      <c r="BY558" s="2" t="s">
        <v>209</v>
      </c>
      <c r="BZ558" s="2" t="s">
        <v>196</v>
      </c>
      <c r="CA558" s="2" t="s">
        <v>2746</v>
      </c>
      <c r="CB558" s="2" t="s">
        <v>3082</v>
      </c>
      <c r="CC558" s="2" t="s">
        <v>212</v>
      </c>
      <c r="CD558" s="2" t="s">
        <v>199</v>
      </c>
      <c r="CE558" s="4">
        <v>78</v>
      </c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>
        <v>250</v>
      </c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>
        <v>81</v>
      </c>
      <c r="EU558" s="4">
        <v>73</v>
      </c>
      <c r="EV558" s="4">
        <v>66</v>
      </c>
      <c r="EW558" s="4">
        <v>59</v>
      </c>
      <c r="EX558" s="4">
        <v>52</v>
      </c>
      <c r="EY558" s="4">
        <v>45</v>
      </c>
      <c r="EZ558" s="4">
        <v>38</v>
      </c>
      <c r="FA558" s="4">
        <v>31</v>
      </c>
      <c r="FB558" s="4">
        <v>23</v>
      </c>
      <c r="FC558" s="4">
        <v>13</v>
      </c>
      <c r="FD558" s="4">
        <v>253</v>
      </c>
      <c r="FE558" s="4">
        <v>243</v>
      </c>
      <c r="FF558" s="4">
        <v>233</v>
      </c>
      <c r="FG558" s="4">
        <v>223</v>
      </c>
      <c r="FH558" s="4">
        <v>213</v>
      </c>
      <c r="FI558" s="4">
        <v>203</v>
      </c>
      <c r="FJ558" s="4">
        <v>193</v>
      </c>
      <c r="FK558" s="4">
        <v>183</v>
      </c>
      <c r="FL558" s="4">
        <v>172</v>
      </c>
      <c r="FM558" s="4">
        <v>161</v>
      </c>
      <c r="FN558" s="4">
        <v>150</v>
      </c>
      <c r="FO558" s="4">
        <v>137</v>
      </c>
      <c r="FP558" s="4">
        <v>126</v>
      </c>
      <c r="FQ558" s="4">
        <v>285</v>
      </c>
      <c r="FR558" s="4">
        <v>273</v>
      </c>
      <c r="FS558" s="4">
        <v>256</v>
      </c>
      <c r="FT558" s="19">
        <v>11.6</v>
      </c>
      <c r="FU558" s="19">
        <v>10.4</v>
      </c>
      <c r="FV558" s="19">
        <v>9.4</v>
      </c>
      <c r="FW558" s="19">
        <v>8.4</v>
      </c>
      <c r="FX558" s="19">
        <v>7.4</v>
      </c>
      <c r="FY558" s="19">
        <v>5.6</v>
      </c>
      <c r="FZ558" s="19">
        <v>4.2</v>
      </c>
      <c r="GA558" s="19">
        <v>3.1</v>
      </c>
      <c r="GB558" s="19">
        <v>2.3</v>
      </c>
      <c r="GC558" s="19">
        <v>1.3</v>
      </c>
      <c r="GD558" s="19">
        <v>25.3</v>
      </c>
      <c r="GE558" s="19">
        <v>24.3</v>
      </c>
      <c r="GF558" s="19">
        <v>23.3</v>
      </c>
      <c r="GG558" s="19">
        <v>22.3</v>
      </c>
      <c r="GH558" s="19">
        <v>21.3</v>
      </c>
      <c r="GI558" s="19">
        <v>20.3</v>
      </c>
      <c r="GJ558" s="19">
        <v>17.5</v>
      </c>
      <c r="GK558" s="19">
        <v>15.3</v>
      </c>
      <c r="GL558" s="19">
        <v>14.3</v>
      </c>
      <c r="GM558" s="19">
        <v>12.4</v>
      </c>
      <c r="GN558" s="19">
        <v>11.5</v>
      </c>
      <c r="GO558" s="19">
        <v>9.8</v>
      </c>
      <c r="GP558" s="19">
        <v>9</v>
      </c>
      <c r="GQ558" s="19">
        <v>21.9</v>
      </c>
      <c r="GR558" s="19">
        <v>19.5</v>
      </c>
      <c r="GS558" s="19">
        <v>19.7</v>
      </c>
    </row>
    <row r="559">
      <c r="A559" s="2" t="s">
        <v>3083</v>
      </c>
      <c r="B559" s="2" t="s">
        <v>245</v>
      </c>
      <c r="C559" s="2" t="s">
        <v>1007</v>
      </c>
      <c r="D559" s="2" t="s">
        <v>247</v>
      </c>
      <c r="E559" s="2" t="s">
        <v>248</v>
      </c>
      <c r="F559" s="2" t="s">
        <v>1547</v>
      </c>
      <c r="G559" s="2" t="s">
        <v>1547</v>
      </c>
      <c r="H559" s="2" t="s">
        <v>1547</v>
      </c>
      <c r="I559" s="2" t="s">
        <v>3073</v>
      </c>
      <c r="J559" s="2" t="s">
        <v>3074</v>
      </c>
      <c r="K559" s="2" t="s">
        <v>3084</v>
      </c>
      <c r="L559" s="3">
        <v>12.6</v>
      </c>
      <c r="M559" s="3">
        <v>13.23</v>
      </c>
      <c r="N559" s="3">
        <v>27.99</v>
      </c>
      <c r="O559" s="2" t="s">
        <v>196</v>
      </c>
      <c r="P559" s="2" t="s">
        <v>197</v>
      </c>
      <c r="Q559" s="2" t="s">
        <v>198</v>
      </c>
      <c r="R559" s="2" t="s">
        <v>199</v>
      </c>
      <c r="S559" s="2" t="s">
        <v>3085</v>
      </c>
      <c r="T559" s="2" t="s">
        <v>386</v>
      </c>
      <c r="U559" s="2" t="s">
        <v>637</v>
      </c>
      <c r="V559" s="2" t="s">
        <v>1547</v>
      </c>
      <c r="W559" s="2" t="s">
        <v>203</v>
      </c>
      <c r="X559" s="2" t="s">
        <v>199</v>
      </c>
      <c r="Y559" s="2" t="s">
        <v>3077</v>
      </c>
      <c r="Z559" s="4">
        <v>167</v>
      </c>
      <c r="AA559" s="4">
        <f>=ROUNDDOWN(33.4,0)</f>
      </c>
      <c r="AB559" s="5">
        <v>5</v>
      </c>
      <c r="AC559" s="2" t="s">
        <v>236</v>
      </c>
      <c r="AD559" s="4">
        <v>80</v>
      </c>
      <c r="AE559" s="4">
        <v>80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199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199</v>
      </c>
      <c r="AW559" s="8" t="s">
        <v>199</v>
      </c>
      <c r="AX559" s="4" t="s">
        <v>199</v>
      </c>
      <c r="AY559" s="8" t="s">
        <v>199</v>
      </c>
      <c r="AZ559" s="7" t="s">
        <v>199</v>
      </c>
      <c r="BA559" s="7" t="s">
        <v>199</v>
      </c>
      <c r="BB559" s="7"/>
      <c r="BC559" s="4" t="s">
        <v>199</v>
      </c>
      <c r="BD559" s="8" t="s">
        <v>199</v>
      </c>
      <c r="BE559" s="4" t="s">
        <v>199</v>
      </c>
      <c r="BF559" s="8" t="s">
        <v>199</v>
      </c>
      <c r="BG559" s="7" t="s">
        <v>199</v>
      </c>
      <c r="BH559" s="7" t="s">
        <v>199</v>
      </c>
      <c r="BI559" s="7"/>
      <c r="BJ559" s="4">
        <v>11</v>
      </c>
      <c r="BK559" s="8">
        <v>154</v>
      </c>
      <c r="BL559" s="2" t="s">
        <v>3086</v>
      </c>
      <c r="BM559" s="7"/>
      <c r="BN559" s="7"/>
      <c r="BO559" s="4"/>
      <c r="BP559" s="8"/>
      <c r="BQ559" s="4"/>
      <c r="BR559" s="8"/>
      <c r="BS559" s="7"/>
      <c r="BT559" s="7"/>
      <c r="BU559" s="2" t="s">
        <v>3079</v>
      </c>
      <c r="BV559" s="2" t="s">
        <v>199</v>
      </c>
      <c r="BW559" s="2" t="s">
        <v>199</v>
      </c>
      <c r="BX559" s="2" t="s">
        <v>208</v>
      </c>
      <c r="BY559" s="2" t="s">
        <v>209</v>
      </c>
      <c r="BZ559" s="2" t="s">
        <v>196</v>
      </c>
      <c r="CA559" s="2" t="s">
        <v>2746</v>
      </c>
      <c r="CB559" s="2" t="s">
        <v>3082</v>
      </c>
      <c r="CC559" s="2" t="s">
        <v>212</v>
      </c>
      <c r="CD559" s="2" t="s">
        <v>199</v>
      </c>
      <c r="CE559" s="4">
        <v>167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>
        <v>80</v>
      </c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>
        <v>167</v>
      </c>
      <c r="EU559" s="4">
        <v>164</v>
      </c>
      <c r="EV559" s="4">
        <v>161</v>
      </c>
      <c r="EW559" s="4">
        <v>158</v>
      </c>
      <c r="EX559" s="4">
        <v>155</v>
      </c>
      <c r="EY559" s="4">
        <v>152</v>
      </c>
      <c r="EZ559" s="4">
        <v>148</v>
      </c>
      <c r="FA559" s="4">
        <v>144</v>
      </c>
      <c r="FB559" s="4">
        <v>140</v>
      </c>
      <c r="FC559" s="4">
        <v>136</v>
      </c>
      <c r="FD559" s="4">
        <v>212</v>
      </c>
      <c r="FE559" s="4">
        <v>208</v>
      </c>
      <c r="FF559" s="4">
        <v>204</v>
      </c>
      <c r="FG559" s="4">
        <v>200</v>
      </c>
      <c r="FH559" s="4">
        <v>196</v>
      </c>
      <c r="FI559" s="4">
        <v>192</v>
      </c>
      <c r="FJ559" s="4">
        <v>188</v>
      </c>
      <c r="FK559" s="4">
        <v>184</v>
      </c>
      <c r="FL559" s="4">
        <v>180</v>
      </c>
      <c r="FM559" s="4">
        <v>176</v>
      </c>
      <c r="FN559" s="4">
        <v>170</v>
      </c>
      <c r="FO559" s="4">
        <v>161</v>
      </c>
      <c r="FP559" s="4">
        <v>152</v>
      </c>
      <c r="FQ559" s="4">
        <v>141</v>
      </c>
      <c r="FR559" s="4">
        <v>132</v>
      </c>
      <c r="FS559" s="4">
        <v>124</v>
      </c>
      <c r="FT559" s="19">
        <v>55.7</v>
      </c>
      <c r="FU559" s="19">
        <v>54.7</v>
      </c>
      <c r="FV559" s="19">
        <v>53.7</v>
      </c>
      <c r="FW559" s="19">
        <v>39.5</v>
      </c>
      <c r="FX559" s="19">
        <v>38.8</v>
      </c>
      <c r="FY559" s="19">
        <v>38</v>
      </c>
      <c r="FZ559" s="19">
        <v>37</v>
      </c>
      <c r="GA559" s="19">
        <v>36</v>
      </c>
      <c r="GB559" s="19">
        <v>35</v>
      </c>
      <c r="GC559" s="19">
        <v>34</v>
      </c>
      <c r="GD559" s="19">
        <v>53</v>
      </c>
      <c r="GE559" s="19">
        <v>52</v>
      </c>
      <c r="GF559" s="19">
        <v>51</v>
      </c>
      <c r="GG559" s="19">
        <v>50</v>
      </c>
      <c r="GH559" s="19">
        <v>49</v>
      </c>
      <c r="GI559" s="19">
        <v>48</v>
      </c>
      <c r="GJ559" s="19">
        <v>47</v>
      </c>
      <c r="GK559" s="19">
        <v>30.7</v>
      </c>
      <c r="GL559" s="19">
        <v>25.7</v>
      </c>
      <c r="GM559" s="19">
        <v>19.6</v>
      </c>
      <c r="GN559" s="19">
        <v>17</v>
      </c>
      <c r="GO559" s="19">
        <v>17.9</v>
      </c>
      <c r="GP559" s="19">
        <v>16.9</v>
      </c>
      <c r="GQ559" s="19">
        <v>15.7</v>
      </c>
      <c r="GR559" s="19">
        <v>13.2</v>
      </c>
      <c r="GS559" s="19">
        <v>11.3</v>
      </c>
    </row>
    <row r="560">
      <c r="A560" s="2" t="s">
        <v>3087</v>
      </c>
      <c r="B560" s="2" t="s">
        <v>245</v>
      </c>
      <c r="C560" s="2" t="s">
        <v>1007</v>
      </c>
      <c r="D560" s="2" t="s">
        <v>247</v>
      </c>
      <c r="E560" s="2" t="s">
        <v>248</v>
      </c>
      <c r="F560" s="2" t="s">
        <v>1547</v>
      </c>
      <c r="G560" s="2" t="s">
        <v>1547</v>
      </c>
      <c r="H560" s="2" t="s">
        <v>1547</v>
      </c>
      <c r="I560" s="2" t="s">
        <v>3073</v>
      </c>
      <c r="J560" s="2" t="s">
        <v>285</v>
      </c>
      <c r="K560" s="2" t="s">
        <v>3084</v>
      </c>
      <c r="L560" s="3">
        <v>13.95</v>
      </c>
      <c r="M560" s="3">
        <v>14.65</v>
      </c>
      <c r="N560" s="3">
        <v>30.99</v>
      </c>
      <c r="O560" s="2" t="s">
        <v>196</v>
      </c>
      <c r="P560" s="2" t="s">
        <v>197</v>
      </c>
      <c r="Q560" s="2" t="s">
        <v>198</v>
      </c>
      <c r="R560" s="2" t="s">
        <v>199</v>
      </c>
      <c r="S560" s="2" t="s">
        <v>3085</v>
      </c>
      <c r="T560" s="2" t="s">
        <v>386</v>
      </c>
      <c r="U560" s="2" t="s">
        <v>254</v>
      </c>
      <c r="V560" s="2" t="s">
        <v>1547</v>
      </c>
      <c r="W560" s="2" t="s">
        <v>203</v>
      </c>
      <c r="X560" s="2" t="s">
        <v>199</v>
      </c>
      <c r="Y560" s="2" t="s">
        <v>3077</v>
      </c>
      <c r="Z560" s="4">
        <v>152</v>
      </c>
      <c r="AA560" s="4">
        <f>=ROUNDDOWN(22.6865671641791,0)</f>
      </c>
      <c r="AB560" s="5">
        <v>6.7</v>
      </c>
      <c r="AC560" s="2" t="s">
        <v>236</v>
      </c>
      <c r="AD560" s="4">
        <v>130</v>
      </c>
      <c r="AE560" s="4">
        <v>130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199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199</v>
      </c>
      <c r="AW560" s="8" t="s">
        <v>199</v>
      </c>
      <c r="AX560" s="4" t="s">
        <v>199</v>
      </c>
      <c r="AY560" s="8" t="s">
        <v>199</v>
      </c>
      <c r="AZ560" s="7" t="s">
        <v>199</v>
      </c>
      <c r="BA560" s="7" t="s">
        <v>199</v>
      </c>
      <c r="BB560" s="7"/>
      <c r="BC560" s="4" t="s">
        <v>199</v>
      </c>
      <c r="BD560" s="8" t="s">
        <v>199</v>
      </c>
      <c r="BE560" s="4" t="s">
        <v>199</v>
      </c>
      <c r="BF560" s="8" t="s">
        <v>199</v>
      </c>
      <c r="BG560" s="7" t="s">
        <v>199</v>
      </c>
      <c r="BH560" s="7" t="s">
        <v>199</v>
      </c>
      <c r="BI560" s="7"/>
      <c r="BJ560" s="4">
        <v>29</v>
      </c>
      <c r="BK560" s="8">
        <v>448.09</v>
      </c>
      <c r="BL560" s="2" t="s">
        <v>1096</v>
      </c>
      <c r="BM560" s="7"/>
      <c r="BN560" s="7"/>
      <c r="BO560" s="4"/>
      <c r="BP560" s="8"/>
      <c r="BQ560" s="4"/>
      <c r="BR560" s="8"/>
      <c r="BS560" s="7"/>
      <c r="BT560" s="7"/>
      <c r="BU560" s="2" t="s">
        <v>3079</v>
      </c>
      <c r="BV560" s="2" t="s">
        <v>199</v>
      </c>
      <c r="BW560" s="2" t="s">
        <v>199</v>
      </c>
      <c r="BX560" s="2" t="s">
        <v>208</v>
      </c>
      <c r="BY560" s="2" t="s">
        <v>209</v>
      </c>
      <c r="BZ560" s="2" t="s">
        <v>196</v>
      </c>
      <c r="CA560" s="2" t="s">
        <v>2746</v>
      </c>
      <c r="CB560" s="2" t="s">
        <v>3088</v>
      </c>
      <c r="CC560" s="2" t="s">
        <v>212</v>
      </c>
      <c r="CD560" s="2" t="s">
        <v>199</v>
      </c>
      <c r="CE560" s="4">
        <v>152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>
        <v>130</v>
      </c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>
        <v>152</v>
      </c>
      <c r="EU560" s="4">
        <v>148</v>
      </c>
      <c r="EV560" s="4">
        <v>144</v>
      </c>
      <c r="EW560" s="4">
        <v>140</v>
      </c>
      <c r="EX560" s="4">
        <v>136</v>
      </c>
      <c r="EY560" s="4">
        <v>132</v>
      </c>
      <c r="EZ560" s="4">
        <v>128</v>
      </c>
      <c r="FA560" s="4">
        <v>124</v>
      </c>
      <c r="FB560" s="4">
        <v>120</v>
      </c>
      <c r="FC560" s="4">
        <v>113</v>
      </c>
      <c r="FD560" s="4">
        <v>237</v>
      </c>
      <c r="FE560" s="4">
        <v>228</v>
      </c>
      <c r="FF560" s="4">
        <v>219</v>
      </c>
      <c r="FG560" s="4">
        <v>211</v>
      </c>
      <c r="FH560" s="4">
        <v>203</v>
      </c>
      <c r="FI560" s="4">
        <v>195</v>
      </c>
      <c r="FJ560" s="4">
        <v>185</v>
      </c>
      <c r="FK560" s="4">
        <v>175</v>
      </c>
      <c r="FL560" s="4">
        <v>167</v>
      </c>
      <c r="FM560" s="4">
        <v>159</v>
      </c>
      <c r="FN560" s="4">
        <v>150</v>
      </c>
      <c r="FO560" s="4">
        <v>143</v>
      </c>
      <c r="FP560" s="4">
        <v>136</v>
      </c>
      <c r="FQ560" s="4">
        <v>127</v>
      </c>
      <c r="FR560" s="4">
        <v>120</v>
      </c>
      <c r="FS560" s="4">
        <v>113</v>
      </c>
      <c r="FT560" s="19">
        <v>38</v>
      </c>
      <c r="FU560" s="19">
        <v>37</v>
      </c>
      <c r="FV560" s="19">
        <v>36</v>
      </c>
      <c r="FW560" s="19">
        <v>35</v>
      </c>
      <c r="FX560" s="19">
        <v>34</v>
      </c>
      <c r="FY560" s="19">
        <v>26.4</v>
      </c>
      <c r="FZ560" s="19">
        <v>25.6</v>
      </c>
      <c r="GA560" s="19">
        <v>20.7</v>
      </c>
      <c r="GB560" s="19">
        <v>15</v>
      </c>
      <c r="GC560" s="19">
        <v>14.1</v>
      </c>
      <c r="GD560" s="19">
        <v>29.6</v>
      </c>
      <c r="GE560" s="19">
        <v>28.5</v>
      </c>
      <c r="GF560" s="19">
        <v>27.4</v>
      </c>
      <c r="GG560" s="19">
        <v>23.4</v>
      </c>
      <c r="GH560" s="19">
        <v>22.6</v>
      </c>
      <c r="GI560" s="19">
        <v>21.7</v>
      </c>
      <c r="GJ560" s="19">
        <v>20.6</v>
      </c>
      <c r="GK560" s="19">
        <v>21.9</v>
      </c>
      <c r="GL560" s="19">
        <v>20.9</v>
      </c>
      <c r="GM560" s="19">
        <v>19.9</v>
      </c>
      <c r="GN560" s="19">
        <v>18.8</v>
      </c>
      <c r="GO560" s="19">
        <v>17.9</v>
      </c>
      <c r="GP560" s="19">
        <v>17</v>
      </c>
      <c r="GQ560" s="19">
        <v>18.1</v>
      </c>
      <c r="GR560" s="19">
        <v>17.1</v>
      </c>
      <c r="GS560" s="19">
        <v>16.1</v>
      </c>
    </row>
    <row r="561">
      <c r="A561" s="2" t="s">
        <v>3089</v>
      </c>
      <c r="B561" s="2" t="s">
        <v>245</v>
      </c>
      <c r="C561" s="2" t="s">
        <v>1007</v>
      </c>
      <c r="D561" s="2" t="s">
        <v>247</v>
      </c>
      <c r="E561" s="2" t="s">
        <v>248</v>
      </c>
      <c r="F561" s="2" t="s">
        <v>1547</v>
      </c>
      <c r="G561" s="2" t="s">
        <v>1547</v>
      </c>
      <c r="H561" s="2" t="s">
        <v>1547</v>
      </c>
      <c r="I561" s="2" t="s">
        <v>3073</v>
      </c>
      <c r="J561" s="2" t="s">
        <v>219</v>
      </c>
      <c r="K561" s="2" t="s">
        <v>3084</v>
      </c>
      <c r="L561" s="3">
        <v>14.85</v>
      </c>
      <c r="M561" s="3">
        <v>15.59</v>
      </c>
      <c r="N561" s="3">
        <v>32.99</v>
      </c>
      <c r="O561" s="2" t="s">
        <v>196</v>
      </c>
      <c r="P561" s="2" t="s">
        <v>197</v>
      </c>
      <c r="Q561" s="2" t="s">
        <v>198</v>
      </c>
      <c r="R561" s="2" t="s">
        <v>199</v>
      </c>
      <c r="S561" s="2" t="s">
        <v>3085</v>
      </c>
      <c r="T561" s="2" t="s">
        <v>386</v>
      </c>
      <c r="U561" s="2" t="s">
        <v>254</v>
      </c>
      <c r="V561" s="2" t="s">
        <v>1547</v>
      </c>
      <c r="W561" s="2" t="s">
        <v>203</v>
      </c>
      <c r="X561" s="2" t="s">
        <v>199</v>
      </c>
      <c r="Y561" s="2" t="s">
        <v>3077</v>
      </c>
      <c r="Z561" s="4">
        <v>395</v>
      </c>
      <c r="AA561" s="4">
        <f>=ROUNDDOWN(32.9166666666667,0)</f>
      </c>
      <c r="AB561" s="5">
        <v>12</v>
      </c>
      <c r="AC561" s="2" t="s">
        <v>236</v>
      </c>
      <c r="AD561" s="4">
        <v>90</v>
      </c>
      <c r="AE561" s="4">
        <v>90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199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199</v>
      </c>
      <c r="AW561" s="8" t="s">
        <v>199</v>
      </c>
      <c r="AX561" s="4" t="s">
        <v>199</v>
      </c>
      <c r="AY561" s="8" t="s">
        <v>199</v>
      </c>
      <c r="AZ561" s="7" t="s">
        <v>199</v>
      </c>
      <c r="BA561" s="7" t="s">
        <v>199</v>
      </c>
      <c r="BB561" s="7"/>
      <c r="BC561" s="4" t="s">
        <v>199</v>
      </c>
      <c r="BD561" s="8" t="s">
        <v>199</v>
      </c>
      <c r="BE561" s="4" t="s">
        <v>199</v>
      </c>
      <c r="BF561" s="8" t="s">
        <v>199</v>
      </c>
      <c r="BG561" s="7" t="s">
        <v>199</v>
      </c>
      <c r="BH561" s="7" t="s">
        <v>199</v>
      </c>
      <c r="BI561" s="7"/>
      <c r="BJ561" s="4">
        <v>55</v>
      </c>
      <c r="BK561" s="8">
        <v>899.94</v>
      </c>
      <c r="BL561" s="2" t="s">
        <v>3090</v>
      </c>
      <c r="BM561" s="7"/>
      <c r="BN561" s="7"/>
      <c r="BO561" s="4"/>
      <c r="BP561" s="8"/>
      <c r="BQ561" s="4"/>
      <c r="BR561" s="8"/>
      <c r="BS561" s="7"/>
      <c r="BT561" s="7"/>
      <c r="BU561" s="2" t="s">
        <v>3079</v>
      </c>
      <c r="BV561" s="2" t="s">
        <v>199</v>
      </c>
      <c r="BW561" s="2" t="s">
        <v>199</v>
      </c>
      <c r="BX561" s="2" t="s">
        <v>208</v>
      </c>
      <c r="BY561" s="2" t="s">
        <v>209</v>
      </c>
      <c r="BZ561" s="2" t="s">
        <v>196</v>
      </c>
      <c r="CA561" s="2" t="s">
        <v>2746</v>
      </c>
      <c r="CB561" s="2" t="s">
        <v>3091</v>
      </c>
      <c r="CC561" s="2" t="s">
        <v>212</v>
      </c>
      <c r="CD561" s="2" t="s">
        <v>199</v>
      </c>
      <c r="CE561" s="4">
        <v>395</v>
      </c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>
        <v>90</v>
      </c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>
        <v>398</v>
      </c>
      <c r="EU561" s="4">
        <v>392</v>
      </c>
      <c r="EV561" s="4">
        <v>387</v>
      </c>
      <c r="EW561" s="4">
        <v>382</v>
      </c>
      <c r="EX561" s="4">
        <v>374</v>
      </c>
      <c r="EY561" s="4">
        <v>361</v>
      </c>
      <c r="EZ561" s="4">
        <v>344</v>
      </c>
      <c r="FA561" s="4">
        <v>332</v>
      </c>
      <c r="FB561" s="4">
        <v>316</v>
      </c>
      <c r="FC561" s="4">
        <v>300</v>
      </c>
      <c r="FD561" s="4">
        <v>376</v>
      </c>
      <c r="FE561" s="4">
        <v>362</v>
      </c>
      <c r="FF561" s="4">
        <v>347</v>
      </c>
      <c r="FG561" s="4">
        <v>327</v>
      </c>
      <c r="FH561" s="4">
        <v>314</v>
      </c>
      <c r="FI561" s="4">
        <v>296</v>
      </c>
      <c r="FJ561" s="4">
        <v>278</v>
      </c>
      <c r="FK561" s="4">
        <v>265</v>
      </c>
      <c r="FL561" s="4">
        <v>252</v>
      </c>
      <c r="FM561" s="4">
        <v>239</v>
      </c>
      <c r="FN561" s="4">
        <v>224</v>
      </c>
      <c r="FO561" s="4">
        <v>211</v>
      </c>
      <c r="FP561" s="4">
        <v>197</v>
      </c>
      <c r="FQ561" s="4">
        <v>183</v>
      </c>
      <c r="FR561" s="4">
        <v>170</v>
      </c>
      <c r="FS561" s="4">
        <v>156</v>
      </c>
      <c r="FT561" s="19">
        <v>66.3</v>
      </c>
      <c r="FU561" s="19">
        <v>49</v>
      </c>
      <c r="FV561" s="19">
        <v>35.2</v>
      </c>
      <c r="FW561" s="19">
        <v>31.8</v>
      </c>
      <c r="FX561" s="19">
        <v>26.7</v>
      </c>
      <c r="FY561" s="19">
        <v>24.1</v>
      </c>
      <c r="FZ561" s="19">
        <v>24.6</v>
      </c>
      <c r="GA561" s="19">
        <v>22.1</v>
      </c>
      <c r="GB561" s="19">
        <v>21.1</v>
      </c>
      <c r="GC561" s="19">
        <v>18.8</v>
      </c>
      <c r="GD561" s="19">
        <v>23.5</v>
      </c>
      <c r="GE561" s="19">
        <v>22.6</v>
      </c>
      <c r="GF561" s="19">
        <v>20.4</v>
      </c>
      <c r="GG561" s="19">
        <v>20.4</v>
      </c>
      <c r="GH561" s="19">
        <v>19.6</v>
      </c>
      <c r="GI561" s="19">
        <v>21.1</v>
      </c>
      <c r="GJ561" s="19">
        <v>19.9</v>
      </c>
      <c r="GK561" s="19">
        <v>18.9</v>
      </c>
      <c r="GL561" s="19">
        <v>18</v>
      </c>
      <c r="GM561" s="19">
        <v>17.1</v>
      </c>
      <c r="GN561" s="19">
        <v>16</v>
      </c>
      <c r="GO561" s="19">
        <v>15.1</v>
      </c>
      <c r="GP561" s="19">
        <v>12.3</v>
      </c>
      <c r="GQ561" s="19">
        <v>11.4</v>
      </c>
      <c r="GR561" s="19">
        <v>10.6</v>
      </c>
      <c r="GS561" s="19">
        <v>9.8</v>
      </c>
    </row>
    <row r="562">
      <c r="A562" s="2" t="s">
        <v>3092</v>
      </c>
      <c r="B562" s="2" t="s">
        <v>570</v>
      </c>
      <c r="C562" s="2" t="s">
        <v>2169</v>
      </c>
      <c r="D562" s="2" t="s">
        <v>572</v>
      </c>
      <c r="E562" s="2" t="s">
        <v>573</v>
      </c>
      <c r="F562" s="2" t="s">
        <v>3093</v>
      </c>
      <c r="G562" s="2" t="s">
        <v>3093</v>
      </c>
      <c r="H562" s="2" t="s">
        <v>3093</v>
      </c>
      <c r="I562" s="2" t="s">
        <v>3094</v>
      </c>
      <c r="J562" s="2" t="s">
        <v>576</v>
      </c>
      <c r="K562" s="2" t="s">
        <v>371</v>
      </c>
      <c r="L562" s="3">
        <v>23.09</v>
      </c>
      <c r="M562" s="3">
        <v>24.24</v>
      </c>
      <c r="N562" s="3">
        <v>54.99</v>
      </c>
      <c r="O562" s="2" t="s">
        <v>196</v>
      </c>
      <c r="P562" s="2" t="s">
        <v>197</v>
      </c>
      <c r="Q562" s="2" t="s">
        <v>198</v>
      </c>
      <c r="R562" s="2" t="s">
        <v>199</v>
      </c>
      <c r="S562" s="2" t="s">
        <v>3095</v>
      </c>
      <c r="T562" s="2" t="s">
        <v>300</v>
      </c>
      <c r="U562" s="2" t="s">
        <v>546</v>
      </c>
      <c r="V562" s="2" t="s">
        <v>202</v>
      </c>
      <c r="W562" s="2" t="s">
        <v>203</v>
      </c>
      <c r="X562" s="2" t="s">
        <v>510</v>
      </c>
      <c r="Y562" s="2" t="s">
        <v>3039</v>
      </c>
      <c r="Z562" s="4">
        <v>810</v>
      </c>
      <c r="AA562" s="4">
        <f>=ROUNDDOWN(67.5,0)</f>
      </c>
      <c r="AB562" s="5">
        <v>12</v>
      </c>
      <c r="AC562" s="2" t="s">
        <v>199</v>
      </c>
      <c r="AD562" s="4"/>
      <c r="AE562" s="4"/>
      <c r="AF562" s="6">
        <v>73</v>
      </c>
      <c r="AG562" s="6"/>
      <c r="AH562" s="7">
        <v>1</v>
      </c>
      <c r="AI562" s="4"/>
      <c r="AJ562" s="4">
        <f>=ROUNDDOWN({0},0)</f>
      </c>
      <c r="AK562" s="5"/>
      <c r="AL562" s="2" t="s">
        <v>199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199</v>
      </c>
      <c r="BD562" s="8" t="s">
        <v>199</v>
      </c>
      <c r="BE562" s="4" t="s">
        <v>199</v>
      </c>
      <c r="BF562" s="8" t="s">
        <v>199</v>
      </c>
      <c r="BG562" s="7" t="s">
        <v>199</v>
      </c>
      <c r="BH562" s="7" t="s">
        <v>199</v>
      </c>
      <c r="BI562" s="7"/>
      <c r="BJ562" s="4">
        <v>48</v>
      </c>
      <c r="BK562" s="8">
        <v>1230.24</v>
      </c>
      <c r="BL562" s="2" t="s">
        <v>3096</v>
      </c>
      <c r="BM562" s="7"/>
      <c r="BN562" s="7"/>
      <c r="BO562" s="4"/>
      <c r="BP562" s="8"/>
      <c r="BQ562" s="4"/>
      <c r="BR562" s="8"/>
      <c r="BS562" s="7"/>
      <c r="BT562" s="7"/>
      <c r="BU562" s="2" t="s">
        <v>3097</v>
      </c>
      <c r="BV562" s="2" t="s">
        <v>199</v>
      </c>
      <c r="BW562" s="2" t="s">
        <v>199</v>
      </c>
      <c r="BX562" s="2" t="s">
        <v>208</v>
      </c>
      <c r="BY562" s="2" t="s">
        <v>209</v>
      </c>
      <c r="BZ562" s="2" t="s">
        <v>196</v>
      </c>
      <c r="CA562" s="2" t="s">
        <v>2242</v>
      </c>
      <c r="CB562" s="2" t="s">
        <v>3098</v>
      </c>
      <c r="CC562" s="2" t="s">
        <v>212</v>
      </c>
      <c r="CD562" s="2" t="s">
        <v>199</v>
      </c>
      <c r="CE562" s="4">
        <v>810</v>
      </c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>
        <v>811</v>
      </c>
      <c r="EU562" s="4">
        <v>798</v>
      </c>
      <c r="EV562" s="4">
        <v>786</v>
      </c>
      <c r="EW562" s="4">
        <v>774</v>
      </c>
      <c r="EX562" s="4">
        <v>762</v>
      </c>
      <c r="EY562" s="4">
        <v>750</v>
      </c>
      <c r="EZ562" s="4">
        <v>738</v>
      </c>
      <c r="FA562" s="4">
        <v>726</v>
      </c>
      <c r="FB562" s="4">
        <v>713</v>
      </c>
      <c r="FC562" s="4">
        <v>701</v>
      </c>
      <c r="FD562" s="4">
        <v>689</v>
      </c>
      <c r="FE562" s="4">
        <v>677</v>
      </c>
      <c r="FF562" s="4">
        <v>665</v>
      </c>
      <c r="FG562" s="4">
        <v>653</v>
      </c>
      <c r="FH562" s="4">
        <v>641</v>
      </c>
      <c r="FI562" s="4">
        <v>629</v>
      </c>
      <c r="FJ562" s="4">
        <v>617</v>
      </c>
      <c r="FK562" s="4">
        <v>605</v>
      </c>
      <c r="FL562" s="4">
        <v>593</v>
      </c>
      <c r="FM562" s="4">
        <v>581</v>
      </c>
      <c r="FN562" s="4">
        <v>569</v>
      </c>
      <c r="FO562" s="4">
        <v>557</v>
      </c>
      <c r="FP562" s="4">
        <v>544</v>
      </c>
      <c r="FQ562" s="4">
        <v>532</v>
      </c>
      <c r="FR562" s="4">
        <v>520</v>
      </c>
      <c r="FS562" s="4">
        <v>508</v>
      </c>
      <c r="FT562" s="19">
        <v>67.6</v>
      </c>
      <c r="FU562" s="19">
        <v>66.5</v>
      </c>
      <c r="FV562" s="19">
        <v>65.5</v>
      </c>
      <c r="FW562" s="19">
        <v>64.5</v>
      </c>
      <c r="FX562" s="19">
        <v>63.5</v>
      </c>
      <c r="FY562" s="19">
        <v>62.5</v>
      </c>
      <c r="FZ562" s="19">
        <v>61.5</v>
      </c>
      <c r="GA562" s="19">
        <v>60.5</v>
      </c>
      <c r="GB562" s="19">
        <v>59.4</v>
      </c>
      <c r="GC562" s="19">
        <v>58.4</v>
      </c>
      <c r="GD562" s="19">
        <v>57.4</v>
      </c>
      <c r="GE562" s="19">
        <v>56.4</v>
      </c>
      <c r="GF562" s="19">
        <v>55.4</v>
      </c>
      <c r="GG562" s="19">
        <v>54.4</v>
      </c>
      <c r="GH562" s="19">
        <v>53.4</v>
      </c>
      <c r="GI562" s="19">
        <v>52.4</v>
      </c>
      <c r="GJ562" s="19">
        <v>51.4</v>
      </c>
      <c r="GK562" s="19">
        <v>50.4</v>
      </c>
      <c r="GL562" s="19">
        <v>49.4</v>
      </c>
      <c r="GM562" s="19">
        <v>48.4</v>
      </c>
      <c r="GN562" s="19">
        <v>47.4</v>
      </c>
      <c r="GO562" s="19">
        <v>46.4</v>
      </c>
      <c r="GP562" s="19">
        <v>45.3</v>
      </c>
      <c r="GQ562" s="19">
        <v>38</v>
      </c>
      <c r="GR562" s="19">
        <v>32.5</v>
      </c>
      <c r="GS562" s="19">
        <v>29.9</v>
      </c>
    </row>
    <row r="563">
      <c r="A563" s="2" t="s">
        <v>3099</v>
      </c>
      <c r="B563" s="2" t="s">
        <v>570</v>
      </c>
      <c r="C563" s="2" t="s">
        <v>2169</v>
      </c>
      <c r="D563" s="2" t="s">
        <v>572</v>
      </c>
      <c r="E563" s="2" t="s">
        <v>573</v>
      </c>
      <c r="F563" s="2" t="s">
        <v>3093</v>
      </c>
      <c r="G563" s="2" t="s">
        <v>3093</v>
      </c>
      <c r="H563" s="2" t="s">
        <v>3093</v>
      </c>
      <c r="I563" s="2" t="s">
        <v>3094</v>
      </c>
      <c r="J563" s="2" t="s">
        <v>576</v>
      </c>
      <c r="K563" s="2" t="s">
        <v>918</v>
      </c>
      <c r="L563" s="3">
        <v>23.09</v>
      </c>
      <c r="M563" s="3">
        <v>24.24</v>
      </c>
      <c r="N563" s="3">
        <v>54.99</v>
      </c>
      <c r="O563" s="2" t="s">
        <v>196</v>
      </c>
      <c r="P563" s="2" t="s">
        <v>197</v>
      </c>
      <c r="Q563" s="2" t="s">
        <v>198</v>
      </c>
      <c r="R563" s="2" t="s">
        <v>199</v>
      </c>
      <c r="S563" s="2" t="s">
        <v>3100</v>
      </c>
      <c r="T563" s="2" t="s">
        <v>300</v>
      </c>
      <c r="U563" s="2" t="s">
        <v>546</v>
      </c>
      <c r="V563" s="2" t="s">
        <v>202</v>
      </c>
      <c r="W563" s="2" t="s">
        <v>203</v>
      </c>
      <c r="X563" s="2" t="s">
        <v>510</v>
      </c>
      <c r="Y563" s="2" t="s">
        <v>3039</v>
      </c>
      <c r="Z563" s="4">
        <v>513</v>
      </c>
      <c r="AA563" s="4">
        <f>=ROUNDDOWN(57,0)</f>
      </c>
      <c r="AB563" s="5">
        <v>9</v>
      </c>
      <c r="AC563" s="2" t="s">
        <v>199</v>
      </c>
      <c r="AD563" s="4"/>
      <c r="AE563" s="4"/>
      <c r="AF563" s="6">
        <v>73</v>
      </c>
      <c r="AG563" s="6"/>
      <c r="AH563" s="7">
        <v>1</v>
      </c>
      <c r="AI563" s="4"/>
      <c r="AJ563" s="4">
        <f>=ROUNDDOWN({0},0)</f>
      </c>
      <c r="AK563" s="5"/>
      <c r="AL563" s="2" t="s">
        <v>199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199</v>
      </c>
      <c r="BD563" s="8" t="s">
        <v>199</v>
      </c>
      <c r="BE563" s="4" t="s">
        <v>199</v>
      </c>
      <c r="BF563" s="8" t="s">
        <v>199</v>
      </c>
      <c r="BG563" s="7" t="s">
        <v>199</v>
      </c>
      <c r="BH563" s="7" t="s">
        <v>199</v>
      </c>
      <c r="BI563" s="7"/>
      <c r="BJ563" s="4">
        <v>41</v>
      </c>
      <c r="BK563" s="8">
        <v>1047.06</v>
      </c>
      <c r="BL563" s="2" t="s">
        <v>242</v>
      </c>
      <c r="BM563" s="7"/>
      <c r="BN563" s="7"/>
      <c r="BO563" s="4"/>
      <c r="BP563" s="8"/>
      <c r="BQ563" s="4"/>
      <c r="BR563" s="8"/>
      <c r="BS563" s="7"/>
      <c r="BT563" s="7"/>
      <c r="BU563" s="2" t="s">
        <v>3097</v>
      </c>
      <c r="BV563" s="2" t="s">
        <v>199</v>
      </c>
      <c r="BW563" s="2" t="s">
        <v>199</v>
      </c>
      <c r="BX563" s="2" t="s">
        <v>208</v>
      </c>
      <c r="BY563" s="2" t="s">
        <v>209</v>
      </c>
      <c r="BZ563" s="2" t="s">
        <v>196</v>
      </c>
      <c r="CA563" s="2" t="s">
        <v>2242</v>
      </c>
      <c r="CB563" s="2" t="s">
        <v>3101</v>
      </c>
      <c r="CC563" s="2" t="s">
        <v>212</v>
      </c>
      <c r="CD563" s="2" t="s">
        <v>199</v>
      </c>
      <c r="CE563" s="4">
        <v>513</v>
      </c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>
        <v>515</v>
      </c>
      <c r="EU563" s="4">
        <v>504</v>
      </c>
      <c r="EV563" s="4">
        <v>495</v>
      </c>
      <c r="EW563" s="4">
        <v>486</v>
      </c>
      <c r="EX563" s="4">
        <v>477</v>
      </c>
      <c r="EY563" s="4">
        <v>468</v>
      </c>
      <c r="EZ563" s="4">
        <v>459</v>
      </c>
      <c r="FA563" s="4">
        <v>450</v>
      </c>
      <c r="FB563" s="4">
        <v>440</v>
      </c>
      <c r="FC563" s="4">
        <v>431</v>
      </c>
      <c r="FD563" s="4">
        <v>422</v>
      </c>
      <c r="FE563" s="4">
        <v>413</v>
      </c>
      <c r="FF563" s="4">
        <v>404</v>
      </c>
      <c r="FG563" s="4">
        <v>395</v>
      </c>
      <c r="FH563" s="4">
        <v>386</v>
      </c>
      <c r="FI563" s="4">
        <v>377</v>
      </c>
      <c r="FJ563" s="4">
        <v>368</v>
      </c>
      <c r="FK563" s="4">
        <v>359</v>
      </c>
      <c r="FL563" s="4">
        <v>350</v>
      </c>
      <c r="FM563" s="4">
        <v>341</v>
      </c>
      <c r="FN563" s="4">
        <v>332</v>
      </c>
      <c r="FO563" s="4">
        <v>323</v>
      </c>
      <c r="FP563" s="4">
        <v>313</v>
      </c>
      <c r="FQ563" s="4">
        <v>304</v>
      </c>
      <c r="FR563" s="4">
        <v>295</v>
      </c>
      <c r="FS563" s="4">
        <v>286</v>
      </c>
      <c r="FT563" s="19">
        <v>51.5</v>
      </c>
      <c r="FU563" s="19">
        <v>56</v>
      </c>
      <c r="FV563" s="19">
        <v>55</v>
      </c>
      <c r="FW563" s="19">
        <v>54</v>
      </c>
      <c r="FX563" s="19">
        <v>53</v>
      </c>
      <c r="FY563" s="19">
        <v>52</v>
      </c>
      <c r="FZ563" s="19">
        <v>51</v>
      </c>
      <c r="GA563" s="19">
        <v>50</v>
      </c>
      <c r="GB563" s="19">
        <v>48.9</v>
      </c>
      <c r="GC563" s="19">
        <v>47.9</v>
      </c>
      <c r="GD563" s="19">
        <v>46.9</v>
      </c>
      <c r="GE563" s="19">
        <v>45.9</v>
      </c>
      <c r="GF563" s="19">
        <v>44.9</v>
      </c>
      <c r="GG563" s="19">
        <v>43.9</v>
      </c>
      <c r="GH563" s="19">
        <v>42.9</v>
      </c>
      <c r="GI563" s="19">
        <v>41.9</v>
      </c>
      <c r="GJ563" s="19">
        <v>40.9</v>
      </c>
      <c r="GK563" s="19">
        <v>39.9</v>
      </c>
      <c r="GL563" s="19">
        <v>38.9</v>
      </c>
      <c r="GM563" s="19">
        <v>37.9</v>
      </c>
      <c r="GN563" s="19">
        <v>36.9</v>
      </c>
      <c r="GO563" s="19">
        <v>35.9</v>
      </c>
      <c r="GP563" s="19">
        <v>34.8</v>
      </c>
      <c r="GQ563" s="19">
        <v>30.4</v>
      </c>
      <c r="GR563" s="19">
        <v>24.6</v>
      </c>
      <c r="GS563" s="19">
        <v>22</v>
      </c>
    </row>
    <row r="564">
      <c r="A564" s="2" t="s">
        <v>3102</v>
      </c>
      <c r="B564" s="2" t="s">
        <v>570</v>
      </c>
      <c r="C564" s="2" t="s">
        <v>2169</v>
      </c>
      <c r="D564" s="2" t="s">
        <v>572</v>
      </c>
      <c r="E564" s="2" t="s">
        <v>573</v>
      </c>
      <c r="F564" s="2" t="s">
        <v>3093</v>
      </c>
      <c r="G564" s="2" t="s">
        <v>3093</v>
      </c>
      <c r="H564" s="2" t="s">
        <v>3093</v>
      </c>
      <c r="I564" s="2" t="s">
        <v>3094</v>
      </c>
      <c r="J564" s="2" t="s">
        <v>576</v>
      </c>
      <c r="K564" s="2" t="s">
        <v>233</v>
      </c>
      <c r="L564" s="3">
        <v>23.09</v>
      </c>
      <c r="M564" s="3">
        <v>24.24</v>
      </c>
      <c r="N564" s="3">
        <v>54.99</v>
      </c>
      <c r="O564" s="2" t="s">
        <v>196</v>
      </c>
      <c r="P564" s="2" t="s">
        <v>197</v>
      </c>
      <c r="Q564" s="2" t="s">
        <v>198</v>
      </c>
      <c r="R564" s="2" t="s">
        <v>199</v>
      </c>
      <c r="S564" s="2" t="s">
        <v>3103</v>
      </c>
      <c r="T564" s="2" t="s">
        <v>300</v>
      </c>
      <c r="U564" s="2" t="s">
        <v>546</v>
      </c>
      <c r="V564" s="2" t="s">
        <v>202</v>
      </c>
      <c r="W564" s="2" t="s">
        <v>203</v>
      </c>
      <c r="X564" s="2" t="s">
        <v>510</v>
      </c>
      <c r="Y564" s="2" t="s">
        <v>3039</v>
      </c>
      <c r="Z564" s="4">
        <v>490</v>
      </c>
      <c r="AA564" s="4">
        <f>=ROUNDDOWN(54.4444444444444,0)</f>
      </c>
      <c r="AB564" s="5">
        <v>9</v>
      </c>
      <c r="AC564" s="2" t="s">
        <v>199</v>
      </c>
      <c r="AD564" s="4"/>
      <c r="AE564" s="4"/>
      <c r="AF564" s="6">
        <v>73</v>
      </c>
      <c r="AG564" s="6"/>
      <c r="AH564" s="7">
        <v>1</v>
      </c>
      <c r="AI564" s="4"/>
      <c r="AJ564" s="4">
        <f>=ROUNDDOWN({0},0)</f>
      </c>
      <c r="AK564" s="5"/>
      <c r="AL564" s="2" t="s">
        <v>199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199</v>
      </c>
      <c r="BD564" s="8" t="s">
        <v>199</v>
      </c>
      <c r="BE564" s="4" t="s">
        <v>199</v>
      </c>
      <c r="BF564" s="8" t="s">
        <v>199</v>
      </c>
      <c r="BG564" s="7" t="s">
        <v>199</v>
      </c>
      <c r="BH564" s="7" t="s">
        <v>199</v>
      </c>
      <c r="BI564" s="7"/>
      <c r="BJ564" s="4">
        <v>29</v>
      </c>
      <c r="BK564" s="8">
        <v>754.76</v>
      </c>
      <c r="BL564" s="2" t="s">
        <v>242</v>
      </c>
      <c r="BM564" s="7"/>
      <c r="BN564" s="7"/>
      <c r="BO564" s="4"/>
      <c r="BP564" s="8"/>
      <c r="BQ564" s="4"/>
      <c r="BR564" s="8"/>
      <c r="BS564" s="7"/>
      <c r="BT564" s="7"/>
      <c r="BU564" s="2" t="s">
        <v>3097</v>
      </c>
      <c r="BV564" s="2" t="s">
        <v>199</v>
      </c>
      <c r="BW564" s="2" t="s">
        <v>199</v>
      </c>
      <c r="BX564" s="2" t="s">
        <v>208</v>
      </c>
      <c r="BY564" s="2" t="s">
        <v>209</v>
      </c>
      <c r="BZ564" s="2" t="s">
        <v>196</v>
      </c>
      <c r="CA564" s="2" t="s">
        <v>2242</v>
      </c>
      <c r="CB564" s="2" t="s">
        <v>3104</v>
      </c>
      <c r="CC564" s="2" t="s">
        <v>212</v>
      </c>
      <c r="CD564" s="2" t="s">
        <v>199</v>
      </c>
      <c r="CE564" s="4">
        <v>490</v>
      </c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>
        <v>490</v>
      </c>
      <c r="EU564" s="4">
        <v>480</v>
      </c>
      <c r="EV564" s="4">
        <v>471</v>
      </c>
      <c r="EW564" s="4">
        <v>462</v>
      </c>
      <c r="EX564" s="4">
        <v>453</v>
      </c>
      <c r="EY564" s="4">
        <v>444</v>
      </c>
      <c r="EZ564" s="4">
        <v>435</v>
      </c>
      <c r="FA564" s="4">
        <v>426</v>
      </c>
      <c r="FB564" s="4">
        <v>416</v>
      </c>
      <c r="FC564" s="4">
        <v>407</v>
      </c>
      <c r="FD564" s="4">
        <v>398</v>
      </c>
      <c r="FE564" s="4">
        <v>389</v>
      </c>
      <c r="FF564" s="4">
        <v>380</v>
      </c>
      <c r="FG564" s="4">
        <v>371</v>
      </c>
      <c r="FH564" s="4">
        <v>362</v>
      </c>
      <c r="FI564" s="4">
        <v>353</v>
      </c>
      <c r="FJ564" s="4">
        <v>344</v>
      </c>
      <c r="FK564" s="4">
        <v>335</v>
      </c>
      <c r="FL564" s="4">
        <v>326</v>
      </c>
      <c r="FM564" s="4">
        <v>317</v>
      </c>
      <c r="FN564" s="4">
        <v>308</v>
      </c>
      <c r="FO564" s="4">
        <v>299</v>
      </c>
      <c r="FP564" s="4">
        <v>289</v>
      </c>
      <c r="FQ564" s="4">
        <v>280</v>
      </c>
      <c r="FR564" s="4">
        <v>271</v>
      </c>
      <c r="FS564" s="4">
        <v>262</v>
      </c>
      <c r="FT564" s="19">
        <v>54.4</v>
      </c>
      <c r="FU564" s="19">
        <v>53.3</v>
      </c>
      <c r="FV564" s="19">
        <v>52.3</v>
      </c>
      <c r="FW564" s="19">
        <v>51.3</v>
      </c>
      <c r="FX564" s="19">
        <v>50.3</v>
      </c>
      <c r="FY564" s="19">
        <v>49.3</v>
      </c>
      <c r="FZ564" s="19">
        <v>48.3</v>
      </c>
      <c r="GA564" s="19">
        <v>47.3</v>
      </c>
      <c r="GB564" s="19">
        <v>46.2</v>
      </c>
      <c r="GC564" s="19">
        <v>45.2</v>
      </c>
      <c r="GD564" s="19">
        <v>44.2</v>
      </c>
      <c r="GE564" s="19">
        <v>43.2</v>
      </c>
      <c r="GF564" s="19">
        <v>42.2</v>
      </c>
      <c r="GG564" s="19">
        <v>41.2</v>
      </c>
      <c r="GH564" s="19">
        <v>40.2</v>
      </c>
      <c r="GI564" s="19">
        <v>39.2</v>
      </c>
      <c r="GJ564" s="19">
        <v>38.2</v>
      </c>
      <c r="GK564" s="19">
        <v>37.2</v>
      </c>
      <c r="GL564" s="19">
        <v>36.2</v>
      </c>
      <c r="GM564" s="19">
        <v>35.2</v>
      </c>
      <c r="GN564" s="19">
        <v>34.2</v>
      </c>
      <c r="GO564" s="19">
        <v>33.2</v>
      </c>
      <c r="GP564" s="19">
        <v>32.1</v>
      </c>
      <c r="GQ564" s="19">
        <v>28</v>
      </c>
      <c r="GR564" s="19">
        <v>22.6</v>
      </c>
      <c r="GS564" s="19">
        <v>20.2</v>
      </c>
    </row>
    <row r="565">
      <c r="A565" s="2" t="s">
        <v>3105</v>
      </c>
      <c r="B565" s="2" t="s">
        <v>630</v>
      </c>
      <c r="C565" s="2" t="s">
        <v>571</v>
      </c>
      <c r="D565" s="2" t="s">
        <v>759</v>
      </c>
      <c r="E565" s="2" t="s">
        <v>3106</v>
      </c>
      <c r="F565" s="2" t="s">
        <v>3107</v>
      </c>
      <c r="G565" s="2" t="s">
        <v>3108</v>
      </c>
      <c r="H565" s="2" t="s">
        <v>3109</v>
      </c>
      <c r="I565" s="2" t="s">
        <v>3110</v>
      </c>
      <c r="J565" s="2" t="s">
        <v>232</v>
      </c>
      <c r="K565" s="2" t="s">
        <v>233</v>
      </c>
      <c r="L565" s="3">
        <v>32</v>
      </c>
      <c r="M565" s="3">
        <v>33.6</v>
      </c>
      <c r="N565" s="3">
        <v>79.99</v>
      </c>
      <c r="O565" s="2" t="s">
        <v>196</v>
      </c>
      <c r="P565" s="2" t="s">
        <v>197</v>
      </c>
      <c r="Q565" s="2" t="s">
        <v>198</v>
      </c>
      <c r="R565" s="2" t="s">
        <v>199</v>
      </c>
      <c r="S565" s="2" t="s">
        <v>3111</v>
      </c>
      <c r="T565" s="2" t="s">
        <v>386</v>
      </c>
      <c r="U565" s="2" t="s">
        <v>637</v>
      </c>
      <c r="V565" s="2" t="s">
        <v>493</v>
      </c>
      <c r="W565" s="2" t="s">
        <v>529</v>
      </c>
      <c r="X565" s="2" t="s">
        <v>199</v>
      </c>
      <c r="Y565" s="2" t="s">
        <v>3112</v>
      </c>
      <c r="Z565" s="4">
        <v>237</v>
      </c>
      <c r="AA565" s="4">
        <f>=ROUNDDOWN(39.5,0)</f>
      </c>
      <c r="AB565" s="5">
        <v>6</v>
      </c>
      <c r="AC565" s="2" t="s">
        <v>199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14</v>
      </c>
      <c r="BK565" s="8">
        <v>484.33</v>
      </c>
      <c r="BL565" s="2" t="s">
        <v>996</v>
      </c>
      <c r="BM565" s="7"/>
      <c r="BN565" s="7"/>
      <c r="BO565" s="4"/>
      <c r="BP565" s="8"/>
      <c r="BQ565" s="4"/>
      <c r="BR565" s="8"/>
      <c r="BS565" s="7"/>
      <c r="BT565" s="7"/>
      <c r="BU565" s="2" t="s">
        <v>3113</v>
      </c>
      <c r="BV565" s="2" t="s">
        <v>199</v>
      </c>
      <c r="BW565" s="2" t="s">
        <v>199</v>
      </c>
      <c r="BX565" s="2" t="s">
        <v>260</v>
      </c>
      <c r="BY565" s="2" t="s">
        <v>209</v>
      </c>
      <c r="BZ565" s="2" t="s">
        <v>196</v>
      </c>
      <c r="CA565" s="2" t="s">
        <v>1961</v>
      </c>
      <c r="CB565" s="2" t="s">
        <v>3114</v>
      </c>
      <c r="CC565" s="2" t="s">
        <v>212</v>
      </c>
      <c r="CD565" s="2" t="s">
        <v>199</v>
      </c>
      <c r="CE565" s="4">
        <v>237</v>
      </c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>
        <v>238</v>
      </c>
      <c r="EU565" s="4">
        <v>232</v>
      </c>
      <c r="EV565" s="4">
        <v>225</v>
      </c>
      <c r="EW565" s="4">
        <v>219</v>
      </c>
      <c r="EX565" s="4">
        <v>213</v>
      </c>
      <c r="EY565" s="4">
        <v>206</v>
      </c>
      <c r="EZ565" s="4">
        <v>200</v>
      </c>
      <c r="FA565" s="4">
        <v>194</v>
      </c>
      <c r="FB565" s="4">
        <v>187</v>
      </c>
      <c r="FC565" s="4">
        <v>181</v>
      </c>
      <c r="FD565" s="4">
        <v>175</v>
      </c>
      <c r="FE565" s="4">
        <v>169</v>
      </c>
      <c r="FF565" s="4">
        <v>163</v>
      </c>
      <c r="FG565" s="4">
        <v>157</v>
      </c>
      <c r="FH565" s="4">
        <v>151</v>
      </c>
      <c r="FI565" s="4">
        <v>145</v>
      </c>
      <c r="FJ565" s="4">
        <v>139</v>
      </c>
      <c r="FK565" s="4">
        <v>133</v>
      </c>
      <c r="FL565" s="4">
        <v>127</v>
      </c>
      <c r="FM565" s="4">
        <v>119</v>
      </c>
      <c r="FN565" s="4">
        <v>112</v>
      </c>
      <c r="FO565" s="4">
        <v>104</v>
      </c>
      <c r="FP565" s="4">
        <v>95</v>
      </c>
      <c r="FQ565" s="4">
        <v>83</v>
      </c>
      <c r="FR565" s="4">
        <v>74</v>
      </c>
      <c r="FS565" s="4">
        <v>66</v>
      </c>
      <c r="FT565" s="19">
        <v>39.7</v>
      </c>
      <c r="FU565" s="19">
        <v>38.7</v>
      </c>
      <c r="FV565" s="19">
        <v>37.5</v>
      </c>
      <c r="FW565" s="19">
        <v>36.5</v>
      </c>
      <c r="FX565" s="19">
        <v>35.5</v>
      </c>
      <c r="FY565" s="19">
        <v>34.3</v>
      </c>
      <c r="FZ565" s="19">
        <v>33.3</v>
      </c>
      <c r="GA565" s="19">
        <v>32.3</v>
      </c>
      <c r="GB565" s="19">
        <v>31.2</v>
      </c>
      <c r="GC565" s="19">
        <v>30.2</v>
      </c>
      <c r="GD565" s="19">
        <v>29.2</v>
      </c>
      <c r="GE565" s="19">
        <v>28.2</v>
      </c>
      <c r="GF565" s="19">
        <v>27.2</v>
      </c>
      <c r="GG565" s="19">
        <v>26.2</v>
      </c>
      <c r="GH565" s="19">
        <v>25.2</v>
      </c>
      <c r="GI565" s="19">
        <v>24.2</v>
      </c>
      <c r="GJ565" s="19">
        <v>19.9</v>
      </c>
      <c r="GK565" s="19">
        <v>19</v>
      </c>
      <c r="GL565" s="19">
        <v>15.9</v>
      </c>
      <c r="GM565" s="19">
        <v>13.2</v>
      </c>
      <c r="GN565" s="19">
        <v>11.2</v>
      </c>
      <c r="GO565" s="19">
        <v>10.4</v>
      </c>
      <c r="GP565" s="19">
        <v>10.6</v>
      </c>
      <c r="GQ565" s="19">
        <v>9.2</v>
      </c>
      <c r="GR565" s="19">
        <v>8.2</v>
      </c>
      <c r="GS565" s="19">
        <v>7.3</v>
      </c>
    </row>
    <row r="566">
      <c r="A566" s="2" t="s">
        <v>3115</v>
      </c>
      <c r="B566" s="2" t="s">
        <v>554</v>
      </c>
      <c r="C566" s="2" t="s">
        <v>246</v>
      </c>
      <c r="D566" s="2" t="s">
        <v>861</v>
      </c>
      <c r="E566" s="2" t="s">
        <v>556</v>
      </c>
      <c r="F566" s="2" t="s">
        <v>3116</v>
      </c>
      <c r="G566" s="2" t="s">
        <v>199</v>
      </c>
      <c r="H566" s="2" t="s">
        <v>199</v>
      </c>
      <c r="I566" s="2" t="s">
        <v>3117</v>
      </c>
      <c r="J566" s="2" t="s">
        <v>559</v>
      </c>
      <c r="K566" s="2" t="s">
        <v>195</v>
      </c>
      <c r="L566" s="3">
        <v>24.5</v>
      </c>
      <c r="M566" s="3">
        <v>25.72</v>
      </c>
      <c r="N566" s="3">
        <v>50.99</v>
      </c>
      <c r="O566" s="2" t="s">
        <v>196</v>
      </c>
      <c r="P566" s="2" t="s">
        <v>197</v>
      </c>
      <c r="Q566" s="2" t="s">
        <v>198</v>
      </c>
      <c r="R566" s="2" t="s">
        <v>199</v>
      </c>
      <c r="S566" s="2" t="s">
        <v>3118</v>
      </c>
      <c r="T566" s="2" t="s">
        <v>199</v>
      </c>
      <c r="U566" s="2" t="s">
        <v>254</v>
      </c>
      <c r="V566" s="2" t="s">
        <v>728</v>
      </c>
      <c r="W566" s="2" t="s">
        <v>728</v>
      </c>
      <c r="X566" s="2" t="s">
        <v>199</v>
      </c>
      <c r="Y566" s="2" t="s">
        <v>1204</v>
      </c>
      <c r="Z566" s="4">
        <v>106</v>
      </c>
      <c r="AA566" s="4">
        <f>=ROUNDDOWN(20.3846153846154,0)</f>
      </c>
      <c r="AB566" s="5">
        <v>5.2</v>
      </c>
      <c r="AC566" s="2" t="s">
        <v>564</v>
      </c>
      <c r="AD566" s="4">
        <v>100</v>
      </c>
      <c r="AE566" s="4">
        <v>100</v>
      </c>
      <c r="AF566" s="6">
        <v>61</v>
      </c>
      <c r="AG566" s="6"/>
      <c r="AH566" s="7">
        <v>1</v>
      </c>
      <c r="AI566" s="4"/>
      <c r="AJ566" s="4">
        <f>=ROUNDDOWN({0},0)</f>
      </c>
      <c r="AK566" s="5"/>
      <c r="AL566" s="2" t="s">
        <v>199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15</v>
      </c>
      <c r="BK566" s="8">
        <v>449.48</v>
      </c>
      <c r="BL566" s="2" t="s">
        <v>3119</v>
      </c>
      <c r="BM566" s="7"/>
      <c r="BN566" s="7"/>
      <c r="BO566" s="4"/>
      <c r="BP566" s="8"/>
      <c r="BQ566" s="4"/>
      <c r="BR566" s="8"/>
      <c r="BS566" s="7"/>
      <c r="BT566" s="7"/>
      <c r="BU566" s="2" t="s">
        <v>3120</v>
      </c>
      <c r="BV566" s="2" t="s">
        <v>199</v>
      </c>
      <c r="BW566" s="2" t="s">
        <v>199</v>
      </c>
      <c r="BX566" s="2" t="s">
        <v>208</v>
      </c>
      <c r="BY566" s="2" t="s">
        <v>209</v>
      </c>
      <c r="BZ566" s="2" t="s">
        <v>196</v>
      </c>
      <c r="CA566" s="2" t="s">
        <v>2132</v>
      </c>
      <c r="CB566" s="2" t="s">
        <v>2129</v>
      </c>
      <c r="CC566" s="2" t="s">
        <v>212</v>
      </c>
      <c r="CD566" s="2" t="s">
        <v>199</v>
      </c>
      <c r="CE566" s="4"/>
      <c r="CF566" s="4">
        <v>106</v>
      </c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>
        <v>100</v>
      </c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>
        <v>115</v>
      </c>
      <c r="EU566" s="4">
        <v>103</v>
      </c>
      <c r="EV566" s="4">
        <v>98</v>
      </c>
      <c r="EW566" s="4">
        <v>93</v>
      </c>
      <c r="EX566" s="4">
        <v>88</v>
      </c>
      <c r="EY566" s="4">
        <v>83</v>
      </c>
      <c r="EZ566" s="4">
        <v>78</v>
      </c>
      <c r="FA566" s="4">
        <v>73</v>
      </c>
      <c r="FB566" s="4">
        <v>168</v>
      </c>
      <c r="FC566" s="4">
        <v>163</v>
      </c>
      <c r="FD566" s="4">
        <v>158</v>
      </c>
      <c r="FE566" s="4">
        <v>153</v>
      </c>
      <c r="FF566" s="4">
        <v>148</v>
      </c>
      <c r="FG566" s="4">
        <v>143</v>
      </c>
      <c r="FH566" s="4">
        <v>138</v>
      </c>
      <c r="FI566" s="4">
        <v>132</v>
      </c>
      <c r="FJ566" s="4">
        <v>127</v>
      </c>
      <c r="FK566" s="4">
        <v>122</v>
      </c>
      <c r="FL566" s="4">
        <v>117</v>
      </c>
      <c r="FM566" s="4">
        <v>112</v>
      </c>
      <c r="FN566" s="4">
        <v>106</v>
      </c>
      <c r="FO566" s="4">
        <v>101</v>
      </c>
      <c r="FP566" s="4">
        <v>96</v>
      </c>
      <c r="FQ566" s="4">
        <v>91</v>
      </c>
      <c r="FR566" s="4">
        <v>86</v>
      </c>
      <c r="FS566" s="4">
        <v>81</v>
      </c>
      <c r="FT566" s="19">
        <v>16.4</v>
      </c>
      <c r="FU566" s="19">
        <v>20.6</v>
      </c>
      <c r="FV566" s="19">
        <v>19.6</v>
      </c>
      <c r="FW566" s="19">
        <v>18.6</v>
      </c>
      <c r="FX566" s="19">
        <v>17.6</v>
      </c>
      <c r="FY566" s="19">
        <v>16.6</v>
      </c>
      <c r="FZ566" s="19">
        <v>15.6</v>
      </c>
      <c r="GA566" s="19">
        <v>14.6</v>
      </c>
      <c r="GB566" s="19">
        <v>33.6</v>
      </c>
      <c r="GC566" s="19">
        <v>32.6</v>
      </c>
      <c r="GD566" s="19">
        <v>31.6</v>
      </c>
      <c r="GE566" s="19">
        <v>30.6</v>
      </c>
      <c r="GF566" s="19">
        <v>29.6</v>
      </c>
      <c r="GG566" s="19">
        <v>28.6</v>
      </c>
      <c r="GH566" s="19">
        <v>27.6</v>
      </c>
      <c r="GI566" s="19">
        <v>26.4</v>
      </c>
      <c r="GJ566" s="19">
        <v>25.4</v>
      </c>
      <c r="GK566" s="19">
        <v>24.4</v>
      </c>
      <c r="GL566" s="19">
        <v>23.4</v>
      </c>
      <c r="GM566" s="19">
        <v>22.4</v>
      </c>
      <c r="GN566" s="19">
        <v>21.2</v>
      </c>
      <c r="GO566" s="19">
        <v>20.2</v>
      </c>
      <c r="GP566" s="19">
        <v>19.2</v>
      </c>
      <c r="GQ566" s="19">
        <v>18.2</v>
      </c>
      <c r="GR566" s="19">
        <v>17.2</v>
      </c>
      <c r="GS566" s="19">
        <v>16.2</v>
      </c>
    </row>
    <row r="567">
      <c r="A567" s="2" t="s">
        <v>3121</v>
      </c>
      <c r="B567" s="2" t="s">
        <v>1019</v>
      </c>
      <c r="C567" s="2" t="s">
        <v>246</v>
      </c>
      <c r="D567" s="2" t="s">
        <v>1021</v>
      </c>
      <c r="E567" s="2" t="s">
        <v>1022</v>
      </c>
      <c r="F567" s="2" t="s">
        <v>3122</v>
      </c>
      <c r="G567" s="2" t="s">
        <v>3122</v>
      </c>
      <c r="H567" s="2" t="s">
        <v>3122</v>
      </c>
      <c r="I567" s="2" t="s">
        <v>3123</v>
      </c>
      <c r="J567" s="2" t="s">
        <v>1991</v>
      </c>
      <c r="K567" s="2" t="s">
        <v>656</v>
      </c>
      <c r="L567" s="3">
        <v>11.64</v>
      </c>
      <c r="M567" s="3">
        <v>12.22</v>
      </c>
      <c r="N567" s="3">
        <v>25.99</v>
      </c>
      <c r="O567" s="2" t="s">
        <v>196</v>
      </c>
      <c r="P567" s="2" t="s">
        <v>197</v>
      </c>
      <c r="Q567" s="2" t="s">
        <v>198</v>
      </c>
      <c r="R567" s="2" t="s">
        <v>199</v>
      </c>
      <c r="S567" s="2" t="s">
        <v>3124</v>
      </c>
      <c r="T567" s="2" t="s">
        <v>1322</v>
      </c>
      <c r="U567" s="2" t="s">
        <v>199</v>
      </c>
      <c r="V567" s="2" t="s">
        <v>638</v>
      </c>
      <c r="W567" s="2" t="s">
        <v>203</v>
      </c>
      <c r="X567" s="2" t="s">
        <v>623</v>
      </c>
      <c r="Y567" s="2" t="s">
        <v>204</v>
      </c>
      <c r="Z567" s="4">
        <v>571</v>
      </c>
      <c r="AA567" s="4">
        <f>=ROUNDDOWN(63.4444444444444,0)</f>
      </c>
      <c r="AB567" s="5">
        <v>9</v>
      </c>
      <c r="AC567" s="2" t="s">
        <v>2270</v>
      </c>
      <c r="AD567" s="4">
        <v>400</v>
      </c>
      <c r="AE567" s="4">
        <v>400</v>
      </c>
      <c r="AF567" s="6">
        <v>64</v>
      </c>
      <c r="AG567" s="6"/>
      <c r="AH567" s="7">
        <v>1</v>
      </c>
      <c r="AI567" s="4"/>
      <c r="AJ567" s="4">
        <f>=ROUNDDOWN({0},0)</f>
      </c>
      <c r="AK567" s="5"/>
      <c r="AL567" s="2" t="s">
        <v>199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182</v>
      </c>
      <c r="BK567" s="8">
        <v>2105.69</v>
      </c>
      <c r="BL567" s="2" t="s">
        <v>3125</v>
      </c>
      <c r="BM567" s="7"/>
      <c r="BN567" s="7"/>
      <c r="BO567" s="4"/>
      <c r="BP567" s="8"/>
      <c r="BQ567" s="4"/>
      <c r="BR567" s="8"/>
      <c r="BS567" s="7"/>
      <c r="BT567" s="7"/>
      <c r="BU567" s="2" t="s">
        <v>3126</v>
      </c>
      <c r="BV567" s="2" t="s">
        <v>199</v>
      </c>
      <c r="BW567" s="2" t="s">
        <v>199</v>
      </c>
      <c r="BX567" s="2" t="s">
        <v>208</v>
      </c>
      <c r="BY567" s="2" t="s">
        <v>209</v>
      </c>
      <c r="BZ567" s="2" t="s">
        <v>196</v>
      </c>
      <c r="CA567" s="2" t="s">
        <v>1685</v>
      </c>
      <c r="CB567" s="2" t="s">
        <v>3127</v>
      </c>
      <c r="CC567" s="2" t="s">
        <v>212</v>
      </c>
      <c r="CD567" s="2" t="s">
        <v>199</v>
      </c>
      <c r="CE567" s="4">
        <v>571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>
        <v>400</v>
      </c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>
        <v>576</v>
      </c>
      <c r="EU567" s="4">
        <v>562</v>
      </c>
      <c r="EV567" s="4">
        <v>552</v>
      </c>
      <c r="EW567" s="4">
        <v>542</v>
      </c>
      <c r="EX567" s="4">
        <v>930</v>
      </c>
      <c r="EY567" s="4">
        <v>917</v>
      </c>
      <c r="EZ567" s="4">
        <v>908</v>
      </c>
      <c r="FA567" s="4">
        <v>899</v>
      </c>
      <c r="FB567" s="4">
        <v>889</v>
      </c>
      <c r="FC567" s="4">
        <v>880</v>
      </c>
      <c r="FD567" s="4">
        <v>871</v>
      </c>
      <c r="FE567" s="4">
        <v>862</v>
      </c>
      <c r="FF567" s="4">
        <v>853</v>
      </c>
      <c r="FG567" s="4">
        <v>844</v>
      </c>
      <c r="FH567" s="4">
        <v>835</v>
      </c>
      <c r="FI567" s="4">
        <v>826</v>
      </c>
      <c r="FJ567" s="4">
        <v>817</v>
      </c>
      <c r="FK567" s="4">
        <v>808</v>
      </c>
      <c r="FL567" s="4">
        <v>799</v>
      </c>
      <c r="FM567" s="4">
        <v>790</v>
      </c>
      <c r="FN567" s="4">
        <v>781</v>
      </c>
      <c r="FO567" s="4">
        <v>772</v>
      </c>
      <c r="FP567" s="4">
        <v>762</v>
      </c>
      <c r="FQ567" s="4">
        <v>753</v>
      </c>
      <c r="FR567" s="4">
        <v>744</v>
      </c>
      <c r="FS567" s="4">
        <v>735</v>
      </c>
      <c r="FT567" s="19">
        <v>48</v>
      </c>
      <c r="FU567" s="19">
        <v>51.1</v>
      </c>
      <c r="FV567" s="19">
        <v>50.2</v>
      </c>
      <c r="FW567" s="19">
        <v>49.3</v>
      </c>
      <c r="FX567" s="19">
        <v>93</v>
      </c>
      <c r="FY567" s="19">
        <v>101.9</v>
      </c>
      <c r="FZ567" s="19">
        <v>100.9</v>
      </c>
      <c r="GA567" s="19">
        <v>99.9</v>
      </c>
      <c r="GB567" s="19">
        <v>98.8</v>
      </c>
      <c r="GC567" s="19">
        <v>97.8</v>
      </c>
      <c r="GD567" s="19">
        <v>96.8</v>
      </c>
      <c r="GE567" s="19">
        <v>95.8</v>
      </c>
      <c r="GF567" s="19">
        <v>94.8</v>
      </c>
      <c r="GG567" s="19">
        <v>93.8</v>
      </c>
      <c r="GH567" s="19">
        <v>92.8</v>
      </c>
      <c r="GI567" s="19">
        <v>91.8</v>
      </c>
      <c r="GJ567" s="19">
        <v>90.8</v>
      </c>
      <c r="GK567" s="19">
        <v>89.8</v>
      </c>
      <c r="GL567" s="19">
        <v>88.8</v>
      </c>
      <c r="GM567" s="19">
        <v>87.8</v>
      </c>
      <c r="GN567" s="19">
        <v>86.8</v>
      </c>
      <c r="GO567" s="19">
        <v>85.8</v>
      </c>
      <c r="GP567" s="19">
        <v>84.7</v>
      </c>
      <c r="GQ567" s="19">
        <v>62.8</v>
      </c>
      <c r="GR567" s="19">
        <v>53.1</v>
      </c>
      <c r="GS567" s="19">
        <v>45.9</v>
      </c>
    </row>
    <row r="568">
      <c r="A568" s="2" t="s">
        <v>3128</v>
      </c>
      <c r="B568" s="2" t="s">
        <v>736</v>
      </c>
      <c r="C568" s="2" t="s">
        <v>1007</v>
      </c>
      <c r="D568" s="2" t="s">
        <v>228</v>
      </c>
      <c r="E568" s="2" t="s">
        <v>487</v>
      </c>
      <c r="F568" s="2" t="s">
        <v>3129</v>
      </c>
      <c r="G568" s="2" t="s">
        <v>3130</v>
      </c>
      <c r="H568" s="2" t="s">
        <v>3131</v>
      </c>
      <c r="I568" s="2" t="s">
        <v>3132</v>
      </c>
      <c r="J568" s="2" t="s">
        <v>1011</v>
      </c>
      <c r="K568" s="2" t="s">
        <v>1202</v>
      </c>
      <c r="L568" s="3">
        <v>23.8</v>
      </c>
      <c r="M568" s="3">
        <v>24.99</v>
      </c>
      <c r="N568" s="3">
        <v>49.99</v>
      </c>
      <c r="O568" s="2" t="s">
        <v>196</v>
      </c>
      <c r="P568" s="2" t="s">
        <v>197</v>
      </c>
      <c r="Q568" s="2" t="s">
        <v>198</v>
      </c>
      <c r="R568" s="2" t="s">
        <v>199</v>
      </c>
      <c r="S568" s="2" t="s">
        <v>3133</v>
      </c>
      <c r="T568" s="2" t="s">
        <v>386</v>
      </c>
      <c r="U568" s="2" t="s">
        <v>254</v>
      </c>
      <c r="V568" s="2" t="s">
        <v>1406</v>
      </c>
      <c r="W568" s="2" t="s">
        <v>712</v>
      </c>
      <c r="X568" s="2" t="s">
        <v>199</v>
      </c>
      <c r="Y568" s="2" t="s">
        <v>1407</v>
      </c>
      <c r="Z568" s="4">
        <v>197</v>
      </c>
      <c r="AA568" s="4">
        <f>=ROUNDDOWN(24.625,0)</f>
      </c>
      <c r="AB568" s="5">
        <v>8</v>
      </c>
      <c r="AC568" s="2" t="s">
        <v>199</v>
      </c>
      <c r="AD568" s="4"/>
      <c r="AE568" s="4"/>
      <c r="AF568" s="6">
        <v>64</v>
      </c>
      <c r="AG568" s="6"/>
      <c r="AH568" s="7">
        <v>0.8065</v>
      </c>
      <c r="AI568" s="4"/>
      <c r="AJ568" s="4">
        <f>=ROUNDDOWN({0},0)</f>
      </c>
      <c r="AK568" s="5"/>
      <c r="AL568" s="2" t="s">
        <v>199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199</v>
      </c>
      <c r="AW568" s="8" t="s">
        <v>199</v>
      </c>
      <c r="AX568" s="4" t="s">
        <v>199</v>
      </c>
      <c r="AY568" s="8" t="s">
        <v>199</v>
      </c>
      <c r="AZ568" s="7" t="s">
        <v>199</v>
      </c>
      <c r="BA568" s="7" t="s">
        <v>199</v>
      </c>
      <c r="BB568" s="7" t="s">
        <v>199</v>
      </c>
      <c r="BC568" s="4" t="s">
        <v>199</v>
      </c>
      <c r="BD568" s="8" t="s">
        <v>199</v>
      </c>
      <c r="BE568" s="4" t="s">
        <v>199</v>
      </c>
      <c r="BF568" s="8" t="s">
        <v>199</v>
      </c>
      <c r="BG568" s="7" t="s">
        <v>199</v>
      </c>
      <c r="BH568" s="7" t="s">
        <v>199</v>
      </c>
      <c r="BI568" s="7"/>
      <c r="BJ568" s="4">
        <v>40</v>
      </c>
      <c r="BK568" s="8">
        <v>1080.64</v>
      </c>
      <c r="BL568" s="2" t="s">
        <v>1553</v>
      </c>
      <c r="BM568" s="7"/>
      <c r="BN568" s="7"/>
      <c r="BO568" s="4"/>
      <c r="BP568" s="8"/>
      <c r="BQ568" s="4"/>
      <c r="BR568" s="8"/>
      <c r="BS568" s="7"/>
      <c r="BT568" s="7"/>
      <c r="BU568" s="2" t="s">
        <v>3134</v>
      </c>
      <c r="BV568" s="2" t="s">
        <v>199</v>
      </c>
      <c r="BW568" s="2" t="s">
        <v>199</v>
      </c>
      <c r="BX568" s="2" t="s">
        <v>208</v>
      </c>
      <c r="BY568" s="2" t="s">
        <v>209</v>
      </c>
      <c r="BZ568" s="2" t="s">
        <v>196</v>
      </c>
      <c r="CA568" s="2" t="s">
        <v>3135</v>
      </c>
      <c r="CB568" s="2" t="s">
        <v>1413</v>
      </c>
      <c r="CC568" s="2" t="s">
        <v>212</v>
      </c>
      <c r="CD568" s="2" t="s">
        <v>199</v>
      </c>
      <c r="CE568" s="4">
        <v>197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>
        <v>202</v>
      </c>
      <c r="EU568" s="4">
        <v>190</v>
      </c>
      <c r="EV568" s="4">
        <v>182</v>
      </c>
      <c r="EW568" s="4">
        <v>174</v>
      </c>
      <c r="EX568" s="4">
        <v>166</v>
      </c>
      <c r="EY568" s="4">
        <v>158</v>
      </c>
      <c r="EZ568" s="4">
        <v>150</v>
      </c>
      <c r="FA568" s="4">
        <v>142</v>
      </c>
      <c r="FB568" s="4">
        <v>133</v>
      </c>
      <c r="FC568" s="4">
        <v>125</v>
      </c>
      <c r="FD568" s="4">
        <v>117</v>
      </c>
      <c r="FE568" s="4">
        <v>109</v>
      </c>
      <c r="FF568" s="4">
        <v>101</v>
      </c>
      <c r="FG568" s="4">
        <v>93</v>
      </c>
      <c r="FH568" s="4">
        <v>85</v>
      </c>
      <c r="FI568" s="4">
        <v>77</v>
      </c>
      <c r="FJ568" s="4">
        <v>69</v>
      </c>
      <c r="FK568" s="4">
        <v>61</v>
      </c>
      <c r="FL568" s="4">
        <v>53</v>
      </c>
      <c r="FM568" s="4">
        <v>45</v>
      </c>
      <c r="FN568" s="4">
        <v>36</v>
      </c>
      <c r="FO568" s="4">
        <v>26</v>
      </c>
      <c r="FP568" s="4">
        <v>161</v>
      </c>
      <c r="FQ568" s="4">
        <v>150</v>
      </c>
      <c r="FR568" s="4">
        <v>139</v>
      </c>
      <c r="FS568" s="4">
        <v>129</v>
      </c>
      <c r="FT568" s="19">
        <v>22.4</v>
      </c>
      <c r="FU568" s="19">
        <v>23.8</v>
      </c>
      <c r="FV568" s="19">
        <v>22.8</v>
      </c>
      <c r="FW568" s="19">
        <v>21.8</v>
      </c>
      <c r="FX568" s="19">
        <v>20.8</v>
      </c>
      <c r="FY568" s="19">
        <v>19.8</v>
      </c>
      <c r="FZ568" s="19">
        <v>18.8</v>
      </c>
      <c r="GA568" s="19">
        <v>17.8</v>
      </c>
      <c r="GB568" s="19">
        <v>16.6</v>
      </c>
      <c r="GC568" s="19">
        <v>15.6</v>
      </c>
      <c r="GD568" s="19">
        <v>14.6</v>
      </c>
      <c r="GE568" s="19">
        <v>13.6</v>
      </c>
      <c r="GF568" s="19">
        <v>12.6</v>
      </c>
      <c r="GG568" s="19">
        <v>11.6</v>
      </c>
      <c r="GH568" s="19">
        <v>10.6</v>
      </c>
      <c r="GI568" s="19">
        <v>9.6</v>
      </c>
      <c r="GJ568" s="19">
        <v>8.6</v>
      </c>
      <c r="GK568" s="19">
        <v>6.8</v>
      </c>
      <c r="GL568" s="19">
        <v>5.3</v>
      </c>
      <c r="GM568" s="19">
        <v>4.5</v>
      </c>
      <c r="GN568" s="19">
        <v>3.3</v>
      </c>
      <c r="GO568" s="19">
        <v>2.4</v>
      </c>
      <c r="GP568" s="19">
        <v>16.1</v>
      </c>
      <c r="GQ568" s="19">
        <v>13.6</v>
      </c>
      <c r="GR568" s="19">
        <v>11.6</v>
      </c>
      <c r="GS568" s="19">
        <v>9.2</v>
      </c>
    </row>
    <row r="569">
      <c r="A569" s="2" t="s">
        <v>3136</v>
      </c>
      <c r="B569" s="2" t="s">
        <v>736</v>
      </c>
      <c r="C569" s="2" t="s">
        <v>1007</v>
      </c>
      <c r="D569" s="2" t="s">
        <v>631</v>
      </c>
      <c r="E569" s="2" t="s">
        <v>632</v>
      </c>
      <c r="F569" s="2" t="s">
        <v>3129</v>
      </c>
      <c r="G569" s="2" t="s">
        <v>3130</v>
      </c>
      <c r="H569" s="2" t="s">
        <v>3131</v>
      </c>
      <c r="I569" s="2" t="s">
        <v>3137</v>
      </c>
      <c r="J569" s="2" t="s">
        <v>1011</v>
      </c>
      <c r="K569" s="2" t="s">
        <v>1202</v>
      </c>
      <c r="L569" s="3">
        <v>14.28</v>
      </c>
      <c r="M569" s="3">
        <v>14.99</v>
      </c>
      <c r="N569" s="3">
        <v>29.99</v>
      </c>
      <c r="O569" s="2" t="s">
        <v>196</v>
      </c>
      <c r="P569" s="2" t="s">
        <v>197</v>
      </c>
      <c r="Q569" s="2" t="s">
        <v>198</v>
      </c>
      <c r="R569" s="2" t="s">
        <v>199</v>
      </c>
      <c r="S569" s="2" t="s">
        <v>3133</v>
      </c>
      <c r="T569" s="2" t="s">
        <v>386</v>
      </c>
      <c r="U569" s="2" t="s">
        <v>853</v>
      </c>
      <c r="V569" s="2" t="s">
        <v>1406</v>
      </c>
      <c r="W569" s="2" t="s">
        <v>712</v>
      </c>
      <c r="X569" s="2" t="s">
        <v>199</v>
      </c>
      <c r="Y569" s="2" t="s">
        <v>1417</v>
      </c>
      <c r="Z569" s="4">
        <v>44</v>
      </c>
      <c r="AA569" s="4">
        <f>=ROUNDDOWN(14.6666666666667,0)</f>
      </c>
      <c r="AB569" s="5">
        <v>3</v>
      </c>
      <c r="AC569" s="2" t="s">
        <v>199</v>
      </c>
      <c r="AD569" s="4"/>
      <c r="AE569" s="4"/>
      <c r="AF569" s="6">
        <v>64</v>
      </c>
      <c r="AG569" s="6"/>
      <c r="AH569" s="7">
        <v>0.8065</v>
      </c>
      <c r="AI569" s="4"/>
      <c r="AJ569" s="4">
        <f>=ROUNDDOWN({0},0)</f>
      </c>
      <c r="AK569" s="5"/>
      <c r="AL569" s="2" t="s">
        <v>199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199</v>
      </c>
      <c r="AW569" s="8" t="s">
        <v>199</v>
      </c>
      <c r="AX569" s="4" t="s">
        <v>199</v>
      </c>
      <c r="AY569" s="8" t="s">
        <v>199</v>
      </c>
      <c r="AZ569" s="7" t="s">
        <v>199</v>
      </c>
      <c r="BA569" s="7" t="s">
        <v>199</v>
      </c>
      <c r="BB569" s="7" t="s">
        <v>199</v>
      </c>
      <c r="BC569" s="4" t="s">
        <v>199</v>
      </c>
      <c r="BD569" s="8" t="s">
        <v>199</v>
      </c>
      <c r="BE569" s="4" t="s">
        <v>199</v>
      </c>
      <c r="BF569" s="8" t="s">
        <v>199</v>
      </c>
      <c r="BG569" s="7" t="s">
        <v>199</v>
      </c>
      <c r="BH569" s="7" t="s">
        <v>199</v>
      </c>
      <c r="BI569" s="7"/>
      <c r="BJ569" s="4">
        <v>13</v>
      </c>
      <c r="BK569" s="8">
        <v>210.02</v>
      </c>
      <c r="BL569" s="2" t="s">
        <v>1323</v>
      </c>
      <c r="BM569" s="7"/>
      <c r="BN569" s="7"/>
      <c r="BO569" s="4"/>
      <c r="BP569" s="8"/>
      <c r="BQ569" s="4"/>
      <c r="BR569" s="8"/>
      <c r="BS569" s="7"/>
      <c r="BT569" s="7"/>
      <c r="BU569" s="2" t="s">
        <v>3138</v>
      </c>
      <c r="BV569" s="2" t="s">
        <v>199</v>
      </c>
      <c r="BW569" s="2" t="s">
        <v>199</v>
      </c>
      <c r="BX569" s="2" t="s">
        <v>208</v>
      </c>
      <c r="BY569" s="2" t="s">
        <v>209</v>
      </c>
      <c r="BZ569" s="2" t="s">
        <v>196</v>
      </c>
      <c r="CA569" s="2" t="s">
        <v>3135</v>
      </c>
      <c r="CB569" s="2" t="s">
        <v>1341</v>
      </c>
      <c r="CC569" s="2" t="s">
        <v>212</v>
      </c>
      <c r="CD569" s="2" t="s">
        <v>199</v>
      </c>
      <c r="CE569" s="4">
        <v>44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>
        <v>52</v>
      </c>
      <c r="EU569" s="4">
        <v>44</v>
      </c>
      <c r="EV569" s="4">
        <v>42</v>
      </c>
      <c r="EW569" s="4">
        <v>40</v>
      </c>
      <c r="EX569" s="4">
        <v>38</v>
      </c>
      <c r="EY569" s="4">
        <v>36</v>
      </c>
      <c r="EZ569" s="4">
        <v>34</v>
      </c>
      <c r="FA569" s="4">
        <v>32</v>
      </c>
      <c r="FB569" s="4">
        <v>30</v>
      </c>
      <c r="FC569" s="4">
        <v>28</v>
      </c>
      <c r="FD569" s="4">
        <v>26</v>
      </c>
      <c r="FE569" s="4">
        <v>24</v>
      </c>
      <c r="FF569" s="4">
        <v>22</v>
      </c>
      <c r="FG569" s="4">
        <v>20</v>
      </c>
      <c r="FH569" s="4">
        <v>18</v>
      </c>
      <c r="FI569" s="4">
        <v>15</v>
      </c>
      <c r="FJ569" s="4">
        <v>12</v>
      </c>
      <c r="FK569" s="4">
        <v>9</v>
      </c>
      <c r="FL569" s="4">
        <v>6</v>
      </c>
      <c r="FM569" s="4">
        <v>3</v>
      </c>
      <c r="FN569" s="4"/>
      <c r="FO569" s="4"/>
      <c r="FP569" s="4">
        <v>54</v>
      </c>
      <c r="FQ569" s="4">
        <v>45</v>
      </c>
      <c r="FR569" s="4">
        <v>41</v>
      </c>
      <c r="FS569" s="4">
        <v>37</v>
      </c>
      <c r="FT569" s="19">
        <v>13</v>
      </c>
      <c r="FU569" s="19">
        <v>22</v>
      </c>
      <c r="FV569" s="19">
        <v>21</v>
      </c>
      <c r="FW569" s="19">
        <v>20</v>
      </c>
      <c r="FX569" s="19">
        <v>19</v>
      </c>
      <c r="FY569" s="19">
        <v>18</v>
      </c>
      <c r="FZ569" s="19">
        <v>17</v>
      </c>
      <c r="GA569" s="19">
        <v>16</v>
      </c>
      <c r="GB569" s="19">
        <v>15</v>
      </c>
      <c r="GC569" s="19">
        <v>14</v>
      </c>
      <c r="GD569" s="19">
        <v>13</v>
      </c>
      <c r="GE569" s="19">
        <v>12</v>
      </c>
      <c r="GF569" s="19">
        <v>11</v>
      </c>
      <c r="GG569" s="19">
        <v>6.7</v>
      </c>
      <c r="GH569" s="19">
        <v>6</v>
      </c>
      <c r="GI569" s="19">
        <v>5</v>
      </c>
      <c r="GJ569" s="19">
        <v>4</v>
      </c>
      <c r="GK569" s="19">
        <v>3</v>
      </c>
      <c r="GL569" s="19">
        <v>3</v>
      </c>
      <c r="GM569" s="19">
        <v>0.8</v>
      </c>
      <c r="GN569" s="20">
        <v>0</v>
      </c>
      <c r="GO569" s="20">
        <v>0</v>
      </c>
      <c r="GP569" s="19">
        <v>10.8</v>
      </c>
      <c r="GQ569" s="19">
        <v>11.3</v>
      </c>
      <c r="GR569" s="19">
        <v>8.2</v>
      </c>
      <c r="GS569" s="19">
        <v>7.4</v>
      </c>
    </row>
    <row r="570">
      <c r="A570" s="2" t="s">
        <v>3139</v>
      </c>
      <c r="B570" s="2" t="s">
        <v>630</v>
      </c>
      <c r="C570" s="2" t="s">
        <v>1020</v>
      </c>
      <c r="D570" s="2" t="s">
        <v>759</v>
      </c>
      <c r="E570" s="2" t="s">
        <v>3140</v>
      </c>
      <c r="F570" s="2" t="s">
        <v>3141</v>
      </c>
      <c r="G570" s="2" t="s">
        <v>3141</v>
      </c>
      <c r="H570" s="2" t="s">
        <v>3141</v>
      </c>
      <c r="I570" s="2" t="s">
        <v>3142</v>
      </c>
      <c r="J570" s="2" t="s">
        <v>232</v>
      </c>
      <c r="K570" s="2" t="s">
        <v>1037</v>
      </c>
      <c r="L570" s="3">
        <v>52.38</v>
      </c>
      <c r="M570" s="3">
        <v>55</v>
      </c>
      <c r="N570" s="3">
        <v>109.99</v>
      </c>
      <c r="O570" s="2" t="s">
        <v>196</v>
      </c>
      <c r="P570" s="2" t="s">
        <v>197</v>
      </c>
      <c r="Q570" s="2" t="s">
        <v>198</v>
      </c>
      <c r="R570" s="2" t="s">
        <v>199</v>
      </c>
      <c r="S570" s="2" t="s">
        <v>3143</v>
      </c>
      <c r="T570" s="2" t="s">
        <v>636</v>
      </c>
      <c r="U570" s="2" t="s">
        <v>637</v>
      </c>
      <c r="V570" s="2" t="s">
        <v>638</v>
      </c>
      <c r="W570" s="2" t="s">
        <v>1094</v>
      </c>
      <c r="X570" s="2" t="s">
        <v>712</v>
      </c>
      <c r="Y570" s="2" t="s">
        <v>3144</v>
      </c>
      <c r="Z570" s="4">
        <v>529</v>
      </c>
      <c r="AA570" s="4">
        <f>=ROUNDDOWN(48.0909090909091,0)</f>
      </c>
      <c r="AB570" s="5">
        <v>11</v>
      </c>
      <c r="AC570" s="2" t="s">
        <v>199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199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20</v>
      </c>
      <c r="BK570" s="8">
        <v>1143.11</v>
      </c>
      <c r="BL570" s="2" t="s">
        <v>3145</v>
      </c>
      <c r="BM570" s="7"/>
      <c r="BN570" s="7"/>
      <c r="BO570" s="4"/>
      <c r="BP570" s="8"/>
      <c r="BQ570" s="4"/>
      <c r="BR570" s="8"/>
      <c r="BS570" s="7"/>
      <c r="BT570" s="7"/>
      <c r="BU570" s="2" t="s">
        <v>3146</v>
      </c>
      <c r="BV570" s="2" t="s">
        <v>199</v>
      </c>
      <c r="BW570" s="2" t="s">
        <v>199</v>
      </c>
      <c r="BX570" s="2" t="s">
        <v>208</v>
      </c>
      <c r="BY570" s="2" t="s">
        <v>209</v>
      </c>
      <c r="BZ570" s="2" t="s">
        <v>196</v>
      </c>
      <c r="CA570" s="2" t="s">
        <v>3147</v>
      </c>
      <c r="CB570" s="2" t="s">
        <v>3148</v>
      </c>
      <c r="CC570" s="2" t="s">
        <v>212</v>
      </c>
      <c r="CD570" s="2" t="s">
        <v>199</v>
      </c>
      <c r="CE570" s="4">
        <v>443</v>
      </c>
      <c r="CF570" s="4">
        <v>86</v>
      </c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>
        <v>583</v>
      </c>
      <c r="EU570" s="4">
        <v>558</v>
      </c>
      <c r="EV570" s="4">
        <v>546</v>
      </c>
      <c r="EW570" s="4">
        <v>535</v>
      </c>
      <c r="EX570" s="4">
        <v>524</v>
      </c>
      <c r="EY570" s="4">
        <v>513</v>
      </c>
      <c r="EZ570" s="4">
        <v>502</v>
      </c>
      <c r="FA570" s="4">
        <v>491</v>
      </c>
      <c r="FB570" s="4">
        <v>479</v>
      </c>
      <c r="FC570" s="4">
        <v>468</v>
      </c>
      <c r="FD570" s="4">
        <v>457</v>
      </c>
      <c r="FE570" s="4">
        <v>446</v>
      </c>
      <c r="FF570" s="4">
        <v>435</v>
      </c>
      <c r="FG570" s="4">
        <v>424</v>
      </c>
      <c r="FH570" s="4">
        <v>413</v>
      </c>
      <c r="FI570" s="4">
        <v>401</v>
      </c>
      <c r="FJ570" s="4">
        <v>390</v>
      </c>
      <c r="FK570" s="4">
        <v>379</v>
      </c>
      <c r="FL570" s="4">
        <v>368</v>
      </c>
      <c r="FM570" s="4">
        <v>357</v>
      </c>
      <c r="FN570" s="4">
        <v>345</v>
      </c>
      <c r="FO570" s="4">
        <v>334</v>
      </c>
      <c r="FP570" s="4">
        <v>322</v>
      </c>
      <c r="FQ570" s="4">
        <v>311</v>
      </c>
      <c r="FR570" s="4">
        <v>300</v>
      </c>
      <c r="FS570" s="4">
        <v>289</v>
      </c>
      <c r="FT570" s="19">
        <v>38.9</v>
      </c>
      <c r="FU570" s="19">
        <v>50.7</v>
      </c>
      <c r="FV570" s="19">
        <v>49.6</v>
      </c>
      <c r="FW570" s="19">
        <v>48.6</v>
      </c>
      <c r="FX570" s="19">
        <v>47.6</v>
      </c>
      <c r="FY570" s="19">
        <v>46.6</v>
      </c>
      <c r="FZ570" s="19">
        <v>45.6</v>
      </c>
      <c r="GA570" s="19">
        <v>44.6</v>
      </c>
      <c r="GB570" s="19">
        <v>43.5</v>
      </c>
      <c r="GC570" s="19">
        <v>42.5</v>
      </c>
      <c r="GD570" s="19">
        <v>41.5</v>
      </c>
      <c r="GE570" s="19">
        <v>40.5</v>
      </c>
      <c r="GF570" s="19">
        <v>39.5</v>
      </c>
      <c r="GG570" s="19">
        <v>38.5</v>
      </c>
      <c r="GH570" s="19">
        <v>37.5</v>
      </c>
      <c r="GI570" s="19">
        <v>36.5</v>
      </c>
      <c r="GJ570" s="19">
        <v>35.5</v>
      </c>
      <c r="GK570" s="19">
        <v>34.5</v>
      </c>
      <c r="GL570" s="19">
        <v>30.7</v>
      </c>
      <c r="GM570" s="19">
        <v>29.8</v>
      </c>
      <c r="GN570" s="19">
        <v>31.4</v>
      </c>
      <c r="GO570" s="19">
        <v>30.4</v>
      </c>
      <c r="GP570" s="19">
        <v>29.3</v>
      </c>
      <c r="GQ570" s="19">
        <v>8.6</v>
      </c>
      <c r="GR570" s="19">
        <v>8.3</v>
      </c>
      <c r="GS570" s="19">
        <v>7.8</v>
      </c>
    </row>
    <row r="571">
      <c r="A571" s="2" t="s">
        <v>3149</v>
      </c>
      <c r="B571" s="2" t="s">
        <v>570</v>
      </c>
      <c r="C571" s="2" t="s">
        <v>246</v>
      </c>
      <c r="D571" s="2" t="s">
        <v>572</v>
      </c>
      <c r="E571" s="2" t="s">
        <v>573</v>
      </c>
      <c r="F571" s="2" t="s">
        <v>3150</v>
      </c>
      <c r="G571" s="2" t="s">
        <v>3150</v>
      </c>
      <c r="H571" s="2" t="s">
        <v>3150</v>
      </c>
      <c r="I571" s="2" t="s">
        <v>3151</v>
      </c>
      <c r="J571" s="2" t="s">
        <v>576</v>
      </c>
      <c r="K571" s="2" t="s">
        <v>584</v>
      </c>
      <c r="L571" s="3">
        <v>26.4</v>
      </c>
      <c r="M571" s="3">
        <v>27.72</v>
      </c>
      <c r="N571" s="3">
        <v>54.99</v>
      </c>
      <c r="O571" s="2" t="s">
        <v>196</v>
      </c>
      <c r="P571" s="2" t="s">
        <v>197</v>
      </c>
      <c r="Q571" s="2" t="s">
        <v>198</v>
      </c>
      <c r="R571" s="2" t="s">
        <v>199</v>
      </c>
      <c r="S571" s="2" t="s">
        <v>3152</v>
      </c>
      <c r="T571" s="2" t="s">
        <v>300</v>
      </c>
      <c r="U571" s="2" t="s">
        <v>546</v>
      </c>
      <c r="V571" s="2" t="s">
        <v>202</v>
      </c>
      <c r="W571" s="2" t="s">
        <v>510</v>
      </c>
      <c r="X571" s="2" t="s">
        <v>199</v>
      </c>
      <c r="Y571" s="2" t="s">
        <v>3153</v>
      </c>
      <c r="Z571" s="4">
        <v>815</v>
      </c>
      <c r="AA571" s="4">
        <f>=ROUNDDOWN(22.027027027027,0)</f>
      </c>
      <c r="AB571" s="5">
        <v>37</v>
      </c>
      <c r="AC571" s="2" t="s">
        <v>3154</v>
      </c>
      <c r="AD571" s="4">
        <v>350</v>
      </c>
      <c r="AE571" s="4">
        <v>700</v>
      </c>
      <c r="AF571" s="6">
        <v>73</v>
      </c>
      <c r="AG571" s="6"/>
      <c r="AH571" s="7">
        <v>1</v>
      </c>
      <c r="AI571" s="4"/>
      <c r="AJ571" s="4">
        <f>=ROUNDDOWN({0},0)</f>
      </c>
      <c r="AK571" s="5"/>
      <c r="AL571" s="2" t="s">
        <v>199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199</v>
      </c>
      <c r="BD571" s="8" t="s">
        <v>199</v>
      </c>
      <c r="BE571" s="4" t="s">
        <v>199</v>
      </c>
      <c r="BF571" s="8" t="s">
        <v>199</v>
      </c>
      <c r="BG571" s="7" t="s">
        <v>199</v>
      </c>
      <c r="BH571" s="7" t="s">
        <v>199</v>
      </c>
      <c r="BI571" s="7"/>
      <c r="BJ571" s="4">
        <v>356</v>
      </c>
      <c r="BK571" s="8">
        <v>9851.03</v>
      </c>
      <c r="BL571" s="2" t="s">
        <v>3155</v>
      </c>
      <c r="BM571" s="7"/>
      <c r="BN571" s="7"/>
      <c r="BO571" s="4"/>
      <c r="BP571" s="8"/>
      <c r="BQ571" s="4"/>
      <c r="BR571" s="8"/>
      <c r="BS571" s="7"/>
      <c r="BT571" s="7"/>
      <c r="BU571" s="2" t="s">
        <v>3156</v>
      </c>
      <c r="BV571" s="2" t="s">
        <v>199</v>
      </c>
      <c r="BW571" s="2" t="s">
        <v>199</v>
      </c>
      <c r="BX571" s="2" t="s">
        <v>208</v>
      </c>
      <c r="BY571" s="2" t="s">
        <v>209</v>
      </c>
      <c r="BZ571" s="2" t="s">
        <v>196</v>
      </c>
      <c r="CA571" s="2" t="s">
        <v>3157</v>
      </c>
      <c r="CB571" s="2" t="s">
        <v>3158</v>
      </c>
      <c r="CC571" s="2" t="s">
        <v>212</v>
      </c>
      <c r="CD571" s="2" t="s">
        <v>199</v>
      </c>
      <c r="CE571" s="4">
        <v>815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>
        <v>350</v>
      </c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>
        <v>350</v>
      </c>
      <c r="EQ571" s="4"/>
      <c r="ER571" s="4"/>
      <c r="ES571" s="4"/>
      <c r="ET571" s="4">
        <v>827</v>
      </c>
      <c r="EU571" s="4">
        <v>788</v>
      </c>
      <c r="EV571" s="4">
        <v>755</v>
      </c>
      <c r="EW571" s="4">
        <v>718</v>
      </c>
      <c r="EX571" s="4">
        <v>681</v>
      </c>
      <c r="EY571" s="4">
        <v>994</v>
      </c>
      <c r="EZ571" s="4">
        <v>957</v>
      </c>
      <c r="FA571" s="4">
        <v>920</v>
      </c>
      <c r="FB571" s="4">
        <v>880</v>
      </c>
      <c r="FC571" s="4">
        <v>843</v>
      </c>
      <c r="FD571" s="4">
        <v>806</v>
      </c>
      <c r="FE571" s="4">
        <v>769</v>
      </c>
      <c r="FF571" s="4">
        <v>732</v>
      </c>
      <c r="FG571" s="4">
        <v>695</v>
      </c>
      <c r="FH571" s="4">
        <v>658</v>
      </c>
      <c r="FI571" s="4">
        <v>620</v>
      </c>
      <c r="FJ571" s="4">
        <v>583</v>
      </c>
      <c r="FK571" s="4">
        <v>546</v>
      </c>
      <c r="FL571" s="4">
        <v>859</v>
      </c>
      <c r="FM571" s="4">
        <v>822</v>
      </c>
      <c r="FN571" s="4">
        <v>783</v>
      </c>
      <c r="FO571" s="4">
        <v>744</v>
      </c>
      <c r="FP571" s="4">
        <v>702</v>
      </c>
      <c r="FQ571" s="4">
        <v>663</v>
      </c>
      <c r="FR571" s="4">
        <v>624</v>
      </c>
      <c r="FS571" s="4">
        <v>586</v>
      </c>
      <c r="FT571" s="19">
        <v>23</v>
      </c>
      <c r="FU571" s="19">
        <v>21.9</v>
      </c>
      <c r="FV571" s="19">
        <v>20.4</v>
      </c>
      <c r="FW571" s="19">
        <v>19.4</v>
      </c>
      <c r="FX571" s="19">
        <v>17.9</v>
      </c>
      <c r="FY571" s="19">
        <v>26.2</v>
      </c>
      <c r="FZ571" s="19">
        <v>25.2</v>
      </c>
      <c r="GA571" s="19">
        <v>24.2</v>
      </c>
      <c r="GB571" s="19">
        <v>23.8</v>
      </c>
      <c r="GC571" s="19">
        <v>22.8</v>
      </c>
      <c r="GD571" s="19">
        <v>21.8</v>
      </c>
      <c r="GE571" s="19">
        <v>20.8</v>
      </c>
      <c r="GF571" s="19">
        <v>19.8</v>
      </c>
      <c r="GG571" s="19">
        <v>18.8</v>
      </c>
      <c r="GH571" s="19">
        <v>17.8</v>
      </c>
      <c r="GI571" s="19">
        <v>16.8</v>
      </c>
      <c r="GJ571" s="19">
        <v>15.3</v>
      </c>
      <c r="GK571" s="19">
        <v>14.4</v>
      </c>
      <c r="GL571" s="19">
        <v>22</v>
      </c>
      <c r="GM571" s="19">
        <v>20.6</v>
      </c>
      <c r="GN571" s="19">
        <v>19.6</v>
      </c>
      <c r="GO571" s="19">
        <v>18.6</v>
      </c>
      <c r="GP571" s="19">
        <v>18.5</v>
      </c>
      <c r="GQ571" s="19">
        <v>16.6</v>
      </c>
      <c r="GR571" s="19">
        <v>14.9</v>
      </c>
      <c r="GS571" s="19">
        <v>13</v>
      </c>
    </row>
    <row r="572">
      <c r="A572" s="2" t="s">
        <v>3159</v>
      </c>
      <c r="B572" s="2" t="s">
        <v>570</v>
      </c>
      <c r="C572" s="2" t="s">
        <v>246</v>
      </c>
      <c r="D572" s="2" t="s">
        <v>572</v>
      </c>
      <c r="E572" s="2" t="s">
        <v>573</v>
      </c>
      <c r="F572" s="2" t="s">
        <v>3150</v>
      </c>
      <c r="G572" s="2" t="s">
        <v>3150</v>
      </c>
      <c r="H572" s="2" t="s">
        <v>3150</v>
      </c>
      <c r="I572" s="2" t="s">
        <v>3151</v>
      </c>
      <c r="J572" s="2" t="s">
        <v>576</v>
      </c>
      <c r="K572" s="2" t="s">
        <v>252</v>
      </c>
      <c r="L572" s="3">
        <v>26.4</v>
      </c>
      <c r="M572" s="3">
        <v>27.72</v>
      </c>
      <c r="N572" s="3">
        <v>54.99</v>
      </c>
      <c r="O572" s="2" t="s">
        <v>196</v>
      </c>
      <c r="P572" s="2" t="s">
        <v>197</v>
      </c>
      <c r="Q572" s="2" t="s">
        <v>198</v>
      </c>
      <c r="R572" s="2" t="s">
        <v>199</v>
      </c>
      <c r="S572" s="2" t="s">
        <v>199</v>
      </c>
      <c r="T572" s="2" t="s">
        <v>199</v>
      </c>
      <c r="U572" s="2" t="s">
        <v>546</v>
      </c>
      <c r="V572" s="2" t="s">
        <v>202</v>
      </c>
      <c r="W572" s="2" t="s">
        <v>510</v>
      </c>
      <c r="X572" s="2" t="s">
        <v>199</v>
      </c>
      <c r="Y572" s="2" t="s">
        <v>1372</v>
      </c>
      <c r="Z572" s="4">
        <v>693</v>
      </c>
      <c r="AA572" s="4">
        <f>=ROUNDDOWN(15.0652173913043,0)</f>
      </c>
      <c r="AB572" s="5">
        <v>46</v>
      </c>
      <c r="AC572" s="2" t="s">
        <v>134</v>
      </c>
      <c r="AD572" s="4">
        <v>2</v>
      </c>
      <c r="AE572" s="4">
        <v>1052</v>
      </c>
      <c r="AF572" s="6">
        <v>73</v>
      </c>
      <c r="AG572" s="6"/>
      <c r="AH572" s="7">
        <v>1</v>
      </c>
      <c r="AI572" s="4"/>
      <c r="AJ572" s="4">
        <f>=ROUNDDOWN({0},0)</f>
      </c>
      <c r="AK572" s="5"/>
      <c r="AL572" s="2" t="s">
        <v>199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199</v>
      </c>
      <c r="BD572" s="8" t="s">
        <v>199</v>
      </c>
      <c r="BE572" s="4" t="s">
        <v>199</v>
      </c>
      <c r="BF572" s="8" t="s">
        <v>199</v>
      </c>
      <c r="BG572" s="7" t="s">
        <v>199</v>
      </c>
      <c r="BH572" s="7" t="s">
        <v>199</v>
      </c>
      <c r="BI572" s="7"/>
      <c r="BJ572" s="4">
        <v>333</v>
      </c>
      <c r="BK572" s="8">
        <v>9427.82</v>
      </c>
      <c r="BL572" s="2" t="s">
        <v>3160</v>
      </c>
      <c r="BM572" s="7"/>
      <c r="BN572" s="7"/>
      <c r="BO572" s="4"/>
      <c r="BP572" s="8"/>
      <c r="BQ572" s="4"/>
      <c r="BR572" s="8"/>
      <c r="BS572" s="7"/>
      <c r="BT572" s="7"/>
      <c r="BU572" s="2" t="s">
        <v>3156</v>
      </c>
      <c r="BV572" s="2" t="s">
        <v>199</v>
      </c>
      <c r="BW572" s="2" t="s">
        <v>199</v>
      </c>
      <c r="BX572" s="2" t="s">
        <v>208</v>
      </c>
      <c r="BY572" s="2" t="s">
        <v>209</v>
      </c>
      <c r="BZ572" s="2" t="s">
        <v>196</v>
      </c>
      <c r="CA572" s="2" t="s">
        <v>1601</v>
      </c>
      <c r="CB572" s="2" t="s">
        <v>3161</v>
      </c>
      <c r="CC572" s="2" t="s">
        <v>212</v>
      </c>
      <c r="CD572" s="2" t="s">
        <v>199</v>
      </c>
      <c r="CE572" s="4">
        <v>693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>
        <v>2</v>
      </c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>
        <v>350</v>
      </c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>
        <v>350</v>
      </c>
      <c r="EG572" s="4"/>
      <c r="EH572" s="4"/>
      <c r="EI572" s="4"/>
      <c r="EJ572" s="4"/>
      <c r="EK572" s="4"/>
      <c r="EL572" s="4"/>
      <c r="EM572" s="4"/>
      <c r="EN572" s="4"/>
      <c r="EO572" s="4"/>
      <c r="EP572" s="4">
        <v>350</v>
      </c>
      <c r="EQ572" s="4"/>
      <c r="ER572" s="4"/>
      <c r="ES572" s="4"/>
      <c r="ET572" s="4">
        <v>736</v>
      </c>
      <c r="EU572" s="4">
        <v>695</v>
      </c>
      <c r="EV572" s="4">
        <v>660</v>
      </c>
      <c r="EW572" s="4">
        <v>614</v>
      </c>
      <c r="EX572" s="4">
        <v>568</v>
      </c>
      <c r="EY572" s="4">
        <v>872</v>
      </c>
      <c r="EZ572" s="4">
        <v>826</v>
      </c>
      <c r="FA572" s="4">
        <v>780</v>
      </c>
      <c r="FB572" s="4">
        <v>731</v>
      </c>
      <c r="FC572" s="4">
        <v>685</v>
      </c>
      <c r="FD572" s="4">
        <v>639</v>
      </c>
      <c r="FE572" s="4">
        <v>593</v>
      </c>
      <c r="FF572" s="4">
        <v>547</v>
      </c>
      <c r="FG572" s="4">
        <v>851</v>
      </c>
      <c r="FH572" s="4">
        <v>805</v>
      </c>
      <c r="FI572" s="4">
        <v>758</v>
      </c>
      <c r="FJ572" s="4">
        <v>712</v>
      </c>
      <c r="FK572" s="4">
        <v>666</v>
      </c>
      <c r="FL572" s="4">
        <v>970</v>
      </c>
      <c r="FM572" s="4">
        <v>924</v>
      </c>
      <c r="FN572" s="4">
        <v>874</v>
      </c>
      <c r="FO572" s="4">
        <v>824</v>
      </c>
      <c r="FP572" s="4">
        <v>771</v>
      </c>
      <c r="FQ572" s="4">
        <v>721</v>
      </c>
      <c r="FR572" s="4">
        <v>671</v>
      </c>
      <c r="FS572" s="4">
        <v>623</v>
      </c>
      <c r="FT572" s="19">
        <v>17.5</v>
      </c>
      <c r="FU572" s="19">
        <v>16.2</v>
      </c>
      <c r="FV572" s="19">
        <v>14.3</v>
      </c>
      <c r="FW572" s="19">
        <v>13.3</v>
      </c>
      <c r="FX572" s="19">
        <v>12.1</v>
      </c>
      <c r="FY572" s="19">
        <v>18.6</v>
      </c>
      <c r="FZ572" s="19">
        <v>17.6</v>
      </c>
      <c r="GA572" s="19">
        <v>16.6</v>
      </c>
      <c r="GB572" s="19">
        <v>15.9</v>
      </c>
      <c r="GC572" s="19">
        <v>14.9</v>
      </c>
      <c r="GD572" s="19">
        <v>13.9</v>
      </c>
      <c r="GE572" s="19">
        <v>12.9</v>
      </c>
      <c r="GF572" s="19">
        <v>11.9</v>
      </c>
      <c r="GG572" s="19">
        <v>18.5</v>
      </c>
      <c r="GH572" s="19">
        <v>17.5</v>
      </c>
      <c r="GI572" s="19">
        <v>16.5</v>
      </c>
      <c r="GJ572" s="19">
        <v>15.1</v>
      </c>
      <c r="GK572" s="19">
        <v>13.9</v>
      </c>
      <c r="GL572" s="19">
        <v>19.4</v>
      </c>
      <c r="GM572" s="19">
        <v>18.1</v>
      </c>
      <c r="GN572" s="19">
        <v>17.1</v>
      </c>
      <c r="GO572" s="19">
        <v>16.5</v>
      </c>
      <c r="GP572" s="19">
        <v>15.7</v>
      </c>
      <c r="GQ572" s="19">
        <v>14.1</v>
      </c>
      <c r="GR572" s="19">
        <v>12.7</v>
      </c>
      <c r="GS572" s="19">
        <v>11.3</v>
      </c>
    </row>
    <row r="573">
      <c r="A573" s="2" t="s">
        <v>3162</v>
      </c>
      <c r="B573" s="2" t="s">
        <v>570</v>
      </c>
      <c r="C573" s="2" t="s">
        <v>246</v>
      </c>
      <c r="D573" s="2" t="s">
        <v>572</v>
      </c>
      <c r="E573" s="2" t="s">
        <v>573</v>
      </c>
      <c r="F573" s="2" t="s">
        <v>3150</v>
      </c>
      <c r="G573" s="2" t="s">
        <v>3150</v>
      </c>
      <c r="H573" s="2" t="s">
        <v>3150</v>
      </c>
      <c r="I573" s="2" t="s">
        <v>3151</v>
      </c>
      <c r="J573" s="2" t="s">
        <v>576</v>
      </c>
      <c r="K573" s="2" t="s">
        <v>450</v>
      </c>
      <c r="L573" s="3">
        <v>26.4</v>
      </c>
      <c r="M573" s="3">
        <v>27.72</v>
      </c>
      <c r="N573" s="3">
        <v>54.99</v>
      </c>
      <c r="O573" s="2" t="s">
        <v>196</v>
      </c>
      <c r="P573" s="2" t="s">
        <v>517</v>
      </c>
      <c r="Q573" s="2" t="s">
        <v>198</v>
      </c>
      <c r="R573" s="2" t="s">
        <v>199</v>
      </c>
      <c r="S573" s="2" t="s">
        <v>3152</v>
      </c>
      <c r="T573" s="2" t="s">
        <v>199</v>
      </c>
      <c r="U573" s="2" t="s">
        <v>546</v>
      </c>
      <c r="V573" s="2" t="s">
        <v>202</v>
      </c>
      <c r="W573" s="2" t="s">
        <v>510</v>
      </c>
      <c r="X573" s="2" t="s">
        <v>199</v>
      </c>
      <c r="Y573" s="2" t="s">
        <v>1372</v>
      </c>
      <c r="Z573" s="4">
        <v>839</v>
      </c>
      <c r="AA573" s="4">
        <f>=ROUNDDOWN(17.4791666666667,0)</f>
      </c>
      <c r="AB573" s="5">
        <v>48</v>
      </c>
      <c r="AC573" s="2" t="s">
        <v>3154</v>
      </c>
      <c r="AD573" s="4">
        <v>350</v>
      </c>
      <c r="AE573" s="4">
        <v>1051</v>
      </c>
      <c r="AF573" s="6">
        <v>73</v>
      </c>
      <c r="AG573" s="6"/>
      <c r="AH573" s="7">
        <v>1</v>
      </c>
      <c r="AI573" s="4"/>
      <c r="AJ573" s="4">
        <f>=ROUNDDOWN({0},0)</f>
      </c>
      <c r="AK573" s="5"/>
      <c r="AL573" s="2" t="s">
        <v>199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199</v>
      </c>
      <c r="BD573" s="8" t="s">
        <v>199</v>
      </c>
      <c r="BE573" s="4" t="s">
        <v>199</v>
      </c>
      <c r="BF573" s="8" t="s">
        <v>199</v>
      </c>
      <c r="BG573" s="7" t="s">
        <v>199</v>
      </c>
      <c r="BH573" s="7" t="s">
        <v>199</v>
      </c>
      <c r="BI573" s="7"/>
      <c r="BJ573" s="4">
        <v>449</v>
      </c>
      <c r="BK573" s="8">
        <v>12676.44</v>
      </c>
      <c r="BL573" s="2" t="s">
        <v>3163</v>
      </c>
      <c r="BM573" s="7"/>
      <c r="BN573" s="7"/>
      <c r="BO573" s="4"/>
      <c r="BP573" s="8"/>
      <c r="BQ573" s="4"/>
      <c r="BR573" s="8"/>
      <c r="BS573" s="7"/>
      <c r="BT573" s="7"/>
      <c r="BU573" s="2" t="s">
        <v>3156</v>
      </c>
      <c r="BV573" s="2" t="s">
        <v>199</v>
      </c>
      <c r="BW573" s="2" t="s">
        <v>199</v>
      </c>
      <c r="BX573" s="2" t="s">
        <v>208</v>
      </c>
      <c r="BY573" s="2" t="s">
        <v>209</v>
      </c>
      <c r="BZ573" s="2" t="s">
        <v>196</v>
      </c>
      <c r="CA573" s="2" t="s">
        <v>1601</v>
      </c>
      <c r="CB573" s="2" t="s">
        <v>3164</v>
      </c>
      <c r="CC573" s="2" t="s">
        <v>212</v>
      </c>
      <c r="CD573" s="2" t="s">
        <v>199</v>
      </c>
      <c r="CE573" s="4">
        <v>839</v>
      </c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>
        <v>350</v>
      </c>
      <c r="DL573" s="4"/>
      <c r="DM573" s="4"/>
      <c r="DN573" s="4">
        <v>351</v>
      </c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>
        <v>350</v>
      </c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>
        <v>872</v>
      </c>
      <c r="EU573" s="4">
        <v>807</v>
      </c>
      <c r="EV573" s="4">
        <v>769</v>
      </c>
      <c r="EW573" s="4">
        <v>727</v>
      </c>
      <c r="EX573" s="4">
        <v>679</v>
      </c>
      <c r="EY573" s="4">
        <v>981</v>
      </c>
      <c r="EZ573" s="4">
        <v>1284</v>
      </c>
      <c r="FA573" s="4">
        <v>1236</v>
      </c>
      <c r="FB573" s="4">
        <v>1184</v>
      </c>
      <c r="FC573" s="4">
        <v>1136</v>
      </c>
      <c r="FD573" s="4">
        <v>1088</v>
      </c>
      <c r="FE573" s="4">
        <v>1040</v>
      </c>
      <c r="FF573" s="4">
        <v>992</v>
      </c>
      <c r="FG573" s="4">
        <v>1294</v>
      </c>
      <c r="FH573" s="4">
        <v>1246</v>
      </c>
      <c r="FI573" s="4">
        <v>1197</v>
      </c>
      <c r="FJ573" s="4">
        <v>1149</v>
      </c>
      <c r="FK573" s="4">
        <v>1101</v>
      </c>
      <c r="FL573" s="4">
        <v>1053</v>
      </c>
      <c r="FM573" s="4">
        <v>1005</v>
      </c>
      <c r="FN573" s="4">
        <v>954</v>
      </c>
      <c r="FO573" s="4">
        <v>903</v>
      </c>
      <c r="FP573" s="4">
        <v>848</v>
      </c>
      <c r="FQ573" s="4">
        <v>797</v>
      </c>
      <c r="FR573" s="4">
        <v>746</v>
      </c>
      <c r="FS573" s="4">
        <v>696</v>
      </c>
      <c r="FT573" s="19">
        <v>18.2</v>
      </c>
      <c r="FU573" s="19">
        <v>18.3</v>
      </c>
      <c r="FV573" s="19">
        <v>16.7</v>
      </c>
      <c r="FW573" s="19">
        <v>15.1</v>
      </c>
      <c r="FX573" s="19">
        <v>13.9</v>
      </c>
      <c r="FY573" s="19">
        <v>20</v>
      </c>
      <c r="FZ573" s="19">
        <v>26.2</v>
      </c>
      <c r="GA573" s="19">
        <v>25.2</v>
      </c>
      <c r="GB573" s="19">
        <v>24.7</v>
      </c>
      <c r="GC573" s="19">
        <v>23.7</v>
      </c>
      <c r="GD573" s="19">
        <v>22.7</v>
      </c>
      <c r="GE573" s="19">
        <v>21.7</v>
      </c>
      <c r="GF573" s="19">
        <v>20.7</v>
      </c>
      <c r="GG573" s="19">
        <v>27</v>
      </c>
      <c r="GH573" s="19">
        <v>26</v>
      </c>
      <c r="GI573" s="19">
        <v>24.9</v>
      </c>
      <c r="GJ573" s="19">
        <v>23.4</v>
      </c>
      <c r="GK573" s="19">
        <v>22</v>
      </c>
      <c r="GL573" s="19">
        <v>20.6</v>
      </c>
      <c r="GM573" s="19">
        <v>19.3</v>
      </c>
      <c r="GN573" s="19">
        <v>18.3</v>
      </c>
      <c r="GO573" s="19">
        <v>17.4</v>
      </c>
      <c r="GP573" s="19">
        <v>17</v>
      </c>
      <c r="GQ573" s="19">
        <v>15</v>
      </c>
      <c r="GR573" s="19">
        <v>13.3</v>
      </c>
      <c r="GS573" s="19">
        <v>12</v>
      </c>
    </row>
    <row r="574">
      <c r="A574" s="2" t="s">
        <v>3165</v>
      </c>
      <c r="B574" s="2" t="s">
        <v>570</v>
      </c>
      <c r="C574" s="2" t="s">
        <v>246</v>
      </c>
      <c r="D574" s="2" t="s">
        <v>572</v>
      </c>
      <c r="E574" s="2" t="s">
        <v>573</v>
      </c>
      <c r="F574" s="2" t="s">
        <v>3150</v>
      </c>
      <c r="G574" s="2" t="s">
        <v>3150</v>
      </c>
      <c r="H574" s="2" t="s">
        <v>3150</v>
      </c>
      <c r="I574" s="2" t="s">
        <v>3151</v>
      </c>
      <c r="J574" s="2" t="s">
        <v>576</v>
      </c>
      <c r="K574" s="2" t="s">
        <v>1037</v>
      </c>
      <c r="L574" s="3">
        <v>26.4</v>
      </c>
      <c r="M574" s="3">
        <v>27.72</v>
      </c>
      <c r="N574" s="3">
        <v>54.99</v>
      </c>
      <c r="O574" s="2" t="s">
        <v>196</v>
      </c>
      <c r="P574" s="2" t="s">
        <v>517</v>
      </c>
      <c r="Q574" s="2" t="s">
        <v>198</v>
      </c>
      <c r="R574" s="2" t="s">
        <v>199</v>
      </c>
      <c r="S574" s="2" t="s">
        <v>3152</v>
      </c>
      <c r="T574" s="2" t="s">
        <v>300</v>
      </c>
      <c r="U574" s="2" t="s">
        <v>546</v>
      </c>
      <c r="V574" s="2" t="s">
        <v>202</v>
      </c>
      <c r="W574" s="2" t="s">
        <v>510</v>
      </c>
      <c r="X574" s="2" t="s">
        <v>203</v>
      </c>
      <c r="Y574" s="2" t="s">
        <v>3166</v>
      </c>
      <c r="Z574" s="4">
        <v>698</v>
      </c>
      <c r="AA574" s="4">
        <f>=ROUNDDOWN(16.6190476190476,0)</f>
      </c>
      <c r="AB574" s="5">
        <v>42</v>
      </c>
      <c r="AC574" s="2" t="s">
        <v>3154</v>
      </c>
      <c r="AD574" s="4">
        <v>700</v>
      </c>
      <c r="AE574" s="4">
        <v>700</v>
      </c>
      <c r="AF574" s="6">
        <v>73</v>
      </c>
      <c r="AG574" s="6"/>
      <c r="AH574" s="7">
        <v>1</v>
      </c>
      <c r="AI574" s="4"/>
      <c r="AJ574" s="4">
        <f>=ROUNDDOWN({0},0)</f>
      </c>
      <c r="AK574" s="5"/>
      <c r="AL574" s="2" t="s">
        <v>199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199</v>
      </c>
      <c r="BD574" s="8" t="s">
        <v>199</v>
      </c>
      <c r="BE574" s="4" t="s">
        <v>199</v>
      </c>
      <c r="BF574" s="8" t="s">
        <v>199</v>
      </c>
      <c r="BG574" s="7" t="s">
        <v>199</v>
      </c>
      <c r="BH574" s="7" t="s">
        <v>199</v>
      </c>
      <c r="BI574" s="7"/>
      <c r="BJ574" s="4">
        <v>458</v>
      </c>
      <c r="BK574" s="8">
        <v>12889.78</v>
      </c>
      <c r="BL574" s="2" t="s">
        <v>3167</v>
      </c>
      <c r="BM574" s="7"/>
      <c r="BN574" s="7"/>
      <c r="BO574" s="4"/>
      <c r="BP574" s="8"/>
      <c r="BQ574" s="4"/>
      <c r="BR574" s="8"/>
      <c r="BS574" s="7"/>
      <c r="BT574" s="7"/>
      <c r="BU574" s="2" t="s">
        <v>3156</v>
      </c>
      <c r="BV574" s="2" t="s">
        <v>199</v>
      </c>
      <c r="BW574" s="2" t="s">
        <v>199</v>
      </c>
      <c r="BX574" s="2" t="s">
        <v>208</v>
      </c>
      <c r="BY574" s="2" t="s">
        <v>209</v>
      </c>
      <c r="BZ574" s="2" t="s">
        <v>196</v>
      </c>
      <c r="CA574" s="2" t="s">
        <v>3168</v>
      </c>
      <c r="CB574" s="2" t="s">
        <v>3169</v>
      </c>
      <c r="CC574" s="2" t="s">
        <v>212</v>
      </c>
      <c r="CD574" s="2" t="s">
        <v>199</v>
      </c>
      <c r="CE574" s="4">
        <v>698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>
        <v>700</v>
      </c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>
        <v>716</v>
      </c>
      <c r="EU574" s="4">
        <v>633</v>
      </c>
      <c r="EV574" s="4">
        <v>591</v>
      </c>
      <c r="EW574" s="4">
        <v>549</v>
      </c>
      <c r="EX574" s="4">
        <v>507</v>
      </c>
      <c r="EY574" s="4">
        <v>1165</v>
      </c>
      <c r="EZ574" s="4">
        <v>1123</v>
      </c>
      <c r="FA574" s="4">
        <v>1081</v>
      </c>
      <c r="FB574" s="4">
        <v>1035</v>
      </c>
      <c r="FC574" s="4">
        <v>993</v>
      </c>
      <c r="FD574" s="4">
        <v>951</v>
      </c>
      <c r="FE574" s="4">
        <v>909</v>
      </c>
      <c r="FF574" s="4">
        <v>867</v>
      </c>
      <c r="FG574" s="4">
        <v>825</v>
      </c>
      <c r="FH574" s="4">
        <v>783</v>
      </c>
      <c r="FI574" s="4">
        <v>741</v>
      </c>
      <c r="FJ574" s="4">
        <v>699</v>
      </c>
      <c r="FK574" s="4">
        <v>657</v>
      </c>
      <c r="FL574" s="4">
        <v>615</v>
      </c>
      <c r="FM574" s="4">
        <v>573</v>
      </c>
      <c r="FN574" s="4">
        <v>530</v>
      </c>
      <c r="FO574" s="4">
        <v>487</v>
      </c>
      <c r="FP574" s="4">
        <v>440</v>
      </c>
      <c r="FQ574" s="4">
        <v>747</v>
      </c>
      <c r="FR574" s="4">
        <v>704</v>
      </c>
      <c r="FS574" s="4">
        <v>661</v>
      </c>
      <c r="FT574" s="19">
        <v>13.8</v>
      </c>
      <c r="FU574" s="19">
        <v>15.1</v>
      </c>
      <c r="FV574" s="19">
        <v>14.1</v>
      </c>
      <c r="FW574" s="19">
        <v>13.1</v>
      </c>
      <c r="FX574" s="19">
        <v>11.8</v>
      </c>
      <c r="FY574" s="19">
        <v>27.1</v>
      </c>
      <c r="FZ574" s="19">
        <v>26.1</v>
      </c>
      <c r="GA574" s="19">
        <v>25.1</v>
      </c>
      <c r="GB574" s="19">
        <v>24.6</v>
      </c>
      <c r="GC574" s="19">
        <v>23.6</v>
      </c>
      <c r="GD574" s="19">
        <v>22.6</v>
      </c>
      <c r="GE574" s="19">
        <v>21.6</v>
      </c>
      <c r="GF574" s="19">
        <v>20.6</v>
      </c>
      <c r="GG574" s="19">
        <v>19.6</v>
      </c>
      <c r="GH574" s="19">
        <v>18.6</v>
      </c>
      <c r="GI574" s="19">
        <v>17.6</v>
      </c>
      <c r="GJ574" s="19">
        <v>16.6</v>
      </c>
      <c r="GK574" s="19">
        <v>15.6</v>
      </c>
      <c r="GL574" s="19">
        <v>14</v>
      </c>
      <c r="GM574" s="19">
        <v>13</v>
      </c>
      <c r="GN574" s="19">
        <v>12</v>
      </c>
      <c r="GO574" s="19">
        <v>11.1</v>
      </c>
      <c r="GP574" s="19">
        <v>10.2</v>
      </c>
      <c r="GQ574" s="19">
        <v>16.2</v>
      </c>
      <c r="GR574" s="19">
        <v>14.7</v>
      </c>
      <c r="GS574" s="19">
        <v>13</v>
      </c>
    </row>
    <row r="575">
      <c r="A575" s="2" t="s">
        <v>3170</v>
      </c>
      <c r="B575" s="2" t="s">
        <v>570</v>
      </c>
      <c r="C575" s="2" t="s">
        <v>246</v>
      </c>
      <c r="D575" s="2" t="s">
        <v>572</v>
      </c>
      <c r="E575" s="2" t="s">
        <v>573</v>
      </c>
      <c r="F575" s="2" t="s">
        <v>3150</v>
      </c>
      <c r="G575" s="2" t="s">
        <v>3150</v>
      </c>
      <c r="H575" s="2" t="s">
        <v>3150</v>
      </c>
      <c r="I575" s="2" t="s">
        <v>3151</v>
      </c>
      <c r="J575" s="2" t="s">
        <v>576</v>
      </c>
      <c r="K575" s="2" t="s">
        <v>233</v>
      </c>
      <c r="L575" s="3">
        <v>26.4</v>
      </c>
      <c r="M575" s="3">
        <v>27.72</v>
      </c>
      <c r="N575" s="3">
        <v>54.99</v>
      </c>
      <c r="O575" s="2" t="s">
        <v>196</v>
      </c>
      <c r="P575" s="2" t="s">
        <v>517</v>
      </c>
      <c r="Q575" s="2" t="s">
        <v>198</v>
      </c>
      <c r="R575" s="2" t="s">
        <v>199</v>
      </c>
      <c r="S575" s="2" t="s">
        <v>3152</v>
      </c>
      <c r="T575" s="2" t="s">
        <v>300</v>
      </c>
      <c r="U575" s="2" t="s">
        <v>546</v>
      </c>
      <c r="V575" s="2" t="s">
        <v>202</v>
      </c>
      <c r="W575" s="2" t="s">
        <v>510</v>
      </c>
      <c r="X575" s="2" t="s">
        <v>199</v>
      </c>
      <c r="Y575" s="2" t="s">
        <v>3171</v>
      </c>
      <c r="Z575" s="4">
        <v>1193</v>
      </c>
      <c r="AA575" s="4">
        <f>=ROUNDDOWN(21.3035714285714,0)</f>
      </c>
      <c r="AB575" s="5">
        <v>56</v>
      </c>
      <c r="AC575" s="2" t="s">
        <v>3154</v>
      </c>
      <c r="AD575" s="4">
        <v>350</v>
      </c>
      <c r="AE575" s="4">
        <v>1230</v>
      </c>
      <c r="AF575" s="6">
        <v>73</v>
      </c>
      <c r="AG575" s="6"/>
      <c r="AH575" s="7">
        <v>1</v>
      </c>
      <c r="AI575" s="4"/>
      <c r="AJ575" s="4">
        <f>=ROUNDDOWN({0},0)</f>
      </c>
      <c r="AK575" s="5"/>
      <c r="AL575" s="2" t="s">
        <v>199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199</v>
      </c>
      <c r="BD575" s="8" t="s">
        <v>199</v>
      </c>
      <c r="BE575" s="4" t="s">
        <v>199</v>
      </c>
      <c r="BF575" s="8" t="s">
        <v>199</v>
      </c>
      <c r="BG575" s="7" t="s">
        <v>199</v>
      </c>
      <c r="BH575" s="7" t="s">
        <v>199</v>
      </c>
      <c r="BI575" s="7"/>
      <c r="BJ575" s="4">
        <v>278</v>
      </c>
      <c r="BK575" s="8">
        <v>7759</v>
      </c>
      <c r="BL575" s="2" t="s">
        <v>3172</v>
      </c>
      <c r="BM575" s="7"/>
      <c r="BN575" s="7"/>
      <c r="BO575" s="4"/>
      <c r="BP575" s="8"/>
      <c r="BQ575" s="4"/>
      <c r="BR575" s="8"/>
      <c r="BS575" s="7"/>
      <c r="BT575" s="7"/>
      <c r="BU575" s="2" t="s">
        <v>3156</v>
      </c>
      <c r="BV575" s="2" t="s">
        <v>199</v>
      </c>
      <c r="BW575" s="2" t="s">
        <v>199</v>
      </c>
      <c r="BX575" s="2" t="s">
        <v>208</v>
      </c>
      <c r="BY575" s="2" t="s">
        <v>209</v>
      </c>
      <c r="BZ575" s="2" t="s">
        <v>196</v>
      </c>
      <c r="CA575" s="2" t="s">
        <v>1195</v>
      </c>
      <c r="CB575" s="2" t="s">
        <v>3173</v>
      </c>
      <c r="CC575" s="2" t="s">
        <v>212</v>
      </c>
      <c r="CD575" s="2" t="s">
        <v>199</v>
      </c>
      <c r="CE575" s="4">
        <v>1193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>
        <v>350</v>
      </c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>
        <v>350</v>
      </c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>
        <v>530</v>
      </c>
      <c r="ET575" s="4">
        <v>1219</v>
      </c>
      <c r="EU575" s="4">
        <v>1048</v>
      </c>
      <c r="EV575" s="4">
        <v>992</v>
      </c>
      <c r="EW575" s="4">
        <v>936</v>
      </c>
      <c r="EX575" s="4">
        <v>880</v>
      </c>
      <c r="EY575" s="4">
        <v>1174</v>
      </c>
      <c r="EZ575" s="4">
        <v>1118</v>
      </c>
      <c r="FA575" s="4">
        <v>1062</v>
      </c>
      <c r="FB575" s="4">
        <v>1002</v>
      </c>
      <c r="FC575" s="4">
        <v>946</v>
      </c>
      <c r="FD575" s="4">
        <v>890</v>
      </c>
      <c r="FE575" s="4">
        <v>834</v>
      </c>
      <c r="FF575" s="4">
        <v>778</v>
      </c>
      <c r="FG575" s="4">
        <v>1072</v>
      </c>
      <c r="FH575" s="4">
        <v>1016</v>
      </c>
      <c r="FI575" s="4">
        <v>959</v>
      </c>
      <c r="FJ575" s="4">
        <v>903</v>
      </c>
      <c r="FK575" s="4">
        <v>847</v>
      </c>
      <c r="FL575" s="4">
        <v>791</v>
      </c>
      <c r="FM575" s="4">
        <v>735</v>
      </c>
      <c r="FN575" s="4">
        <v>1205</v>
      </c>
      <c r="FO575" s="4">
        <v>1145</v>
      </c>
      <c r="FP575" s="4">
        <v>1081</v>
      </c>
      <c r="FQ575" s="4">
        <v>1021</v>
      </c>
      <c r="FR575" s="4">
        <v>961</v>
      </c>
      <c r="FS575" s="4">
        <v>902</v>
      </c>
      <c r="FT575" s="19">
        <v>14.3</v>
      </c>
      <c r="FU575" s="19">
        <v>18.7</v>
      </c>
      <c r="FV575" s="19">
        <v>17.7</v>
      </c>
      <c r="FW575" s="19">
        <v>16.7</v>
      </c>
      <c r="FX575" s="19">
        <v>15.4</v>
      </c>
      <c r="FY575" s="19">
        <v>20.6</v>
      </c>
      <c r="FZ575" s="19">
        <v>19.6</v>
      </c>
      <c r="GA575" s="19">
        <v>18.6</v>
      </c>
      <c r="GB575" s="19">
        <v>17.9</v>
      </c>
      <c r="GC575" s="19">
        <v>16.9</v>
      </c>
      <c r="GD575" s="19">
        <v>15.9</v>
      </c>
      <c r="GE575" s="19">
        <v>14.9</v>
      </c>
      <c r="GF575" s="19">
        <v>13.9</v>
      </c>
      <c r="GG575" s="19">
        <v>19.1</v>
      </c>
      <c r="GH575" s="19">
        <v>18.1</v>
      </c>
      <c r="GI575" s="19">
        <v>17.1</v>
      </c>
      <c r="GJ575" s="19">
        <v>15.8</v>
      </c>
      <c r="GK575" s="19">
        <v>14.6</v>
      </c>
      <c r="GL575" s="19">
        <v>13.2</v>
      </c>
      <c r="GM575" s="19">
        <v>12</v>
      </c>
      <c r="GN575" s="19">
        <v>19.8</v>
      </c>
      <c r="GO575" s="19">
        <v>18.8</v>
      </c>
      <c r="GP575" s="19">
        <v>18</v>
      </c>
      <c r="GQ575" s="19">
        <v>16.5</v>
      </c>
      <c r="GR575" s="19">
        <v>14.6</v>
      </c>
      <c r="GS575" s="19">
        <v>13.3</v>
      </c>
    </row>
    <row r="576">
      <c r="A576" s="2" t="s">
        <v>3174</v>
      </c>
      <c r="B576" s="2" t="s">
        <v>630</v>
      </c>
      <c r="C576" s="2" t="s">
        <v>571</v>
      </c>
      <c r="D576" s="2" t="s">
        <v>759</v>
      </c>
      <c r="E576" s="2" t="s">
        <v>760</v>
      </c>
      <c r="F576" s="2" t="s">
        <v>3175</v>
      </c>
      <c r="G576" s="2" t="s">
        <v>3176</v>
      </c>
      <c r="H576" s="2" t="s">
        <v>3177</v>
      </c>
      <c r="I576" s="2" t="s">
        <v>3178</v>
      </c>
      <c r="J576" s="2" t="s">
        <v>241</v>
      </c>
      <c r="K576" s="2" t="s">
        <v>371</v>
      </c>
      <c r="L576" s="3">
        <v>26.6</v>
      </c>
      <c r="M576" s="3">
        <v>27.93</v>
      </c>
      <c r="N576" s="3">
        <v>69.99</v>
      </c>
      <c r="O576" s="2" t="s">
        <v>196</v>
      </c>
      <c r="P576" s="2" t="s">
        <v>197</v>
      </c>
      <c r="Q576" s="2" t="s">
        <v>198</v>
      </c>
      <c r="R576" s="2" t="s">
        <v>199</v>
      </c>
      <c r="S576" s="2" t="s">
        <v>3179</v>
      </c>
      <c r="T576" s="2" t="s">
        <v>386</v>
      </c>
      <c r="U576" s="2" t="s">
        <v>637</v>
      </c>
      <c r="V576" s="2" t="s">
        <v>681</v>
      </c>
      <c r="W576" s="2" t="s">
        <v>510</v>
      </c>
      <c r="X576" s="2" t="s">
        <v>199</v>
      </c>
      <c r="Y576" s="2" t="s">
        <v>3180</v>
      </c>
      <c r="Z576" s="4">
        <v>77</v>
      </c>
      <c r="AA576" s="4">
        <f>=ROUNDDOWN(9.625,0)</f>
      </c>
      <c r="AB576" s="5">
        <v>8</v>
      </c>
      <c r="AC576" s="2" t="s">
        <v>199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199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38</v>
      </c>
      <c r="BK576" s="8">
        <v>1084.34</v>
      </c>
      <c r="BL576" s="2" t="s">
        <v>3181</v>
      </c>
      <c r="BM576" s="7"/>
      <c r="BN576" s="7"/>
      <c r="BO576" s="4"/>
      <c r="BP576" s="8"/>
      <c r="BQ576" s="4"/>
      <c r="BR576" s="8"/>
      <c r="BS576" s="7"/>
      <c r="BT576" s="7"/>
      <c r="BU576" s="2" t="s">
        <v>3182</v>
      </c>
      <c r="BV576" s="2" t="s">
        <v>199</v>
      </c>
      <c r="BW576" s="2" t="s">
        <v>199</v>
      </c>
      <c r="BX576" s="2" t="s">
        <v>208</v>
      </c>
      <c r="BY576" s="2" t="s">
        <v>209</v>
      </c>
      <c r="BZ576" s="2" t="s">
        <v>196</v>
      </c>
      <c r="CA576" s="2" t="s">
        <v>3183</v>
      </c>
      <c r="CB576" s="2" t="s">
        <v>3184</v>
      </c>
      <c r="CC576" s="2" t="s">
        <v>212</v>
      </c>
      <c r="CD576" s="2" t="s">
        <v>199</v>
      </c>
      <c r="CE576" s="4">
        <v>65</v>
      </c>
      <c r="CF576" s="4"/>
      <c r="CG576" s="4"/>
      <c r="CH576" s="4">
        <v>12</v>
      </c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>
        <v>79</v>
      </c>
      <c r="EU576" s="4">
        <v>70</v>
      </c>
      <c r="EV576" s="4">
        <v>61</v>
      </c>
      <c r="EW576" s="4">
        <v>53</v>
      </c>
      <c r="EX576" s="4">
        <v>45</v>
      </c>
      <c r="EY576" s="4">
        <v>36</v>
      </c>
      <c r="EZ576" s="4">
        <v>28</v>
      </c>
      <c r="FA576" s="4">
        <v>20</v>
      </c>
      <c r="FB576" s="4">
        <v>11</v>
      </c>
      <c r="FC576" s="4">
        <v>3</v>
      </c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>
        <v>65</v>
      </c>
      <c r="FP576" s="4">
        <v>53</v>
      </c>
      <c r="FQ576" s="4">
        <v>160</v>
      </c>
      <c r="FR576" s="4">
        <v>149</v>
      </c>
      <c r="FS576" s="4">
        <v>140</v>
      </c>
      <c r="FT576" s="19">
        <v>8.6</v>
      </c>
      <c r="FU576" s="19">
        <v>7.5</v>
      </c>
      <c r="FV576" s="19">
        <v>6.4</v>
      </c>
      <c r="FW576" s="19">
        <v>4.9</v>
      </c>
      <c r="FX576" s="19">
        <v>4.6</v>
      </c>
      <c r="FY576" s="19">
        <v>2.2</v>
      </c>
      <c r="FZ576" s="19">
        <v>1.8</v>
      </c>
      <c r="GA576" s="19">
        <v>1.5</v>
      </c>
      <c r="GB576" s="19">
        <v>0.9</v>
      </c>
      <c r="GC576" s="19">
        <v>0.3</v>
      </c>
      <c r="GD576" s="20">
        <v>0</v>
      </c>
      <c r="GE576" s="20">
        <v>0</v>
      </c>
      <c r="GF576" s="20">
        <v>0</v>
      </c>
      <c r="GG576" s="20">
        <v>0</v>
      </c>
      <c r="GH576" s="20">
        <v>0</v>
      </c>
      <c r="GI576" s="20">
        <v>0</v>
      </c>
      <c r="GJ576" s="20">
        <v>0</v>
      </c>
      <c r="GK576" s="20">
        <v>0</v>
      </c>
      <c r="GL576" s="20">
        <v>0</v>
      </c>
      <c r="GM576" s="20">
        <v>0</v>
      </c>
      <c r="GN576" s="20">
        <v>0</v>
      </c>
      <c r="GO576" s="19">
        <v>4.1</v>
      </c>
      <c r="GP576" s="19">
        <v>5.3</v>
      </c>
      <c r="GQ576" s="19">
        <v>17.3</v>
      </c>
      <c r="GR576" s="19">
        <v>16.1</v>
      </c>
      <c r="GS576" s="19">
        <v>12.3</v>
      </c>
    </row>
    <row r="577">
      <c r="A577" s="2" t="s">
        <v>3185</v>
      </c>
      <c r="B577" s="2" t="s">
        <v>736</v>
      </c>
      <c r="C577" s="2" t="s">
        <v>1007</v>
      </c>
      <c r="D577" s="2" t="s">
        <v>1963</v>
      </c>
      <c r="E577" s="2" t="s">
        <v>1964</v>
      </c>
      <c r="F577" s="2" t="s">
        <v>3186</v>
      </c>
      <c r="G577" s="2" t="s">
        <v>3186</v>
      </c>
      <c r="H577" s="2" t="s">
        <v>3186</v>
      </c>
      <c r="I577" s="2" t="s">
        <v>3187</v>
      </c>
      <c r="J577" s="2" t="s">
        <v>559</v>
      </c>
      <c r="K577" s="2" t="s">
        <v>371</v>
      </c>
      <c r="L577" s="3">
        <v>32.5</v>
      </c>
      <c r="M577" s="3">
        <v>34.12</v>
      </c>
      <c r="N577" s="3">
        <v>64.99</v>
      </c>
      <c r="O577" s="2" t="s">
        <v>196</v>
      </c>
      <c r="P577" s="2" t="s">
        <v>197</v>
      </c>
      <c r="Q577" s="2" t="s">
        <v>198</v>
      </c>
      <c r="R577" s="2" t="s">
        <v>199</v>
      </c>
      <c r="S577" s="2" t="s">
        <v>199</v>
      </c>
      <c r="T577" s="2" t="s">
        <v>300</v>
      </c>
      <c r="U577" s="2" t="s">
        <v>280</v>
      </c>
      <c r="V577" s="2" t="s">
        <v>202</v>
      </c>
      <c r="W577" s="2" t="s">
        <v>203</v>
      </c>
      <c r="X577" s="2" t="s">
        <v>255</v>
      </c>
      <c r="Y577" s="2" t="s">
        <v>3188</v>
      </c>
      <c r="Z577" s="4">
        <v>901</v>
      </c>
      <c r="AA577" s="4">
        <f>=ROUNDDOWN(225.25,0)</f>
      </c>
      <c r="AB577" s="5">
        <v>4</v>
      </c>
      <c r="AC577" s="2" t="s">
        <v>199</v>
      </c>
      <c r="AD577" s="4"/>
      <c r="AE577" s="4"/>
      <c r="AF577" s="6">
        <v>64</v>
      </c>
      <c r="AG577" s="6"/>
      <c r="AH577" s="7">
        <v>1</v>
      </c>
      <c r="AI577" s="4"/>
      <c r="AJ577" s="4">
        <f>=ROUNDDOWN({0},0)</f>
      </c>
      <c r="AK577" s="5"/>
      <c r="AL577" s="2" t="s">
        <v>199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17</v>
      </c>
      <c r="BK577" s="8">
        <v>580.55</v>
      </c>
      <c r="BL577" s="2" t="s">
        <v>3189</v>
      </c>
      <c r="BM577" s="7"/>
      <c r="BN577" s="7"/>
      <c r="BO577" s="4"/>
      <c r="BP577" s="8"/>
      <c r="BQ577" s="4"/>
      <c r="BR577" s="8"/>
      <c r="BS577" s="7"/>
      <c r="BT577" s="7"/>
      <c r="BU577" s="2" t="s">
        <v>3190</v>
      </c>
      <c r="BV577" s="2" t="s">
        <v>199</v>
      </c>
      <c r="BW577" s="2" t="s">
        <v>199</v>
      </c>
      <c r="BX577" s="2" t="s">
        <v>260</v>
      </c>
      <c r="BY577" s="2" t="s">
        <v>209</v>
      </c>
      <c r="BZ577" s="2" t="s">
        <v>196</v>
      </c>
      <c r="CA577" s="2" t="s">
        <v>2746</v>
      </c>
      <c r="CB577" s="2" t="s">
        <v>1843</v>
      </c>
      <c r="CC577" s="2" t="s">
        <v>212</v>
      </c>
      <c r="CD577" s="2" t="s">
        <v>199</v>
      </c>
      <c r="CE577" s="4">
        <v>901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>
        <v>904</v>
      </c>
      <c r="EU577" s="4">
        <v>898</v>
      </c>
      <c r="EV577" s="4">
        <v>894</v>
      </c>
      <c r="EW577" s="4">
        <v>890</v>
      </c>
      <c r="EX577" s="4">
        <v>886</v>
      </c>
      <c r="EY577" s="4">
        <v>882</v>
      </c>
      <c r="EZ577" s="4">
        <v>878</v>
      </c>
      <c r="FA577" s="4">
        <v>874</v>
      </c>
      <c r="FB577" s="4">
        <v>870</v>
      </c>
      <c r="FC577" s="4">
        <v>866</v>
      </c>
      <c r="FD577" s="4">
        <v>862</v>
      </c>
      <c r="FE577" s="4">
        <v>858</v>
      </c>
      <c r="FF577" s="4">
        <v>854</v>
      </c>
      <c r="FG577" s="4">
        <v>850</v>
      </c>
      <c r="FH577" s="4">
        <v>846</v>
      </c>
      <c r="FI577" s="4">
        <v>842</v>
      </c>
      <c r="FJ577" s="4">
        <v>810</v>
      </c>
      <c r="FK577" s="4">
        <v>796</v>
      </c>
      <c r="FL577" s="4">
        <v>792</v>
      </c>
      <c r="FM577" s="4">
        <v>770</v>
      </c>
      <c r="FN577" s="4">
        <v>760</v>
      </c>
      <c r="FO577" s="4">
        <v>756</v>
      </c>
      <c r="FP577" s="4">
        <v>746</v>
      </c>
      <c r="FQ577" s="4">
        <v>738</v>
      </c>
      <c r="FR577" s="4">
        <v>727</v>
      </c>
      <c r="FS577" s="4">
        <v>688</v>
      </c>
      <c r="FT577" s="19">
        <v>226</v>
      </c>
      <c r="FU577" s="19">
        <v>224.5</v>
      </c>
      <c r="FV577" s="19">
        <v>223.5</v>
      </c>
      <c r="FW577" s="19">
        <v>222.5</v>
      </c>
      <c r="FX577" s="19">
        <v>221.5</v>
      </c>
      <c r="FY577" s="19">
        <v>220.5</v>
      </c>
      <c r="FZ577" s="19">
        <v>219.5</v>
      </c>
      <c r="GA577" s="19">
        <v>218.5</v>
      </c>
      <c r="GB577" s="19">
        <v>217.5</v>
      </c>
      <c r="GC577" s="19">
        <v>216.5</v>
      </c>
      <c r="GD577" s="19">
        <v>215.5</v>
      </c>
      <c r="GE577" s="19">
        <v>214.5</v>
      </c>
      <c r="GF577" s="19">
        <v>77.6</v>
      </c>
      <c r="GG577" s="19">
        <v>60.7</v>
      </c>
      <c r="GH577" s="19">
        <v>60.4</v>
      </c>
      <c r="GI577" s="19">
        <v>46.8</v>
      </c>
      <c r="GJ577" s="19">
        <v>67.5</v>
      </c>
      <c r="GK577" s="19">
        <v>79.6</v>
      </c>
      <c r="GL577" s="19">
        <v>66</v>
      </c>
      <c r="GM577" s="19">
        <v>96.3</v>
      </c>
      <c r="GN577" s="19">
        <v>95</v>
      </c>
      <c r="GO577" s="19">
        <v>44.5</v>
      </c>
      <c r="GP577" s="19">
        <v>28.7</v>
      </c>
      <c r="GQ577" s="19">
        <v>21.7</v>
      </c>
      <c r="GR577" s="19">
        <v>19.1</v>
      </c>
      <c r="GS577" s="19">
        <v>19.7</v>
      </c>
    </row>
    <row r="578">
      <c r="A578" s="2" t="s">
        <v>3191</v>
      </c>
      <c r="B578" s="2" t="s">
        <v>554</v>
      </c>
      <c r="C578" s="2" t="s">
        <v>246</v>
      </c>
      <c r="D578" s="2" t="s">
        <v>848</v>
      </c>
      <c r="E578" s="2" t="s">
        <v>2053</v>
      </c>
      <c r="F578" s="2" t="s">
        <v>3192</v>
      </c>
      <c r="G578" s="2" t="s">
        <v>3192</v>
      </c>
      <c r="H578" s="2" t="s">
        <v>3192</v>
      </c>
      <c r="I578" s="2" t="s">
        <v>3193</v>
      </c>
      <c r="J578" s="2" t="s">
        <v>559</v>
      </c>
      <c r="K578" s="2" t="s">
        <v>918</v>
      </c>
      <c r="L578" s="3">
        <v>30.6</v>
      </c>
      <c r="M578" s="3">
        <v>32.13</v>
      </c>
      <c r="N578" s="3">
        <v>65.44</v>
      </c>
      <c r="O578" s="2" t="s">
        <v>196</v>
      </c>
      <c r="P578" s="2" t="s">
        <v>197</v>
      </c>
      <c r="Q578" s="2" t="s">
        <v>198</v>
      </c>
      <c r="R578" s="2" t="s">
        <v>199</v>
      </c>
      <c r="S578" s="2" t="s">
        <v>199</v>
      </c>
      <c r="T578" s="2" t="s">
        <v>199</v>
      </c>
      <c r="U578" s="2" t="s">
        <v>280</v>
      </c>
      <c r="V578" s="2" t="s">
        <v>696</v>
      </c>
      <c r="W578" s="2" t="s">
        <v>623</v>
      </c>
      <c r="X578" s="2" t="s">
        <v>199</v>
      </c>
      <c r="Y578" s="2" t="s">
        <v>3194</v>
      </c>
      <c r="Z578" s="4">
        <v>80</v>
      </c>
      <c r="AA578" s="4">
        <f>=ROUNDDOWN(19.5121951219512,0)</f>
      </c>
      <c r="AB578" s="5">
        <v>4.1</v>
      </c>
      <c r="AC578" s="2" t="s">
        <v>199</v>
      </c>
      <c r="AD578" s="4"/>
      <c r="AE578" s="4"/>
      <c r="AF578" s="6">
        <v>63</v>
      </c>
      <c r="AG578" s="6"/>
      <c r="AH578" s="7">
        <v>1</v>
      </c>
      <c r="AI578" s="4"/>
      <c r="AJ578" s="4">
        <f>=ROUNDDOWN({0},0)</f>
      </c>
      <c r="AK578" s="5"/>
      <c r="AL578" s="2" t="s">
        <v>199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18</v>
      </c>
      <c r="BK578" s="8">
        <v>691.4</v>
      </c>
      <c r="BL578" s="2" t="s">
        <v>3195</v>
      </c>
      <c r="BM578" s="7"/>
      <c r="BN578" s="7"/>
      <c r="BO578" s="4"/>
      <c r="BP578" s="8"/>
      <c r="BQ578" s="4"/>
      <c r="BR578" s="8"/>
      <c r="BS578" s="7"/>
      <c r="BT578" s="7"/>
      <c r="BU578" s="2" t="s">
        <v>3196</v>
      </c>
      <c r="BV578" s="2" t="s">
        <v>199</v>
      </c>
      <c r="BW578" s="2" t="s">
        <v>199</v>
      </c>
      <c r="BX578" s="2" t="s">
        <v>208</v>
      </c>
      <c r="BY578" s="2" t="s">
        <v>209</v>
      </c>
      <c r="BZ578" s="2" t="s">
        <v>196</v>
      </c>
      <c r="CA578" s="2" t="s">
        <v>3197</v>
      </c>
      <c r="CB578" s="2" t="s">
        <v>2610</v>
      </c>
      <c r="CC578" s="2" t="s">
        <v>212</v>
      </c>
      <c r="CD578" s="2" t="s">
        <v>199</v>
      </c>
      <c r="CE578" s="4"/>
      <c r="CF578" s="4">
        <v>80</v>
      </c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>
        <v>81</v>
      </c>
      <c r="EU578" s="4">
        <v>75</v>
      </c>
      <c r="EV578" s="4">
        <v>71</v>
      </c>
      <c r="EW578" s="4">
        <v>67</v>
      </c>
      <c r="EX578" s="4">
        <v>63</v>
      </c>
      <c r="EY578" s="4">
        <v>59</v>
      </c>
      <c r="EZ578" s="4">
        <v>55</v>
      </c>
      <c r="FA578" s="4">
        <v>51</v>
      </c>
      <c r="FB578" s="4">
        <v>46</v>
      </c>
      <c r="FC578" s="4">
        <v>42</v>
      </c>
      <c r="FD578" s="4">
        <v>38</v>
      </c>
      <c r="FE578" s="4">
        <v>34</v>
      </c>
      <c r="FF578" s="4">
        <v>30</v>
      </c>
      <c r="FG578" s="4">
        <v>26</v>
      </c>
      <c r="FH578" s="4">
        <v>22</v>
      </c>
      <c r="FI578" s="4">
        <v>18</v>
      </c>
      <c r="FJ578" s="4">
        <v>14</v>
      </c>
      <c r="FK578" s="4">
        <v>10</v>
      </c>
      <c r="FL578" s="4">
        <v>6</v>
      </c>
      <c r="FM578" s="4">
        <v>2</v>
      </c>
      <c r="FN578" s="4"/>
      <c r="FO578" s="4">
        <v>103</v>
      </c>
      <c r="FP578" s="4">
        <v>98</v>
      </c>
      <c r="FQ578" s="4">
        <v>94</v>
      </c>
      <c r="FR578" s="4">
        <v>90</v>
      </c>
      <c r="FS578" s="4">
        <v>86</v>
      </c>
      <c r="FT578" s="19">
        <v>20.3</v>
      </c>
      <c r="FU578" s="19">
        <v>18.8</v>
      </c>
      <c r="FV578" s="19">
        <v>17.8</v>
      </c>
      <c r="FW578" s="19">
        <v>16.8</v>
      </c>
      <c r="FX578" s="19">
        <v>15.8</v>
      </c>
      <c r="FY578" s="19">
        <v>14.8</v>
      </c>
      <c r="FZ578" s="19">
        <v>13.8</v>
      </c>
      <c r="GA578" s="19">
        <v>12.8</v>
      </c>
      <c r="GB578" s="19">
        <v>11.5</v>
      </c>
      <c r="GC578" s="19">
        <v>10.5</v>
      </c>
      <c r="GD578" s="19">
        <v>9.5</v>
      </c>
      <c r="GE578" s="19">
        <v>8.5</v>
      </c>
      <c r="GF578" s="19">
        <v>7.5</v>
      </c>
      <c r="GG578" s="19">
        <v>6.5</v>
      </c>
      <c r="GH578" s="19">
        <v>5.5</v>
      </c>
      <c r="GI578" s="19">
        <v>4.5</v>
      </c>
      <c r="GJ578" s="19">
        <v>3.5</v>
      </c>
      <c r="GK578" s="19">
        <v>2.5</v>
      </c>
      <c r="GL578" s="19">
        <v>1.5</v>
      </c>
      <c r="GM578" s="19">
        <v>0.5</v>
      </c>
      <c r="GN578" s="20">
        <v>0</v>
      </c>
      <c r="GO578" s="19">
        <v>25.8</v>
      </c>
      <c r="GP578" s="19">
        <v>24.5</v>
      </c>
      <c r="GQ578" s="19">
        <v>23.5</v>
      </c>
      <c r="GR578" s="19">
        <v>22.5</v>
      </c>
      <c r="GS578" s="19">
        <v>21.5</v>
      </c>
    </row>
    <row r="579">
      <c r="A579" s="2" t="s">
        <v>3198</v>
      </c>
      <c r="B579" s="2" t="s">
        <v>245</v>
      </c>
      <c r="C579" s="2" t="s">
        <v>246</v>
      </c>
      <c r="D579" s="2" t="s">
        <v>247</v>
      </c>
      <c r="E579" s="2" t="s">
        <v>248</v>
      </c>
      <c r="F579" s="2" t="s">
        <v>3199</v>
      </c>
      <c r="G579" s="2" t="s">
        <v>3199</v>
      </c>
      <c r="H579" s="2" t="s">
        <v>3199</v>
      </c>
      <c r="I579" s="2" t="s">
        <v>3200</v>
      </c>
      <c r="J579" s="2" t="s">
        <v>194</v>
      </c>
      <c r="K579" s="2" t="s">
        <v>360</v>
      </c>
      <c r="L579" s="3">
        <v>21.6</v>
      </c>
      <c r="M579" s="3">
        <v>22.68</v>
      </c>
      <c r="N579" s="3">
        <v>47.99</v>
      </c>
      <c r="O579" s="2" t="s">
        <v>196</v>
      </c>
      <c r="P579" s="2" t="s">
        <v>197</v>
      </c>
      <c r="Q579" s="2" t="s">
        <v>198</v>
      </c>
      <c r="R579" s="2" t="s">
        <v>199</v>
      </c>
      <c r="S579" s="2" t="s">
        <v>3201</v>
      </c>
      <c r="T579" s="2" t="s">
        <v>300</v>
      </c>
      <c r="U579" s="2" t="s">
        <v>637</v>
      </c>
      <c r="V579" s="2" t="s">
        <v>202</v>
      </c>
      <c r="W579" s="2" t="s">
        <v>203</v>
      </c>
      <c r="X579" s="2" t="s">
        <v>199</v>
      </c>
      <c r="Y579" s="2" t="s">
        <v>3202</v>
      </c>
      <c r="Z579" s="4">
        <v>94</v>
      </c>
      <c r="AA579" s="4">
        <f>=ROUNDDOWN(36.1538461538462,0)</f>
      </c>
      <c r="AB579" s="5">
        <v>2.6</v>
      </c>
      <c r="AC579" s="2" t="s">
        <v>1936</v>
      </c>
      <c r="AD579" s="4">
        <v>40</v>
      </c>
      <c r="AE579" s="4">
        <v>40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199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199</v>
      </c>
      <c r="AW579" s="8" t="s">
        <v>199</v>
      </c>
      <c r="AX579" s="4" t="s">
        <v>199</v>
      </c>
      <c r="AY579" s="8" t="s">
        <v>199</v>
      </c>
      <c r="AZ579" s="7" t="s">
        <v>199</v>
      </c>
      <c r="BA579" s="7" t="s">
        <v>199</v>
      </c>
      <c r="BB579" s="7"/>
      <c r="BC579" s="4" t="s">
        <v>199</v>
      </c>
      <c r="BD579" s="8" t="s">
        <v>199</v>
      </c>
      <c r="BE579" s="4" t="s">
        <v>199</v>
      </c>
      <c r="BF579" s="8" t="s">
        <v>199</v>
      </c>
      <c r="BG579" s="7" t="s">
        <v>199</v>
      </c>
      <c r="BH579" s="7" t="s">
        <v>199</v>
      </c>
      <c r="BI579" s="7"/>
      <c r="BJ579" s="4">
        <v>16</v>
      </c>
      <c r="BK579" s="8">
        <v>365.96</v>
      </c>
      <c r="BL579" s="2" t="s">
        <v>292</v>
      </c>
      <c r="BM579" s="7"/>
      <c r="BN579" s="7"/>
      <c r="BO579" s="4"/>
      <c r="BP579" s="8"/>
      <c r="BQ579" s="4"/>
      <c r="BR579" s="8"/>
      <c r="BS579" s="7"/>
      <c r="BT579" s="7"/>
      <c r="BU579" s="2" t="s">
        <v>3203</v>
      </c>
      <c r="BV579" s="2" t="s">
        <v>199</v>
      </c>
      <c r="BW579" s="2" t="s">
        <v>199</v>
      </c>
      <c r="BX579" s="2" t="s">
        <v>208</v>
      </c>
      <c r="BY579" s="2" t="s">
        <v>209</v>
      </c>
      <c r="BZ579" s="2" t="s">
        <v>196</v>
      </c>
      <c r="CA579" s="2" t="s">
        <v>3204</v>
      </c>
      <c r="CB579" s="2" t="s">
        <v>3205</v>
      </c>
      <c r="CC579" s="2" t="s">
        <v>212</v>
      </c>
      <c r="CD579" s="2" t="s">
        <v>199</v>
      </c>
      <c r="CE579" s="4">
        <v>94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>
        <v>40</v>
      </c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>
        <v>94</v>
      </c>
      <c r="EU579" s="4">
        <v>91</v>
      </c>
      <c r="EV579" s="4">
        <v>88</v>
      </c>
      <c r="EW579" s="4">
        <v>85</v>
      </c>
      <c r="EX579" s="4">
        <v>82</v>
      </c>
      <c r="EY579" s="4">
        <v>79</v>
      </c>
      <c r="EZ579" s="4">
        <v>116</v>
      </c>
      <c r="FA579" s="4">
        <v>113</v>
      </c>
      <c r="FB579" s="4">
        <v>109</v>
      </c>
      <c r="FC579" s="4">
        <v>106</v>
      </c>
      <c r="FD579" s="4">
        <v>103</v>
      </c>
      <c r="FE579" s="4">
        <v>100</v>
      </c>
      <c r="FF579" s="4">
        <v>97</v>
      </c>
      <c r="FG579" s="4">
        <v>94</v>
      </c>
      <c r="FH579" s="4">
        <v>91</v>
      </c>
      <c r="FI579" s="4">
        <v>88</v>
      </c>
      <c r="FJ579" s="4">
        <v>85</v>
      </c>
      <c r="FK579" s="4">
        <v>82</v>
      </c>
      <c r="FL579" s="4">
        <v>79</v>
      </c>
      <c r="FM579" s="4">
        <v>76</v>
      </c>
      <c r="FN579" s="4">
        <v>73</v>
      </c>
      <c r="FO579" s="4">
        <v>70</v>
      </c>
      <c r="FP579" s="4">
        <v>66</v>
      </c>
      <c r="FQ579" s="4">
        <v>62</v>
      </c>
      <c r="FR579" s="4">
        <v>58</v>
      </c>
      <c r="FS579" s="4">
        <v>54</v>
      </c>
      <c r="FT579" s="19">
        <v>31.3</v>
      </c>
      <c r="FU579" s="19">
        <v>30.3</v>
      </c>
      <c r="FV579" s="19">
        <v>29.3</v>
      </c>
      <c r="FW579" s="19">
        <v>28.3</v>
      </c>
      <c r="FX579" s="19">
        <v>27.3</v>
      </c>
      <c r="FY579" s="19">
        <v>26.3</v>
      </c>
      <c r="FZ579" s="19">
        <v>38.7</v>
      </c>
      <c r="GA579" s="19">
        <v>37.7</v>
      </c>
      <c r="GB579" s="19">
        <v>36.3</v>
      </c>
      <c r="GC579" s="19">
        <v>35.3</v>
      </c>
      <c r="GD579" s="19">
        <v>34.3</v>
      </c>
      <c r="GE579" s="19">
        <v>33.3</v>
      </c>
      <c r="GF579" s="19">
        <v>32.3</v>
      </c>
      <c r="GG579" s="19">
        <v>31.3</v>
      </c>
      <c r="GH579" s="19">
        <v>30.3</v>
      </c>
      <c r="GI579" s="19">
        <v>29.3</v>
      </c>
      <c r="GJ579" s="19">
        <v>28.3</v>
      </c>
      <c r="GK579" s="19">
        <v>27.3</v>
      </c>
      <c r="GL579" s="19">
        <v>26.3</v>
      </c>
      <c r="GM579" s="19">
        <v>19</v>
      </c>
      <c r="GN579" s="19">
        <v>18.3</v>
      </c>
      <c r="GO579" s="19">
        <v>17.5</v>
      </c>
      <c r="GP579" s="19">
        <v>16.5</v>
      </c>
      <c r="GQ579" s="19">
        <v>15.5</v>
      </c>
      <c r="GR579" s="19">
        <v>14.5</v>
      </c>
      <c r="GS579" s="19">
        <v>10.8</v>
      </c>
    </row>
    <row r="580">
      <c r="A580" s="2" t="s">
        <v>3206</v>
      </c>
      <c r="B580" s="2" t="s">
        <v>245</v>
      </c>
      <c r="C580" s="2" t="s">
        <v>246</v>
      </c>
      <c r="D580" s="2" t="s">
        <v>247</v>
      </c>
      <c r="E580" s="2" t="s">
        <v>248</v>
      </c>
      <c r="F580" s="2" t="s">
        <v>3199</v>
      </c>
      <c r="G580" s="2" t="s">
        <v>3199</v>
      </c>
      <c r="H580" s="2" t="s">
        <v>3199</v>
      </c>
      <c r="I580" s="2" t="s">
        <v>3200</v>
      </c>
      <c r="J580" s="2" t="s">
        <v>285</v>
      </c>
      <c r="K580" s="2" t="s">
        <v>360</v>
      </c>
      <c r="L580" s="3">
        <v>27</v>
      </c>
      <c r="M580" s="3">
        <v>28.35</v>
      </c>
      <c r="N580" s="3">
        <v>59.99</v>
      </c>
      <c r="O580" s="2" t="s">
        <v>196</v>
      </c>
      <c r="P580" s="2" t="s">
        <v>197</v>
      </c>
      <c r="Q580" s="2" t="s">
        <v>198</v>
      </c>
      <c r="R580" s="2" t="s">
        <v>199</v>
      </c>
      <c r="S580" s="2" t="s">
        <v>3201</v>
      </c>
      <c r="T580" s="2" t="s">
        <v>300</v>
      </c>
      <c r="U580" s="2" t="s">
        <v>254</v>
      </c>
      <c r="V580" s="2" t="s">
        <v>202</v>
      </c>
      <c r="W580" s="2" t="s">
        <v>203</v>
      </c>
      <c r="X580" s="2" t="s">
        <v>199</v>
      </c>
      <c r="Y580" s="2" t="s">
        <v>3202</v>
      </c>
      <c r="Z580" s="4">
        <v>116</v>
      </c>
      <c r="AA580" s="4">
        <f>=ROUNDDOWN(38.6666666666667,0)</f>
      </c>
      <c r="AB580" s="5">
        <v>3</v>
      </c>
      <c r="AC580" s="2" t="s">
        <v>1936</v>
      </c>
      <c r="AD580" s="4">
        <v>40</v>
      </c>
      <c r="AE580" s="4">
        <v>40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199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199</v>
      </c>
      <c r="AW580" s="8" t="s">
        <v>199</v>
      </c>
      <c r="AX580" s="4" t="s">
        <v>199</v>
      </c>
      <c r="AY580" s="8" t="s">
        <v>199</v>
      </c>
      <c r="AZ580" s="7" t="s">
        <v>199</v>
      </c>
      <c r="BA580" s="7" t="s">
        <v>199</v>
      </c>
      <c r="BB580" s="7"/>
      <c r="BC580" s="4" t="s">
        <v>199</v>
      </c>
      <c r="BD580" s="8" t="s">
        <v>199</v>
      </c>
      <c r="BE580" s="4" t="s">
        <v>199</v>
      </c>
      <c r="BF580" s="8" t="s">
        <v>199</v>
      </c>
      <c r="BG580" s="7" t="s">
        <v>199</v>
      </c>
      <c r="BH580" s="7" t="s">
        <v>199</v>
      </c>
      <c r="BI580" s="7"/>
      <c r="BJ580" s="4">
        <v>15</v>
      </c>
      <c r="BK580" s="8">
        <v>434.36</v>
      </c>
      <c r="BL580" s="2" t="s">
        <v>1600</v>
      </c>
      <c r="BM580" s="7"/>
      <c r="BN580" s="7"/>
      <c r="BO580" s="4"/>
      <c r="BP580" s="8"/>
      <c r="BQ580" s="4"/>
      <c r="BR580" s="8"/>
      <c r="BS580" s="7"/>
      <c r="BT580" s="7"/>
      <c r="BU580" s="2" t="s">
        <v>3203</v>
      </c>
      <c r="BV580" s="2" t="s">
        <v>199</v>
      </c>
      <c r="BW580" s="2" t="s">
        <v>199</v>
      </c>
      <c r="BX580" s="2" t="s">
        <v>208</v>
      </c>
      <c r="BY580" s="2" t="s">
        <v>209</v>
      </c>
      <c r="BZ580" s="2" t="s">
        <v>196</v>
      </c>
      <c r="CA580" s="2" t="s">
        <v>3204</v>
      </c>
      <c r="CB580" s="2" t="s">
        <v>3207</v>
      </c>
      <c r="CC580" s="2" t="s">
        <v>212</v>
      </c>
      <c r="CD580" s="2" t="s">
        <v>199</v>
      </c>
      <c r="CE580" s="4">
        <v>116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>
        <v>40</v>
      </c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>
        <v>116</v>
      </c>
      <c r="EU580" s="4">
        <v>113</v>
      </c>
      <c r="EV580" s="4">
        <v>110</v>
      </c>
      <c r="EW580" s="4">
        <v>107</v>
      </c>
      <c r="EX580" s="4">
        <v>104</v>
      </c>
      <c r="EY580" s="4">
        <v>101</v>
      </c>
      <c r="EZ580" s="4">
        <v>138</v>
      </c>
      <c r="FA580" s="4">
        <v>135</v>
      </c>
      <c r="FB580" s="4">
        <v>131</v>
      </c>
      <c r="FC580" s="4">
        <v>128</v>
      </c>
      <c r="FD580" s="4">
        <v>125</v>
      </c>
      <c r="FE580" s="4">
        <v>122</v>
      </c>
      <c r="FF580" s="4">
        <v>119</v>
      </c>
      <c r="FG580" s="4">
        <v>116</v>
      </c>
      <c r="FH580" s="4">
        <v>113</v>
      </c>
      <c r="FI580" s="4">
        <v>110</v>
      </c>
      <c r="FJ580" s="4">
        <v>107</v>
      </c>
      <c r="FK580" s="4">
        <v>104</v>
      </c>
      <c r="FL580" s="4">
        <v>101</v>
      </c>
      <c r="FM580" s="4">
        <v>98</v>
      </c>
      <c r="FN580" s="4">
        <v>95</v>
      </c>
      <c r="FO580" s="4">
        <v>92</v>
      </c>
      <c r="FP580" s="4">
        <v>88</v>
      </c>
      <c r="FQ580" s="4">
        <v>85</v>
      </c>
      <c r="FR580" s="4">
        <v>82</v>
      </c>
      <c r="FS580" s="4">
        <v>79</v>
      </c>
      <c r="FT580" s="19">
        <v>38.7</v>
      </c>
      <c r="FU580" s="19">
        <v>37.7</v>
      </c>
      <c r="FV580" s="19">
        <v>36.7</v>
      </c>
      <c r="FW580" s="19">
        <v>35.7</v>
      </c>
      <c r="FX580" s="19">
        <v>34.7</v>
      </c>
      <c r="FY580" s="19">
        <v>33.7</v>
      </c>
      <c r="FZ580" s="19">
        <v>46</v>
      </c>
      <c r="GA580" s="19">
        <v>45</v>
      </c>
      <c r="GB580" s="19">
        <v>43.7</v>
      </c>
      <c r="GC580" s="19">
        <v>42.7</v>
      </c>
      <c r="GD580" s="19">
        <v>41.7</v>
      </c>
      <c r="GE580" s="19">
        <v>40.7</v>
      </c>
      <c r="GF580" s="19">
        <v>39.7</v>
      </c>
      <c r="GG580" s="19">
        <v>38.7</v>
      </c>
      <c r="GH580" s="19">
        <v>37.7</v>
      </c>
      <c r="GI580" s="19">
        <v>36.7</v>
      </c>
      <c r="GJ580" s="19">
        <v>35.7</v>
      </c>
      <c r="GK580" s="19">
        <v>34.7</v>
      </c>
      <c r="GL580" s="19">
        <v>33.7</v>
      </c>
      <c r="GM580" s="19">
        <v>32.7</v>
      </c>
      <c r="GN580" s="19">
        <v>31.7</v>
      </c>
      <c r="GO580" s="19">
        <v>30.7</v>
      </c>
      <c r="GP580" s="19">
        <v>29.3</v>
      </c>
      <c r="GQ580" s="19">
        <v>28.3</v>
      </c>
      <c r="GR580" s="19">
        <v>27.3</v>
      </c>
      <c r="GS580" s="19">
        <v>26.3</v>
      </c>
    </row>
    <row r="581">
      <c r="A581" s="2" t="s">
        <v>3208</v>
      </c>
      <c r="B581" s="2" t="s">
        <v>245</v>
      </c>
      <c r="C581" s="2" t="s">
        <v>246</v>
      </c>
      <c r="D581" s="2" t="s">
        <v>247</v>
      </c>
      <c r="E581" s="2" t="s">
        <v>248</v>
      </c>
      <c r="F581" s="2" t="s">
        <v>3199</v>
      </c>
      <c r="G581" s="2" t="s">
        <v>3199</v>
      </c>
      <c r="H581" s="2" t="s">
        <v>3199</v>
      </c>
      <c r="I581" s="2" t="s">
        <v>3200</v>
      </c>
      <c r="J581" s="2" t="s">
        <v>219</v>
      </c>
      <c r="K581" s="2" t="s">
        <v>360</v>
      </c>
      <c r="L581" s="3">
        <v>29.9</v>
      </c>
      <c r="M581" s="3">
        <v>31.4</v>
      </c>
      <c r="N581" s="3">
        <v>64.99</v>
      </c>
      <c r="O581" s="2" t="s">
        <v>196</v>
      </c>
      <c r="P581" s="2" t="s">
        <v>197</v>
      </c>
      <c r="Q581" s="2" t="s">
        <v>198</v>
      </c>
      <c r="R581" s="2" t="s">
        <v>199</v>
      </c>
      <c r="S581" s="2" t="s">
        <v>3201</v>
      </c>
      <c r="T581" s="2" t="s">
        <v>300</v>
      </c>
      <c r="U581" s="2" t="s">
        <v>254</v>
      </c>
      <c r="V581" s="2" t="s">
        <v>202</v>
      </c>
      <c r="W581" s="2" t="s">
        <v>203</v>
      </c>
      <c r="X581" s="2" t="s">
        <v>199</v>
      </c>
      <c r="Y581" s="2" t="s">
        <v>3202</v>
      </c>
      <c r="Z581" s="4">
        <v>155</v>
      </c>
      <c r="AA581" s="4">
        <f>=ROUNDDOWN(17.6136363636364,0)</f>
      </c>
      <c r="AB581" s="5">
        <v>8.8</v>
      </c>
      <c r="AC581" s="2" t="s">
        <v>1936</v>
      </c>
      <c r="AD581" s="4">
        <v>82</v>
      </c>
      <c r="AE581" s="4">
        <v>82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199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199</v>
      </c>
      <c r="AW581" s="8" t="s">
        <v>199</v>
      </c>
      <c r="AX581" s="4" t="s">
        <v>199</v>
      </c>
      <c r="AY581" s="8" t="s">
        <v>199</v>
      </c>
      <c r="AZ581" s="7" t="s">
        <v>199</v>
      </c>
      <c r="BA581" s="7" t="s">
        <v>199</v>
      </c>
      <c r="BB581" s="7"/>
      <c r="BC581" s="4" t="s">
        <v>199</v>
      </c>
      <c r="BD581" s="8" t="s">
        <v>199</v>
      </c>
      <c r="BE581" s="4" t="s">
        <v>199</v>
      </c>
      <c r="BF581" s="8" t="s">
        <v>199</v>
      </c>
      <c r="BG581" s="7" t="s">
        <v>199</v>
      </c>
      <c r="BH581" s="7" t="s">
        <v>199</v>
      </c>
      <c r="BI581" s="7"/>
      <c r="BJ581" s="4">
        <v>31</v>
      </c>
      <c r="BK581" s="8">
        <v>996</v>
      </c>
      <c r="BL581" s="2" t="s">
        <v>2919</v>
      </c>
      <c r="BM581" s="7"/>
      <c r="BN581" s="7"/>
      <c r="BO581" s="4"/>
      <c r="BP581" s="8"/>
      <c r="BQ581" s="4"/>
      <c r="BR581" s="8"/>
      <c r="BS581" s="7"/>
      <c r="BT581" s="7"/>
      <c r="BU581" s="2" t="s">
        <v>3203</v>
      </c>
      <c r="BV581" s="2" t="s">
        <v>199</v>
      </c>
      <c r="BW581" s="2" t="s">
        <v>199</v>
      </c>
      <c r="BX581" s="2" t="s">
        <v>208</v>
      </c>
      <c r="BY581" s="2" t="s">
        <v>209</v>
      </c>
      <c r="BZ581" s="2" t="s">
        <v>196</v>
      </c>
      <c r="CA581" s="2" t="s">
        <v>3204</v>
      </c>
      <c r="CB581" s="2" t="s">
        <v>3209</v>
      </c>
      <c r="CC581" s="2" t="s">
        <v>212</v>
      </c>
      <c r="CD581" s="2" t="s">
        <v>199</v>
      </c>
      <c r="CE581" s="4">
        <v>155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>
        <v>82</v>
      </c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>
        <v>159</v>
      </c>
      <c r="EU581" s="4">
        <v>148</v>
      </c>
      <c r="EV581" s="4">
        <v>139</v>
      </c>
      <c r="EW581" s="4">
        <v>130</v>
      </c>
      <c r="EX581" s="4">
        <v>121</v>
      </c>
      <c r="EY581" s="4">
        <v>112</v>
      </c>
      <c r="EZ581" s="4">
        <v>185</v>
      </c>
      <c r="FA581" s="4">
        <v>176</v>
      </c>
      <c r="FB581" s="4">
        <v>165</v>
      </c>
      <c r="FC581" s="4">
        <v>156</v>
      </c>
      <c r="FD581" s="4">
        <v>147</v>
      </c>
      <c r="FE581" s="4">
        <v>138</v>
      </c>
      <c r="FF581" s="4">
        <v>129</v>
      </c>
      <c r="FG581" s="4">
        <v>120</v>
      </c>
      <c r="FH581" s="4">
        <v>111</v>
      </c>
      <c r="FI581" s="4">
        <v>102</v>
      </c>
      <c r="FJ581" s="4">
        <v>93</v>
      </c>
      <c r="FK581" s="4">
        <v>84</v>
      </c>
      <c r="FL581" s="4">
        <v>75</v>
      </c>
      <c r="FM581" s="4">
        <v>66</v>
      </c>
      <c r="FN581" s="4">
        <v>57</v>
      </c>
      <c r="FO581" s="4">
        <v>48</v>
      </c>
      <c r="FP581" s="4">
        <v>37</v>
      </c>
      <c r="FQ581" s="4">
        <v>28</v>
      </c>
      <c r="FR581" s="4">
        <v>19</v>
      </c>
      <c r="FS581" s="4">
        <v>99</v>
      </c>
      <c r="FT581" s="19">
        <v>15.9</v>
      </c>
      <c r="FU581" s="19">
        <v>16.4</v>
      </c>
      <c r="FV581" s="19">
        <v>15.4</v>
      </c>
      <c r="FW581" s="19">
        <v>14.4</v>
      </c>
      <c r="FX581" s="19">
        <v>12.1</v>
      </c>
      <c r="FY581" s="19">
        <v>11.2</v>
      </c>
      <c r="FZ581" s="19">
        <v>18.5</v>
      </c>
      <c r="GA581" s="19">
        <v>17.6</v>
      </c>
      <c r="GB581" s="19">
        <v>18.3</v>
      </c>
      <c r="GC581" s="19">
        <v>17.3</v>
      </c>
      <c r="GD581" s="19">
        <v>16.3</v>
      </c>
      <c r="GE581" s="19">
        <v>15.3</v>
      </c>
      <c r="GF581" s="19">
        <v>14.3</v>
      </c>
      <c r="GG581" s="19">
        <v>13.3</v>
      </c>
      <c r="GH581" s="19">
        <v>12.3</v>
      </c>
      <c r="GI581" s="19">
        <v>11.3</v>
      </c>
      <c r="GJ581" s="19">
        <v>10.3</v>
      </c>
      <c r="GK581" s="19">
        <v>9.3</v>
      </c>
      <c r="GL581" s="19">
        <v>7.5</v>
      </c>
      <c r="GM581" s="19">
        <v>6.6</v>
      </c>
      <c r="GN581" s="19">
        <v>5.7</v>
      </c>
      <c r="GO581" s="19">
        <v>4.8</v>
      </c>
      <c r="GP581" s="19">
        <v>4.1</v>
      </c>
      <c r="GQ581" s="19">
        <v>3.1</v>
      </c>
      <c r="GR581" s="19">
        <v>2.1</v>
      </c>
      <c r="GS581" s="19">
        <v>11</v>
      </c>
    </row>
    <row r="582">
      <c r="A582" s="2" t="s">
        <v>3210</v>
      </c>
      <c r="B582" s="2" t="s">
        <v>245</v>
      </c>
      <c r="C582" s="2" t="s">
        <v>246</v>
      </c>
      <c r="D582" s="2" t="s">
        <v>247</v>
      </c>
      <c r="E582" s="2" t="s">
        <v>248</v>
      </c>
      <c r="F582" s="2" t="s">
        <v>3199</v>
      </c>
      <c r="G582" s="2" t="s">
        <v>3199</v>
      </c>
      <c r="H582" s="2" t="s">
        <v>3199</v>
      </c>
      <c r="I582" s="2" t="s">
        <v>3200</v>
      </c>
      <c r="J582" s="2" t="s">
        <v>223</v>
      </c>
      <c r="K582" s="2" t="s">
        <v>360</v>
      </c>
      <c r="L582" s="3">
        <v>32.2</v>
      </c>
      <c r="M582" s="3">
        <v>33.81</v>
      </c>
      <c r="N582" s="3">
        <v>69.99</v>
      </c>
      <c r="O582" s="2" t="s">
        <v>196</v>
      </c>
      <c r="P582" s="2" t="s">
        <v>197</v>
      </c>
      <c r="Q582" s="2" t="s">
        <v>198</v>
      </c>
      <c r="R582" s="2" t="s">
        <v>199</v>
      </c>
      <c r="S582" s="2" t="s">
        <v>3201</v>
      </c>
      <c r="T582" s="2" t="s">
        <v>300</v>
      </c>
      <c r="U582" s="2" t="s">
        <v>254</v>
      </c>
      <c r="V582" s="2" t="s">
        <v>202</v>
      </c>
      <c r="W582" s="2" t="s">
        <v>203</v>
      </c>
      <c r="X582" s="2" t="s">
        <v>199</v>
      </c>
      <c r="Y582" s="2" t="s">
        <v>3202</v>
      </c>
      <c r="Z582" s="4">
        <v>77</v>
      </c>
      <c r="AA582" s="4">
        <f>=ROUNDDOWN(16.0416666666667,0)</f>
      </c>
      <c r="AB582" s="5">
        <v>4.8</v>
      </c>
      <c r="AC582" s="2" t="s">
        <v>1936</v>
      </c>
      <c r="AD582" s="4">
        <v>72</v>
      </c>
      <c r="AE582" s="4">
        <v>72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199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199</v>
      </c>
      <c r="AW582" s="8" t="s">
        <v>199</v>
      </c>
      <c r="AX582" s="4" t="s">
        <v>199</v>
      </c>
      <c r="AY582" s="8" t="s">
        <v>199</v>
      </c>
      <c r="AZ582" s="7" t="s">
        <v>199</v>
      </c>
      <c r="BA582" s="7" t="s">
        <v>199</v>
      </c>
      <c r="BB582" s="7"/>
      <c r="BC582" s="4" t="s">
        <v>199</v>
      </c>
      <c r="BD582" s="8" t="s">
        <v>199</v>
      </c>
      <c r="BE582" s="4" t="s">
        <v>199</v>
      </c>
      <c r="BF582" s="8" t="s">
        <v>199</v>
      </c>
      <c r="BG582" s="7" t="s">
        <v>199</v>
      </c>
      <c r="BH582" s="7" t="s">
        <v>199</v>
      </c>
      <c r="BI582" s="7"/>
      <c r="BJ582" s="4">
        <v>23</v>
      </c>
      <c r="BK582" s="8">
        <v>796.72</v>
      </c>
      <c r="BL582" s="2" t="s">
        <v>996</v>
      </c>
      <c r="BM582" s="7"/>
      <c r="BN582" s="7"/>
      <c r="BO582" s="4"/>
      <c r="BP582" s="8"/>
      <c r="BQ582" s="4"/>
      <c r="BR582" s="8"/>
      <c r="BS582" s="7"/>
      <c r="BT582" s="7"/>
      <c r="BU582" s="2" t="s">
        <v>3203</v>
      </c>
      <c r="BV582" s="2" t="s">
        <v>199</v>
      </c>
      <c r="BW582" s="2" t="s">
        <v>199</v>
      </c>
      <c r="BX582" s="2" t="s">
        <v>208</v>
      </c>
      <c r="BY582" s="2" t="s">
        <v>209</v>
      </c>
      <c r="BZ582" s="2" t="s">
        <v>196</v>
      </c>
      <c r="CA582" s="2" t="s">
        <v>3204</v>
      </c>
      <c r="CB582" s="2" t="s">
        <v>3211</v>
      </c>
      <c r="CC582" s="2" t="s">
        <v>212</v>
      </c>
      <c r="CD582" s="2" t="s">
        <v>199</v>
      </c>
      <c r="CE582" s="4">
        <v>77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>
        <v>72</v>
      </c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>
        <v>78</v>
      </c>
      <c r="EU582" s="4">
        <v>71</v>
      </c>
      <c r="EV582" s="4">
        <v>66</v>
      </c>
      <c r="EW582" s="4">
        <v>61</v>
      </c>
      <c r="EX582" s="4">
        <v>56</v>
      </c>
      <c r="EY582" s="4">
        <v>51</v>
      </c>
      <c r="EZ582" s="4">
        <v>118</v>
      </c>
      <c r="FA582" s="4">
        <v>113</v>
      </c>
      <c r="FB582" s="4">
        <v>107</v>
      </c>
      <c r="FC582" s="4">
        <v>102</v>
      </c>
      <c r="FD582" s="4">
        <v>97</v>
      </c>
      <c r="FE582" s="4">
        <v>92</v>
      </c>
      <c r="FF582" s="4">
        <v>87</v>
      </c>
      <c r="FG582" s="4">
        <v>82</v>
      </c>
      <c r="FH582" s="4">
        <v>77</v>
      </c>
      <c r="FI582" s="4">
        <v>72</v>
      </c>
      <c r="FJ582" s="4">
        <v>67</v>
      </c>
      <c r="FK582" s="4">
        <v>62</v>
      </c>
      <c r="FL582" s="4">
        <v>57</v>
      </c>
      <c r="FM582" s="4">
        <v>52</v>
      </c>
      <c r="FN582" s="4">
        <v>47</v>
      </c>
      <c r="FO582" s="4">
        <v>42</v>
      </c>
      <c r="FP582" s="4">
        <v>36</v>
      </c>
      <c r="FQ582" s="4">
        <v>31</v>
      </c>
      <c r="FR582" s="4">
        <v>26</v>
      </c>
      <c r="FS582" s="4">
        <v>55</v>
      </c>
      <c r="FT582" s="19">
        <v>13</v>
      </c>
      <c r="FU582" s="19">
        <v>14.2</v>
      </c>
      <c r="FV582" s="19">
        <v>13.2</v>
      </c>
      <c r="FW582" s="19">
        <v>12.2</v>
      </c>
      <c r="FX582" s="19">
        <v>11.2</v>
      </c>
      <c r="FY582" s="19">
        <v>10.2</v>
      </c>
      <c r="FZ582" s="19">
        <v>23.6</v>
      </c>
      <c r="GA582" s="19">
        <v>22.6</v>
      </c>
      <c r="GB582" s="19">
        <v>21.4</v>
      </c>
      <c r="GC582" s="19">
        <v>20.4</v>
      </c>
      <c r="GD582" s="19">
        <v>19.4</v>
      </c>
      <c r="GE582" s="19">
        <v>18.4</v>
      </c>
      <c r="GF582" s="19">
        <v>17.4</v>
      </c>
      <c r="GG582" s="19">
        <v>16.4</v>
      </c>
      <c r="GH582" s="19">
        <v>15.4</v>
      </c>
      <c r="GI582" s="19">
        <v>14.4</v>
      </c>
      <c r="GJ582" s="19">
        <v>13.4</v>
      </c>
      <c r="GK582" s="19">
        <v>12.4</v>
      </c>
      <c r="GL582" s="19">
        <v>11.4</v>
      </c>
      <c r="GM582" s="19">
        <v>10.4</v>
      </c>
      <c r="GN582" s="19">
        <v>9.4</v>
      </c>
      <c r="GO582" s="19">
        <v>8.4</v>
      </c>
      <c r="GP582" s="19">
        <v>7.2</v>
      </c>
      <c r="GQ582" s="19">
        <v>6.2</v>
      </c>
      <c r="GR582" s="19">
        <v>5.2</v>
      </c>
      <c r="GS582" s="19">
        <v>11</v>
      </c>
    </row>
    <row r="583">
      <c r="A583" s="2" t="s">
        <v>3212</v>
      </c>
      <c r="B583" s="2" t="s">
        <v>245</v>
      </c>
      <c r="C583" s="2" t="s">
        <v>246</v>
      </c>
      <c r="D583" s="2" t="s">
        <v>247</v>
      </c>
      <c r="E583" s="2" t="s">
        <v>248</v>
      </c>
      <c r="F583" s="2" t="s">
        <v>3199</v>
      </c>
      <c r="G583" s="2" t="s">
        <v>3199</v>
      </c>
      <c r="H583" s="2" t="s">
        <v>3199</v>
      </c>
      <c r="I583" s="2" t="s">
        <v>3200</v>
      </c>
      <c r="J583" s="2" t="s">
        <v>251</v>
      </c>
      <c r="K583" s="2" t="s">
        <v>360</v>
      </c>
      <c r="L583" s="3">
        <v>32.2</v>
      </c>
      <c r="M583" s="3">
        <v>33.81</v>
      </c>
      <c r="N583" s="3">
        <v>69.99</v>
      </c>
      <c r="O583" s="2" t="s">
        <v>196</v>
      </c>
      <c r="P583" s="2" t="s">
        <v>197</v>
      </c>
      <c r="Q583" s="2" t="s">
        <v>198</v>
      </c>
      <c r="R583" s="2" t="s">
        <v>199</v>
      </c>
      <c r="S583" s="2" t="s">
        <v>3201</v>
      </c>
      <c r="T583" s="2" t="s">
        <v>300</v>
      </c>
      <c r="U583" s="2" t="s">
        <v>254</v>
      </c>
      <c r="V583" s="2" t="s">
        <v>202</v>
      </c>
      <c r="W583" s="2" t="s">
        <v>203</v>
      </c>
      <c r="X583" s="2" t="s">
        <v>199</v>
      </c>
      <c r="Y583" s="2" t="s">
        <v>3202</v>
      </c>
      <c r="Z583" s="4">
        <v>43</v>
      </c>
      <c r="AA583" s="4">
        <f>=ROUNDDOWN(13.8709677419355,0)</f>
      </c>
      <c r="AB583" s="5">
        <v>3.1</v>
      </c>
      <c r="AC583" s="2" t="s">
        <v>1936</v>
      </c>
      <c r="AD583" s="4">
        <v>42</v>
      </c>
      <c r="AE583" s="4">
        <v>42</v>
      </c>
      <c r="AF583" s="6">
        <v>65</v>
      </c>
      <c r="AG583" s="6"/>
      <c r="AH583" s="7">
        <v>0.0323</v>
      </c>
      <c r="AI583" s="4"/>
      <c r="AJ583" s="4">
        <f>=ROUNDDOWN({0},0)</f>
      </c>
      <c r="AK583" s="5"/>
      <c r="AL583" s="2" t="s">
        <v>199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199</v>
      </c>
      <c r="AW583" s="8" t="s">
        <v>199</v>
      </c>
      <c r="AX583" s="4" t="s">
        <v>199</v>
      </c>
      <c r="AY583" s="8" t="s">
        <v>199</v>
      </c>
      <c r="AZ583" s="7" t="s">
        <v>199</v>
      </c>
      <c r="BA583" s="7" t="s">
        <v>199</v>
      </c>
      <c r="BB583" s="7"/>
      <c r="BC583" s="4" t="s">
        <v>199</v>
      </c>
      <c r="BD583" s="8" t="s">
        <v>199</v>
      </c>
      <c r="BE583" s="4" t="s">
        <v>199</v>
      </c>
      <c r="BF583" s="8" t="s">
        <v>199</v>
      </c>
      <c r="BG583" s="7" t="s">
        <v>199</v>
      </c>
      <c r="BH583" s="7" t="s">
        <v>199</v>
      </c>
      <c r="BI583" s="7"/>
      <c r="BJ583" s="4"/>
      <c r="BK583" s="8"/>
      <c r="BL583" s="2" t="s">
        <v>3213</v>
      </c>
      <c r="BM583" s="7"/>
      <c r="BN583" s="7"/>
      <c r="BO583" s="4"/>
      <c r="BP583" s="8"/>
      <c r="BQ583" s="4"/>
      <c r="BR583" s="8"/>
      <c r="BS583" s="7"/>
      <c r="BT583" s="7"/>
      <c r="BU583" s="2" t="s">
        <v>3203</v>
      </c>
      <c r="BV583" s="2" t="s">
        <v>199</v>
      </c>
      <c r="BW583" s="2" t="s">
        <v>199</v>
      </c>
      <c r="BX583" s="2" t="s">
        <v>208</v>
      </c>
      <c r="BY583" s="2" t="s">
        <v>209</v>
      </c>
      <c r="BZ583" s="2" t="s">
        <v>196</v>
      </c>
      <c r="CA583" s="2" t="s">
        <v>3204</v>
      </c>
      <c r="CB583" s="2" t="s">
        <v>3214</v>
      </c>
      <c r="CC583" s="2" t="s">
        <v>212</v>
      </c>
      <c r="CD583" s="2" t="s">
        <v>199</v>
      </c>
      <c r="CE583" s="4">
        <v>43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>
        <v>42</v>
      </c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>
        <v>43</v>
      </c>
      <c r="EU583" s="4">
        <v>40</v>
      </c>
      <c r="EV583" s="4">
        <v>37</v>
      </c>
      <c r="EW583" s="4">
        <v>34</v>
      </c>
      <c r="EX583" s="4">
        <v>31</v>
      </c>
      <c r="EY583" s="4">
        <v>28</v>
      </c>
      <c r="EZ583" s="4">
        <v>67</v>
      </c>
      <c r="FA583" s="4">
        <v>64</v>
      </c>
      <c r="FB583" s="4">
        <v>60</v>
      </c>
      <c r="FC583" s="4">
        <v>57</v>
      </c>
      <c r="FD583" s="4">
        <v>54</v>
      </c>
      <c r="FE583" s="4">
        <v>51</v>
      </c>
      <c r="FF583" s="4">
        <v>48</v>
      </c>
      <c r="FG583" s="4">
        <v>45</v>
      </c>
      <c r="FH583" s="4">
        <v>42</v>
      </c>
      <c r="FI583" s="4">
        <v>39</v>
      </c>
      <c r="FJ583" s="4">
        <v>36</v>
      </c>
      <c r="FK583" s="4">
        <v>33</v>
      </c>
      <c r="FL583" s="4">
        <v>30</v>
      </c>
      <c r="FM583" s="4">
        <v>27</v>
      </c>
      <c r="FN583" s="4">
        <v>24</v>
      </c>
      <c r="FO583" s="4">
        <v>21</v>
      </c>
      <c r="FP583" s="4">
        <v>17</v>
      </c>
      <c r="FQ583" s="4">
        <v>14</v>
      </c>
      <c r="FR583" s="4">
        <v>11</v>
      </c>
      <c r="FS583" s="4">
        <v>33</v>
      </c>
      <c r="FT583" s="19">
        <v>14.3</v>
      </c>
      <c r="FU583" s="19">
        <v>13.3</v>
      </c>
      <c r="FV583" s="19">
        <v>12.3</v>
      </c>
      <c r="FW583" s="19">
        <v>11.3</v>
      </c>
      <c r="FX583" s="19">
        <v>10.3</v>
      </c>
      <c r="FY583" s="19">
        <v>9.3</v>
      </c>
      <c r="FZ583" s="19">
        <v>22.3</v>
      </c>
      <c r="GA583" s="19">
        <v>21.3</v>
      </c>
      <c r="GB583" s="19">
        <v>20</v>
      </c>
      <c r="GC583" s="19">
        <v>19</v>
      </c>
      <c r="GD583" s="19">
        <v>18</v>
      </c>
      <c r="GE583" s="19">
        <v>17</v>
      </c>
      <c r="GF583" s="19">
        <v>16</v>
      </c>
      <c r="GG583" s="19">
        <v>15</v>
      </c>
      <c r="GH583" s="19">
        <v>14</v>
      </c>
      <c r="GI583" s="19">
        <v>13</v>
      </c>
      <c r="GJ583" s="19">
        <v>12</v>
      </c>
      <c r="GK583" s="19">
        <v>11</v>
      </c>
      <c r="GL583" s="19">
        <v>10</v>
      </c>
      <c r="GM583" s="19">
        <v>9</v>
      </c>
      <c r="GN583" s="19">
        <v>8</v>
      </c>
      <c r="GO583" s="19">
        <v>7</v>
      </c>
      <c r="GP583" s="19">
        <v>5.7</v>
      </c>
      <c r="GQ583" s="19">
        <v>4.7</v>
      </c>
      <c r="GR583" s="19">
        <v>3.7</v>
      </c>
      <c r="GS583" s="19">
        <v>11</v>
      </c>
    </row>
    <row r="584">
      <c r="A584" s="2" t="s">
        <v>3215</v>
      </c>
      <c r="B584" s="2" t="s">
        <v>245</v>
      </c>
      <c r="C584" s="2" t="s">
        <v>246</v>
      </c>
      <c r="D584" s="2" t="s">
        <v>247</v>
      </c>
      <c r="E584" s="2" t="s">
        <v>248</v>
      </c>
      <c r="F584" s="2" t="s">
        <v>3199</v>
      </c>
      <c r="G584" s="2" t="s">
        <v>3199</v>
      </c>
      <c r="H584" s="2" t="s">
        <v>3199</v>
      </c>
      <c r="I584" s="2" t="s">
        <v>3200</v>
      </c>
      <c r="J584" s="2" t="s">
        <v>285</v>
      </c>
      <c r="K584" s="2" t="s">
        <v>371</v>
      </c>
      <c r="L584" s="3">
        <v>27</v>
      </c>
      <c r="M584" s="3">
        <v>28.35</v>
      </c>
      <c r="N584" s="3">
        <v>59.99</v>
      </c>
      <c r="O584" s="2" t="s">
        <v>196</v>
      </c>
      <c r="P584" s="2" t="s">
        <v>197</v>
      </c>
      <c r="Q584" s="2" t="s">
        <v>198</v>
      </c>
      <c r="R584" s="2" t="s">
        <v>199</v>
      </c>
      <c r="S584" s="2" t="s">
        <v>3216</v>
      </c>
      <c r="T584" s="2" t="s">
        <v>300</v>
      </c>
      <c r="U584" s="2" t="s">
        <v>254</v>
      </c>
      <c r="V584" s="2" t="s">
        <v>202</v>
      </c>
      <c r="W584" s="2" t="s">
        <v>203</v>
      </c>
      <c r="X584" s="2" t="s">
        <v>199</v>
      </c>
      <c r="Y584" s="2" t="s">
        <v>3202</v>
      </c>
      <c r="Z584" s="4">
        <v>116</v>
      </c>
      <c r="AA584" s="4">
        <f>=ROUNDDOWN(41.4285714285714,0)</f>
      </c>
      <c r="AB584" s="5">
        <v>2.8</v>
      </c>
      <c r="AC584" s="2" t="s">
        <v>199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199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199</v>
      </c>
      <c r="AW584" s="8" t="s">
        <v>199</v>
      </c>
      <c r="AX584" s="4" t="s">
        <v>199</v>
      </c>
      <c r="AY584" s="8" t="s">
        <v>199</v>
      </c>
      <c r="AZ584" s="7" t="s">
        <v>199</v>
      </c>
      <c r="BA584" s="7" t="s">
        <v>199</v>
      </c>
      <c r="BB584" s="7"/>
      <c r="BC584" s="4" t="s">
        <v>199</v>
      </c>
      <c r="BD584" s="8" t="s">
        <v>199</v>
      </c>
      <c r="BE584" s="4" t="s">
        <v>199</v>
      </c>
      <c r="BF584" s="8" t="s">
        <v>199</v>
      </c>
      <c r="BG584" s="7" t="s">
        <v>199</v>
      </c>
      <c r="BH584" s="7" t="s">
        <v>199</v>
      </c>
      <c r="BI584" s="7"/>
      <c r="BJ584" s="4">
        <v>14</v>
      </c>
      <c r="BK584" s="8">
        <v>402.71</v>
      </c>
      <c r="BL584" s="2" t="s">
        <v>3217</v>
      </c>
      <c r="BM584" s="7"/>
      <c r="BN584" s="7"/>
      <c r="BO584" s="4"/>
      <c r="BP584" s="8"/>
      <c r="BQ584" s="4"/>
      <c r="BR584" s="8"/>
      <c r="BS584" s="7"/>
      <c r="BT584" s="7"/>
      <c r="BU584" s="2" t="s">
        <v>3203</v>
      </c>
      <c r="BV584" s="2" t="s">
        <v>199</v>
      </c>
      <c r="BW584" s="2" t="s">
        <v>199</v>
      </c>
      <c r="BX584" s="2" t="s">
        <v>208</v>
      </c>
      <c r="BY584" s="2" t="s">
        <v>209</v>
      </c>
      <c r="BZ584" s="2" t="s">
        <v>196</v>
      </c>
      <c r="CA584" s="2" t="s">
        <v>3204</v>
      </c>
      <c r="CB584" s="2" t="s">
        <v>3218</v>
      </c>
      <c r="CC584" s="2" t="s">
        <v>212</v>
      </c>
      <c r="CD584" s="2" t="s">
        <v>199</v>
      </c>
      <c r="CE584" s="4">
        <v>116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>
        <v>116</v>
      </c>
      <c r="EU584" s="4">
        <v>113</v>
      </c>
      <c r="EV584" s="4">
        <v>110</v>
      </c>
      <c r="EW584" s="4">
        <v>107</v>
      </c>
      <c r="EX584" s="4">
        <v>104</v>
      </c>
      <c r="EY584" s="4">
        <v>101</v>
      </c>
      <c r="EZ584" s="4">
        <v>98</v>
      </c>
      <c r="FA584" s="4">
        <v>95</v>
      </c>
      <c r="FB584" s="4">
        <v>91</v>
      </c>
      <c r="FC584" s="4">
        <v>88</v>
      </c>
      <c r="FD584" s="4">
        <v>85</v>
      </c>
      <c r="FE584" s="4">
        <v>82</v>
      </c>
      <c r="FF584" s="4">
        <v>79</v>
      </c>
      <c r="FG584" s="4">
        <v>76</v>
      </c>
      <c r="FH584" s="4">
        <v>73</v>
      </c>
      <c r="FI584" s="4">
        <v>70</v>
      </c>
      <c r="FJ584" s="4">
        <v>67</v>
      </c>
      <c r="FK584" s="4">
        <v>64</v>
      </c>
      <c r="FL584" s="4">
        <v>61</v>
      </c>
      <c r="FM584" s="4">
        <v>58</v>
      </c>
      <c r="FN584" s="4">
        <v>55</v>
      </c>
      <c r="FO584" s="4">
        <v>52</v>
      </c>
      <c r="FP584" s="4">
        <v>48</v>
      </c>
      <c r="FQ584" s="4">
        <v>45</v>
      </c>
      <c r="FR584" s="4">
        <v>42</v>
      </c>
      <c r="FS584" s="4">
        <v>39</v>
      </c>
      <c r="FT584" s="19">
        <v>38.7</v>
      </c>
      <c r="FU584" s="19">
        <v>37.7</v>
      </c>
      <c r="FV584" s="19">
        <v>36.7</v>
      </c>
      <c r="FW584" s="19">
        <v>35.7</v>
      </c>
      <c r="FX584" s="19">
        <v>34.7</v>
      </c>
      <c r="FY584" s="19">
        <v>33.7</v>
      </c>
      <c r="FZ584" s="19">
        <v>32.7</v>
      </c>
      <c r="GA584" s="19">
        <v>31.7</v>
      </c>
      <c r="GB584" s="19">
        <v>30.3</v>
      </c>
      <c r="GC584" s="19">
        <v>29.3</v>
      </c>
      <c r="GD584" s="19">
        <v>28.3</v>
      </c>
      <c r="GE584" s="19">
        <v>27.3</v>
      </c>
      <c r="GF584" s="19">
        <v>26.3</v>
      </c>
      <c r="GG584" s="19">
        <v>25.3</v>
      </c>
      <c r="GH584" s="19">
        <v>24.3</v>
      </c>
      <c r="GI584" s="19">
        <v>23.3</v>
      </c>
      <c r="GJ584" s="19">
        <v>22.3</v>
      </c>
      <c r="GK584" s="19">
        <v>21.3</v>
      </c>
      <c r="GL584" s="19">
        <v>20.3</v>
      </c>
      <c r="GM584" s="19">
        <v>19.3</v>
      </c>
      <c r="GN584" s="19">
        <v>18.3</v>
      </c>
      <c r="GO584" s="19">
        <v>17.3</v>
      </c>
      <c r="GP584" s="19">
        <v>16</v>
      </c>
      <c r="GQ584" s="19">
        <v>15</v>
      </c>
      <c r="GR584" s="19">
        <v>14</v>
      </c>
      <c r="GS584" s="19">
        <v>13</v>
      </c>
    </row>
    <row r="585">
      <c r="A585" s="2" t="s">
        <v>3219</v>
      </c>
      <c r="B585" s="2" t="s">
        <v>245</v>
      </c>
      <c r="C585" s="2" t="s">
        <v>246</v>
      </c>
      <c r="D585" s="2" t="s">
        <v>247</v>
      </c>
      <c r="E585" s="2" t="s">
        <v>248</v>
      </c>
      <c r="F585" s="2" t="s">
        <v>3199</v>
      </c>
      <c r="G585" s="2" t="s">
        <v>3199</v>
      </c>
      <c r="H585" s="2" t="s">
        <v>3199</v>
      </c>
      <c r="I585" s="2" t="s">
        <v>3200</v>
      </c>
      <c r="J585" s="2" t="s">
        <v>219</v>
      </c>
      <c r="K585" s="2" t="s">
        <v>371</v>
      </c>
      <c r="L585" s="3">
        <v>29.9</v>
      </c>
      <c r="M585" s="3">
        <v>31.4</v>
      </c>
      <c r="N585" s="3">
        <v>64.99</v>
      </c>
      <c r="O585" s="2" t="s">
        <v>196</v>
      </c>
      <c r="P585" s="2" t="s">
        <v>197</v>
      </c>
      <c r="Q585" s="2" t="s">
        <v>198</v>
      </c>
      <c r="R585" s="2" t="s">
        <v>199</v>
      </c>
      <c r="S585" s="2" t="s">
        <v>3216</v>
      </c>
      <c r="T585" s="2" t="s">
        <v>300</v>
      </c>
      <c r="U585" s="2" t="s">
        <v>254</v>
      </c>
      <c r="V585" s="2" t="s">
        <v>202</v>
      </c>
      <c r="W585" s="2" t="s">
        <v>203</v>
      </c>
      <c r="X585" s="2" t="s">
        <v>199</v>
      </c>
      <c r="Y585" s="2" t="s">
        <v>3202</v>
      </c>
      <c r="Z585" s="4">
        <v>165</v>
      </c>
      <c r="AA585" s="4">
        <f>=ROUNDDOWN(20.625,0)</f>
      </c>
      <c r="AB585" s="5">
        <v>8</v>
      </c>
      <c r="AC585" s="2" t="s">
        <v>199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199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199</v>
      </c>
      <c r="AW585" s="8" t="s">
        <v>199</v>
      </c>
      <c r="AX585" s="4" t="s">
        <v>199</v>
      </c>
      <c r="AY585" s="8" t="s">
        <v>199</v>
      </c>
      <c r="AZ585" s="7" t="s">
        <v>199</v>
      </c>
      <c r="BA585" s="7" t="s">
        <v>199</v>
      </c>
      <c r="BB585" s="7"/>
      <c r="BC585" s="4" t="s">
        <v>199</v>
      </c>
      <c r="BD585" s="8" t="s">
        <v>199</v>
      </c>
      <c r="BE585" s="4" t="s">
        <v>199</v>
      </c>
      <c r="BF585" s="8" t="s">
        <v>199</v>
      </c>
      <c r="BG585" s="7" t="s">
        <v>199</v>
      </c>
      <c r="BH585" s="7" t="s">
        <v>199</v>
      </c>
      <c r="BI585" s="7"/>
      <c r="BJ585" s="4">
        <v>48</v>
      </c>
      <c r="BK585" s="8">
        <v>1536.16</v>
      </c>
      <c r="BL585" s="2" t="s">
        <v>3220</v>
      </c>
      <c r="BM585" s="7"/>
      <c r="BN585" s="7"/>
      <c r="BO585" s="4"/>
      <c r="BP585" s="8"/>
      <c r="BQ585" s="4"/>
      <c r="BR585" s="8"/>
      <c r="BS585" s="7"/>
      <c r="BT585" s="7"/>
      <c r="BU585" s="2" t="s">
        <v>3203</v>
      </c>
      <c r="BV585" s="2" t="s">
        <v>199</v>
      </c>
      <c r="BW585" s="2" t="s">
        <v>199</v>
      </c>
      <c r="BX585" s="2" t="s">
        <v>208</v>
      </c>
      <c r="BY585" s="2" t="s">
        <v>209</v>
      </c>
      <c r="BZ585" s="2" t="s">
        <v>196</v>
      </c>
      <c r="CA585" s="2" t="s">
        <v>3204</v>
      </c>
      <c r="CB585" s="2" t="s">
        <v>3221</v>
      </c>
      <c r="CC585" s="2" t="s">
        <v>212</v>
      </c>
      <c r="CD585" s="2" t="s">
        <v>199</v>
      </c>
      <c r="CE585" s="4">
        <v>165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>
        <v>166</v>
      </c>
      <c r="EU585" s="4">
        <v>157</v>
      </c>
      <c r="EV585" s="4">
        <v>149</v>
      </c>
      <c r="EW585" s="4">
        <v>141</v>
      </c>
      <c r="EX585" s="4">
        <v>133</v>
      </c>
      <c r="EY585" s="4">
        <v>125</v>
      </c>
      <c r="EZ585" s="4">
        <v>117</v>
      </c>
      <c r="FA585" s="4">
        <v>109</v>
      </c>
      <c r="FB585" s="4">
        <v>99</v>
      </c>
      <c r="FC585" s="4">
        <v>91</v>
      </c>
      <c r="FD585" s="4">
        <v>83</v>
      </c>
      <c r="FE585" s="4">
        <v>75</v>
      </c>
      <c r="FF585" s="4">
        <v>67</v>
      </c>
      <c r="FG585" s="4">
        <v>59</v>
      </c>
      <c r="FH585" s="4">
        <v>51</v>
      </c>
      <c r="FI585" s="4">
        <v>43</v>
      </c>
      <c r="FJ585" s="4">
        <v>35</v>
      </c>
      <c r="FK585" s="4">
        <v>27</v>
      </c>
      <c r="FL585" s="4">
        <v>19</v>
      </c>
      <c r="FM585" s="4">
        <v>138</v>
      </c>
      <c r="FN585" s="4">
        <v>130</v>
      </c>
      <c r="FO585" s="4">
        <v>122</v>
      </c>
      <c r="FP585" s="4">
        <v>112</v>
      </c>
      <c r="FQ585" s="4">
        <v>104</v>
      </c>
      <c r="FR585" s="4">
        <v>96</v>
      </c>
      <c r="FS585" s="4">
        <v>88</v>
      </c>
      <c r="FT585" s="19">
        <v>20.8</v>
      </c>
      <c r="FU585" s="19">
        <v>19.6</v>
      </c>
      <c r="FV585" s="19">
        <v>18.6</v>
      </c>
      <c r="FW585" s="19">
        <v>17.6</v>
      </c>
      <c r="FX585" s="19">
        <v>16.6</v>
      </c>
      <c r="FY585" s="19">
        <v>15.6</v>
      </c>
      <c r="FZ585" s="19">
        <v>14.6</v>
      </c>
      <c r="GA585" s="19">
        <v>13.6</v>
      </c>
      <c r="GB585" s="19">
        <v>12.4</v>
      </c>
      <c r="GC585" s="19">
        <v>11.4</v>
      </c>
      <c r="GD585" s="19">
        <v>10.4</v>
      </c>
      <c r="GE585" s="19">
        <v>9.4</v>
      </c>
      <c r="GF585" s="19">
        <v>8.4</v>
      </c>
      <c r="GG585" s="19">
        <v>7.4</v>
      </c>
      <c r="GH585" s="19">
        <v>6.4</v>
      </c>
      <c r="GI585" s="19">
        <v>5.4</v>
      </c>
      <c r="GJ585" s="19">
        <v>4.4</v>
      </c>
      <c r="GK585" s="19">
        <v>3.4</v>
      </c>
      <c r="GL585" s="19">
        <v>2.4</v>
      </c>
      <c r="GM585" s="19">
        <v>17.3</v>
      </c>
      <c r="GN585" s="19">
        <v>16.3</v>
      </c>
      <c r="GO585" s="19">
        <v>15.3</v>
      </c>
      <c r="GP585" s="19">
        <v>14</v>
      </c>
      <c r="GQ585" s="19">
        <v>13</v>
      </c>
      <c r="GR585" s="19">
        <v>12</v>
      </c>
      <c r="GS585" s="19">
        <v>11</v>
      </c>
    </row>
    <row r="586">
      <c r="A586" s="2" t="s">
        <v>3222</v>
      </c>
      <c r="B586" s="2" t="s">
        <v>245</v>
      </c>
      <c r="C586" s="2" t="s">
        <v>246</v>
      </c>
      <c r="D586" s="2" t="s">
        <v>247</v>
      </c>
      <c r="E586" s="2" t="s">
        <v>248</v>
      </c>
      <c r="F586" s="2" t="s">
        <v>3199</v>
      </c>
      <c r="G586" s="2" t="s">
        <v>3199</v>
      </c>
      <c r="H586" s="2" t="s">
        <v>3199</v>
      </c>
      <c r="I586" s="2" t="s">
        <v>3200</v>
      </c>
      <c r="J586" s="2" t="s">
        <v>223</v>
      </c>
      <c r="K586" s="2" t="s">
        <v>371</v>
      </c>
      <c r="L586" s="3">
        <v>32.2</v>
      </c>
      <c r="M586" s="3">
        <v>33.81</v>
      </c>
      <c r="N586" s="3">
        <v>69.99</v>
      </c>
      <c r="O586" s="2" t="s">
        <v>196</v>
      </c>
      <c r="P586" s="2" t="s">
        <v>197</v>
      </c>
      <c r="Q586" s="2" t="s">
        <v>198</v>
      </c>
      <c r="R586" s="2" t="s">
        <v>199</v>
      </c>
      <c r="S586" s="2" t="s">
        <v>3216</v>
      </c>
      <c r="T586" s="2" t="s">
        <v>300</v>
      </c>
      <c r="U586" s="2" t="s">
        <v>254</v>
      </c>
      <c r="V586" s="2" t="s">
        <v>202</v>
      </c>
      <c r="W586" s="2" t="s">
        <v>203</v>
      </c>
      <c r="X586" s="2" t="s">
        <v>199</v>
      </c>
      <c r="Y586" s="2" t="s">
        <v>3202</v>
      </c>
      <c r="Z586" s="4">
        <v>251</v>
      </c>
      <c r="AA586" s="4">
        <f>=ROUNDDOWN(62.75,0)</f>
      </c>
      <c r="AB586" s="5">
        <v>4</v>
      </c>
      <c r="AC586" s="2" t="s">
        <v>199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199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199</v>
      </c>
      <c r="AW586" s="8" t="s">
        <v>199</v>
      </c>
      <c r="AX586" s="4" t="s">
        <v>199</v>
      </c>
      <c r="AY586" s="8" t="s">
        <v>199</v>
      </c>
      <c r="AZ586" s="7" t="s">
        <v>199</v>
      </c>
      <c r="BA586" s="7" t="s">
        <v>199</v>
      </c>
      <c r="BB586" s="7"/>
      <c r="BC586" s="4" t="s">
        <v>199</v>
      </c>
      <c r="BD586" s="8" t="s">
        <v>199</v>
      </c>
      <c r="BE586" s="4" t="s">
        <v>199</v>
      </c>
      <c r="BF586" s="8" t="s">
        <v>199</v>
      </c>
      <c r="BG586" s="7" t="s">
        <v>199</v>
      </c>
      <c r="BH586" s="7" t="s">
        <v>199</v>
      </c>
      <c r="BI586" s="7"/>
      <c r="BJ586" s="4">
        <v>25</v>
      </c>
      <c r="BK586" s="8">
        <v>864.19</v>
      </c>
      <c r="BL586" s="2" t="s">
        <v>3223</v>
      </c>
      <c r="BM586" s="7"/>
      <c r="BN586" s="7"/>
      <c r="BO586" s="4"/>
      <c r="BP586" s="8"/>
      <c r="BQ586" s="4"/>
      <c r="BR586" s="8"/>
      <c r="BS586" s="7"/>
      <c r="BT586" s="7"/>
      <c r="BU586" s="2" t="s">
        <v>3203</v>
      </c>
      <c r="BV586" s="2" t="s">
        <v>199</v>
      </c>
      <c r="BW586" s="2" t="s">
        <v>199</v>
      </c>
      <c r="BX586" s="2" t="s">
        <v>208</v>
      </c>
      <c r="BY586" s="2" t="s">
        <v>209</v>
      </c>
      <c r="BZ586" s="2" t="s">
        <v>196</v>
      </c>
      <c r="CA586" s="2" t="s">
        <v>3204</v>
      </c>
      <c r="CB586" s="2" t="s">
        <v>3224</v>
      </c>
      <c r="CC586" s="2" t="s">
        <v>212</v>
      </c>
      <c r="CD586" s="2" t="s">
        <v>199</v>
      </c>
      <c r="CE586" s="4">
        <v>251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>
        <v>252</v>
      </c>
      <c r="EU586" s="4">
        <v>247</v>
      </c>
      <c r="EV586" s="4">
        <v>243</v>
      </c>
      <c r="EW586" s="4">
        <v>239</v>
      </c>
      <c r="EX586" s="4">
        <v>235</v>
      </c>
      <c r="EY586" s="4">
        <v>231</v>
      </c>
      <c r="EZ586" s="4">
        <v>227</v>
      </c>
      <c r="FA586" s="4">
        <v>223</v>
      </c>
      <c r="FB586" s="4">
        <v>218</v>
      </c>
      <c r="FC586" s="4">
        <v>214</v>
      </c>
      <c r="FD586" s="4">
        <v>210</v>
      </c>
      <c r="FE586" s="4">
        <v>206</v>
      </c>
      <c r="FF586" s="4">
        <v>202</v>
      </c>
      <c r="FG586" s="4">
        <v>198</v>
      </c>
      <c r="FH586" s="4">
        <v>194</v>
      </c>
      <c r="FI586" s="4">
        <v>190</v>
      </c>
      <c r="FJ586" s="4">
        <v>186</v>
      </c>
      <c r="FK586" s="4">
        <v>182</v>
      </c>
      <c r="FL586" s="4">
        <v>178</v>
      </c>
      <c r="FM586" s="4">
        <v>174</v>
      </c>
      <c r="FN586" s="4">
        <v>170</v>
      </c>
      <c r="FO586" s="4">
        <v>166</v>
      </c>
      <c r="FP586" s="4">
        <v>161</v>
      </c>
      <c r="FQ586" s="4">
        <v>157</v>
      </c>
      <c r="FR586" s="4">
        <v>153</v>
      </c>
      <c r="FS586" s="4">
        <v>149</v>
      </c>
      <c r="FT586" s="19">
        <v>63</v>
      </c>
      <c r="FU586" s="19">
        <v>61.8</v>
      </c>
      <c r="FV586" s="19">
        <v>60.8</v>
      </c>
      <c r="FW586" s="19">
        <v>59.8</v>
      </c>
      <c r="FX586" s="19">
        <v>58.8</v>
      </c>
      <c r="FY586" s="19">
        <v>57.8</v>
      </c>
      <c r="FZ586" s="19">
        <v>56.8</v>
      </c>
      <c r="GA586" s="19">
        <v>55.8</v>
      </c>
      <c r="GB586" s="19">
        <v>54.5</v>
      </c>
      <c r="GC586" s="19">
        <v>53.5</v>
      </c>
      <c r="GD586" s="19">
        <v>52.5</v>
      </c>
      <c r="GE586" s="19">
        <v>51.5</v>
      </c>
      <c r="GF586" s="19">
        <v>50.5</v>
      </c>
      <c r="GG586" s="19">
        <v>49.5</v>
      </c>
      <c r="GH586" s="19">
        <v>48.5</v>
      </c>
      <c r="GI586" s="19">
        <v>47.5</v>
      </c>
      <c r="GJ586" s="19">
        <v>46.5</v>
      </c>
      <c r="GK586" s="19">
        <v>45.5</v>
      </c>
      <c r="GL586" s="19">
        <v>44.5</v>
      </c>
      <c r="GM586" s="19">
        <v>43.5</v>
      </c>
      <c r="GN586" s="19">
        <v>42.5</v>
      </c>
      <c r="GO586" s="19">
        <v>41.5</v>
      </c>
      <c r="GP586" s="19">
        <v>40.3</v>
      </c>
      <c r="GQ586" s="19">
        <v>39.3</v>
      </c>
      <c r="GR586" s="19">
        <v>38.3</v>
      </c>
      <c r="GS586" s="19">
        <v>37.3</v>
      </c>
    </row>
    <row r="587">
      <c r="A587" s="2" t="s">
        <v>3225</v>
      </c>
      <c r="B587" s="2" t="s">
        <v>245</v>
      </c>
      <c r="C587" s="2" t="s">
        <v>246</v>
      </c>
      <c r="D587" s="2" t="s">
        <v>247</v>
      </c>
      <c r="E587" s="2" t="s">
        <v>248</v>
      </c>
      <c r="F587" s="2" t="s">
        <v>3199</v>
      </c>
      <c r="G587" s="2" t="s">
        <v>3199</v>
      </c>
      <c r="H587" s="2" t="s">
        <v>3199</v>
      </c>
      <c r="I587" s="2" t="s">
        <v>3200</v>
      </c>
      <c r="J587" s="2" t="s">
        <v>251</v>
      </c>
      <c r="K587" s="2" t="s">
        <v>371</v>
      </c>
      <c r="L587" s="3">
        <v>32.2</v>
      </c>
      <c r="M587" s="3">
        <v>33.81</v>
      </c>
      <c r="N587" s="3">
        <v>69.99</v>
      </c>
      <c r="O587" s="2" t="s">
        <v>196</v>
      </c>
      <c r="P587" s="2" t="s">
        <v>197</v>
      </c>
      <c r="Q587" s="2" t="s">
        <v>198</v>
      </c>
      <c r="R587" s="2" t="s">
        <v>199</v>
      </c>
      <c r="S587" s="2" t="s">
        <v>3216</v>
      </c>
      <c r="T587" s="2" t="s">
        <v>300</v>
      </c>
      <c r="U587" s="2" t="s">
        <v>254</v>
      </c>
      <c r="V587" s="2" t="s">
        <v>202</v>
      </c>
      <c r="W587" s="2" t="s">
        <v>203</v>
      </c>
      <c r="X587" s="2" t="s">
        <v>199</v>
      </c>
      <c r="Y587" s="2" t="s">
        <v>3202</v>
      </c>
      <c r="Z587" s="4">
        <v>58</v>
      </c>
      <c r="AA587" s="4">
        <f>=ROUNDDOWN(20,0)</f>
      </c>
      <c r="AB587" s="5">
        <v>2.9</v>
      </c>
      <c r="AC587" s="2" t="s">
        <v>199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199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199</v>
      </c>
      <c r="AW587" s="8" t="s">
        <v>199</v>
      </c>
      <c r="AX587" s="4" t="s">
        <v>199</v>
      </c>
      <c r="AY587" s="8" t="s">
        <v>199</v>
      </c>
      <c r="AZ587" s="7" t="s">
        <v>199</v>
      </c>
      <c r="BA587" s="7" t="s">
        <v>199</v>
      </c>
      <c r="BB587" s="7"/>
      <c r="BC587" s="4" t="s">
        <v>199</v>
      </c>
      <c r="BD587" s="8" t="s">
        <v>199</v>
      </c>
      <c r="BE587" s="4" t="s">
        <v>199</v>
      </c>
      <c r="BF587" s="8" t="s">
        <v>199</v>
      </c>
      <c r="BG587" s="7" t="s">
        <v>199</v>
      </c>
      <c r="BH587" s="7" t="s">
        <v>199</v>
      </c>
      <c r="BI587" s="7"/>
      <c r="BJ587" s="4">
        <v>17</v>
      </c>
      <c r="BK587" s="8">
        <v>593.41</v>
      </c>
      <c r="BL587" s="2" t="s">
        <v>996</v>
      </c>
      <c r="BM587" s="7"/>
      <c r="BN587" s="7"/>
      <c r="BO587" s="4"/>
      <c r="BP587" s="8"/>
      <c r="BQ587" s="4"/>
      <c r="BR587" s="8"/>
      <c r="BS587" s="7"/>
      <c r="BT587" s="7"/>
      <c r="BU587" s="2" t="s">
        <v>3203</v>
      </c>
      <c r="BV587" s="2" t="s">
        <v>199</v>
      </c>
      <c r="BW587" s="2" t="s">
        <v>199</v>
      </c>
      <c r="BX587" s="2" t="s">
        <v>208</v>
      </c>
      <c r="BY587" s="2" t="s">
        <v>209</v>
      </c>
      <c r="BZ587" s="2" t="s">
        <v>196</v>
      </c>
      <c r="CA587" s="2" t="s">
        <v>3204</v>
      </c>
      <c r="CB587" s="2" t="s">
        <v>3226</v>
      </c>
      <c r="CC587" s="2" t="s">
        <v>212</v>
      </c>
      <c r="CD587" s="2" t="s">
        <v>199</v>
      </c>
      <c r="CE587" s="4">
        <v>58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>
        <v>58</v>
      </c>
      <c r="EU587" s="4">
        <v>55</v>
      </c>
      <c r="EV587" s="4">
        <v>52</v>
      </c>
      <c r="EW587" s="4">
        <v>49</v>
      </c>
      <c r="EX587" s="4">
        <v>46</v>
      </c>
      <c r="EY587" s="4">
        <v>43</v>
      </c>
      <c r="EZ587" s="4">
        <v>40</v>
      </c>
      <c r="FA587" s="4">
        <v>37</v>
      </c>
      <c r="FB587" s="4">
        <v>33</v>
      </c>
      <c r="FC587" s="4">
        <v>30</v>
      </c>
      <c r="FD587" s="4">
        <v>27</v>
      </c>
      <c r="FE587" s="4">
        <v>24</v>
      </c>
      <c r="FF587" s="4">
        <v>21</v>
      </c>
      <c r="FG587" s="4">
        <v>18</v>
      </c>
      <c r="FH587" s="4">
        <v>15</v>
      </c>
      <c r="FI587" s="4">
        <v>12</v>
      </c>
      <c r="FJ587" s="4">
        <v>9</v>
      </c>
      <c r="FK587" s="4">
        <v>6</v>
      </c>
      <c r="FL587" s="4">
        <v>3</v>
      </c>
      <c r="FM587" s="4">
        <v>52</v>
      </c>
      <c r="FN587" s="4">
        <v>49</v>
      </c>
      <c r="FO587" s="4">
        <v>46</v>
      </c>
      <c r="FP587" s="4">
        <v>42</v>
      </c>
      <c r="FQ587" s="4">
        <v>39</v>
      </c>
      <c r="FR587" s="4">
        <v>36</v>
      </c>
      <c r="FS587" s="4">
        <v>33</v>
      </c>
      <c r="FT587" s="19">
        <v>19.3</v>
      </c>
      <c r="FU587" s="19">
        <v>18.3</v>
      </c>
      <c r="FV587" s="19">
        <v>17.3</v>
      </c>
      <c r="FW587" s="19">
        <v>16.3</v>
      </c>
      <c r="FX587" s="19">
        <v>15.3</v>
      </c>
      <c r="FY587" s="19">
        <v>14.3</v>
      </c>
      <c r="FZ587" s="19">
        <v>13.3</v>
      </c>
      <c r="GA587" s="19">
        <v>12.3</v>
      </c>
      <c r="GB587" s="19">
        <v>11</v>
      </c>
      <c r="GC587" s="19">
        <v>10</v>
      </c>
      <c r="GD587" s="19">
        <v>9</v>
      </c>
      <c r="GE587" s="19">
        <v>8</v>
      </c>
      <c r="GF587" s="19">
        <v>7</v>
      </c>
      <c r="GG587" s="19">
        <v>6</v>
      </c>
      <c r="GH587" s="19">
        <v>5</v>
      </c>
      <c r="GI587" s="19">
        <v>4</v>
      </c>
      <c r="GJ587" s="19">
        <v>3</v>
      </c>
      <c r="GK587" s="19">
        <v>2</v>
      </c>
      <c r="GL587" s="19">
        <v>1</v>
      </c>
      <c r="GM587" s="19">
        <v>17.3</v>
      </c>
      <c r="GN587" s="19">
        <v>16.3</v>
      </c>
      <c r="GO587" s="19">
        <v>15.3</v>
      </c>
      <c r="GP587" s="19">
        <v>14</v>
      </c>
      <c r="GQ587" s="19">
        <v>13</v>
      </c>
      <c r="GR587" s="19">
        <v>12</v>
      </c>
      <c r="GS587" s="19">
        <v>11</v>
      </c>
    </row>
    <row r="588">
      <c r="A588" s="2" t="s">
        <v>3227</v>
      </c>
      <c r="B588" s="2" t="s">
        <v>245</v>
      </c>
      <c r="C588" s="2" t="s">
        <v>246</v>
      </c>
      <c r="D588" s="2" t="s">
        <v>247</v>
      </c>
      <c r="E588" s="2" t="s">
        <v>248</v>
      </c>
      <c r="F588" s="2" t="s">
        <v>3199</v>
      </c>
      <c r="G588" s="2" t="s">
        <v>3199</v>
      </c>
      <c r="H588" s="2" t="s">
        <v>3199</v>
      </c>
      <c r="I588" s="2" t="s">
        <v>3200</v>
      </c>
      <c r="J588" s="2" t="s">
        <v>194</v>
      </c>
      <c r="K588" s="2" t="s">
        <v>252</v>
      </c>
      <c r="L588" s="3">
        <v>21.6</v>
      </c>
      <c r="M588" s="3">
        <v>22.68</v>
      </c>
      <c r="N588" s="3">
        <v>47.99</v>
      </c>
      <c r="O588" s="2" t="s">
        <v>196</v>
      </c>
      <c r="P588" s="2" t="s">
        <v>197</v>
      </c>
      <c r="Q588" s="2" t="s">
        <v>198</v>
      </c>
      <c r="R588" s="2" t="s">
        <v>199</v>
      </c>
      <c r="S588" s="2" t="s">
        <v>3228</v>
      </c>
      <c r="T588" s="2" t="s">
        <v>300</v>
      </c>
      <c r="U588" s="2" t="s">
        <v>637</v>
      </c>
      <c r="V588" s="2" t="s">
        <v>202</v>
      </c>
      <c r="W588" s="2" t="s">
        <v>203</v>
      </c>
      <c r="X588" s="2" t="s">
        <v>199</v>
      </c>
      <c r="Y588" s="2" t="s">
        <v>3202</v>
      </c>
      <c r="Z588" s="4">
        <v>115</v>
      </c>
      <c r="AA588" s="4">
        <f>=ROUNDDOWN(28.75,0)</f>
      </c>
      <c r="AB588" s="5">
        <v>4</v>
      </c>
      <c r="AC588" s="2" t="s">
        <v>377</v>
      </c>
      <c r="AD588" s="4">
        <v>18</v>
      </c>
      <c r="AE588" s="4">
        <v>18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199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199</v>
      </c>
      <c r="AW588" s="8" t="s">
        <v>199</v>
      </c>
      <c r="AX588" s="4" t="s">
        <v>199</v>
      </c>
      <c r="AY588" s="8" t="s">
        <v>199</v>
      </c>
      <c r="AZ588" s="7" t="s">
        <v>199</v>
      </c>
      <c r="BA588" s="7" t="s">
        <v>199</v>
      </c>
      <c r="BB588" s="7"/>
      <c r="BC588" s="4" t="s">
        <v>199</v>
      </c>
      <c r="BD588" s="8" t="s">
        <v>199</v>
      </c>
      <c r="BE588" s="4" t="s">
        <v>199</v>
      </c>
      <c r="BF588" s="8" t="s">
        <v>199</v>
      </c>
      <c r="BG588" s="7" t="s">
        <v>199</v>
      </c>
      <c r="BH588" s="7" t="s">
        <v>199</v>
      </c>
      <c r="BI588" s="7"/>
      <c r="BJ588" s="4">
        <v>26</v>
      </c>
      <c r="BK588" s="8">
        <v>600.7</v>
      </c>
      <c r="BL588" s="2" t="s">
        <v>3229</v>
      </c>
      <c r="BM588" s="7"/>
      <c r="BN588" s="7"/>
      <c r="BO588" s="4"/>
      <c r="BP588" s="8"/>
      <c r="BQ588" s="4"/>
      <c r="BR588" s="8"/>
      <c r="BS588" s="7"/>
      <c r="BT588" s="7"/>
      <c r="BU588" s="2" t="s">
        <v>3203</v>
      </c>
      <c r="BV588" s="2" t="s">
        <v>199</v>
      </c>
      <c r="BW588" s="2" t="s">
        <v>199</v>
      </c>
      <c r="BX588" s="2" t="s">
        <v>208</v>
      </c>
      <c r="BY588" s="2" t="s">
        <v>209</v>
      </c>
      <c r="BZ588" s="2" t="s">
        <v>196</v>
      </c>
      <c r="CA588" s="2" t="s">
        <v>3204</v>
      </c>
      <c r="CB588" s="2" t="s">
        <v>3230</v>
      </c>
      <c r="CC588" s="2" t="s">
        <v>212</v>
      </c>
      <c r="CD588" s="2" t="s">
        <v>199</v>
      </c>
      <c r="CE588" s="4">
        <v>115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>
        <v>18</v>
      </c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>
        <v>117</v>
      </c>
      <c r="EU588" s="4">
        <v>113</v>
      </c>
      <c r="EV588" s="4">
        <v>109</v>
      </c>
      <c r="EW588" s="4">
        <v>105</v>
      </c>
      <c r="EX588" s="4">
        <v>101</v>
      </c>
      <c r="EY588" s="4">
        <v>97</v>
      </c>
      <c r="EZ588" s="4">
        <v>93</v>
      </c>
      <c r="FA588" s="4">
        <v>89</v>
      </c>
      <c r="FB588" s="4">
        <v>102</v>
      </c>
      <c r="FC588" s="4">
        <v>98</v>
      </c>
      <c r="FD588" s="4">
        <v>94</v>
      </c>
      <c r="FE588" s="4">
        <v>90</v>
      </c>
      <c r="FF588" s="4">
        <v>86</v>
      </c>
      <c r="FG588" s="4">
        <v>82</v>
      </c>
      <c r="FH588" s="4">
        <v>78</v>
      </c>
      <c r="FI588" s="4">
        <v>74</v>
      </c>
      <c r="FJ588" s="4">
        <v>70</v>
      </c>
      <c r="FK588" s="4">
        <v>66</v>
      </c>
      <c r="FL588" s="4">
        <v>62</v>
      </c>
      <c r="FM588" s="4">
        <v>58</v>
      </c>
      <c r="FN588" s="4">
        <v>54</v>
      </c>
      <c r="FO588" s="4">
        <v>50</v>
      </c>
      <c r="FP588" s="4">
        <v>45</v>
      </c>
      <c r="FQ588" s="4">
        <v>40</v>
      </c>
      <c r="FR588" s="4">
        <v>35</v>
      </c>
      <c r="FS588" s="4">
        <v>30</v>
      </c>
      <c r="FT588" s="19">
        <v>29.3</v>
      </c>
      <c r="FU588" s="19">
        <v>28.3</v>
      </c>
      <c r="FV588" s="19">
        <v>27.3</v>
      </c>
      <c r="FW588" s="19">
        <v>26.3</v>
      </c>
      <c r="FX588" s="19">
        <v>25.3</v>
      </c>
      <c r="FY588" s="19">
        <v>24.3</v>
      </c>
      <c r="FZ588" s="19">
        <v>23.3</v>
      </c>
      <c r="GA588" s="19">
        <v>22.3</v>
      </c>
      <c r="GB588" s="19">
        <v>25.5</v>
      </c>
      <c r="GC588" s="19">
        <v>24.5</v>
      </c>
      <c r="GD588" s="19">
        <v>23.5</v>
      </c>
      <c r="GE588" s="19">
        <v>22.5</v>
      </c>
      <c r="GF588" s="19">
        <v>21.5</v>
      </c>
      <c r="GG588" s="19">
        <v>20.5</v>
      </c>
      <c r="GH588" s="19">
        <v>19.5</v>
      </c>
      <c r="GI588" s="19">
        <v>18.5</v>
      </c>
      <c r="GJ588" s="19">
        <v>17.5</v>
      </c>
      <c r="GK588" s="19">
        <v>16.5</v>
      </c>
      <c r="GL588" s="19">
        <v>15.5</v>
      </c>
      <c r="GM588" s="19">
        <v>14.5</v>
      </c>
      <c r="GN588" s="19">
        <v>10.8</v>
      </c>
      <c r="GO588" s="19">
        <v>10</v>
      </c>
      <c r="GP588" s="19">
        <v>9</v>
      </c>
      <c r="GQ588" s="19">
        <v>8</v>
      </c>
      <c r="GR588" s="19">
        <v>5.8</v>
      </c>
      <c r="GS588" s="19">
        <v>5</v>
      </c>
    </row>
    <row r="589">
      <c r="A589" s="2" t="s">
        <v>3231</v>
      </c>
      <c r="B589" s="2" t="s">
        <v>245</v>
      </c>
      <c r="C589" s="2" t="s">
        <v>246</v>
      </c>
      <c r="D589" s="2" t="s">
        <v>247</v>
      </c>
      <c r="E589" s="2" t="s">
        <v>248</v>
      </c>
      <c r="F589" s="2" t="s">
        <v>3199</v>
      </c>
      <c r="G589" s="2" t="s">
        <v>3199</v>
      </c>
      <c r="H589" s="2" t="s">
        <v>3199</v>
      </c>
      <c r="I589" s="2" t="s">
        <v>3200</v>
      </c>
      <c r="J589" s="2" t="s">
        <v>219</v>
      </c>
      <c r="K589" s="2" t="s">
        <v>252</v>
      </c>
      <c r="L589" s="3">
        <v>29.9</v>
      </c>
      <c r="M589" s="3">
        <v>31.4</v>
      </c>
      <c r="N589" s="3">
        <v>64.99</v>
      </c>
      <c r="O589" s="2" t="s">
        <v>196</v>
      </c>
      <c r="P589" s="2" t="s">
        <v>197</v>
      </c>
      <c r="Q589" s="2" t="s">
        <v>198</v>
      </c>
      <c r="R589" s="2" t="s">
        <v>199</v>
      </c>
      <c r="S589" s="2" t="s">
        <v>3228</v>
      </c>
      <c r="T589" s="2" t="s">
        <v>300</v>
      </c>
      <c r="U589" s="2" t="s">
        <v>254</v>
      </c>
      <c r="V589" s="2" t="s">
        <v>202</v>
      </c>
      <c r="W589" s="2" t="s">
        <v>203</v>
      </c>
      <c r="X589" s="2" t="s">
        <v>199</v>
      </c>
      <c r="Y589" s="2" t="s">
        <v>3202</v>
      </c>
      <c r="Z589" s="4">
        <v>251</v>
      </c>
      <c r="AA589" s="4">
        <f>=ROUNDDOWN(24.368932038835,0)</f>
      </c>
      <c r="AB589" s="5">
        <v>10.3</v>
      </c>
      <c r="AC589" s="2" t="s">
        <v>377</v>
      </c>
      <c r="AD589" s="4">
        <v>242</v>
      </c>
      <c r="AE589" s="4">
        <v>242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199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199</v>
      </c>
      <c r="AW589" s="8" t="s">
        <v>199</v>
      </c>
      <c r="AX589" s="4" t="s">
        <v>199</v>
      </c>
      <c r="AY589" s="8" t="s">
        <v>199</v>
      </c>
      <c r="AZ589" s="7" t="s">
        <v>199</v>
      </c>
      <c r="BA589" s="7" t="s">
        <v>199</v>
      </c>
      <c r="BB589" s="7"/>
      <c r="BC589" s="4" t="s">
        <v>199</v>
      </c>
      <c r="BD589" s="8" t="s">
        <v>199</v>
      </c>
      <c r="BE589" s="4" t="s">
        <v>199</v>
      </c>
      <c r="BF589" s="8" t="s">
        <v>199</v>
      </c>
      <c r="BG589" s="7" t="s">
        <v>199</v>
      </c>
      <c r="BH589" s="7" t="s">
        <v>199</v>
      </c>
      <c r="BI589" s="7"/>
      <c r="BJ589" s="4">
        <v>52</v>
      </c>
      <c r="BK589" s="8">
        <v>1714.22</v>
      </c>
      <c r="BL589" s="2" t="s">
        <v>3232</v>
      </c>
      <c r="BM589" s="7"/>
      <c r="BN589" s="7"/>
      <c r="BO589" s="4"/>
      <c r="BP589" s="8"/>
      <c r="BQ589" s="4"/>
      <c r="BR589" s="8"/>
      <c r="BS589" s="7"/>
      <c r="BT589" s="7"/>
      <c r="BU589" s="2" t="s">
        <v>3203</v>
      </c>
      <c r="BV589" s="2" t="s">
        <v>199</v>
      </c>
      <c r="BW589" s="2" t="s">
        <v>199</v>
      </c>
      <c r="BX589" s="2" t="s">
        <v>208</v>
      </c>
      <c r="BY589" s="2" t="s">
        <v>209</v>
      </c>
      <c r="BZ589" s="2" t="s">
        <v>196</v>
      </c>
      <c r="CA589" s="2" t="s">
        <v>3204</v>
      </c>
      <c r="CB589" s="2" t="s">
        <v>3233</v>
      </c>
      <c r="CC589" s="2" t="s">
        <v>212</v>
      </c>
      <c r="CD589" s="2" t="s">
        <v>199</v>
      </c>
      <c r="CE589" s="4">
        <v>251</v>
      </c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>
        <v>242</v>
      </c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>
        <v>252</v>
      </c>
      <c r="EU589" s="4">
        <v>241</v>
      </c>
      <c r="EV589" s="4">
        <v>231</v>
      </c>
      <c r="EW589" s="4">
        <v>221</v>
      </c>
      <c r="EX589" s="4">
        <v>211</v>
      </c>
      <c r="EY589" s="4">
        <v>201</v>
      </c>
      <c r="EZ589" s="4">
        <v>191</v>
      </c>
      <c r="FA589" s="4">
        <v>181</v>
      </c>
      <c r="FB589" s="4">
        <v>411</v>
      </c>
      <c r="FC589" s="4">
        <v>401</v>
      </c>
      <c r="FD589" s="4">
        <v>391</v>
      </c>
      <c r="FE589" s="4">
        <v>381</v>
      </c>
      <c r="FF589" s="4">
        <v>371</v>
      </c>
      <c r="FG589" s="4">
        <v>361</v>
      </c>
      <c r="FH589" s="4">
        <v>351</v>
      </c>
      <c r="FI589" s="4">
        <v>341</v>
      </c>
      <c r="FJ589" s="4">
        <v>331</v>
      </c>
      <c r="FK589" s="4">
        <v>321</v>
      </c>
      <c r="FL589" s="4">
        <v>311</v>
      </c>
      <c r="FM589" s="4">
        <v>301</v>
      </c>
      <c r="FN589" s="4">
        <v>291</v>
      </c>
      <c r="FO589" s="4">
        <v>281</v>
      </c>
      <c r="FP589" s="4">
        <v>269</v>
      </c>
      <c r="FQ589" s="4">
        <v>259</v>
      </c>
      <c r="FR589" s="4">
        <v>249</v>
      </c>
      <c r="FS589" s="4">
        <v>239</v>
      </c>
      <c r="FT589" s="19">
        <v>25.2</v>
      </c>
      <c r="FU589" s="19">
        <v>24.1</v>
      </c>
      <c r="FV589" s="19">
        <v>23.1</v>
      </c>
      <c r="FW589" s="19">
        <v>22.1</v>
      </c>
      <c r="FX589" s="19">
        <v>21.1</v>
      </c>
      <c r="FY589" s="19">
        <v>20.1</v>
      </c>
      <c r="FZ589" s="19">
        <v>19.1</v>
      </c>
      <c r="GA589" s="19">
        <v>18.1</v>
      </c>
      <c r="GB589" s="19">
        <v>41.1</v>
      </c>
      <c r="GC589" s="19">
        <v>40.1</v>
      </c>
      <c r="GD589" s="19">
        <v>39.1</v>
      </c>
      <c r="GE589" s="19">
        <v>38.1</v>
      </c>
      <c r="GF589" s="19">
        <v>37.1</v>
      </c>
      <c r="GG589" s="19">
        <v>36.1</v>
      </c>
      <c r="GH589" s="19">
        <v>35.1</v>
      </c>
      <c r="GI589" s="19">
        <v>34.1</v>
      </c>
      <c r="GJ589" s="19">
        <v>33.1</v>
      </c>
      <c r="GK589" s="19">
        <v>32.1</v>
      </c>
      <c r="GL589" s="19">
        <v>31.1</v>
      </c>
      <c r="GM589" s="19">
        <v>30.1</v>
      </c>
      <c r="GN589" s="19">
        <v>29.1</v>
      </c>
      <c r="GO589" s="19">
        <v>28.1</v>
      </c>
      <c r="GP589" s="19">
        <v>26.9</v>
      </c>
      <c r="GQ589" s="19">
        <v>25.9</v>
      </c>
      <c r="GR589" s="19">
        <v>24.9</v>
      </c>
      <c r="GS589" s="19">
        <v>23.9</v>
      </c>
    </row>
    <row r="590">
      <c r="A590" s="2" t="s">
        <v>3234</v>
      </c>
      <c r="B590" s="2" t="s">
        <v>245</v>
      </c>
      <c r="C590" s="2" t="s">
        <v>246</v>
      </c>
      <c r="D590" s="2" t="s">
        <v>247</v>
      </c>
      <c r="E590" s="2" t="s">
        <v>248</v>
      </c>
      <c r="F590" s="2" t="s">
        <v>3199</v>
      </c>
      <c r="G590" s="2" t="s">
        <v>3199</v>
      </c>
      <c r="H590" s="2" t="s">
        <v>3199</v>
      </c>
      <c r="I590" s="2" t="s">
        <v>3200</v>
      </c>
      <c r="J590" s="2" t="s">
        <v>251</v>
      </c>
      <c r="K590" s="2" t="s">
        <v>252</v>
      </c>
      <c r="L590" s="3">
        <v>32.2</v>
      </c>
      <c r="M590" s="3">
        <v>33.81</v>
      </c>
      <c r="N590" s="3">
        <v>69.99</v>
      </c>
      <c r="O590" s="2" t="s">
        <v>196</v>
      </c>
      <c r="P590" s="2" t="s">
        <v>197</v>
      </c>
      <c r="Q590" s="2" t="s">
        <v>198</v>
      </c>
      <c r="R590" s="2" t="s">
        <v>199</v>
      </c>
      <c r="S590" s="2" t="s">
        <v>3228</v>
      </c>
      <c r="T590" s="2" t="s">
        <v>300</v>
      </c>
      <c r="U590" s="2" t="s">
        <v>254</v>
      </c>
      <c r="V590" s="2" t="s">
        <v>202</v>
      </c>
      <c r="W590" s="2" t="s">
        <v>203</v>
      </c>
      <c r="X590" s="2" t="s">
        <v>199</v>
      </c>
      <c r="Y590" s="2" t="s">
        <v>3202</v>
      </c>
      <c r="Z590" s="4">
        <v>136</v>
      </c>
      <c r="AA590" s="4">
        <f>=ROUNDDOWN(37.7777777777778,0)</f>
      </c>
      <c r="AB590" s="5">
        <v>3.6</v>
      </c>
      <c r="AC590" s="2" t="s">
        <v>199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199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199</v>
      </c>
      <c r="AW590" s="8" t="s">
        <v>199</v>
      </c>
      <c r="AX590" s="4" t="s">
        <v>199</v>
      </c>
      <c r="AY590" s="8" t="s">
        <v>199</v>
      </c>
      <c r="AZ590" s="7" t="s">
        <v>199</v>
      </c>
      <c r="BA590" s="7" t="s">
        <v>199</v>
      </c>
      <c r="BB590" s="7"/>
      <c r="BC590" s="4" t="s">
        <v>199</v>
      </c>
      <c r="BD590" s="8" t="s">
        <v>199</v>
      </c>
      <c r="BE590" s="4" t="s">
        <v>199</v>
      </c>
      <c r="BF590" s="8" t="s">
        <v>199</v>
      </c>
      <c r="BG590" s="7" t="s">
        <v>199</v>
      </c>
      <c r="BH590" s="7" t="s">
        <v>199</v>
      </c>
      <c r="BI590" s="7"/>
      <c r="BJ590" s="4">
        <v>18</v>
      </c>
      <c r="BK590" s="8">
        <v>633.53</v>
      </c>
      <c r="BL590" s="2" t="s">
        <v>996</v>
      </c>
      <c r="BM590" s="7"/>
      <c r="BN590" s="7"/>
      <c r="BO590" s="4"/>
      <c r="BP590" s="8"/>
      <c r="BQ590" s="4"/>
      <c r="BR590" s="8"/>
      <c r="BS590" s="7"/>
      <c r="BT590" s="7"/>
      <c r="BU590" s="2" t="s">
        <v>3203</v>
      </c>
      <c r="BV590" s="2" t="s">
        <v>199</v>
      </c>
      <c r="BW590" s="2" t="s">
        <v>199</v>
      </c>
      <c r="BX590" s="2" t="s">
        <v>208</v>
      </c>
      <c r="BY590" s="2" t="s">
        <v>209</v>
      </c>
      <c r="BZ590" s="2" t="s">
        <v>196</v>
      </c>
      <c r="CA590" s="2" t="s">
        <v>3204</v>
      </c>
      <c r="CB590" s="2" t="s">
        <v>3235</v>
      </c>
      <c r="CC590" s="2" t="s">
        <v>212</v>
      </c>
      <c r="CD590" s="2" t="s">
        <v>199</v>
      </c>
      <c r="CE590" s="4">
        <v>136</v>
      </c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>
        <v>136</v>
      </c>
      <c r="EU590" s="4">
        <v>132</v>
      </c>
      <c r="EV590" s="4">
        <v>128</v>
      </c>
      <c r="EW590" s="4">
        <v>124</v>
      </c>
      <c r="EX590" s="4">
        <v>120</v>
      </c>
      <c r="EY590" s="4">
        <v>116</v>
      </c>
      <c r="EZ590" s="4">
        <v>112</v>
      </c>
      <c r="FA590" s="4">
        <v>108</v>
      </c>
      <c r="FB590" s="4">
        <v>103</v>
      </c>
      <c r="FC590" s="4">
        <v>99</v>
      </c>
      <c r="FD590" s="4">
        <v>95</v>
      </c>
      <c r="FE590" s="4">
        <v>91</v>
      </c>
      <c r="FF590" s="4">
        <v>87</v>
      </c>
      <c r="FG590" s="4">
        <v>83</v>
      </c>
      <c r="FH590" s="4">
        <v>79</v>
      </c>
      <c r="FI590" s="4">
        <v>75</v>
      </c>
      <c r="FJ590" s="4">
        <v>71</v>
      </c>
      <c r="FK590" s="4">
        <v>67</v>
      </c>
      <c r="FL590" s="4">
        <v>63</v>
      </c>
      <c r="FM590" s="4">
        <v>59</v>
      </c>
      <c r="FN590" s="4">
        <v>55</v>
      </c>
      <c r="FO590" s="4">
        <v>51</v>
      </c>
      <c r="FP590" s="4">
        <v>46</v>
      </c>
      <c r="FQ590" s="4">
        <v>42</v>
      </c>
      <c r="FR590" s="4">
        <v>38</v>
      </c>
      <c r="FS590" s="4">
        <v>34</v>
      </c>
      <c r="FT590" s="19">
        <v>34</v>
      </c>
      <c r="FU590" s="19">
        <v>33</v>
      </c>
      <c r="FV590" s="19">
        <v>32</v>
      </c>
      <c r="FW590" s="19">
        <v>31</v>
      </c>
      <c r="FX590" s="19">
        <v>30</v>
      </c>
      <c r="FY590" s="19">
        <v>29</v>
      </c>
      <c r="FZ590" s="19">
        <v>28</v>
      </c>
      <c r="GA590" s="19">
        <v>27</v>
      </c>
      <c r="GB590" s="19">
        <v>25.8</v>
      </c>
      <c r="GC590" s="19">
        <v>24.8</v>
      </c>
      <c r="GD590" s="19">
        <v>23.8</v>
      </c>
      <c r="GE590" s="19">
        <v>22.8</v>
      </c>
      <c r="GF590" s="19">
        <v>21.8</v>
      </c>
      <c r="GG590" s="19">
        <v>20.8</v>
      </c>
      <c r="GH590" s="19">
        <v>19.8</v>
      </c>
      <c r="GI590" s="19">
        <v>18.8</v>
      </c>
      <c r="GJ590" s="19">
        <v>17.8</v>
      </c>
      <c r="GK590" s="19">
        <v>16.8</v>
      </c>
      <c r="GL590" s="19">
        <v>15.8</v>
      </c>
      <c r="GM590" s="19">
        <v>14.8</v>
      </c>
      <c r="GN590" s="19">
        <v>13.8</v>
      </c>
      <c r="GO590" s="19">
        <v>12.8</v>
      </c>
      <c r="GP590" s="19">
        <v>11.5</v>
      </c>
      <c r="GQ590" s="19">
        <v>10.5</v>
      </c>
      <c r="GR590" s="19">
        <v>9.5</v>
      </c>
      <c r="GS590" s="19">
        <v>8.5</v>
      </c>
    </row>
    <row r="591">
      <c r="A591" s="2" t="s">
        <v>3236</v>
      </c>
      <c r="B591" s="2" t="s">
        <v>245</v>
      </c>
      <c r="C591" s="2" t="s">
        <v>246</v>
      </c>
      <c r="D591" s="2" t="s">
        <v>247</v>
      </c>
      <c r="E591" s="2" t="s">
        <v>248</v>
      </c>
      <c r="F591" s="2" t="s">
        <v>3199</v>
      </c>
      <c r="G591" s="2" t="s">
        <v>3199</v>
      </c>
      <c r="H591" s="2" t="s">
        <v>3199</v>
      </c>
      <c r="I591" s="2" t="s">
        <v>3200</v>
      </c>
      <c r="J591" s="2" t="s">
        <v>285</v>
      </c>
      <c r="K591" s="2" t="s">
        <v>1073</v>
      </c>
      <c r="L591" s="3">
        <v>27</v>
      </c>
      <c r="M591" s="3">
        <v>28.35</v>
      </c>
      <c r="N591" s="3">
        <v>59.99</v>
      </c>
      <c r="O591" s="2" t="s">
        <v>196</v>
      </c>
      <c r="P591" s="2" t="s">
        <v>197</v>
      </c>
      <c r="Q591" s="2" t="s">
        <v>198</v>
      </c>
      <c r="R591" s="2" t="s">
        <v>199</v>
      </c>
      <c r="S591" s="2" t="s">
        <v>3237</v>
      </c>
      <c r="T591" s="2" t="s">
        <v>300</v>
      </c>
      <c r="U591" s="2" t="s">
        <v>254</v>
      </c>
      <c r="V591" s="2" t="s">
        <v>202</v>
      </c>
      <c r="W591" s="2" t="s">
        <v>203</v>
      </c>
      <c r="X591" s="2" t="s">
        <v>199</v>
      </c>
      <c r="Y591" s="2" t="s">
        <v>3202</v>
      </c>
      <c r="Z591" s="4">
        <v>153</v>
      </c>
      <c r="AA591" s="4">
        <f>=ROUNDDOWN(25.5,0)</f>
      </c>
      <c r="AB591" s="5">
        <v>6</v>
      </c>
      <c r="AC591" s="2" t="s">
        <v>377</v>
      </c>
      <c r="AD591" s="4">
        <v>60</v>
      </c>
      <c r="AE591" s="4">
        <v>60</v>
      </c>
      <c r="AF591" s="6">
        <v>65</v>
      </c>
      <c r="AG591" s="6"/>
      <c r="AH591" s="7">
        <v>0.4516</v>
      </c>
      <c r="AI591" s="4"/>
      <c r="AJ591" s="4">
        <f>=ROUNDDOWN({0},0)</f>
      </c>
      <c r="AK591" s="5"/>
      <c r="AL591" s="2" t="s">
        <v>199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199</v>
      </c>
      <c r="AW591" s="8" t="s">
        <v>199</v>
      </c>
      <c r="AX591" s="4" t="s">
        <v>199</v>
      </c>
      <c r="AY591" s="8" t="s">
        <v>199</v>
      </c>
      <c r="AZ591" s="7" t="s">
        <v>199</v>
      </c>
      <c r="BA591" s="7" t="s">
        <v>199</v>
      </c>
      <c r="BB591" s="7"/>
      <c r="BC591" s="4" t="s">
        <v>199</v>
      </c>
      <c r="BD591" s="8" t="s">
        <v>199</v>
      </c>
      <c r="BE591" s="4" t="s">
        <v>199</v>
      </c>
      <c r="BF591" s="8" t="s">
        <v>199</v>
      </c>
      <c r="BG591" s="7" t="s">
        <v>199</v>
      </c>
      <c r="BH591" s="7" t="s">
        <v>199</v>
      </c>
      <c r="BI591" s="7"/>
      <c r="BJ591" s="4">
        <v>27</v>
      </c>
      <c r="BK591" s="8">
        <v>784.08</v>
      </c>
      <c r="BL591" s="2" t="s">
        <v>3238</v>
      </c>
      <c r="BM591" s="7"/>
      <c r="BN591" s="7"/>
      <c r="BO591" s="4"/>
      <c r="BP591" s="8"/>
      <c r="BQ591" s="4"/>
      <c r="BR591" s="8"/>
      <c r="BS591" s="7"/>
      <c r="BT591" s="7"/>
      <c r="BU591" s="2" t="s">
        <v>3203</v>
      </c>
      <c r="BV591" s="2" t="s">
        <v>199</v>
      </c>
      <c r="BW591" s="2" t="s">
        <v>199</v>
      </c>
      <c r="BX591" s="2" t="s">
        <v>208</v>
      </c>
      <c r="BY591" s="2" t="s">
        <v>209</v>
      </c>
      <c r="BZ591" s="2" t="s">
        <v>196</v>
      </c>
      <c r="CA591" s="2" t="s">
        <v>3204</v>
      </c>
      <c r="CB591" s="2" t="s">
        <v>3082</v>
      </c>
      <c r="CC591" s="2" t="s">
        <v>212</v>
      </c>
      <c r="CD591" s="2" t="s">
        <v>199</v>
      </c>
      <c r="CE591" s="4">
        <v>153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>
        <v>60</v>
      </c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>
        <v>153</v>
      </c>
      <c r="EU591" s="4">
        <v>147</v>
      </c>
      <c r="EV591" s="4">
        <v>141</v>
      </c>
      <c r="EW591" s="4">
        <v>135</v>
      </c>
      <c r="EX591" s="4">
        <v>129</v>
      </c>
      <c r="EY591" s="4">
        <v>123</v>
      </c>
      <c r="EZ591" s="4">
        <v>117</v>
      </c>
      <c r="FA591" s="4">
        <v>111</v>
      </c>
      <c r="FB591" s="4">
        <v>164</v>
      </c>
      <c r="FC591" s="4">
        <v>158</v>
      </c>
      <c r="FD591" s="4">
        <v>152</v>
      </c>
      <c r="FE591" s="4">
        <v>146</v>
      </c>
      <c r="FF591" s="4">
        <v>140</v>
      </c>
      <c r="FG591" s="4">
        <v>134</v>
      </c>
      <c r="FH591" s="4">
        <v>128</v>
      </c>
      <c r="FI591" s="4">
        <v>122</v>
      </c>
      <c r="FJ591" s="4">
        <v>116</v>
      </c>
      <c r="FK591" s="4">
        <v>110</v>
      </c>
      <c r="FL591" s="4">
        <v>104</v>
      </c>
      <c r="FM591" s="4">
        <v>98</v>
      </c>
      <c r="FN591" s="4">
        <v>92</v>
      </c>
      <c r="FO591" s="4">
        <v>86</v>
      </c>
      <c r="FP591" s="4">
        <v>79</v>
      </c>
      <c r="FQ591" s="4">
        <v>73</v>
      </c>
      <c r="FR591" s="4">
        <v>67</v>
      </c>
      <c r="FS591" s="4">
        <v>66</v>
      </c>
      <c r="FT591" s="19">
        <v>25.5</v>
      </c>
      <c r="FU591" s="19">
        <v>24.5</v>
      </c>
      <c r="FV591" s="19">
        <v>23.5</v>
      </c>
      <c r="FW591" s="19">
        <v>22.5</v>
      </c>
      <c r="FX591" s="19">
        <v>21.5</v>
      </c>
      <c r="FY591" s="19">
        <v>20.5</v>
      </c>
      <c r="FZ591" s="19">
        <v>19.5</v>
      </c>
      <c r="GA591" s="19">
        <v>18.5</v>
      </c>
      <c r="GB591" s="19">
        <v>27.3</v>
      </c>
      <c r="GC591" s="19">
        <v>26.3</v>
      </c>
      <c r="GD591" s="19">
        <v>25.3</v>
      </c>
      <c r="GE591" s="19">
        <v>24.3</v>
      </c>
      <c r="GF591" s="19">
        <v>23.3</v>
      </c>
      <c r="GG591" s="19">
        <v>22.3</v>
      </c>
      <c r="GH591" s="19">
        <v>21.3</v>
      </c>
      <c r="GI591" s="19">
        <v>20.3</v>
      </c>
      <c r="GJ591" s="19">
        <v>19.3</v>
      </c>
      <c r="GK591" s="19">
        <v>18.3</v>
      </c>
      <c r="GL591" s="19">
        <v>17.3</v>
      </c>
      <c r="GM591" s="19">
        <v>16.3</v>
      </c>
      <c r="GN591" s="19">
        <v>15.3</v>
      </c>
      <c r="GO591" s="19">
        <v>14.3</v>
      </c>
      <c r="GP591" s="19">
        <v>13.2</v>
      </c>
      <c r="GQ591" s="19">
        <v>12.2</v>
      </c>
      <c r="GR591" s="19">
        <v>11.2</v>
      </c>
      <c r="GS591" s="19">
        <v>11</v>
      </c>
    </row>
    <row r="592">
      <c r="A592" s="2" t="s">
        <v>3239</v>
      </c>
      <c r="B592" s="2" t="s">
        <v>245</v>
      </c>
      <c r="C592" s="2" t="s">
        <v>246</v>
      </c>
      <c r="D592" s="2" t="s">
        <v>247</v>
      </c>
      <c r="E592" s="2" t="s">
        <v>248</v>
      </c>
      <c r="F592" s="2" t="s">
        <v>3199</v>
      </c>
      <c r="G592" s="2" t="s">
        <v>3199</v>
      </c>
      <c r="H592" s="2" t="s">
        <v>3199</v>
      </c>
      <c r="I592" s="2" t="s">
        <v>3200</v>
      </c>
      <c r="J592" s="2" t="s">
        <v>223</v>
      </c>
      <c r="K592" s="2" t="s">
        <v>1073</v>
      </c>
      <c r="L592" s="3">
        <v>32.2</v>
      </c>
      <c r="M592" s="3">
        <v>33.81</v>
      </c>
      <c r="N592" s="3">
        <v>69.99</v>
      </c>
      <c r="O592" s="2" t="s">
        <v>196</v>
      </c>
      <c r="P592" s="2" t="s">
        <v>197</v>
      </c>
      <c r="Q592" s="2" t="s">
        <v>198</v>
      </c>
      <c r="R592" s="2" t="s">
        <v>199</v>
      </c>
      <c r="S592" s="2" t="s">
        <v>3237</v>
      </c>
      <c r="T592" s="2" t="s">
        <v>300</v>
      </c>
      <c r="U592" s="2" t="s">
        <v>254</v>
      </c>
      <c r="V592" s="2" t="s">
        <v>202</v>
      </c>
      <c r="W592" s="2" t="s">
        <v>203</v>
      </c>
      <c r="X592" s="2" t="s">
        <v>199</v>
      </c>
      <c r="Y592" s="2" t="s">
        <v>3202</v>
      </c>
      <c r="Z592" s="4">
        <v>181</v>
      </c>
      <c r="AA592" s="4">
        <f>=ROUNDDOWN(45.25,0)</f>
      </c>
      <c r="AB592" s="5">
        <v>4</v>
      </c>
      <c r="AC592" s="2" t="s">
        <v>199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199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199</v>
      </c>
      <c r="AW592" s="8" t="s">
        <v>199</v>
      </c>
      <c r="AX592" s="4" t="s">
        <v>199</v>
      </c>
      <c r="AY592" s="8" t="s">
        <v>199</v>
      </c>
      <c r="AZ592" s="7" t="s">
        <v>199</v>
      </c>
      <c r="BA592" s="7" t="s">
        <v>199</v>
      </c>
      <c r="BB592" s="7"/>
      <c r="BC592" s="4" t="s">
        <v>199</v>
      </c>
      <c r="BD592" s="8" t="s">
        <v>199</v>
      </c>
      <c r="BE592" s="4" t="s">
        <v>199</v>
      </c>
      <c r="BF592" s="8" t="s">
        <v>199</v>
      </c>
      <c r="BG592" s="7" t="s">
        <v>199</v>
      </c>
      <c r="BH592" s="7" t="s">
        <v>199</v>
      </c>
      <c r="BI592" s="7"/>
      <c r="BJ592" s="4">
        <v>22</v>
      </c>
      <c r="BK592" s="8">
        <v>760.57</v>
      </c>
      <c r="BL592" s="2" t="s">
        <v>3240</v>
      </c>
      <c r="BM592" s="7"/>
      <c r="BN592" s="7"/>
      <c r="BO592" s="4"/>
      <c r="BP592" s="8"/>
      <c r="BQ592" s="4"/>
      <c r="BR592" s="8"/>
      <c r="BS592" s="7"/>
      <c r="BT592" s="7"/>
      <c r="BU592" s="2" t="s">
        <v>3203</v>
      </c>
      <c r="BV592" s="2" t="s">
        <v>199</v>
      </c>
      <c r="BW592" s="2" t="s">
        <v>199</v>
      </c>
      <c r="BX592" s="2" t="s">
        <v>208</v>
      </c>
      <c r="BY592" s="2" t="s">
        <v>209</v>
      </c>
      <c r="BZ592" s="2" t="s">
        <v>196</v>
      </c>
      <c r="CA592" s="2" t="s">
        <v>3204</v>
      </c>
      <c r="CB592" s="2" t="s">
        <v>1654</v>
      </c>
      <c r="CC592" s="2" t="s">
        <v>212</v>
      </c>
      <c r="CD592" s="2" t="s">
        <v>199</v>
      </c>
      <c r="CE592" s="4">
        <v>181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>
        <v>184</v>
      </c>
      <c r="EU592" s="4">
        <v>177</v>
      </c>
      <c r="EV592" s="4">
        <v>173</v>
      </c>
      <c r="EW592" s="4">
        <v>169</v>
      </c>
      <c r="EX592" s="4">
        <v>165</v>
      </c>
      <c r="EY592" s="4">
        <v>161</v>
      </c>
      <c r="EZ592" s="4">
        <v>157</v>
      </c>
      <c r="FA592" s="4">
        <v>153</v>
      </c>
      <c r="FB592" s="4">
        <v>148</v>
      </c>
      <c r="FC592" s="4">
        <v>144</v>
      </c>
      <c r="FD592" s="4">
        <v>140</v>
      </c>
      <c r="FE592" s="4">
        <v>136</v>
      </c>
      <c r="FF592" s="4">
        <v>132</v>
      </c>
      <c r="FG592" s="4">
        <v>128</v>
      </c>
      <c r="FH592" s="4">
        <v>124</v>
      </c>
      <c r="FI592" s="4">
        <v>120</v>
      </c>
      <c r="FJ592" s="4">
        <v>116</v>
      </c>
      <c r="FK592" s="4">
        <v>112</v>
      </c>
      <c r="FL592" s="4">
        <v>108</v>
      </c>
      <c r="FM592" s="4">
        <v>104</v>
      </c>
      <c r="FN592" s="4">
        <v>100</v>
      </c>
      <c r="FO592" s="4">
        <v>96</v>
      </c>
      <c r="FP592" s="4">
        <v>91</v>
      </c>
      <c r="FQ592" s="4">
        <v>87</v>
      </c>
      <c r="FR592" s="4">
        <v>83</v>
      </c>
      <c r="FS592" s="4">
        <v>79</v>
      </c>
      <c r="FT592" s="19">
        <v>36.8</v>
      </c>
      <c r="FU592" s="19">
        <v>44.3</v>
      </c>
      <c r="FV592" s="19">
        <v>43.3</v>
      </c>
      <c r="FW592" s="19">
        <v>42.3</v>
      </c>
      <c r="FX592" s="19">
        <v>41.3</v>
      </c>
      <c r="FY592" s="19">
        <v>40.3</v>
      </c>
      <c r="FZ592" s="19">
        <v>39.3</v>
      </c>
      <c r="GA592" s="19">
        <v>38.3</v>
      </c>
      <c r="GB592" s="19">
        <v>37</v>
      </c>
      <c r="GC592" s="19">
        <v>36</v>
      </c>
      <c r="GD592" s="19">
        <v>35</v>
      </c>
      <c r="GE592" s="19">
        <v>34</v>
      </c>
      <c r="GF592" s="19">
        <v>33</v>
      </c>
      <c r="GG592" s="19">
        <v>32</v>
      </c>
      <c r="GH592" s="19">
        <v>31</v>
      </c>
      <c r="GI592" s="19">
        <v>30</v>
      </c>
      <c r="GJ592" s="19">
        <v>29</v>
      </c>
      <c r="GK592" s="19">
        <v>28</v>
      </c>
      <c r="GL592" s="19">
        <v>27</v>
      </c>
      <c r="GM592" s="19">
        <v>26</v>
      </c>
      <c r="GN592" s="19">
        <v>25</v>
      </c>
      <c r="GO592" s="19">
        <v>24</v>
      </c>
      <c r="GP592" s="19">
        <v>22.8</v>
      </c>
      <c r="GQ592" s="19">
        <v>21.8</v>
      </c>
      <c r="GR592" s="19">
        <v>20.8</v>
      </c>
      <c r="GS592" s="19">
        <v>19.8</v>
      </c>
    </row>
    <row r="593">
      <c r="A593" s="2" t="s">
        <v>3241</v>
      </c>
      <c r="B593" s="2" t="s">
        <v>245</v>
      </c>
      <c r="C593" s="2" t="s">
        <v>246</v>
      </c>
      <c r="D593" s="2" t="s">
        <v>247</v>
      </c>
      <c r="E593" s="2" t="s">
        <v>248</v>
      </c>
      <c r="F593" s="2" t="s">
        <v>3199</v>
      </c>
      <c r="G593" s="2" t="s">
        <v>3199</v>
      </c>
      <c r="H593" s="2" t="s">
        <v>3199</v>
      </c>
      <c r="I593" s="2" t="s">
        <v>3200</v>
      </c>
      <c r="J593" s="2" t="s">
        <v>251</v>
      </c>
      <c r="K593" s="2" t="s">
        <v>1073</v>
      </c>
      <c r="L593" s="3">
        <v>32.2</v>
      </c>
      <c r="M593" s="3">
        <v>33.81</v>
      </c>
      <c r="N593" s="3">
        <v>69.99</v>
      </c>
      <c r="O593" s="2" t="s">
        <v>196</v>
      </c>
      <c r="P593" s="2" t="s">
        <v>197</v>
      </c>
      <c r="Q593" s="2" t="s">
        <v>198</v>
      </c>
      <c r="R593" s="2" t="s">
        <v>199</v>
      </c>
      <c r="S593" s="2" t="s">
        <v>3237</v>
      </c>
      <c r="T593" s="2" t="s">
        <v>300</v>
      </c>
      <c r="U593" s="2" t="s">
        <v>254</v>
      </c>
      <c r="V593" s="2" t="s">
        <v>202</v>
      </c>
      <c r="W593" s="2" t="s">
        <v>203</v>
      </c>
      <c r="X593" s="2" t="s">
        <v>199</v>
      </c>
      <c r="Y593" s="2" t="s">
        <v>3202</v>
      </c>
      <c r="Z593" s="4">
        <v>86</v>
      </c>
      <c r="AA593" s="4">
        <f>=ROUNDDOWN(30.7142857142857,0)</f>
      </c>
      <c r="AB593" s="5">
        <v>2.8</v>
      </c>
      <c r="AC593" s="2" t="s">
        <v>377</v>
      </c>
      <c r="AD593" s="4">
        <v>59</v>
      </c>
      <c r="AE593" s="4">
        <v>59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199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199</v>
      </c>
      <c r="AW593" s="8" t="s">
        <v>199</v>
      </c>
      <c r="AX593" s="4" t="s">
        <v>199</v>
      </c>
      <c r="AY593" s="8" t="s">
        <v>199</v>
      </c>
      <c r="AZ593" s="7" t="s">
        <v>199</v>
      </c>
      <c r="BA593" s="7" t="s">
        <v>199</v>
      </c>
      <c r="BB593" s="7"/>
      <c r="BC593" s="4" t="s">
        <v>199</v>
      </c>
      <c r="BD593" s="8" t="s">
        <v>199</v>
      </c>
      <c r="BE593" s="4" t="s">
        <v>199</v>
      </c>
      <c r="BF593" s="8" t="s">
        <v>199</v>
      </c>
      <c r="BG593" s="7" t="s">
        <v>199</v>
      </c>
      <c r="BH593" s="7" t="s">
        <v>199</v>
      </c>
      <c r="BI593" s="7"/>
      <c r="BJ593" s="4">
        <v>12</v>
      </c>
      <c r="BK593" s="8">
        <v>428.5</v>
      </c>
      <c r="BL593" s="2" t="s">
        <v>1351</v>
      </c>
      <c r="BM593" s="7"/>
      <c r="BN593" s="7"/>
      <c r="BO593" s="4"/>
      <c r="BP593" s="8"/>
      <c r="BQ593" s="4"/>
      <c r="BR593" s="8"/>
      <c r="BS593" s="7"/>
      <c r="BT593" s="7"/>
      <c r="BU593" s="2" t="s">
        <v>3203</v>
      </c>
      <c r="BV593" s="2" t="s">
        <v>199</v>
      </c>
      <c r="BW593" s="2" t="s">
        <v>199</v>
      </c>
      <c r="BX593" s="2" t="s">
        <v>208</v>
      </c>
      <c r="BY593" s="2" t="s">
        <v>209</v>
      </c>
      <c r="BZ593" s="2" t="s">
        <v>196</v>
      </c>
      <c r="CA593" s="2" t="s">
        <v>3204</v>
      </c>
      <c r="CB593" s="2" t="s">
        <v>2167</v>
      </c>
      <c r="CC593" s="2" t="s">
        <v>212</v>
      </c>
      <c r="CD593" s="2" t="s">
        <v>199</v>
      </c>
      <c r="CE593" s="4">
        <v>86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>
        <v>59</v>
      </c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>
        <v>90</v>
      </c>
      <c r="EU593" s="4">
        <v>85</v>
      </c>
      <c r="EV593" s="4">
        <v>82</v>
      </c>
      <c r="EW593" s="4">
        <v>79</v>
      </c>
      <c r="EX593" s="4">
        <v>76</v>
      </c>
      <c r="EY593" s="4">
        <v>73</v>
      </c>
      <c r="EZ593" s="4">
        <v>70</v>
      </c>
      <c r="FA593" s="4">
        <v>67</v>
      </c>
      <c r="FB593" s="4">
        <v>122</v>
      </c>
      <c r="FC593" s="4">
        <v>119</v>
      </c>
      <c r="FD593" s="4">
        <v>116</v>
      </c>
      <c r="FE593" s="4">
        <v>113</v>
      </c>
      <c r="FF593" s="4">
        <v>110</v>
      </c>
      <c r="FG593" s="4">
        <v>107</v>
      </c>
      <c r="FH593" s="4">
        <v>104</v>
      </c>
      <c r="FI593" s="4">
        <v>101</v>
      </c>
      <c r="FJ593" s="4">
        <v>98</v>
      </c>
      <c r="FK593" s="4">
        <v>95</v>
      </c>
      <c r="FL593" s="4">
        <v>92</v>
      </c>
      <c r="FM593" s="4">
        <v>89</v>
      </c>
      <c r="FN593" s="4">
        <v>86</v>
      </c>
      <c r="FO593" s="4">
        <v>83</v>
      </c>
      <c r="FP593" s="4">
        <v>79</v>
      </c>
      <c r="FQ593" s="4">
        <v>76</v>
      </c>
      <c r="FR593" s="4">
        <v>73</v>
      </c>
      <c r="FS593" s="4">
        <v>70</v>
      </c>
      <c r="FT593" s="19">
        <v>22.5</v>
      </c>
      <c r="FU593" s="19">
        <v>28.3</v>
      </c>
      <c r="FV593" s="19">
        <v>27.3</v>
      </c>
      <c r="FW593" s="19">
        <v>26.3</v>
      </c>
      <c r="FX593" s="19">
        <v>25.3</v>
      </c>
      <c r="FY593" s="19">
        <v>24.3</v>
      </c>
      <c r="FZ593" s="19">
        <v>23.3</v>
      </c>
      <c r="GA593" s="19">
        <v>22.3</v>
      </c>
      <c r="GB593" s="19">
        <v>40.7</v>
      </c>
      <c r="GC593" s="19">
        <v>39.7</v>
      </c>
      <c r="GD593" s="19">
        <v>38.7</v>
      </c>
      <c r="GE593" s="19">
        <v>37.7</v>
      </c>
      <c r="GF593" s="19">
        <v>36.7</v>
      </c>
      <c r="GG593" s="19">
        <v>35.7</v>
      </c>
      <c r="GH593" s="19">
        <v>34.7</v>
      </c>
      <c r="GI593" s="19">
        <v>33.7</v>
      </c>
      <c r="GJ593" s="19">
        <v>32.7</v>
      </c>
      <c r="GK593" s="19">
        <v>31.7</v>
      </c>
      <c r="GL593" s="19">
        <v>30.7</v>
      </c>
      <c r="GM593" s="19">
        <v>29.7</v>
      </c>
      <c r="GN593" s="19">
        <v>28.7</v>
      </c>
      <c r="GO593" s="19">
        <v>27.7</v>
      </c>
      <c r="GP593" s="19">
        <v>26.3</v>
      </c>
      <c r="GQ593" s="19">
        <v>25.3</v>
      </c>
      <c r="GR593" s="19">
        <v>24.3</v>
      </c>
      <c r="GS593" s="19">
        <v>23.3</v>
      </c>
    </row>
    <row r="594">
      <c r="A594" s="2" t="s">
        <v>3242</v>
      </c>
      <c r="B594" s="2" t="s">
        <v>245</v>
      </c>
      <c r="C594" s="2" t="s">
        <v>246</v>
      </c>
      <c r="D594" s="2" t="s">
        <v>247</v>
      </c>
      <c r="E594" s="2" t="s">
        <v>248</v>
      </c>
      <c r="F594" s="2" t="s">
        <v>3199</v>
      </c>
      <c r="G594" s="2" t="s">
        <v>3199</v>
      </c>
      <c r="H594" s="2" t="s">
        <v>3199</v>
      </c>
      <c r="I594" s="2" t="s">
        <v>3200</v>
      </c>
      <c r="J594" s="2" t="s">
        <v>194</v>
      </c>
      <c r="K594" s="2" t="s">
        <v>544</v>
      </c>
      <c r="L594" s="3">
        <v>21.6</v>
      </c>
      <c r="M594" s="3">
        <v>22.68</v>
      </c>
      <c r="N594" s="3">
        <v>47.99</v>
      </c>
      <c r="O594" s="2" t="s">
        <v>196</v>
      </c>
      <c r="P594" s="2" t="s">
        <v>197</v>
      </c>
      <c r="Q594" s="2" t="s">
        <v>198</v>
      </c>
      <c r="R594" s="2" t="s">
        <v>199</v>
      </c>
      <c r="S594" s="2" t="s">
        <v>3243</v>
      </c>
      <c r="T594" s="2" t="s">
        <v>300</v>
      </c>
      <c r="U594" s="2" t="s">
        <v>637</v>
      </c>
      <c r="V594" s="2" t="s">
        <v>202</v>
      </c>
      <c r="W594" s="2" t="s">
        <v>203</v>
      </c>
      <c r="X594" s="2" t="s">
        <v>199</v>
      </c>
      <c r="Y594" s="2" t="s">
        <v>3202</v>
      </c>
      <c r="Z594" s="4">
        <v>86</v>
      </c>
      <c r="AA594" s="4">
        <f>=ROUNDDOWN(28.6666666666667,0)</f>
      </c>
      <c r="AB594" s="5">
        <v>3</v>
      </c>
      <c r="AC594" s="2" t="s">
        <v>199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199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199</v>
      </c>
      <c r="AW594" s="8" t="s">
        <v>199</v>
      </c>
      <c r="AX594" s="4" t="s">
        <v>199</v>
      </c>
      <c r="AY594" s="8" t="s">
        <v>199</v>
      </c>
      <c r="AZ594" s="7" t="s">
        <v>199</v>
      </c>
      <c r="BA594" s="7" t="s">
        <v>199</v>
      </c>
      <c r="BB594" s="7"/>
      <c r="BC594" s="4" t="s">
        <v>199</v>
      </c>
      <c r="BD594" s="8" t="s">
        <v>199</v>
      </c>
      <c r="BE594" s="4" t="s">
        <v>199</v>
      </c>
      <c r="BF594" s="8" t="s">
        <v>199</v>
      </c>
      <c r="BG594" s="7" t="s">
        <v>199</v>
      </c>
      <c r="BH594" s="7" t="s">
        <v>199</v>
      </c>
      <c r="BI594" s="7"/>
      <c r="BJ594" s="4">
        <v>12</v>
      </c>
      <c r="BK594" s="8">
        <v>280.39</v>
      </c>
      <c r="BL594" s="2" t="s">
        <v>268</v>
      </c>
      <c r="BM594" s="7"/>
      <c r="BN594" s="7"/>
      <c r="BO594" s="4"/>
      <c r="BP594" s="8"/>
      <c r="BQ594" s="4"/>
      <c r="BR594" s="8"/>
      <c r="BS594" s="7"/>
      <c r="BT594" s="7"/>
      <c r="BU594" s="2" t="s">
        <v>3203</v>
      </c>
      <c r="BV594" s="2" t="s">
        <v>199</v>
      </c>
      <c r="BW594" s="2" t="s">
        <v>199</v>
      </c>
      <c r="BX594" s="2" t="s">
        <v>208</v>
      </c>
      <c r="BY594" s="2" t="s">
        <v>209</v>
      </c>
      <c r="BZ594" s="2" t="s">
        <v>196</v>
      </c>
      <c r="CA594" s="2" t="s">
        <v>3204</v>
      </c>
      <c r="CB594" s="2" t="s">
        <v>3244</v>
      </c>
      <c r="CC594" s="2" t="s">
        <v>212</v>
      </c>
      <c r="CD594" s="2" t="s">
        <v>199</v>
      </c>
      <c r="CE594" s="4">
        <v>86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>
        <v>86</v>
      </c>
      <c r="EU594" s="4">
        <v>83</v>
      </c>
      <c r="EV594" s="4">
        <v>80</v>
      </c>
      <c r="EW594" s="4">
        <v>77</v>
      </c>
      <c r="EX594" s="4">
        <v>74</v>
      </c>
      <c r="EY594" s="4">
        <v>71</v>
      </c>
      <c r="EZ594" s="4">
        <v>68</v>
      </c>
      <c r="FA594" s="4">
        <v>65</v>
      </c>
      <c r="FB594" s="4">
        <v>61</v>
      </c>
      <c r="FC594" s="4">
        <v>58</v>
      </c>
      <c r="FD594" s="4">
        <v>55</v>
      </c>
      <c r="FE594" s="4">
        <v>52</v>
      </c>
      <c r="FF594" s="4">
        <v>49</v>
      </c>
      <c r="FG594" s="4">
        <v>46</v>
      </c>
      <c r="FH594" s="4">
        <v>43</v>
      </c>
      <c r="FI594" s="4">
        <v>40</v>
      </c>
      <c r="FJ594" s="4">
        <v>37</v>
      </c>
      <c r="FK594" s="4">
        <v>34</v>
      </c>
      <c r="FL594" s="4">
        <v>31</v>
      </c>
      <c r="FM594" s="4">
        <v>76</v>
      </c>
      <c r="FN594" s="4">
        <v>73</v>
      </c>
      <c r="FO594" s="4">
        <v>70</v>
      </c>
      <c r="FP594" s="4">
        <v>66</v>
      </c>
      <c r="FQ594" s="4">
        <v>62</v>
      </c>
      <c r="FR594" s="4">
        <v>58</v>
      </c>
      <c r="FS594" s="4">
        <v>54</v>
      </c>
      <c r="FT594" s="19">
        <v>28.7</v>
      </c>
      <c r="FU594" s="19">
        <v>27.7</v>
      </c>
      <c r="FV594" s="19">
        <v>26.7</v>
      </c>
      <c r="FW594" s="19">
        <v>25.7</v>
      </c>
      <c r="FX594" s="19">
        <v>24.7</v>
      </c>
      <c r="FY594" s="19">
        <v>23.7</v>
      </c>
      <c r="FZ594" s="19">
        <v>22.7</v>
      </c>
      <c r="GA594" s="19">
        <v>21.7</v>
      </c>
      <c r="GB594" s="19">
        <v>20.3</v>
      </c>
      <c r="GC594" s="19">
        <v>19.3</v>
      </c>
      <c r="GD594" s="19">
        <v>18.3</v>
      </c>
      <c r="GE594" s="19">
        <v>17.3</v>
      </c>
      <c r="GF594" s="19">
        <v>16.3</v>
      </c>
      <c r="GG594" s="19">
        <v>15.3</v>
      </c>
      <c r="GH594" s="19">
        <v>14.3</v>
      </c>
      <c r="GI594" s="19">
        <v>13.3</v>
      </c>
      <c r="GJ594" s="19">
        <v>12.3</v>
      </c>
      <c r="GK594" s="19">
        <v>11.3</v>
      </c>
      <c r="GL594" s="19">
        <v>10.3</v>
      </c>
      <c r="GM594" s="19">
        <v>19</v>
      </c>
      <c r="GN594" s="19">
        <v>18.3</v>
      </c>
      <c r="GO594" s="19">
        <v>17.5</v>
      </c>
      <c r="GP594" s="19">
        <v>16.5</v>
      </c>
      <c r="GQ594" s="19">
        <v>15.5</v>
      </c>
      <c r="GR594" s="19">
        <v>14.5</v>
      </c>
      <c r="GS594" s="19">
        <v>10.8</v>
      </c>
    </row>
    <row r="595">
      <c r="A595" s="2" t="s">
        <v>3245</v>
      </c>
      <c r="B595" s="2" t="s">
        <v>245</v>
      </c>
      <c r="C595" s="2" t="s">
        <v>246</v>
      </c>
      <c r="D595" s="2" t="s">
        <v>247</v>
      </c>
      <c r="E595" s="2" t="s">
        <v>248</v>
      </c>
      <c r="F595" s="2" t="s">
        <v>3199</v>
      </c>
      <c r="G595" s="2" t="s">
        <v>3199</v>
      </c>
      <c r="H595" s="2" t="s">
        <v>3199</v>
      </c>
      <c r="I595" s="2" t="s">
        <v>3200</v>
      </c>
      <c r="J595" s="2" t="s">
        <v>285</v>
      </c>
      <c r="K595" s="2" t="s">
        <v>544</v>
      </c>
      <c r="L595" s="3">
        <v>27</v>
      </c>
      <c r="M595" s="3">
        <v>28.35</v>
      </c>
      <c r="N595" s="3">
        <v>59.99</v>
      </c>
      <c r="O595" s="2" t="s">
        <v>196</v>
      </c>
      <c r="P595" s="2" t="s">
        <v>197</v>
      </c>
      <c r="Q595" s="2" t="s">
        <v>198</v>
      </c>
      <c r="R595" s="2" t="s">
        <v>199</v>
      </c>
      <c r="S595" s="2" t="s">
        <v>3243</v>
      </c>
      <c r="T595" s="2" t="s">
        <v>300</v>
      </c>
      <c r="U595" s="2" t="s">
        <v>254</v>
      </c>
      <c r="V595" s="2" t="s">
        <v>202</v>
      </c>
      <c r="W595" s="2" t="s">
        <v>203</v>
      </c>
      <c r="X595" s="2" t="s">
        <v>199</v>
      </c>
      <c r="Y595" s="2" t="s">
        <v>3202</v>
      </c>
      <c r="Z595" s="4">
        <v>138</v>
      </c>
      <c r="AA595" s="4">
        <f>=ROUNDDOWN(46,0)</f>
      </c>
      <c r="AB595" s="5">
        <v>3</v>
      </c>
      <c r="AC595" s="2" t="s">
        <v>199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199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199</v>
      </c>
      <c r="AW595" s="8" t="s">
        <v>199</v>
      </c>
      <c r="AX595" s="4" t="s">
        <v>199</v>
      </c>
      <c r="AY595" s="8" t="s">
        <v>199</v>
      </c>
      <c r="AZ595" s="7" t="s">
        <v>199</v>
      </c>
      <c r="BA595" s="7" t="s">
        <v>199</v>
      </c>
      <c r="BB595" s="7"/>
      <c r="BC595" s="4" t="s">
        <v>199</v>
      </c>
      <c r="BD595" s="8" t="s">
        <v>199</v>
      </c>
      <c r="BE595" s="4" t="s">
        <v>199</v>
      </c>
      <c r="BF595" s="8" t="s">
        <v>199</v>
      </c>
      <c r="BG595" s="7" t="s">
        <v>199</v>
      </c>
      <c r="BH595" s="7" t="s">
        <v>199</v>
      </c>
      <c r="BI595" s="7"/>
      <c r="BJ595" s="4">
        <v>19</v>
      </c>
      <c r="BK595" s="8">
        <v>560.05</v>
      </c>
      <c r="BL595" s="2" t="s">
        <v>3246</v>
      </c>
      <c r="BM595" s="7"/>
      <c r="BN595" s="7"/>
      <c r="BO595" s="4"/>
      <c r="BP595" s="8"/>
      <c r="BQ595" s="4"/>
      <c r="BR595" s="8"/>
      <c r="BS595" s="7"/>
      <c r="BT595" s="7"/>
      <c r="BU595" s="2" t="s">
        <v>3203</v>
      </c>
      <c r="BV595" s="2" t="s">
        <v>199</v>
      </c>
      <c r="BW595" s="2" t="s">
        <v>199</v>
      </c>
      <c r="BX595" s="2" t="s">
        <v>208</v>
      </c>
      <c r="BY595" s="2" t="s">
        <v>209</v>
      </c>
      <c r="BZ595" s="2" t="s">
        <v>196</v>
      </c>
      <c r="CA595" s="2" t="s">
        <v>3204</v>
      </c>
      <c r="CB595" s="2" t="s">
        <v>3247</v>
      </c>
      <c r="CC595" s="2" t="s">
        <v>212</v>
      </c>
      <c r="CD595" s="2" t="s">
        <v>199</v>
      </c>
      <c r="CE595" s="4">
        <v>138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>
        <v>138</v>
      </c>
      <c r="EU595" s="4">
        <v>135</v>
      </c>
      <c r="EV595" s="4">
        <v>132</v>
      </c>
      <c r="EW595" s="4">
        <v>129</v>
      </c>
      <c r="EX595" s="4">
        <v>126</v>
      </c>
      <c r="EY595" s="4">
        <v>123</v>
      </c>
      <c r="EZ595" s="4">
        <v>120</v>
      </c>
      <c r="FA595" s="4">
        <v>117</v>
      </c>
      <c r="FB595" s="4">
        <v>113</v>
      </c>
      <c r="FC595" s="4">
        <v>110</v>
      </c>
      <c r="FD595" s="4">
        <v>107</v>
      </c>
      <c r="FE595" s="4">
        <v>104</v>
      </c>
      <c r="FF595" s="4">
        <v>101</v>
      </c>
      <c r="FG595" s="4">
        <v>98</v>
      </c>
      <c r="FH595" s="4">
        <v>95</v>
      </c>
      <c r="FI595" s="4">
        <v>92</v>
      </c>
      <c r="FJ595" s="4">
        <v>89</v>
      </c>
      <c r="FK595" s="4">
        <v>86</v>
      </c>
      <c r="FL595" s="4">
        <v>83</v>
      </c>
      <c r="FM595" s="4">
        <v>80</v>
      </c>
      <c r="FN595" s="4">
        <v>77</v>
      </c>
      <c r="FO595" s="4">
        <v>74</v>
      </c>
      <c r="FP595" s="4">
        <v>70</v>
      </c>
      <c r="FQ595" s="4">
        <v>67</v>
      </c>
      <c r="FR595" s="4">
        <v>64</v>
      </c>
      <c r="FS595" s="4">
        <v>61</v>
      </c>
      <c r="FT595" s="19">
        <v>46</v>
      </c>
      <c r="FU595" s="19">
        <v>45</v>
      </c>
      <c r="FV595" s="19">
        <v>44</v>
      </c>
      <c r="FW595" s="19">
        <v>43</v>
      </c>
      <c r="FX595" s="19">
        <v>42</v>
      </c>
      <c r="FY595" s="19">
        <v>41</v>
      </c>
      <c r="FZ595" s="19">
        <v>40</v>
      </c>
      <c r="GA595" s="19">
        <v>39</v>
      </c>
      <c r="GB595" s="19">
        <v>37.7</v>
      </c>
      <c r="GC595" s="19">
        <v>36.7</v>
      </c>
      <c r="GD595" s="19">
        <v>35.7</v>
      </c>
      <c r="GE595" s="19">
        <v>34.7</v>
      </c>
      <c r="GF595" s="19">
        <v>33.7</v>
      </c>
      <c r="GG595" s="19">
        <v>32.7</v>
      </c>
      <c r="GH595" s="19">
        <v>31.7</v>
      </c>
      <c r="GI595" s="19">
        <v>30.7</v>
      </c>
      <c r="GJ595" s="19">
        <v>29.7</v>
      </c>
      <c r="GK595" s="19">
        <v>28.7</v>
      </c>
      <c r="GL595" s="19">
        <v>27.7</v>
      </c>
      <c r="GM595" s="19">
        <v>26.7</v>
      </c>
      <c r="GN595" s="19">
        <v>25.7</v>
      </c>
      <c r="GO595" s="19">
        <v>24.7</v>
      </c>
      <c r="GP595" s="19">
        <v>23.3</v>
      </c>
      <c r="GQ595" s="19">
        <v>22.3</v>
      </c>
      <c r="GR595" s="19">
        <v>21.3</v>
      </c>
      <c r="GS595" s="19">
        <v>20.3</v>
      </c>
    </row>
    <row r="596">
      <c r="A596" s="2" t="s">
        <v>3248</v>
      </c>
      <c r="B596" s="2" t="s">
        <v>245</v>
      </c>
      <c r="C596" s="2" t="s">
        <v>246</v>
      </c>
      <c r="D596" s="2" t="s">
        <v>247</v>
      </c>
      <c r="E596" s="2" t="s">
        <v>248</v>
      </c>
      <c r="F596" s="2" t="s">
        <v>3199</v>
      </c>
      <c r="G596" s="2" t="s">
        <v>3199</v>
      </c>
      <c r="H596" s="2" t="s">
        <v>3199</v>
      </c>
      <c r="I596" s="2" t="s">
        <v>3200</v>
      </c>
      <c r="J596" s="2" t="s">
        <v>223</v>
      </c>
      <c r="K596" s="2" t="s">
        <v>544</v>
      </c>
      <c r="L596" s="3">
        <v>32.2</v>
      </c>
      <c r="M596" s="3">
        <v>33.81</v>
      </c>
      <c r="N596" s="3">
        <v>69.99</v>
      </c>
      <c r="O596" s="2" t="s">
        <v>196</v>
      </c>
      <c r="P596" s="2" t="s">
        <v>197</v>
      </c>
      <c r="Q596" s="2" t="s">
        <v>198</v>
      </c>
      <c r="R596" s="2" t="s">
        <v>199</v>
      </c>
      <c r="S596" s="2" t="s">
        <v>3243</v>
      </c>
      <c r="T596" s="2" t="s">
        <v>300</v>
      </c>
      <c r="U596" s="2" t="s">
        <v>254</v>
      </c>
      <c r="V596" s="2" t="s">
        <v>202</v>
      </c>
      <c r="W596" s="2" t="s">
        <v>203</v>
      </c>
      <c r="X596" s="2" t="s">
        <v>199</v>
      </c>
      <c r="Y596" s="2" t="s">
        <v>3202</v>
      </c>
      <c r="Z596" s="4">
        <v>203</v>
      </c>
      <c r="AA596" s="4">
        <f>=ROUNDDOWN(40.6,0)</f>
      </c>
      <c r="AB596" s="5">
        <v>5</v>
      </c>
      <c r="AC596" s="2" t="s">
        <v>199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199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199</v>
      </c>
      <c r="AW596" s="8" t="s">
        <v>199</v>
      </c>
      <c r="AX596" s="4" t="s">
        <v>199</v>
      </c>
      <c r="AY596" s="8" t="s">
        <v>199</v>
      </c>
      <c r="AZ596" s="7" t="s">
        <v>199</v>
      </c>
      <c r="BA596" s="7" t="s">
        <v>199</v>
      </c>
      <c r="BB596" s="7"/>
      <c r="BC596" s="4" t="s">
        <v>199</v>
      </c>
      <c r="BD596" s="8" t="s">
        <v>199</v>
      </c>
      <c r="BE596" s="4" t="s">
        <v>199</v>
      </c>
      <c r="BF596" s="8" t="s">
        <v>199</v>
      </c>
      <c r="BG596" s="7" t="s">
        <v>199</v>
      </c>
      <c r="BH596" s="7" t="s">
        <v>199</v>
      </c>
      <c r="BI596" s="7"/>
      <c r="BJ596" s="4">
        <v>19</v>
      </c>
      <c r="BK596" s="8">
        <v>656.74</v>
      </c>
      <c r="BL596" s="2" t="s">
        <v>1600</v>
      </c>
      <c r="BM596" s="7"/>
      <c r="BN596" s="7"/>
      <c r="BO596" s="4"/>
      <c r="BP596" s="8"/>
      <c r="BQ596" s="4"/>
      <c r="BR596" s="8"/>
      <c r="BS596" s="7"/>
      <c r="BT596" s="7"/>
      <c r="BU596" s="2" t="s">
        <v>3203</v>
      </c>
      <c r="BV596" s="2" t="s">
        <v>199</v>
      </c>
      <c r="BW596" s="2" t="s">
        <v>199</v>
      </c>
      <c r="BX596" s="2" t="s">
        <v>208</v>
      </c>
      <c r="BY596" s="2" t="s">
        <v>209</v>
      </c>
      <c r="BZ596" s="2" t="s">
        <v>196</v>
      </c>
      <c r="CA596" s="2" t="s">
        <v>3204</v>
      </c>
      <c r="CB596" s="2" t="s">
        <v>3082</v>
      </c>
      <c r="CC596" s="2" t="s">
        <v>212</v>
      </c>
      <c r="CD596" s="2" t="s">
        <v>199</v>
      </c>
      <c r="CE596" s="4">
        <v>203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>
        <v>205</v>
      </c>
      <c r="EU596" s="4">
        <v>198</v>
      </c>
      <c r="EV596" s="4">
        <v>193</v>
      </c>
      <c r="EW596" s="4">
        <v>188</v>
      </c>
      <c r="EX596" s="4">
        <v>183</v>
      </c>
      <c r="EY596" s="4">
        <v>178</v>
      </c>
      <c r="EZ596" s="4">
        <v>173</v>
      </c>
      <c r="FA596" s="4">
        <v>168</v>
      </c>
      <c r="FB596" s="4">
        <v>162</v>
      </c>
      <c r="FC596" s="4">
        <v>157</v>
      </c>
      <c r="FD596" s="4">
        <v>152</v>
      </c>
      <c r="FE596" s="4">
        <v>147</v>
      </c>
      <c r="FF596" s="4">
        <v>142</v>
      </c>
      <c r="FG596" s="4">
        <v>137</v>
      </c>
      <c r="FH596" s="4">
        <v>132</v>
      </c>
      <c r="FI596" s="4">
        <v>127</v>
      </c>
      <c r="FJ596" s="4">
        <v>122</v>
      </c>
      <c r="FK596" s="4">
        <v>117</v>
      </c>
      <c r="FL596" s="4">
        <v>112</v>
      </c>
      <c r="FM596" s="4">
        <v>107</v>
      </c>
      <c r="FN596" s="4">
        <v>102</v>
      </c>
      <c r="FO596" s="4">
        <v>97</v>
      </c>
      <c r="FP596" s="4">
        <v>91</v>
      </c>
      <c r="FQ596" s="4">
        <v>86</v>
      </c>
      <c r="FR596" s="4">
        <v>81</v>
      </c>
      <c r="FS596" s="4">
        <v>76</v>
      </c>
      <c r="FT596" s="19">
        <v>34.2</v>
      </c>
      <c r="FU596" s="19">
        <v>39.6</v>
      </c>
      <c r="FV596" s="19">
        <v>38.6</v>
      </c>
      <c r="FW596" s="19">
        <v>37.6</v>
      </c>
      <c r="FX596" s="19">
        <v>36.6</v>
      </c>
      <c r="FY596" s="19">
        <v>35.6</v>
      </c>
      <c r="FZ596" s="19">
        <v>34.6</v>
      </c>
      <c r="GA596" s="19">
        <v>33.6</v>
      </c>
      <c r="GB596" s="19">
        <v>32.4</v>
      </c>
      <c r="GC596" s="19">
        <v>31.4</v>
      </c>
      <c r="GD596" s="19">
        <v>30.4</v>
      </c>
      <c r="GE596" s="19">
        <v>29.4</v>
      </c>
      <c r="GF596" s="19">
        <v>28.4</v>
      </c>
      <c r="GG596" s="19">
        <v>27.4</v>
      </c>
      <c r="GH596" s="19">
        <v>26.4</v>
      </c>
      <c r="GI596" s="19">
        <v>25.4</v>
      </c>
      <c r="GJ596" s="19">
        <v>24.4</v>
      </c>
      <c r="GK596" s="19">
        <v>23.4</v>
      </c>
      <c r="GL596" s="19">
        <v>22.4</v>
      </c>
      <c r="GM596" s="19">
        <v>21.4</v>
      </c>
      <c r="GN596" s="19">
        <v>20.4</v>
      </c>
      <c r="GO596" s="19">
        <v>19.4</v>
      </c>
      <c r="GP596" s="19">
        <v>18.2</v>
      </c>
      <c r="GQ596" s="19">
        <v>17.2</v>
      </c>
      <c r="GR596" s="19">
        <v>16.2</v>
      </c>
      <c r="GS596" s="19">
        <v>15.2</v>
      </c>
    </row>
    <row r="597">
      <c r="A597" s="2" t="s">
        <v>3249</v>
      </c>
      <c r="B597" s="2" t="s">
        <v>245</v>
      </c>
      <c r="C597" s="2" t="s">
        <v>246</v>
      </c>
      <c r="D597" s="2" t="s">
        <v>247</v>
      </c>
      <c r="E597" s="2" t="s">
        <v>248</v>
      </c>
      <c r="F597" s="2" t="s">
        <v>3199</v>
      </c>
      <c r="G597" s="2" t="s">
        <v>3199</v>
      </c>
      <c r="H597" s="2" t="s">
        <v>3199</v>
      </c>
      <c r="I597" s="2" t="s">
        <v>3200</v>
      </c>
      <c r="J597" s="2" t="s">
        <v>194</v>
      </c>
      <c r="K597" s="2" t="s">
        <v>233</v>
      </c>
      <c r="L597" s="3">
        <v>21.6</v>
      </c>
      <c r="M597" s="3">
        <v>22.68</v>
      </c>
      <c r="N597" s="3">
        <v>47.99</v>
      </c>
      <c r="O597" s="2" t="s">
        <v>196</v>
      </c>
      <c r="P597" s="2" t="s">
        <v>197</v>
      </c>
      <c r="Q597" s="2" t="s">
        <v>198</v>
      </c>
      <c r="R597" s="2" t="s">
        <v>199</v>
      </c>
      <c r="S597" s="2" t="s">
        <v>3250</v>
      </c>
      <c r="T597" s="2" t="s">
        <v>300</v>
      </c>
      <c r="U597" s="2" t="s">
        <v>637</v>
      </c>
      <c r="V597" s="2" t="s">
        <v>202</v>
      </c>
      <c r="W597" s="2" t="s">
        <v>203</v>
      </c>
      <c r="X597" s="2" t="s">
        <v>199</v>
      </c>
      <c r="Y597" s="2" t="s">
        <v>3202</v>
      </c>
      <c r="Z597" s="4">
        <v>84</v>
      </c>
      <c r="AA597" s="4">
        <f>=ROUNDDOWN(10.5,0)</f>
      </c>
      <c r="AB597" s="5">
        <v>8</v>
      </c>
      <c r="AC597" s="2" t="s">
        <v>1936</v>
      </c>
      <c r="AD597" s="4">
        <v>134</v>
      </c>
      <c r="AE597" s="4">
        <v>134</v>
      </c>
      <c r="AF597" s="6">
        <v>65</v>
      </c>
      <c r="AG597" s="6"/>
      <c r="AH597" s="7">
        <v>0.2903</v>
      </c>
      <c r="AI597" s="4"/>
      <c r="AJ597" s="4">
        <f>=ROUNDDOWN({0},0)</f>
      </c>
      <c r="AK597" s="5"/>
      <c r="AL597" s="2" t="s">
        <v>199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199</v>
      </c>
      <c r="AW597" s="8" t="s">
        <v>199</v>
      </c>
      <c r="AX597" s="4" t="s">
        <v>199</v>
      </c>
      <c r="AY597" s="8" t="s">
        <v>199</v>
      </c>
      <c r="AZ597" s="7" t="s">
        <v>199</v>
      </c>
      <c r="BA597" s="7" t="s">
        <v>199</v>
      </c>
      <c r="BB597" s="7"/>
      <c r="BC597" s="4" t="s">
        <v>199</v>
      </c>
      <c r="BD597" s="8" t="s">
        <v>199</v>
      </c>
      <c r="BE597" s="4" t="s">
        <v>199</v>
      </c>
      <c r="BF597" s="8" t="s">
        <v>199</v>
      </c>
      <c r="BG597" s="7" t="s">
        <v>199</v>
      </c>
      <c r="BH597" s="7" t="s">
        <v>199</v>
      </c>
      <c r="BI597" s="7"/>
      <c r="BJ597" s="4">
        <v>33</v>
      </c>
      <c r="BK597" s="8">
        <v>762.51</v>
      </c>
      <c r="BL597" s="2" t="s">
        <v>3251</v>
      </c>
      <c r="BM597" s="7"/>
      <c r="BN597" s="7"/>
      <c r="BO597" s="4"/>
      <c r="BP597" s="8"/>
      <c r="BQ597" s="4"/>
      <c r="BR597" s="8"/>
      <c r="BS597" s="7"/>
      <c r="BT597" s="7"/>
      <c r="BU597" s="2" t="s">
        <v>3203</v>
      </c>
      <c r="BV597" s="2" t="s">
        <v>199</v>
      </c>
      <c r="BW597" s="2" t="s">
        <v>199</v>
      </c>
      <c r="BX597" s="2" t="s">
        <v>208</v>
      </c>
      <c r="BY597" s="2" t="s">
        <v>209</v>
      </c>
      <c r="BZ597" s="2" t="s">
        <v>196</v>
      </c>
      <c r="CA597" s="2" t="s">
        <v>3204</v>
      </c>
      <c r="CB597" s="2" t="s">
        <v>3252</v>
      </c>
      <c r="CC597" s="2" t="s">
        <v>212</v>
      </c>
      <c r="CD597" s="2" t="s">
        <v>199</v>
      </c>
      <c r="CE597" s="4">
        <v>84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>
        <v>134</v>
      </c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>
        <v>84</v>
      </c>
      <c r="EU597" s="4">
        <v>76</v>
      </c>
      <c r="EV597" s="4">
        <v>68</v>
      </c>
      <c r="EW597" s="4">
        <v>60</v>
      </c>
      <c r="EX597" s="4">
        <v>52</v>
      </c>
      <c r="EY597" s="4">
        <v>44</v>
      </c>
      <c r="EZ597" s="4">
        <v>170</v>
      </c>
      <c r="FA597" s="4">
        <v>162</v>
      </c>
      <c r="FB597" s="4">
        <v>152</v>
      </c>
      <c r="FC597" s="4">
        <v>144</v>
      </c>
      <c r="FD597" s="4">
        <v>136</v>
      </c>
      <c r="FE597" s="4">
        <v>128</v>
      </c>
      <c r="FF597" s="4">
        <v>120</v>
      </c>
      <c r="FG597" s="4">
        <v>112</v>
      </c>
      <c r="FH597" s="4">
        <v>104</v>
      </c>
      <c r="FI597" s="4">
        <v>96</v>
      </c>
      <c r="FJ597" s="4">
        <v>88</v>
      </c>
      <c r="FK597" s="4">
        <v>80</v>
      </c>
      <c r="FL597" s="4">
        <v>72</v>
      </c>
      <c r="FM597" s="4">
        <v>64</v>
      </c>
      <c r="FN597" s="4">
        <v>56</v>
      </c>
      <c r="FO597" s="4">
        <v>48</v>
      </c>
      <c r="FP597" s="4">
        <v>38</v>
      </c>
      <c r="FQ597" s="4">
        <v>28</v>
      </c>
      <c r="FR597" s="4">
        <v>18</v>
      </c>
      <c r="FS597" s="4">
        <v>130</v>
      </c>
      <c r="FT597" s="19">
        <v>10.5</v>
      </c>
      <c r="FU597" s="19">
        <v>9.5</v>
      </c>
      <c r="FV597" s="19">
        <v>8.5</v>
      </c>
      <c r="FW597" s="19">
        <v>7.5</v>
      </c>
      <c r="FX597" s="19">
        <v>6.5</v>
      </c>
      <c r="FY597" s="19">
        <v>5.5</v>
      </c>
      <c r="FZ597" s="19">
        <v>21.3</v>
      </c>
      <c r="GA597" s="19">
        <v>20.3</v>
      </c>
      <c r="GB597" s="19">
        <v>19</v>
      </c>
      <c r="GC597" s="19">
        <v>18</v>
      </c>
      <c r="GD597" s="19">
        <v>17</v>
      </c>
      <c r="GE597" s="19">
        <v>16</v>
      </c>
      <c r="GF597" s="19">
        <v>15</v>
      </c>
      <c r="GG597" s="19">
        <v>14</v>
      </c>
      <c r="GH597" s="19">
        <v>13</v>
      </c>
      <c r="GI597" s="19">
        <v>12</v>
      </c>
      <c r="GJ597" s="19">
        <v>11</v>
      </c>
      <c r="GK597" s="19">
        <v>10</v>
      </c>
      <c r="GL597" s="19">
        <v>9</v>
      </c>
      <c r="GM597" s="19">
        <v>7.1</v>
      </c>
      <c r="GN597" s="19">
        <v>5.6</v>
      </c>
      <c r="GO597" s="19">
        <v>4.8</v>
      </c>
      <c r="GP597" s="19">
        <v>3.8</v>
      </c>
      <c r="GQ597" s="19">
        <v>2.8</v>
      </c>
      <c r="GR597" s="19">
        <v>1.6</v>
      </c>
      <c r="GS597" s="19">
        <v>10.8</v>
      </c>
    </row>
    <row r="598">
      <c r="A598" s="2" t="s">
        <v>3253</v>
      </c>
      <c r="B598" s="2" t="s">
        <v>245</v>
      </c>
      <c r="C598" s="2" t="s">
        <v>246</v>
      </c>
      <c r="D598" s="2" t="s">
        <v>247</v>
      </c>
      <c r="E598" s="2" t="s">
        <v>248</v>
      </c>
      <c r="F598" s="2" t="s">
        <v>3199</v>
      </c>
      <c r="G598" s="2" t="s">
        <v>3199</v>
      </c>
      <c r="H598" s="2" t="s">
        <v>3199</v>
      </c>
      <c r="I598" s="2" t="s">
        <v>3200</v>
      </c>
      <c r="J598" s="2" t="s">
        <v>223</v>
      </c>
      <c r="K598" s="2" t="s">
        <v>233</v>
      </c>
      <c r="L598" s="3">
        <v>32.2</v>
      </c>
      <c r="M598" s="3">
        <v>33.81</v>
      </c>
      <c r="N598" s="3">
        <v>69.99</v>
      </c>
      <c r="O598" s="2" t="s">
        <v>196</v>
      </c>
      <c r="P598" s="2" t="s">
        <v>197</v>
      </c>
      <c r="Q598" s="2" t="s">
        <v>198</v>
      </c>
      <c r="R598" s="2" t="s">
        <v>199</v>
      </c>
      <c r="S598" s="2" t="s">
        <v>3250</v>
      </c>
      <c r="T598" s="2" t="s">
        <v>300</v>
      </c>
      <c r="U598" s="2" t="s">
        <v>254</v>
      </c>
      <c r="V598" s="2" t="s">
        <v>202</v>
      </c>
      <c r="W598" s="2" t="s">
        <v>203</v>
      </c>
      <c r="X598" s="2" t="s">
        <v>199</v>
      </c>
      <c r="Y598" s="2" t="s">
        <v>3202</v>
      </c>
      <c r="Z598" s="4">
        <v>216</v>
      </c>
      <c r="AA598" s="4">
        <f>=ROUNDDOWN(21.8181818181818,0)</f>
      </c>
      <c r="AB598" s="5">
        <v>9.9</v>
      </c>
      <c r="AC598" s="2" t="s">
        <v>1936</v>
      </c>
      <c r="AD598" s="4">
        <v>92</v>
      </c>
      <c r="AE598" s="4">
        <v>92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199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199</v>
      </c>
      <c r="AW598" s="8" t="s">
        <v>199</v>
      </c>
      <c r="AX598" s="4" t="s">
        <v>199</v>
      </c>
      <c r="AY598" s="8" t="s">
        <v>199</v>
      </c>
      <c r="AZ598" s="7" t="s">
        <v>199</v>
      </c>
      <c r="BA598" s="7" t="s">
        <v>199</v>
      </c>
      <c r="BB598" s="7"/>
      <c r="BC598" s="4" t="s">
        <v>199</v>
      </c>
      <c r="BD598" s="8" t="s">
        <v>199</v>
      </c>
      <c r="BE598" s="4" t="s">
        <v>199</v>
      </c>
      <c r="BF598" s="8" t="s">
        <v>199</v>
      </c>
      <c r="BG598" s="7" t="s">
        <v>199</v>
      </c>
      <c r="BH598" s="7" t="s">
        <v>199</v>
      </c>
      <c r="BI598" s="7"/>
      <c r="BJ598" s="4">
        <v>38</v>
      </c>
      <c r="BK598" s="8">
        <v>1315.98</v>
      </c>
      <c r="BL598" s="2" t="s">
        <v>464</v>
      </c>
      <c r="BM598" s="7"/>
      <c r="BN598" s="7"/>
      <c r="BO598" s="4"/>
      <c r="BP598" s="8"/>
      <c r="BQ598" s="4"/>
      <c r="BR598" s="8"/>
      <c r="BS598" s="7"/>
      <c r="BT598" s="7"/>
      <c r="BU598" s="2" t="s">
        <v>3203</v>
      </c>
      <c r="BV598" s="2" t="s">
        <v>199</v>
      </c>
      <c r="BW598" s="2" t="s">
        <v>199</v>
      </c>
      <c r="BX598" s="2" t="s">
        <v>208</v>
      </c>
      <c r="BY598" s="2" t="s">
        <v>209</v>
      </c>
      <c r="BZ598" s="2" t="s">
        <v>196</v>
      </c>
      <c r="CA598" s="2" t="s">
        <v>3204</v>
      </c>
      <c r="CB598" s="2" t="s">
        <v>3254</v>
      </c>
      <c r="CC598" s="2" t="s">
        <v>212</v>
      </c>
      <c r="CD598" s="2" t="s">
        <v>199</v>
      </c>
      <c r="CE598" s="4">
        <v>216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>
        <v>92</v>
      </c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>
        <v>223</v>
      </c>
      <c r="EU598" s="4">
        <v>208</v>
      </c>
      <c r="EV598" s="4">
        <v>198</v>
      </c>
      <c r="EW598" s="4">
        <v>188</v>
      </c>
      <c r="EX598" s="4">
        <v>178</v>
      </c>
      <c r="EY598" s="4">
        <v>168</v>
      </c>
      <c r="EZ598" s="4">
        <v>250</v>
      </c>
      <c r="FA598" s="4">
        <v>240</v>
      </c>
      <c r="FB598" s="4">
        <v>228</v>
      </c>
      <c r="FC598" s="4">
        <v>218</v>
      </c>
      <c r="FD598" s="4">
        <v>208</v>
      </c>
      <c r="FE598" s="4">
        <v>198</v>
      </c>
      <c r="FF598" s="4">
        <v>188</v>
      </c>
      <c r="FG598" s="4">
        <v>178</v>
      </c>
      <c r="FH598" s="4">
        <v>168</v>
      </c>
      <c r="FI598" s="4">
        <v>158</v>
      </c>
      <c r="FJ598" s="4">
        <v>148</v>
      </c>
      <c r="FK598" s="4">
        <v>138</v>
      </c>
      <c r="FL598" s="4">
        <v>128</v>
      </c>
      <c r="FM598" s="4">
        <v>118</v>
      </c>
      <c r="FN598" s="4">
        <v>108</v>
      </c>
      <c r="FO598" s="4">
        <v>98</v>
      </c>
      <c r="FP598" s="4">
        <v>86</v>
      </c>
      <c r="FQ598" s="4">
        <v>76</v>
      </c>
      <c r="FR598" s="4">
        <v>66</v>
      </c>
      <c r="FS598" s="4">
        <v>110</v>
      </c>
      <c r="FT598" s="19">
        <v>20.3</v>
      </c>
      <c r="FU598" s="19">
        <v>20.8</v>
      </c>
      <c r="FV598" s="19">
        <v>19.8</v>
      </c>
      <c r="FW598" s="19">
        <v>18.8</v>
      </c>
      <c r="FX598" s="19">
        <v>17.8</v>
      </c>
      <c r="FY598" s="19">
        <v>16.8</v>
      </c>
      <c r="FZ598" s="19">
        <v>25</v>
      </c>
      <c r="GA598" s="19">
        <v>24</v>
      </c>
      <c r="GB598" s="19">
        <v>22.8</v>
      </c>
      <c r="GC598" s="19">
        <v>21.8</v>
      </c>
      <c r="GD598" s="19">
        <v>20.8</v>
      </c>
      <c r="GE598" s="19">
        <v>19.8</v>
      </c>
      <c r="GF598" s="19">
        <v>18.8</v>
      </c>
      <c r="GG598" s="19">
        <v>17.8</v>
      </c>
      <c r="GH598" s="19">
        <v>16.8</v>
      </c>
      <c r="GI598" s="19">
        <v>15.8</v>
      </c>
      <c r="GJ598" s="19">
        <v>14.8</v>
      </c>
      <c r="GK598" s="19">
        <v>13.8</v>
      </c>
      <c r="GL598" s="19">
        <v>12.8</v>
      </c>
      <c r="GM598" s="19">
        <v>11.8</v>
      </c>
      <c r="GN598" s="19">
        <v>10.8</v>
      </c>
      <c r="GO598" s="19">
        <v>9.8</v>
      </c>
      <c r="GP598" s="19">
        <v>8.6</v>
      </c>
      <c r="GQ598" s="19">
        <v>7.6</v>
      </c>
      <c r="GR598" s="19">
        <v>6.6</v>
      </c>
      <c r="GS598" s="19">
        <v>11</v>
      </c>
    </row>
    <row r="599">
      <c r="A599" s="2" t="s">
        <v>3255</v>
      </c>
      <c r="B599" s="2" t="s">
        <v>245</v>
      </c>
      <c r="C599" s="2" t="s">
        <v>246</v>
      </c>
      <c r="D599" s="2" t="s">
        <v>247</v>
      </c>
      <c r="E599" s="2" t="s">
        <v>248</v>
      </c>
      <c r="F599" s="2" t="s">
        <v>3199</v>
      </c>
      <c r="G599" s="2" t="s">
        <v>3199</v>
      </c>
      <c r="H599" s="2" t="s">
        <v>3199</v>
      </c>
      <c r="I599" s="2" t="s">
        <v>3200</v>
      </c>
      <c r="J599" s="2" t="s">
        <v>251</v>
      </c>
      <c r="K599" s="2" t="s">
        <v>233</v>
      </c>
      <c r="L599" s="3">
        <v>32.2</v>
      </c>
      <c r="M599" s="3">
        <v>33.81</v>
      </c>
      <c r="N599" s="3">
        <v>69.99</v>
      </c>
      <c r="O599" s="2" t="s">
        <v>196</v>
      </c>
      <c r="P599" s="2" t="s">
        <v>197</v>
      </c>
      <c r="Q599" s="2" t="s">
        <v>198</v>
      </c>
      <c r="R599" s="2" t="s">
        <v>199</v>
      </c>
      <c r="S599" s="2" t="s">
        <v>3250</v>
      </c>
      <c r="T599" s="2" t="s">
        <v>300</v>
      </c>
      <c r="U599" s="2" t="s">
        <v>254</v>
      </c>
      <c r="V599" s="2" t="s">
        <v>202</v>
      </c>
      <c r="W599" s="2" t="s">
        <v>203</v>
      </c>
      <c r="X599" s="2" t="s">
        <v>199</v>
      </c>
      <c r="Y599" s="2" t="s">
        <v>3202</v>
      </c>
      <c r="Z599" s="4">
        <v>84</v>
      </c>
      <c r="AA599" s="4">
        <f>=ROUNDDOWN(14,0)</f>
      </c>
      <c r="AB599" s="5">
        <v>6</v>
      </c>
      <c r="AC599" s="2" t="s">
        <v>1936</v>
      </c>
      <c r="AD599" s="4">
        <v>120</v>
      </c>
      <c r="AE599" s="4">
        <v>120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199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199</v>
      </c>
      <c r="AW599" s="8" t="s">
        <v>199</v>
      </c>
      <c r="AX599" s="4" t="s">
        <v>199</v>
      </c>
      <c r="AY599" s="8" t="s">
        <v>199</v>
      </c>
      <c r="AZ599" s="7" t="s">
        <v>199</v>
      </c>
      <c r="BA599" s="7" t="s">
        <v>199</v>
      </c>
      <c r="BB599" s="7"/>
      <c r="BC599" s="4" t="s">
        <v>199</v>
      </c>
      <c r="BD599" s="8" t="s">
        <v>199</v>
      </c>
      <c r="BE599" s="4" t="s">
        <v>199</v>
      </c>
      <c r="BF599" s="8" t="s">
        <v>199</v>
      </c>
      <c r="BG599" s="7" t="s">
        <v>199</v>
      </c>
      <c r="BH599" s="7" t="s">
        <v>199</v>
      </c>
      <c r="BI599" s="7"/>
      <c r="BJ599" s="4">
        <v>16</v>
      </c>
      <c r="BK599" s="8">
        <v>605.03</v>
      </c>
      <c r="BL599" s="2" t="s">
        <v>3256</v>
      </c>
      <c r="BM599" s="7"/>
      <c r="BN599" s="7"/>
      <c r="BO599" s="4"/>
      <c r="BP599" s="8"/>
      <c r="BQ599" s="4"/>
      <c r="BR599" s="8"/>
      <c r="BS599" s="7"/>
      <c r="BT599" s="7"/>
      <c r="BU599" s="2" t="s">
        <v>3203</v>
      </c>
      <c r="BV599" s="2" t="s">
        <v>199</v>
      </c>
      <c r="BW599" s="2" t="s">
        <v>199</v>
      </c>
      <c r="BX599" s="2" t="s">
        <v>208</v>
      </c>
      <c r="BY599" s="2" t="s">
        <v>209</v>
      </c>
      <c r="BZ599" s="2" t="s">
        <v>196</v>
      </c>
      <c r="CA599" s="2" t="s">
        <v>3204</v>
      </c>
      <c r="CB599" s="2" t="s">
        <v>3257</v>
      </c>
      <c r="CC599" s="2" t="s">
        <v>212</v>
      </c>
      <c r="CD599" s="2" t="s">
        <v>199</v>
      </c>
      <c r="CE599" s="4">
        <v>84</v>
      </c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>
        <v>120</v>
      </c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>
        <v>85</v>
      </c>
      <c r="EU599" s="4">
        <v>78</v>
      </c>
      <c r="EV599" s="4">
        <v>72</v>
      </c>
      <c r="EW599" s="4">
        <v>66</v>
      </c>
      <c r="EX599" s="4">
        <v>60</v>
      </c>
      <c r="EY599" s="4">
        <v>54</v>
      </c>
      <c r="EZ599" s="4">
        <v>168</v>
      </c>
      <c r="FA599" s="4">
        <v>162</v>
      </c>
      <c r="FB599" s="4">
        <v>155</v>
      </c>
      <c r="FC599" s="4">
        <v>149</v>
      </c>
      <c r="FD599" s="4">
        <v>143</v>
      </c>
      <c r="FE599" s="4">
        <v>137</v>
      </c>
      <c r="FF599" s="4">
        <v>131</v>
      </c>
      <c r="FG599" s="4">
        <v>125</v>
      </c>
      <c r="FH599" s="4">
        <v>119</v>
      </c>
      <c r="FI599" s="4">
        <v>113</v>
      </c>
      <c r="FJ599" s="4">
        <v>107</v>
      </c>
      <c r="FK599" s="4">
        <v>101</v>
      </c>
      <c r="FL599" s="4">
        <v>95</v>
      </c>
      <c r="FM599" s="4">
        <v>89</v>
      </c>
      <c r="FN599" s="4">
        <v>83</v>
      </c>
      <c r="FO599" s="4">
        <v>77</v>
      </c>
      <c r="FP599" s="4">
        <v>70</v>
      </c>
      <c r="FQ599" s="4">
        <v>64</v>
      </c>
      <c r="FR599" s="4">
        <v>58</v>
      </c>
      <c r="FS599" s="4">
        <v>66</v>
      </c>
      <c r="FT599" s="19">
        <v>14.2</v>
      </c>
      <c r="FU599" s="19">
        <v>13</v>
      </c>
      <c r="FV599" s="19">
        <v>12</v>
      </c>
      <c r="FW599" s="19">
        <v>11</v>
      </c>
      <c r="FX599" s="19">
        <v>10</v>
      </c>
      <c r="FY599" s="19">
        <v>9</v>
      </c>
      <c r="FZ599" s="19">
        <v>28</v>
      </c>
      <c r="GA599" s="19">
        <v>27</v>
      </c>
      <c r="GB599" s="19">
        <v>25.8</v>
      </c>
      <c r="GC599" s="19">
        <v>24.8</v>
      </c>
      <c r="GD599" s="19">
        <v>23.8</v>
      </c>
      <c r="GE599" s="19">
        <v>22.8</v>
      </c>
      <c r="GF599" s="19">
        <v>21.8</v>
      </c>
      <c r="GG599" s="19">
        <v>20.8</v>
      </c>
      <c r="GH599" s="19">
        <v>19.8</v>
      </c>
      <c r="GI599" s="19">
        <v>18.8</v>
      </c>
      <c r="GJ599" s="19">
        <v>17.8</v>
      </c>
      <c r="GK599" s="19">
        <v>16.8</v>
      </c>
      <c r="GL599" s="19">
        <v>15.8</v>
      </c>
      <c r="GM599" s="19">
        <v>14.8</v>
      </c>
      <c r="GN599" s="19">
        <v>13.8</v>
      </c>
      <c r="GO599" s="19">
        <v>12.8</v>
      </c>
      <c r="GP599" s="19">
        <v>11.7</v>
      </c>
      <c r="GQ599" s="19">
        <v>10.7</v>
      </c>
      <c r="GR599" s="19">
        <v>9.7</v>
      </c>
      <c r="GS599" s="19">
        <v>11</v>
      </c>
    </row>
    <row r="600">
      <c r="A600" s="2" t="s">
        <v>3258</v>
      </c>
      <c r="B600" s="2" t="s">
        <v>554</v>
      </c>
      <c r="C600" s="2" t="s">
        <v>246</v>
      </c>
      <c r="D600" s="2" t="s">
        <v>861</v>
      </c>
      <c r="E600" s="2" t="s">
        <v>556</v>
      </c>
      <c r="F600" s="2" t="s">
        <v>3259</v>
      </c>
      <c r="G600" s="2" t="s">
        <v>3259</v>
      </c>
      <c r="H600" s="2" t="s">
        <v>3259</v>
      </c>
      <c r="I600" s="2" t="s">
        <v>3260</v>
      </c>
      <c r="J600" s="2" t="s">
        <v>559</v>
      </c>
      <c r="K600" s="2" t="s">
        <v>3261</v>
      </c>
      <c r="L600" s="3">
        <v>14</v>
      </c>
      <c r="M600" s="3">
        <v>14.7</v>
      </c>
      <c r="N600" s="3">
        <v>34.99</v>
      </c>
      <c r="O600" s="2" t="s">
        <v>196</v>
      </c>
      <c r="P600" s="2" t="s">
        <v>841</v>
      </c>
      <c r="Q600" s="2" t="s">
        <v>198</v>
      </c>
      <c r="R600" s="2" t="s">
        <v>199</v>
      </c>
      <c r="S600" s="2" t="s">
        <v>199</v>
      </c>
      <c r="T600" s="2" t="s">
        <v>199</v>
      </c>
      <c r="U600" s="2" t="s">
        <v>280</v>
      </c>
      <c r="V600" s="2" t="s">
        <v>900</v>
      </c>
      <c r="W600" s="2" t="s">
        <v>203</v>
      </c>
      <c r="X600" s="2" t="s">
        <v>712</v>
      </c>
      <c r="Y600" s="2" t="s">
        <v>901</v>
      </c>
      <c r="Z600" s="4">
        <v>200</v>
      </c>
      <c r="AA600" s="4">
        <f>=ROUNDDOWN(333.333333333333,0)</f>
      </c>
      <c r="AB600" s="5">
        <v>0.6</v>
      </c>
      <c r="AC600" s="2" t="s">
        <v>199</v>
      </c>
      <c r="AD600" s="4"/>
      <c r="AE600" s="4"/>
      <c r="AF600" s="6">
        <v>61</v>
      </c>
      <c r="AG600" s="6"/>
      <c r="AH600" s="7">
        <v>1</v>
      </c>
      <c r="AI600" s="4"/>
      <c r="AJ600" s="4">
        <f>=ROUNDDOWN({0},0)</f>
      </c>
      <c r="AK600" s="5"/>
      <c r="AL600" s="2" t="s">
        <v>199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</v>
      </c>
      <c r="BK600" s="8">
        <v>31.61</v>
      </c>
      <c r="BL600" s="2" t="s">
        <v>3262</v>
      </c>
      <c r="BM600" s="7"/>
      <c r="BN600" s="7"/>
      <c r="BO600" s="4"/>
      <c r="BP600" s="8"/>
      <c r="BQ600" s="4"/>
      <c r="BR600" s="8"/>
      <c r="BS600" s="7"/>
      <c r="BT600" s="7"/>
      <c r="BU600" s="2" t="s">
        <v>3263</v>
      </c>
      <c r="BV600" s="2" t="s">
        <v>199</v>
      </c>
      <c r="BW600" s="2" t="s">
        <v>199</v>
      </c>
      <c r="BX600" s="2" t="s">
        <v>208</v>
      </c>
      <c r="BY600" s="2" t="s">
        <v>209</v>
      </c>
      <c r="BZ600" s="2" t="s">
        <v>196</v>
      </c>
      <c r="CA600" s="2" t="s">
        <v>904</v>
      </c>
      <c r="CB600" s="2" t="s">
        <v>199</v>
      </c>
      <c r="CC600" s="2" t="s">
        <v>212</v>
      </c>
      <c r="CD600" s="2" t="s">
        <v>199</v>
      </c>
      <c r="CE600" s="4"/>
      <c r="CF600" s="4">
        <v>200</v>
      </c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>
        <v>201</v>
      </c>
      <c r="EU600" s="4">
        <v>200</v>
      </c>
      <c r="EV600" s="4">
        <v>199</v>
      </c>
      <c r="EW600" s="4">
        <v>198</v>
      </c>
      <c r="EX600" s="4">
        <v>197</v>
      </c>
      <c r="EY600" s="4">
        <v>196</v>
      </c>
      <c r="EZ600" s="4">
        <v>195</v>
      </c>
      <c r="FA600" s="4">
        <v>194</v>
      </c>
      <c r="FB600" s="4">
        <v>193</v>
      </c>
      <c r="FC600" s="4">
        <v>192</v>
      </c>
      <c r="FD600" s="4">
        <v>191</v>
      </c>
      <c r="FE600" s="4">
        <v>190</v>
      </c>
      <c r="FF600" s="4">
        <v>189</v>
      </c>
      <c r="FG600" s="4">
        <v>188</v>
      </c>
      <c r="FH600" s="4">
        <v>187</v>
      </c>
      <c r="FI600" s="4">
        <v>186</v>
      </c>
      <c r="FJ600" s="4">
        <v>185</v>
      </c>
      <c r="FK600" s="4">
        <v>184</v>
      </c>
      <c r="FL600" s="4">
        <v>183</v>
      </c>
      <c r="FM600" s="4">
        <v>182</v>
      </c>
      <c r="FN600" s="4">
        <v>181</v>
      </c>
      <c r="FO600" s="4">
        <v>180</v>
      </c>
      <c r="FP600" s="4">
        <v>179</v>
      </c>
      <c r="FQ600" s="4">
        <v>178</v>
      </c>
      <c r="FR600" s="4">
        <v>177</v>
      </c>
      <c r="FS600" s="4">
        <v>176</v>
      </c>
      <c r="FT600" s="19">
        <v>201</v>
      </c>
      <c r="FU600" s="19">
        <v>200</v>
      </c>
      <c r="FV600" s="19">
        <v>199</v>
      </c>
      <c r="FW600" s="19">
        <v>198</v>
      </c>
      <c r="FX600" s="19">
        <v>197</v>
      </c>
      <c r="FY600" s="19">
        <v>196</v>
      </c>
      <c r="FZ600" s="19">
        <v>195</v>
      </c>
      <c r="GA600" s="19">
        <v>194</v>
      </c>
      <c r="GB600" s="19">
        <v>193</v>
      </c>
      <c r="GC600" s="19">
        <v>192</v>
      </c>
      <c r="GD600" s="19">
        <v>191</v>
      </c>
      <c r="GE600" s="19">
        <v>190</v>
      </c>
      <c r="GF600" s="19">
        <v>189</v>
      </c>
      <c r="GG600" s="19">
        <v>188</v>
      </c>
      <c r="GH600" s="19">
        <v>187</v>
      </c>
      <c r="GI600" s="19">
        <v>186</v>
      </c>
      <c r="GJ600" s="19">
        <v>185</v>
      </c>
      <c r="GK600" s="19">
        <v>184</v>
      </c>
      <c r="GL600" s="19">
        <v>183</v>
      </c>
      <c r="GM600" s="19">
        <v>182</v>
      </c>
      <c r="GN600" s="19">
        <v>181</v>
      </c>
      <c r="GO600" s="19">
        <v>180</v>
      </c>
      <c r="GP600" s="19">
        <v>179</v>
      </c>
      <c r="GQ600" s="19">
        <v>178</v>
      </c>
      <c r="GR600" s="19">
        <v>177</v>
      </c>
      <c r="GS600" s="19">
        <v>176</v>
      </c>
    </row>
    <row r="601">
      <c r="A601" s="2" t="s">
        <v>3264</v>
      </c>
      <c r="B601" s="2" t="s">
        <v>630</v>
      </c>
      <c r="C601" s="2" t="s">
        <v>987</v>
      </c>
      <c r="D601" s="2" t="s">
        <v>228</v>
      </c>
      <c r="E601" s="2" t="s">
        <v>988</v>
      </c>
      <c r="F601" s="2" t="s">
        <v>3265</v>
      </c>
      <c r="G601" s="2" t="s">
        <v>3266</v>
      </c>
      <c r="H601" s="2" t="s">
        <v>1915</v>
      </c>
      <c r="I601" s="2" t="s">
        <v>3267</v>
      </c>
      <c r="J601" s="2" t="s">
        <v>1011</v>
      </c>
      <c r="K601" s="2" t="s">
        <v>405</v>
      </c>
      <c r="L601" s="3">
        <v>22.85</v>
      </c>
      <c r="M601" s="3">
        <v>23.99</v>
      </c>
      <c r="N601" s="3">
        <v>43.99</v>
      </c>
      <c r="O601" s="2" t="s">
        <v>196</v>
      </c>
      <c r="P601" s="2" t="s">
        <v>951</v>
      </c>
      <c r="Q601" s="2" t="s">
        <v>198</v>
      </c>
      <c r="R601" s="2" t="s">
        <v>199</v>
      </c>
      <c r="S601" s="2" t="s">
        <v>3268</v>
      </c>
      <c r="T601" s="2" t="s">
        <v>386</v>
      </c>
      <c r="U601" s="2" t="s">
        <v>853</v>
      </c>
      <c r="V601" s="2" t="s">
        <v>638</v>
      </c>
      <c r="W601" s="2" t="s">
        <v>1908</v>
      </c>
      <c r="X601" s="2" t="s">
        <v>203</v>
      </c>
      <c r="Y601" s="2" t="s">
        <v>3269</v>
      </c>
      <c r="Z601" s="4">
        <v>831</v>
      </c>
      <c r="AA601" s="4">
        <f>=ROUNDDOWN(24.4411764705882,0)</f>
      </c>
      <c r="AB601" s="5">
        <v>34</v>
      </c>
      <c r="AC601" s="2" t="s">
        <v>2270</v>
      </c>
      <c r="AD601" s="4">
        <v>360</v>
      </c>
      <c r="AE601" s="4">
        <v>420</v>
      </c>
      <c r="AF601" s="6">
        <v>63</v>
      </c>
      <c r="AG601" s="6">
        <v>46</v>
      </c>
      <c r="AH601" s="7">
        <v>1</v>
      </c>
      <c r="AI601" s="4"/>
      <c r="AJ601" s="4">
        <f>=ROUNDDOWN({0},0)</f>
      </c>
      <c r="AK601" s="5"/>
      <c r="AL601" s="2" t="s">
        <v>199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199</v>
      </c>
      <c r="BD601" s="8" t="s">
        <v>199</v>
      </c>
      <c r="BE601" s="4" t="s">
        <v>199</v>
      </c>
      <c r="BF601" s="8" t="s">
        <v>199</v>
      </c>
      <c r="BG601" s="7" t="s">
        <v>199</v>
      </c>
      <c r="BH601" s="7" t="s">
        <v>199</v>
      </c>
      <c r="BI601" s="7"/>
      <c r="BJ601" s="4">
        <v>350</v>
      </c>
      <c r="BK601" s="8">
        <v>8945.6</v>
      </c>
      <c r="BL601" s="2" t="s">
        <v>3270</v>
      </c>
      <c r="BM601" s="7"/>
      <c r="BN601" s="7"/>
      <c r="BO601" s="4"/>
      <c r="BP601" s="8"/>
      <c r="BQ601" s="4"/>
      <c r="BR601" s="8"/>
      <c r="BS601" s="7"/>
      <c r="BT601" s="7"/>
      <c r="BU601" s="2" t="s">
        <v>3271</v>
      </c>
      <c r="BV601" s="2" t="s">
        <v>199</v>
      </c>
      <c r="BW601" s="2" t="s">
        <v>199</v>
      </c>
      <c r="BX601" s="2" t="s">
        <v>998</v>
      </c>
      <c r="BY601" s="2" t="s">
        <v>209</v>
      </c>
      <c r="BZ601" s="2" t="s">
        <v>196</v>
      </c>
      <c r="CA601" s="2" t="s">
        <v>3272</v>
      </c>
      <c r="CB601" s="2" t="s">
        <v>3273</v>
      </c>
      <c r="CC601" s="2" t="s">
        <v>212</v>
      </c>
      <c r="CD601" s="2" t="s">
        <v>199</v>
      </c>
      <c r="CE601" s="4">
        <v>535</v>
      </c>
      <c r="CF601" s="4"/>
      <c r="CG601" s="4"/>
      <c r="CH601" s="4">
        <v>296</v>
      </c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>
        <v>360</v>
      </c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>
        <v>60</v>
      </c>
      <c r="ES601" s="4"/>
      <c r="ET601" s="4">
        <v>852</v>
      </c>
      <c r="EU601" s="4">
        <v>799</v>
      </c>
      <c r="EV601" s="4">
        <v>769</v>
      </c>
      <c r="EW601" s="4">
        <v>739</v>
      </c>
      <c r="EX601" s="4">
        <v>1069</v>
      </c>
      <c r="EY601" s="4">
        <v>1039</v>
      </c>
      <c r="EZ601" s="4">
        <v>1009</v>
      </c>
      <c r="FA601" s="4">
        <v>979</v>
      </c>
      <c r="FB601" s="4">
        <v>943</v>
      </c>
      <c r="FC601" s="4">
        <v>913</v>
      </c>
      <c r="FD601" s="4">
        <v>883</v>
      </c>
      <c r="FE601" s="4">
        <v>853</v>
      </c>
      <c r="FF601" s="4">
        <v>821</v>
      </c>
      <c r="FG601" s="4">
        <v>787</v>
      </c>
      <c r="FH601" s="4">
        <v>750</v>
      </c>
      <c r="FI601" s="4">
        <v>712</v>
      </c>
      <c r="FJ601" s="4">
        <v>674</v>
      </c>
      <c r="FK601" s="4">
        <v>636</v>
      </c>
      <c r="FL601" s="4">
        <v>598</v>
      </c>
      <c r="FM601" s="4">
        <v>621</v>
      </c>
      <c r="FN601" s="4">
        <v>584</v>
      </c>
      <c r="FO601" s="4">
        <v>546</v>
      </c>
      <c r="FP601" s="4">
        <v>500</v>
      </c>
      <c r="FQ601" s="4">
        <v>573</v>
      </c>
      <c r="FR601" s="4">
        <v>527</v>
      </c>
      <c r="FS601" s="4">
        <v>845</v>
      </c>
      <c r="FT601" s="19">
        <v>25.6</v>
      </c>
      <c r="FU601" s="19">
        <v>29.5</v>
      </c>
      <c r="FV601" s="19">
        <v>28.5</v>
      </c>
      <c r="FW601" s="19">
        <v>27.5</v>
      </c>
      <c r="FX601" s="19">
        <v>33.9</v>
      </c>
      <c r="FY601" s="19">
        <v>32.9</v>
      </c>
      <c r="FZ601" s="19">
        <v>31.9</v>
      </c>
      <c r="GA601" s="19">
        <v>30.9</v>
      </c>
      <c r="GB601" s="19">
        <v>30.5</v>
      </c>
      <c r="GC601" s="19">
        <v>28.8</v>
      </c>
      <c r="GD601" s="19">
        <v>25.7</v>
      </c>
      <c r="GE601" s="19">
        <v>22.6</v>
      </c>
      <c r="GF601" s="19">
        <v>21.3</v>
      </c>
      <c r="GG601" s="19">
        <v>20</v>
      </c>
      <c r="GH601" s="19">
        <v>19</v>
      </c>
      <c r="GI601" s="19">
        <v>18</v>
      </c>
      <c r="GJ601" s="19">
        <v>17</v>
      </c>
      <c r="GK601" s="19">
        <v>16</v>
      </c>
      <c r="GL601" s="19">
        <v>14.1</v>
      </c>
      <c r="GM601" s="19">
        <v>13.5</v>
      </c>
      <c r="GN601" s="19">
        <v>12.1</v>
      </c>
      <c r="GO601" s="19">
        <v>10.7</v>
      </c>
      <c r="GP601" s="19">
        <v>10.2</v>
      </c>
      <c r="GQ601" s="19">
        <v>14.3</v>
      </c>
      <c r="GR601" s="19">
        <v>13</v>
      </c>
      <c r="GS601" s="19">
        <v>15</v>
      </c>
    </row>
    <row r="602">
      <c r="A602" s="2" t="s">
        <v>3274</v>
      </c>
      <c r="B602" s="2" t="s">
        <v>630</v>
      </c>
      <c r="C602" s="2" t="s">
        <v>987</v>
      </c>
      <c r="D602" s="2" t="s">
        <v>228</v>
      </c>
      <c r="E602" s="2" t="s">
        <v>988</v>
      </c>
      <c r="F602" s="2" t="s">
        <v>3265</v>
      </c>
      <c r="G602" s="2" t="s">
        <v>3266</v>
      </c>
      <c r="H602" s="2" t="s">
        <v>1915</v>
      </c>
      <c r="I602" s="2" t="s">
        <v>3267</v>
      </c>
      <c r="J602" s="2" t="s">
        <v>1011</v>
      </c>
      <c r="K602" s="2" t="s">
        <v>1269</v>
      </c>
      <c r="L602" s="3">
        <v>22.85</v>
      </c>
      <c r="M602" s="3">
        <v>23.99</v>
      </c>
      <c r="N602" s="3">
        <v>43.99</v>
      </c>
      <c r="O602" s="2" t="s">
        <v>196</v>
      </c>
      <c r="P602" s="2" t="s">
        <v>621</v>
      </c>
      <c r="Q602" s="2" t="s">
        <v>198</v>
      </c>
      <c r="R602" s="2" t="s">
        <v>199</v>
      </c>
      <c r="S602" s="2" t="s">
        <v>3275</v>
      </c>
      <c r="T602" s="2" t="s">
        <v>386</v>
      </c>
      <c r="U602" s="2" t="s">
        <v>853</v>
      </c>
      <c r="V602" s="2" t="s">
        <v>638</v>
      </c>
      <c r="W602" s="2" t="s">
        <v>1908</v>
      </c>
      <c r="X602" s="2" t="s">
        <v>203</v>
      </c>
      <c r="Y602" s="2" t="s">
        <v>3269</v>
      </c>
      <c r="Z602" s="4">
        <v>459</v>
      </c>
      <c r="AA602" s="4">
        <f>=ROUNDDOWN(45.9,0)</f>
      </c>
      <c r="AB602" s="5">
        <v>10</v>
      </c>
      <c r="AC602" s="2" t="s">
        <v>892</v>
      </c>
      <c r="AD602" s="4">
        <v>120</v>
      </c>
      <c r="AE602" s="4">
        <v>120</v>
      </c>
      <c r="AF602" s="6">
        <v>63</v>
      </c>
      <c r="AG602" s="6">
        <v>46</v>
      </c>
      <c r="AH602" s="7">
        <v>1</v>
      </c>
      <c r="AI602" s="4"/>
      <c r="AJ602" s="4">
        <f>=ROUNDDOWN({0},0)</f>
      </c>
      <c r="AK602" s="5"/>
      <c r="AL602" s="2" t="s">
        <v>199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199</v>
      </c>
      <c r="BD602" s="8" t="s">
        <v>199</v>
      </c>
      <c r="BE602" s="4" t="s">
        <v>199</v>
      </c>
      <c r="BF602" s="8" t="s">
        <v>199</v>
      </c>
      <c r="BG602" s="7" t="s">
        <v>199</v>
      </c>
      <c r="BH602" s="7" t="s">
        <v>199</v>
      </c>
      <c r="BI602" s="7"/>
      <c r="BJ602" s="4">
        <v>56</v>
      </c>
      <c r="BK602" s="8">
        <v>1641.16</v>
      </c>
      <c r="BL602" s="2" t="s">
        <v>3276</v>
      </c>
      <c r="BM602" s="7"/>
      <c r="BN602" s="7"/>
      <c r="BO602" s="4"/>
      <c r="BP602" s="8"/>
      <c r="BQ602" s="4"/>
      <c r="BR602" s="8"/>
      <c r="BS602" s="7"/>
      <c r="BT602" s="7"/>
      <c r="BU602" s="2" t="s">
        <v>3271</v>
      </c>
      <c r="BV602" s="2" t="s">
        <v>199</v>
      </c>
      <c r="BW602" s="2" t="s">
        <v>199</v>
      </c>
      <c r="BX602" s="2" t="s">
        <v>998</v>
      </c>
      <c r="BY602" s="2" t="s">
        <v>209</v>
      </c>
      <c r="BZ602" s="2" t="s">
        <v>196</v>
      </c>
      <c r="CA602" s="2" t="s">
        <v>3277</v>
      </c>
      <c r="CB602" s="2" t="s">
        <v>2051</v>
      </c>
      <c r="CC602" s="2" t="s">
        <v>212</v>
      </c>
      <c r="CD602" s="2" t="s">
        <v>199</v>
      </c>
      <c r="CE602" s="4">
        <v>198</v>
      </c>
      <c r="CF602" s="4"/>
      <c r="CG602" s="4"/>
      <c r="CH602" s="4">
        <v>261</v>
      </c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>
        <v>120</v>
      </c>
      <c r="EN602" s="4"/>
      <c r="EO602" s="4"/>
      <c r="EP602" s="4"/>
      <c r="EQ602" s="4"/>
      <c r="ER602" s="4"/>
      <c r="ES602" s="4"/>
      <c r="ET602" s="4">
        <v>463</v>
      </c>
      <c r="EU602" s="4">
        <v>454</v>
      </c>
      <c r="EV602" s="4">
        <v>446</v>
      </c>
      <c r="EW602" s="4">
        <v>438</v>
      </c>
      <c r="EX602" s="4">
        <v>430</v>
      </c>
      <c r="EY602" s="4">
        <v>422</v>
      </c>
      <c r="EZ602" s="4">
        <v>414</v>
      </c>
      <c r="FA602" s="4">
        <v>406</v>
      </c>
      <c r="FB602" s="4">
        <v>396</v>
      </c>
      <c r="FC602" s="4">
        <v>388</v>
      </c>
      <c r="FD602" s="4">
        <v>380</v>
      </c>
      <c r="FE602" s="4">
        <v>372</v>
      </c>
      <c r="FF602" s="4">
        <v>362</v>
      </c>
      <c r="FG602" s="4">
        <v>352</v>
      </c>
      <c r="FH602" s="4">
        <v>341</v>
      </c>
      <c r="FI602" s="4">
        <v>330</v>
      </c>
      <c r="FJ602" s="4">
        <v>439</v>
      </c>
      <c r="FK602" s="4">
        <v>428</v>
      </c>
      <c r="FL602" s="4">
        <v>417</v>
      </c>
      <c r="FM602" s="4">
        <v>406</v>
      </c>
      <c r="FN602" s="4">
        <v>395</v>
      </c>
      <c r="FO602" s="4">
        <v>383</v>
      </c>
      <c r="FP602" s="4">
        <v>368</v>
      </c>
      <c r="FQ602" s="4">
        <v>353</v>
      </c>
      <c r="FR602" s="4">
        <v>338</v>
      </c>
      <c r="FS602" s="4">
        <v>323</v>
      </c>
      <c r="FT602" s="19">
        <v>63.8</v>
      </c>
      <c r="FU602" s="19">
        <v>62.6</v>
      </c>
      <c r="FV602" s="19">
        <v>61.6</v>
      </c>
      <c r="FW602" s="19">
        <v>60.6</v>
      </c>
      <c r="FX602" s="19">
        <v>59.6</v>
      </c>
      <c r="FY602" s="19">
        <v>58.6</v>
      </c>
      <c r="FZ602" s="19">
        <v>57.6</v>
      </c>
      <c r="GA602" s="19">
        <v>56.6</v>
      </c>
      <c r="GB602" s="19">
        <v>52.7</v>
      </c>
      <c r="GC602" s="19">
        <v>51.8</v>
      </c>
      <c r="GD602" s="19">
        <v>49.1</v>
      </c>
      <c r="GE602" s="19">
        <v>46.9</v>
      </c>
      <c r="GF602" s="19">
        <v>46</v>
      </c>
      <c r="GG602" s="19">
        <v>45.1</v>
      </c>
      <c r="GH602" s="19">
        <v>44.1</v>
      </c>
      <c r="GI602" s="19">
        <v>43.1</v>
      </c>
      <c r="GJ602" s="19">
        <v>49.6</v>
      </c>
      <c r="GK602" s="19">
        <v>48.6</v>
      </c>
      <c r="GL602" s="19">
        <v>39</v>
      </c>
      <c r="GM602" s="19">
        <v>36.7</v>
      </c>
      <c r="GN602" s="19">
        <v>29.8</v>
      </c>
      <c r="GO602" s="19">
        <v>29</v>
      </c>
      <c r="GP602" s="19">
        <v>28</v>
      </c>
      <c r="GQ602" s="19">
        <v>31.6</v>
      </c>
      <c r="GR602" s="19">
        <v>30.5</v>
      </c>
      <c r="GS602" s="19">
        <v>24.3</v>
      </c>
    </row>
    <row r="603">
      <c r="A603" s="2" t="s">
        <v>3278</v>
      </c>
      <c r="B603" s="2" t="s">
        <v>630</v>
      </c>
      <c r="C603" s="2" t="s">
        <v>987</v>
      </c>
      <c r="D603" s="2" t="s">
        <v>228</v>
      </c>
      <c r="E603" s="2" t="s">
        <v>988</v>
      </c>
      <c r="F603" s="2" t="s">
        <v>3265</v>
      </c>
      <c r="G603" s="2" t="s">
        <v>3266</v>
      </c>
      <c r="H603" s="2" t="s">
        <v>1915</v>
      </c>
      <c r="I603" s="2" t="s">
        <v>3267</v>
      </c>
      <c r="J603" s="2" t="s">
        <v>1011</v>
      </c>
      <c r="K603" s="2" t="s">
        <v>3279</v>
      </c>
      <c r="L603" s="3">
        <v>22.85</v>
      </c>
      <c r="M603" s="3">
        <v>23.99</v>
      </c>
      <c r="N603" s="3">
        <v>47.99</v>
      </c>
      <c r="O603" s="2" t="s">
        <v>196</v>
      </c>
      <c r="P603" s="2" t="s">
        <v>951</v>
      </c>
      <c r="Q603" s="2" t="s">
        <v>198</v>
      </c>
      <c r="R603" s="2" t="s">
        <v>199</v>
      </c>
      <c r="S603" s="2" t="s">
        <v>3280</v>
      </c>
      <c r="T603" s="2" t="s">
        <v>386</v>
      </c>
      <c r="U603" s="2" t="s">
        <v>853</v>
      </c>
      <c r="V603" s="2" t="s">
        <v>638</v>
      </c>
      <c r="W603" s="2" t="s">
        <v>1908</v>
      </c>
      <c r="X603" s="2" t="s">
        <v>203</v>
      </c>
      <c r="Y603" s="2" t="s">
        <v>3269</v>
      </c>
      <c r="Z603" s="4">
        <v>928</v>
      </c>
      <c r="AA603" s="4">
        <f>=ROUNDDOWN(46.4,0)</f>
      </c>
      <c r="AB603" s="5">
        <v>20</v>
      </c>
      <c r="AC603" s="2" t="s">
        <v>199</v>
      </c>
      <c r="AD603" s="4"/>
      <c r="AE603" s="4"/>
      <c r="AF603" s="6">
        <v>63</v>
      </c>
      <c r="AG603" s="6">
        <v>46</v>
      </c>
      <c r="AH603" s="7">
        <v>1</v>
      </c>
      <c r="AI603" s="4"/>
      <c r="AJ603" s="4">
        <f>=ROUNDDOWN({0},0)</f>
      </c>
      <c r="AK603" s="5"/>
      <c r="AL603" s="2" t="s">
        <v>199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199</v>
      </c>
      <c r="BD603" s="8" t="s">
        <v>199</v>
      </c>
      <c r="BE603" s="4" t="s">
        <v>199</v>
      </c>
      <c r="BF603" s="8" t="s">
        <v>199</v>
      </c>
      <c r="BG603" s="7" t="s">
        <v>199</v>
      </c>
      <c r="BH603" s="7" t="s">
        <v>199</v>
      </c>
      <c r="BI603" s="7"/>
      <c r="BJ603" s="4">
        <v>117</v>
      </c>
      <c r="BK603" s="8">
        <v>2891.48</v>
      </c>
      <c r="BL603" s="2" t="s">
        <v>3276</v>
      </c>
      <c r="BM603" s="7"/>
      <c r="BN603" s="7"/>
      <c r="BO603" s="4"/>
      <c r="BP603" s="8"/>
      <c r="BQ603" s="4"/>
      <c r="BR603" s="8"/>
      <c r="BS603" s="7"/>
      <c r="BT603" s="7"/>
      <c r="BU603" s="2" t="s">
        <v>3271</v>
      </c>
      <c r="BV603" s="2" t="s">
        <v>199</v>
      </c>
      <c r="BW603" s="2" t="s">
        <v>199</v>
      </c>
      <c r="BX603" s="2" t="s">
        <v>998</v>
      </c>
      <c r="BY603" s="2" t="s">
        <v>209</v>
      </c>
      <c r="BZ603" s="2" t="s">
        <v>196</v>
      </c>
      <c r="CA603" s="2" t="s">
        <v>3272</v>
      </c>
      <c r="CB603" s="2" t="s">
        <v>3281</v>
      </c>
      <c r="CC603" s="2" t="s">
        <v>212</v>
      </c>
      <c r="CD603" s="2" t="s">
        <v>199</v>
      </c>
      <c r="CE603" s="4">
        <v>591</v>
      </c>
      <c r="CF603" s="4"/>
      <c r="CG603" s="4"/>
      <c r="CH603" s="4">
        <v>337</v>
      </c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>
        <v>934</v>
      </c>
      <c r="EU603" s="4">
        <v>909</v>
      </c>
      <c r="EV603" s="4">
        <v>889</v>
      </c>
      <c r="EW603" s="4">
        <v>869</v>
      </c>
      <c r="EX603" s="4">
        <v>849</v>
      </c>
      <c r="EY603" s="4">
        <v>829</v>
      </c>
      <c r="EZ603" s="4">
        <v>809</v>
      </c>
      <c r="FA603" s="4">
        <v>789</v>
      </c>
      <c r="FB603" s="4">
        <v>765</v>
      </c>
      <c r="FC603" s="4">
        <v>745</v>
      </c>
      <c r="FD603" s="4">
        <v>725</v>
      </c>
      <c r="FE603" s="4">
        <v>705</v>
      </c>
      <c r="FF603" s="4">
        <v>685</v>
      </c>
      <c r="FG603" s="4">
        <v>665</v>
      </c>
      <c r="FH603" s="4">
        <v>642</v>
      </c>
      <c r="FI603" s="4">
        <v>619</v>
      </c>
      <c r="FJ603" s="4">
        <v>596</v>
      </c>
      <c r="FK603" s="4">
        <v>573</v>
      </c>
      <c r="FL603" s="4">
        <v>550</v>
      </c>
      <c r="FM603" s="4">
        <v>527</v>
      </c>
      <c r="FN603" s="4">
        <v>504</v>
      </c>
      <c r="FO603" s="4">
        <v>481</v>
      </c>
      <c r="FP603" s="4">
        <v>457</v>
      </c>
      <c r="FQ603" s="4">
        <v>433</v>
      </c>
      <c r="FR603" s="4">
        <v>409</v>
      </c>
      <c r="FS603" s="4">
        <v>385</v>
      </c>
      <c r="FT603" s="19">
        <v>52.5</v>
      </c>
      <c r="FU603" s="19">
        <v>52.5</v>
      </c>
      <c r="FV603" s="19">
        <v>51.5</v>
      </c>
      <c r="FW603" s="19">
        <v>50.5</v>
      </c>
      <c r="FX603" s="19">
        <v>48.4</v>
      </c>
      <c r="FY603" s="19">
        <v>47.4</v>
      </c>
      <c r="FZ603" s="19">
        <v>46.4</v>
      </c>
      <c r="GA603" s="19">
        <v>45.4</v>
      </c>
      <c r="GB603" s="19">
        <v>45.3</v>
      </c>
      <c r="GC603" s="19">
        <v>44.3</v>
      </c>
      <c r="GD603" s="19">
        <v>42.3</v>
      </c>
      <c r="GE603" s="19">
        <v>36.7</v>
      </c>
      <c r="GF603" s="19">
        <v>35.8</v>
      </c>
      <c r="GG603" s="19">
        <v>34.2</v>
      </c>
      <c r="GH603" s="19">
        <v>33.2</v>
      </c>
      <c r="GI603" s="19">
        <v>32.2</v>
      </c>
      <c r="GJ603" s="19">
        <v>31.2</v>
      </c>
      <c r="GK603" s="19">
        <v>30.2</v>
      </c>
      <c r="GL603" s="19">
        <v>29.2</v>
      </c>
      <c r="GM603" s="19">
        <v>27.7</v>
      </c>
      <c r="GN603" s="19">
        <v>26.8</v>
      </c>
      <c r="GO603" s="19">
        <v>25.8</v>
      </c>
      <c r="GP603" s="19">
        <v>25.2</v>
      </c>
      <c r="GQ603" s="19">
        <v>24.6</v>
      </c>
      <c r="GR603" s="19">
        <v>23.1</v>
      </c>
      <c r="GS603" s="19">
        <v>16.7</v>
      </c>
    </row>
    <row r="604">
      <c r="A604" s="2" t="s">
        <v>3282</v>
      </c>
      <c r="B604" s="2" t="s">
        <v>736</v>
      </c>
      <c r="C604" s="2" t="s">
        <v>737</v>
      </c>
      <c r="D604" s="2" t="s">
        <v>228</v>
      </c>
      <c r="E604" s="2" t="s">
        <v>487</v>
      </c>
      <c r="F604" s="2" t="s">
        <v>3283</v>
      </c>
      <c r="G604" s="2" t="s">
        <v>3284</v>
      </c>
      <c r="H604" s="2" t="s">
        <v>3285</v>
      </c>
      <c r="I604" s="2" t="s">
        <v>1896</v>
      </c>
      <c r="J604" s="2" t="s">
        <v>1011</v>
      </c>
      <c r="K604" s="2" t="s">
        <v>665</v>
      </c>
      <c r="L604" s="3">
        <v>29.81</v>
      </c>
      <c r="M604" s="3">
        <v>31.3</v>
      </c>
      <c r="N604" s="3">
        <v>69.99</v>
      </c>
      <c r="O604" s="2" t="s">
        <v>196</v>
      </c>
      <c r="P604" s="2" t="s">
        <v>841</v>
      </c>
      <c r="Q604" s="2" t="s">
        <v>198</v>
      </c>
      <c r="R604" s="2" t="s">
        <v>199</v>
      </c>
      <c r="S604" s="2" t="s">
        <v>3286</v>
      </c>
      <c r="T604" s="2" t="s">
        <v>386</v>
      </c>
      <c r="U604" s="2" t="s">
        <v>637</v>
      </c>
      <c r="V604" s="2" t="s">
        <v>622</v>
      </c>
      <c r="W604" s="2" t="s">
        <v>203</v>
      </c>
      <c r="X604" s="2" t="s">
        <v>510</v>
      </c>
      <c r="Y604" s="2" t="s">
        <v>204</v>
      </c>
      <c r="Z604" s="4">
        <v>120</v>
      </c>
      <c r="AA604" s="4">
        <f>=ROUNDDOWN(17.1428571428571,0)</f>
      </c>
      <c r="AB604" s="5">
        <v>7</v>
      </c>
      <c r="AC604" s="2" t="s">
        <v>199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199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68</v>
      </c>
      <c r="BK604" s="8">
        <v>1845.15</v>
      </c>
      <c r="BL604" s="2" t="s">
        <v>3287</v>
      </c>
      <c r="BM604" s="7"/>
      <c r="BN604" s="7"/>
      <c r="BO604" s="4"/>
      <c r="BP604" s="8"/>
      <c r="BQ604" s="4"/>
      <c r="BR604" s="8"/>
      <c r="BS604" s="7"/>
      <c r="BT604" s="7"/>
      <c r="BU604" s="2" t="s">
        <v>3288</v>
      </c>
      <c r="BV604" s="2" t="s">
        <v>199</v>
      </c>
      <c r="BW604" s="2" t="s">
        <v>199</v>
      </c>
      <c r="BX604" s="2" t="s">
        <v>208</v>
      </c>
      <c r="BY604" s="2" t="s">
        <v>209</v>
      </c>
      <c r="BZ604" s="2" t="s">
        <v>196</v>
      </c>
      <c r="CA604" s="2" t="s">
        <v>210</v>
      </c>
      <c r="CB604" s="2" t="s">
        <v>773</v>
      </c>
      <c r="CC604" s="2" t="s">
        <v>212</v>
      </c>
      <c r="CD604" s="2" t="s">
        <v>199</v>
      </c>
      <c r="CE604" s="4">
        <v>120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>
        <v>120</v>
      </c>
      <c r="EU604" s="4">
        <v>113</v>
      </c>
      <c r="EV604" s="4">
        <v>106</v>
      </c>
      <c r="EW604" s="4">
        <v>99</v>
      </c>
      <c r="EX604" s="4">
        <v>92</v>
      </c>
      <c r="EY604" s="4">
        <v>85</v>
      </c>
      <c r="EZ604" s="4">
        <v>78</v>
      </c>
      <c r="FA604" s="4">
        <v>71</v>
      </c>
      <c r="FB604" s="4">
        <v>63</v>
      </c>
      <c r="FC604" s="4">
        <v>56</v>
      </c>
      <c r="FD604" s="4">
        <v>48</v>
      </c>
      <c r="FE604" s="4">
        <v>40</v>
      </c>
      <c r="FF604" s="4">
        <v>32</v>
      </c>
      <c r="FG604" s="4">
        <v>24</v>
      </c>
      <c r="FH604" s="4">
        <v>17</v>
      </c>
      <c r="FI604" s="4">
        <v>10</v>
      </c>
      <c r="FJ604" s="4">
        <v>3</v>
      </c>
      <c r="FK604" s="4"/>
      <c r="FL604" s="4"/>
      <c r="FM604" s="4"/>
      <c r="FN604" s="4"/>
      <c r="FO604" s="4"/>
      <c r="FP604" s="4"/>
      <c r="FQ604" s="4">
        <v>165</v>
      </c>
      <c r="FR604" s="4">
        <v>159</v>
      </c>
      <c r="FS604" s="4">
        <v>153</v>
      </c>
      <c r="FT604" s="19">
        <v>17.1</v>
      </c>
      <c r="FU604" s="19">
        <v>16.1</v>
      </c>
      <c r="FV604" s="19">
        <v>15.1</v>
      </c>
      <c r="FW604" s="19">
        <v>14.1</v>
      </c>
      <c r="FX604" s="19">
        <v>13.1</v>
      </c>
      <c r="FY604" s="19">
        <v>12.1</v>
      </c>
      <c r="FZ604" s="19">
        <v>9.8</v>
      </c>
      <c r="GA604" s="19">
        <v>8.9</v>
      </c>
      <c r="GB604" s="19">
        <v>7.9</v>
      </c>
      <c r="GC604" s="19">
        <v>7</v>
      </c>
      <c r="GD604" s="19">
        <v>6</v>
      </c>
      <c r="GE604" s="19">
        <v>5</v>
      </c>
      <c r="GF604" s="19">
        <v>4.6</v>
      </c>
      <c r="GG604" s="19">
        <v>3.4</v>
      </c>
      <c r="GH604" s="19">
        <v>2.4</v>
      </c>
      <c r="GI604" s="19">
        <v>1.4</v>
      </c>
      <c r="GJ604" s="19">
        <v>0.4</v>
      </c>
      <c r="GK604" s="20">
        <v>0</v>
      </c>
      <c r="GL604" s="20">
        <v>0</v>
      </c>
      <c r="GM604" s="20">
        <v>0</v>
      </c>
      <c r="GN604" s="20">
        <v>0</v>
      </c>
      <c r="GO604" s="20">
        <v>0</v>
      </c>
      <c r="GP604" s="20">
        <v>0</v>
      </c>
      <c r="GQ604" s="19">
        <v>23.6</v>
      </c>
      <c r="GR604" s="19">
        <v>19.9</v>
      </c>
      <c r="GS604" s="19">
        <v>17</v>
      </c>
    </row>
    <row r="605">
      <c r="A605" s="2" t="s">
        <v>3289</v>
      </c>
      <c r="B605" s="2" t="s">
        <v>1019</v>
      </c>
      <c r="C605" s="2" t="s">
        <v>3290</v>
      </c>
      <c r="D605" s="2" t="s">
        <v>1973</v>
      </c>
      <c r="E605" s="2" t="s">
        <v>1974</v>
      </c>
      <c r="F605" s="2" t="s">
        <v>3291</v>
      </c>
      <c r="G605" s="2" t="s">
        <v>3291</v>
      </c>
      <c r="H605" s="2" t="s">
        <v>3291</v>
      </c>
      <c r="I605" s="2" t="s">
        <v>1319</v>
      </c>
      <c r="J605" s="2" t="s">
        <v>285</v>
      </c>
      <c r="K605" s="2" t="s">
        <v>1145</v>
      </c>
      <c r="L605" s="3">
        <v>50.08</v>
      </c>
      <c r="M605" s="3">
        <v>52.58</v>
      </c>
      <c r="N605" s="3">
        <v>106.99</v>
      </c>
      <c r="O605" s="2" t="s">
        <v>196</v>
      </c>
      <c r="P605" s="2" t="s">
        <v>197</v>
      </c>
      <c r="Q605" s="2" t="s">
        <v>198</v>
      </c>
      <c r="R605" s="2" t="s">
        <v>199</v>
      </c>
      <c r="S605" s="2" t="s">
        <v>199</v>
      </c>
      <c r="T605" s="2" t="s">
        <v>1322</v>
      </c>
      <c r="U605" s="2" t="s">
        <v>280</v>
      </c>
      <c r="V605" s="2" t="s">
        <v>202</v>
      </c>
      <c r="W605" s="2" t="s">
        <v>203</v>
      </c>
      <c r="X605" s="2" t="s">
        <v>199</v>
      </c>
      <c r="Y605" s="2" t="s">
        <v>3292</v>
      </c>
      <c r="Z605" s="4">
        <v>4</v>
      </c>
      <c r="AA605" s="4">
        <f>=ROUNDDOWN(0.363636363636364,0)</f>
      </c>
      <c r="AB605" s="5">
        <v>11</v>
      </c>
      <c r="AC605" s="2" t="s">
        <v>199</v>
      </c>
      <c r="AD605" s="4"/>
      <c r="AE605" s="4"/>
      <c r="AF605" s="6">
        <v>65</v>
      </c>
      <c r="AG605" s="6"/>
      <c r="AH605" s="7">
        <v>0.4839</v>
      </c>
      <c r="AI605" s="4"/>
      <c r="AJ605" s="4">
        <f>=ROUNDDOWN({0},0)</f>
      </c>
      <c r="AK605" s="5"/>
      <c r="AL605" s="2" t="s">
        <v>199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132</v>
      </c>
      <c r="BK605" s="8">
        <v>7182.93</v>
      </c>
      <c r="BL605" s="2" t="s">
        <v>3293</v>
      </c>
      <c r="BM605" s="7"/>
      <c r="BN605" s="7"/>
      <c r="BO605" s="4"/>
      <c r="BP605" s="8"/>
      <c r="BQ605" s="4"/>
      <c r="BR605" s="8"/>
      <c r="BS605" s="7"/>
      <c r="BT605" s="7"/>
      <c r="BU605" s="2" t="s">
        <v>3294</v>
      </c>
      <c r="BV605" s="2" t="s">
        <v>199</v>
      </c>
      <c r="BW605" s="2" t="s">
        <v>199</v>
      </c>
      <c r="BX605" s="2" t="s">
        <v>260</v>
      </c>
      <c r="BY605" s="2" t="s">
        <v>209</v>
      </c>
      <c r="BZ605" s="2" t="s">
        <v>196</v>
      </c>
      <c r="CA605" s="2" t="s">
        <v>568</v>
      </c>
      <c r="CB605" s="2" t="s">
        <v>3295</v>
      </c>
      <c r="CC605" s="2" t="s">
        <v>212</v>
      </c>
      <c r="CD605" s="2" t="s">
        <v>199</v>
      </c>
      <c r="CE605" s="4"/>
      <c r="CF605" s="4">
        <v>4</v>
      </c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>
        <v>4</v>
      </c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>
        <v>125</v>
      </c>
      <c r="FR605" s="4">
        <v>123</v>
      </c>
      <c r="FS605" s="4">
        <v>119</v>
      </c>
      <c r="FT605" s="19">
        <v>0.4</v>
      </c>
      <c r="FU605" s="20">
        <v>0</v>
      </c>
      <c r="FV605" s="20">
        <v>0</v>
      </c>
      <c r="FW605" s="20">
        <v>0</v>
      </c>
      <c r="FX605" s="20">
        <v>0</v>
      </c>
      <c r="FY605" s="20">
        <v>0</v>
      </c>
      <c r="FZ605" s="20">
        <v>0</v>
      </c>
      <c r="GA605" s="20">
        <v>0</v>
      </c>
      <c r="GB605" s="20">
        <v>0</v>
      </c>
      <c r="GC605" s="20">
        <v>0</v>
      </c>
      <c r="GD605" s="20">
        <v>0</v>
      </c>
      <c r="GE605" s="20">
        <v>0</v>
      </c>
      <c r="GF605" s="20">
        <v>0</v>
      </c>
      <c r="GG605" s="20">
        <v>0</v>
      </c>
      <c r="GH605" s="20">
        <v>0</v>
      </c>
      <c r="GI605" s="20">
        <v>0</v>
      </c>
      <c r="GJ605" s="20">
        <v>0</v>
      </c>
      <c r="GK605" s="20">
        <v>0</v>
      </c>
      <c r="GL605" s="20">
        <v>0</v>
      </c>
      <c r="GM605" s="20">
        <v>0</v>
      </c>
      <c r="GN605" s="20">
        <v>0</v>
      </c>
      <c r="GO605" s="20">
        <v>0</v>
      </c>
      <c r="GP605" s="20">
        <v>0</v>
      </c>
      <c r="GQ605" s="19">
        <v>62.5</v>
      </c>
      <c r="GR605" s="19">
        <v>61.5</v>
      </c>
      <c r="GS605" s="19">
        <v>59.5</v>
      </c>
    </row>
    <row r="606">
      <c r="A606" s="2" t="s">
        <v>3296</v>
      </c>
      <c r="B606" s="2" t="s">
        <v>630</v>
      </c>
      <c r="C606" s="2" t="s">
        <v>987</v>
      </c>
      <c r="D606" s="2" t="s">
        <v>631</v>
      </c>
      <c r="E606" s="2" t="s">
        <v>632</v>
      </c>
      <c r="F606" s="2" t="s">
        <v>3297</v>
      </c>
      <c r="G606" s="2" t="s">
        <v>3298</v>
      </c>
      <c r="H606" s="2" t="s">
        <v>3299</v>
      </c>
      <c r="I606" s="2" t="s">
        <v>3300</v>
      </c>
      <c r="J606" s="2" t="s">
        <v>1011</v>
      </c>
      <c r="K606" s="2" t="s">
        <v>405</v>
      </c>
      <c r="L606" s="3">
        <v>15.47</v>
      </c>
      <c r="M606" s="3">
        <v>16.24</v>
      </c>
      <c r="N606" s="3">
        <v>32.49</v>
      </c>
      <c r="O606" s="2" t="s">
        <v>196</v>
      </c>
      <c r="P606" s="2" t="s">
        <v>951</v>
      </c>
      <c r="Q606" s="2" t="s">
        <v>198</v>
      </c>
      <c r="R606" s="2" t="s">
        <v>199</v>
      </c>
      <c r="S606" s="2" t="s">
        <v>3301</v>
      </c>
      <c r="T606" s="2" t="s">
        <v>386</v>
      </c>
      <c r="U606" s="2" t="s">
        <v>853</v>
      </c>
      <c r="V606" s="2" t="s">
        <v>202</v>
      </c>
      <c r="W606" s="2" t="s">
        <v>510</v>
      </c>
      <c r="X606" s="2" t="s">
        <v>199</v>
      </c>
      <c r="Y606" s="2" t="s">
        <v>1098</v>
      </c>
      <c r="Z606" s="4">
        <v>117</v>
      </c>
      <c r="AA606" s="4">
        <f>=ROUNDDOWN(14.625,0)</f>
      </c>
      <c r="AB606" s="5">
        <v>8</v>
      </c>
      <c r="AC606" s="2" t="s">
        <v>199</v>
      </c>
      <c r="AD606" s="4"/>
      <c r="AE606" s="4"/>
      <c r="AF606" s="6">
        <v>63</v>
      </c>
      <c r="AG606" s="6">
        <v>46</v>
      </c>
      <c r="AH606" s="7">
        <v>1</v>
      </c>
      <c r="AI606" s="4"/>
      <c r="AJ606" s="4">
        <f>=ROUNDDOWN({0},0)</f>
      </c>
      <c r="AK606" s="5"/>
      <c r="AL606" s="2" t="s">
        <v>199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52</v>
      </c>
      <c r="BK606" s="8">
        <v>849.14</v>
      </c>
      <c r="BL606" s="2" t="s">
        <v>3302</v>
      </c>
      <c r="BM606" s="7"/>
      <c r="BN606" s="7"/>
      <c r="BO606" s="4"/>
      <c r="BP606" s="8"/>
      <c r="BQ606" s="4"/>
      <c r="BR606" s="8"/>
      <c r="BS606" s="7"/>
      <c r="BT606" s="7"/>
      <c r="BU606" s="2" t="s">
        <v>3303</v>
      </c>
      <c r="BV606" s="2" t="s">
        <v>199</v>
      </c>
      <c r="BW606" s="2" t="s">
        <v>199</v>
      </c>
      <c r="BX606" s="2" t="s">
        <v>998</v>
      </c>
      <c r="BY606" s="2" t="s">
        <v>209</v>
      </c>
      <c r="BZ606" s="2" t="s">
        <v>196</v>
      </c>
      <c r="CA606" s="2" t="s">
        <v>1098</v>
      </c>
      <c r="CB606" s="2" t="s">
        <v>3269</v>
      </c>
      <c r="CC606" s="2" t="s">
        <v>212</v>
      </c>
      <c r="CD606" s="2" t="s">
        <v>199</v>
      </c>
      <c r="CE606" s="4">
        <v>96</v>
      </c>
      <c r="CF606" s="4"/>
      <c r="CG606" s="4"/>
      <c r="CH606" s="4">
        <v>21</v>
      </c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>
        <v>117</v>
      </c>
      <c r="EU606" s="4">
        <v>115</v>
      </c>
      <c r="EV606" s="4">
        <v>113</v>
      </c>
      <c r="EW606" s="4">
        <v>111</v>
      </c>
      <c r="EX606" s="4">
        <v>109</v>
      </c>
      <c r="EY606" s="4">
        <v>107</v>
      </c>
      <c r="EZ606" s="4">
        <v>105</v>
      </c>
      <c r="FA606" s="4">
        <v>97</v>
      </c>
      <c r="FB606" s="4">
        <v>89</v>
      </c>
      <c r="FC606" s="4">
        <v>81</v>
      </c>
      <c r="FD606" s="4">
        <v>73</v>
      </c>
      <c r="FE606" s="4">
        <v>65</v>
      </c>
      <c r="FF606" s="4">
        <v>57</v>
      </c>
      <c r="FG606" s="4">
        <v>49</v>
      </c>
      <c r="FH606" s="4">
        <v>41</v>
      </c>
      <c r="FI606" s="4">
        <v>32</v>
      </c>
      <c r="FJ606" s="4">
        <v>24</v>
      </c>
      <c r="FK606" s="4">
        <v>16</v>
      </c>
      <c r="FL606" s="4">
        <v>8</v>
      </c>
      <c r="FM606" s="4">
        <v>52</v>
      </c>
      <c r="FN606" s="4">
        <v>44</v>
      </c>
      <c r="FO606" s="4">
        <v>80</v>
      </c>
      <c r="FP606" s="4">
        <v>72</v>
      </c>
      <c r="FQ606" s="4">
        <v>80</v>
      </c>
      <c r="FR606" s="4">
        <v>72</v>
      </c>
      <c r="FS606" s="4">
        <v>80</v>
      </c>
      <c r="FT606" s="19">
        <v>58.5</v>
      </c>
      <c r="FU606" s="19">
        <v>57.5</v>
      </c>
      <c r="FV606" s="19">
        <v>56.5</v>
      </c>
      <c r="FW606" s="19">
        <v>27.8</v>
      </c>
      <c r="FX606" s="19">
        <v>27.3</v>
      </c>
      <c r="FY606" s="19">
        <v>17.8</v>
      </c>
      <c r="FZ606" s="19">
        <v>13.2</v>
      </c>
      <c r="GA606" s="19">
        <v>10.5</v>
      </c>
      <c r="GB606" s="19">
        <v>8.6</v>
      </c>
      <c r="GC606" s="19">
        <v>7.1</v>
      </c>
      <c r="GD606" s="19">
        <v>4.6</v>
      </c>
      <c r="GE606" s="19">
        <v>4.1</v>
      </c>
      <c r="GF606" s="19">
        <v>3.6</v>
      </c>
      <c r="GG606" s="19">
        <v>3.1</v>
      </c>
      <c r="GH606" s="19">
        <v>2.6</v>
      </c>
      <c r="GI606" s="19">
        <v>2</v>
      </c>
      <c r="GJ606" s="19">
        <v>2</v>
      </c>
      <c r="GK606" s="19">
        <v>2</v>
      </c>
      <c r="GL606" s="19">
        <v>1.4</v>
      </c>
      <c r="GM606" s="19">
        <v>4.4</v>
      </c>
      <c r="GN606" s="19">
        <v>4.4</v>
      </c>
      <c r="GO606" s="19">
        <v>10</v>
      </c>
      <c r="GP606" s="19">
        <v>9</v>
      </c>
      <c r="GQ606" s="19">
        <v>10</v>
      </c>
      <c r="GR606" s="19">
        <v>9</v>
      </c>
      <c r="GS606" s="19">
        <v>10</v>
      </c>
    </row>
    <row r="607">
      <c r="A607" s="2" t="s">
        <v>3304</v>
      </c>
      <c r="B607" s="2" t="s">
        <v>736</v>
      </c>
      <c r="C607" s="2" t="s">
        <v>737</v>
      </c>
      <c r="D607" s="2" t="s">
        <v>631</v>
      </c>
      <c r="E607" s="2" t="s">
        <v>632</v>
      </c>
      <c r="F607" s="2" t="s">
        <v>3305</v>
      </c>
      <c r="G607" s="2" t="s">
        <v>3306</v>
      </c>
      <c r="H607" s="2" t="s">
        <v>3307</v>
      </c>
      <c r="I607" s="2" t="s">
        <v>3308</v>
      </c>
      <c r="J607" s="2" t="s">
        <v>232</v>
      </c>
      <c r="K607" s="2" t="s">
        <v>3309</v>
      </c>
      <c r="L607" s="3">
        <v>28.57</v>
      </c>
      <c r="M607" s="3">
        <v>30</v>
      </c>
      <c r="N607" s="3">
        <v>59.99</v>
      </c>
      <c r="O607" s="2" t="s">
        <v>196</v>
      </c>
      <c r="P607" s="2" t="s">
        <v>197</v>
      </c>
      <c r="Q607" s="2" t="s">
        <v>198</v>
      </c>
      <c r="R607" s="2" t="s">
        <v>199</v>
      </c>
      <c r="S607" s="2" t="s">
        <v>3310</v>
      </c>
      <c r="T607" s="2" t="s">
        <v>1969</v>
      </c>
      <c r="U607" s="2" t="s">
        <v>637</v>
      </c>
      <c r="V607" s="2" t="s">
        <v>3311</v>
      </c>
      <c r="W607" s="2" t="s">
        <v>510</v>
      </c>
      <c r="X607" s="2" t="s">
        <v>203</v>
      </c>
      <c r="Y607" s="2" t="s">
        <v>2505</v>
      </c>
      <c r="Z607" s="4"/>
      <c r="AA607" s="4">
        <f>=ROUNDDOWN({0},0)</f>
      </c>
      <c r="AB607" s="5">
        <v>7</v>
      </c>
      <c r="AC607" s="2" t="s">
        <v>377</v>
      </c>
      <c r="AD607" s="4">
        <v>130</v>
      </c>
      <c r="AE607" s="4">
        <v>230</v>
      </c>
      <c r="AF607" s="6">
        <v>65</v>
      </c>
      <c r="AG607" s="6"/>
      <c r="AH607" s="7">
        <v>0.0323</v>
      </c>
      <c r="AI607" s="4"/>
      <c r="AJ607" s="4">
        <f>=ROUNDDOWN({0},0)</f>
      </c>
      <c r="AK607" s="5"/>
      <c r="AL607" s="2" t="s">
        <v>199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25</v>
      </c>
      <c r="BK607" s="8">
        <v>806.86</v>
      </c>
      <c r="BL607" s="2" t="s">
        <v>779</v>
      </c>
      <c r="BM607" s="7"/>
      <c r="BN607" s="7"/>
      <c r="BO607" s="4"/>
      <c r="BP607" s="8"/>
      <c r="BQ607" s="4"/>
      <c r="BR607" s="8"/>
      <c r="BS607" s="7"/>
      <c r="BT607" s="7"/>
      <c r="BU607" s="2" t="s">
        <v>3312</v>
      </c>
      <c r="BV607" s="2" t="s">
        <v>199</v>
      </c>
      <c r="BW607" s="2" t="s">
        <v>199</v>
      </c>
      <c r="BX607" s="2" t="s">
        <v>208</v>
      </c>
      <c r="BY607" s="2" t="s">
        <v>209</v>
      </c>
      <c r="BZ607" s="2" t="s">
        <v>196</v>
      </c>
      <c r="CA607" s="2" t="s">
        <v>374</v>
      </c>
      <c r="CB607" s="2" t="s">
        <v>2263</v>
      </c>
      <c r="CC607" s="2" t="s">
        <v>212</v>
      </c>
      <c r="CD607" s="2" t="s">
        <v>199</v>
      </c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>
        <v>130</v>
      </c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>
        <v>100</v>
      </c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>
        <v>130</v>
      </c>
      <c r="FC607" s="4">
        <v>114</v>
      </c>
      <c r="FD607" s="4">
        <v>106</v>
      </c>
      <c r="FE607" s="4">
        <v>98</v>
      </c>
      <c r="FF607" s="4">
        <v>90</v>
      </c>
      <c r="FG607" s="4">
        <v>82</v>
      </c>
      <c r="FH607" s="4">
        <v>76</v>
      </c>
      <c r="FI607" s="4">
        <v>70</v>
      </c>
      <c r="FJ607" s="4">
        <v>164</v>
      </c>
      <c r="FK607" s="4">
        <v>158</v>
      </c>
      <c r="FL607" s="4">
        <v>152</v>
      </c>
      <c r="FM607" s="4">
        <v>146</v>
      </c>
      <c r="FN607" s="4">
        <v>139</v>
      </c>
      <c r="FO607" s="4">
        <v>133</v>
      </c>
      <c r="FP607" s="4">
        <v>126</v>
      </c>
      <c r="FQ607" s="4">
        <v>121</v>
      </c>
      <c r="FR607" s="4">
        <v>116</v>
      </c>
      <c r="FS607" s="4">
        <v>111</v>
      </c>
      <c r="FT607" s="20">
        <v>0</v>
      </c>
      <c r="FU607" s="20">
        <v>0</v>
      </c>
      <c r="FV607" s="20">
        <v>0</v>
      </c>
      <c r="FW607" s="20">
        <v>0</v>
      </c>
      <c r="FX607" s="20">
        <v>0</v>
      </c>
      <c r="FY607" s="20">
        <v>0</v>
      </c>
      <c r="FZ607" s="20">
        <v>0</v>
      </c>
      <c r="GA607" s="20">
        <v>0</v>
      </c>
      <c r="GB607" s="19">
        <v>13</v>
      </c>
      <c r="GC607" s="19">
        <v>14.3</v>
      </c>
      <c r="GD607" s="19">
        <v>13.3</v>
      </c>
      <c r="GE607" s="19">
        <v>14</v>
      </c>
      <c r="GF607" s="19">
        <v>15</v>
      </c>
      <c r="GG607" s="19">
        <v>13.7</v>
      </c>
      <c r="GH607" s="19">
        <v>12.7</v>
      </c>
      <c r="GI607" s="19">
        <v>11.7</v>
      </c>
      <c r="GJ607" s="19">
        <v>27.3</v>
      </c>
      <c r="GK607" s="19">
        <v>26.3</v>
      </c>
      <c r="GL607" s="19">
        <v>25.3</v>
      </c>
      <c r="GM607" s="19">
        <v>24.3</v>
      </c>
      <c r="GN607" s="19">
        <v>23.2</v>
      </c>
      <c r="GO607" s="19">
        <v>22.2</v>
      </c>
      <c r="GP607" s="19">
        <v>25.2</v>
      </c>
      <c r="GQ607" s="19">
        <v>20.2</v>
      </c>
      <c r="GR607" s="19">
        <v>16.6</v>
      </c>
      <c r="GS607" s="19">
        <v>13.9</v>
      </c>
    </row>
    <row r="608">
      <c r="A608" s="2" t="s">
        <v>3313</v>
      </c>
      <c r="B608" s="2" t="s">
        <v>630</v>
      </c>
      <c r="C608" s="2" t="s">
        <v>246</v>
      </c>
      <c r="D608" s="2" t="s">
        <v>759</v>
      </c>
      <c r="E608" s="2" t="s">
        <v>760</v>
      </c>
      <c r="F608" s="2" t="s">
        <v>3314</v>
      </c>
      <c r="G608" s="2" t="s">
        <v>3315</v>
      </c>
      <c r="H608" s="2" t="s">
        <v>3316</v>
      </c>
      <c r="I608" s="2" t="s">
        <v>3317</v>
      </c>
      <c r="J608" s="2" t="s">
        <v>232</v>
      </c>
      <c r="K608" s="2" t="s">
        <v>195</v>
      </c>
      <c r="L608" s="3">
        <v>44.99</v>
      </c>
      <c r="M608" s="3">
        <v>47.24</v>
      </c>
      <c r="N608" s="3">
        <v>89.99</v>
      </c>
      <c r="O608" s="2" t="s">
        <v>196</v>
      </c>
      <c r="P608" s="2" t="s">
        <v>197</v>
      </c>
      <c r="Q608" s="2" t="s">
        <v>198</v>
      </c>
      <c r="R608" s="2" t="s">
        <v>199</v>
      </c>
      <c r="S608" s="2" t="s">
        <v>3318</v>
      </c>
      <c r="T608" s="2" t="s">
        <v>726</v>
      </c>
      <c r="U608" s="2" t="s">
        <v>492</v>
      </c>
      <c r="V608" s="2" t="s">
        <v>953</v>
      </c>
      <c r="W608" s="2" t="s">
        <v>529</v>
      </c>
      <c r="X608" s="2" t="s">
        <v>954</v>
      </c>
      <c r="Y608" s="2" t="s">
        <v>204</v>
      </c>
      <c r="Z608" s="4">
        <v>610</v>
      </c>
      <c r="AA608" s="4">
        <f>=ROUNDDOWN(55.4545454545455,0)</f>
      </c>
      <c r="AB608" s="5">
        <v>11</v>
      </c>
      <c r="AC608" s="2" t="s">
        <v>199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199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199</v>
      </c>
      <c r="BD608" s="8" t="s">
        <v>199</v>
      </c>
      <c r="BE608" s="4" t="s">
        <v>199</v>
      </c>
      <c r="BF608" s="8" t="s">
        <v>199</v>
      </c>
      <c r="BG608" s="7" t="s">
        <v>199</v>
      </c>
      <c r="BH608" s="7" t="s">
        <v>199</v>
      </c>
      <c r="BI608" s="7"/>
      <c r="BJ608" s="4">
        <v>43</v>
      </c>
      <c r="BK608" s="8">
        <v>2201.72</v>
      </c>
      <c r="BL608" s="2" t="s">
        <v>3319</v>
      </c>
      <c r="BM608" s="7"/>
      <c r="BN608" s="7"/>
      <c r="BO608" s="4"/>
      <c r="BP608" s="8"/>
      <c r="BQ608" s="4"/>
      <c r="BR608" s="8"/>
      <c r="BS608" s="7"/>
      <c r="BT608" s="7"/>
      <c r="BU608" s="2" t="s">
        <v>3320</v>
      </c>
      <c r="BV608" s="2" t="s">
        <v>199</v>
      </c>
      <c r="BW608" s="2" t="s">
        <v>199</v>
      </c>
      <c r="BX608" s="2" t="s">
        <v>260</v>
      </c>
      <c r="BY608" s="2" t="s">
        <v>209</v>
      </c>
      <c r="BZ608" s="2" t="s">
        <v>196</v>
      </c>
      <c r="CA608" s="2" t="s">
        <v>210</v>
      </c>
      <c r="CB608" s="2" t="s">
        <v>2373</v>
      </c>
      <c r="CC608" s="2" t="s">
        <v>212</v>
      </c>
      <c r="CD608" s="2" t="s">
        <v>199</v>
      </c>
      <c r="CE608" s="4">
        <v>232</v>
      </c>
      <c r="CF608" s="4">
        <v>378</v>
      </c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>
        <v>614</v>
      </c>
      <c r="EU608" s="4">
        <v>604</v>
      </c>
      <c r="EV608" s="4">
        <v>595</v>
      </c>
      <c r="EW608" s="4">
        <v>584</v>
      </c>
      <c r="EX608" s="4">
        <v>573</v>
      </c>
      <c r="EY608" s="4">
        <v>562</v>
      </c>
      <c r="EZ608" s="4">
        <v>551</v>
      </c>
      <c r="FA608" s="4">
        <v>540</v>
      </c>
      <c r="FB608" s="4">
        <v>528</v>
      </c>
      <c r="FC608" s="4">
        <v>517</v>
      </c>
      <c r="FD608" s="4">
        <v>506</v>
      </c>
      <c r="FE608" s="4">
        <v>495</v>
      </c>
      <c r="FF608" s="4">
        <v>484</v>
      </c>
      <c r="FG608" s="4">
        <v>473</v>
      </c>
      <c r="FH608" s="4">
        <v>462</v>
      </c>
      <c r="FI608" s="4">
        <v>451</v>
      </c>
      <c r="FJ608" s="4">
        <v>440</v>
      </c>
      <c r="FK608" s="4">
        <v>429</v>
      </c>
      <c r="FL608" s="4">
        <v>418</v>
      </c>
      <c r="FM608" s="4">
        <v>407</v>
      </c>
      <c r="FN608" s="4">
        <v>396</v>
      </c>
      <c r="FO608" s="4">
        <v>385</v>
      </c>
      <c r="FP608" s="4">
        <v>373</v>
      </c>
      <c r="FQ608" s="4">
        <v>362</v>
      </c>
      <c r="FR608" s="4">
        <v>351</v>
      </c>
      <c r="FS608" s="4">
        <v>340</v>
      </c>
      <c r="FT608" s="19">
        <v>61.4</v>
      </c>
      <c r="FU608" s="19">
        <v>60.4</v>
      </c>
      <c r="FV608" s="19">
        <v>54.1</v>
      </c>
      <c r="FW608" s="19">
        <v>53.1</v>
      </c>
      <c r="FX608" s="19">
        <v>52.1</v>
      </c>
      <c r="FY608" s="19">
        <v>51.1</v>
      </c>
      <c r="FZ608" s="19">
        <v>50.1</v>
      </c>
      <c r="GA608" s="19">
        <v>49.1</v>
      </c>
      <c r="GB608" s="19">
        <v>48</v>
      </c>
      <c r="GC608" s="19">
        <v>47</v>
      </c>
      <c r="GD608" s="19">
        <v>46</v>
      </c>
      <c r="GE608" s="19">
        <v>45</v>
      </c>
      <c r="GF608" s="19">
        <v>44</v>
      </c>
      <c r="GG608" s="19">
        <v>43</v>
      </c>
      <c r="GH608" s="19">
        <v>42</v>
      </c>
      <c r="GI608" s="19">
        <v>41</v>
      </c>
      <c r="GJ608" s="19">
        <v>40</v>
      </c>
      <c r="GK608" s="19">
        <v>39</v>
      </c>
      <c r="GL608" s="19">
        <v>38</v>
      </c>
      <c r="GM608" s="19">
        <v>37</v>
      </c>
      <c r="GN608" s="19">
        <v>36</v>
      </c>
      <c r="GO608" s="19">
        <v>35</v>
      </c>
      <c r="GP608" s="19">
        <v>33.9</v>
      </c>
      <c r="GQ608" s="19">
        <v>32.9</v>
      </c>
      <c r="GR608" s="19">
        <v>31.9</v>
      </c>
      <c r="GS608" s="19">
        <v>30.9</v>
      </c>
    </row>
    <row r="609">
      <c r="A609" s="2" t="s">
        <v>3321</v>
      </c>
      <c r="B609" s="2" t="s">
        <v>630</v>
      </c>
      <c r="C609" s="2" t="s">
        <v>246</v>
      </c>
      <c r="D609" s="2" t="s">
        <v>228</v>
      </c>
      <c r="E609" s="2" t="s">
        <v>487</v>
      </c>
      <c r="F609" s="2" t="s">
        <v>3314</v>
      </c>
      <c r="G609" s="2" t="s">
        <v>3315</v>
      </c>
      <c r="H609" s="2" t="s">
        <v>3316</v>
      </c>
      <c r="I609" s="2" t="s">
        <v>976</v>
      </c>
      <c r="J609" s="2" t="s">
        <v>219</v>
      </c>
      <c r="K609" s="2" t="s">
        <v>865</v>
      </c>
      <c r="L609" s="3">
        <v>57.6</v>
      </c>
      <c r="M609" s="3">
        <v>60.47</v>
      </c>
      <c r="N609" s="3">
        <v>119.99</v>
      </c>
      <c r="O609" s="2" t="s">
        <v>196</v>
      </c>
      <c r="P609" s="2" t="s">
        <v>197</v>
      </c>
      <c r="Q609" s="2" t="s">
        <v>198</v>
      </c>
      <c r="R609" s="2" t="s">
        <v>199</v>
      </c>
      <c r="S609" s="2" t="s">
        <v>3318</v>
      </c>
      <c r="T609" s="2" t="s">
        <v>726</v>
      </c>
      <c r="U609" s="2" t="s">
        <v>509</v>
      </c>
      <c r="V609" s="2" t="s">
        <v>953</v>
      </c>
      <c r="W609" s="2" t="s">
        <v>529</v>
      </c>
      <c r="X609" s="2" t="s">
        <v>954</v>
      </c>
      <c r="Y609" s="2" t="s">
        <v>204</v>
      </c>
      <c r="Z609" s="4">
        <v>438</v>
      </c>
      <c r="AA609" s="4">
        <f>=ROUNDDOWN(39.8181818181818,0)</f>
      </c>
      <c r="AB609" s="5">
        <v>11</v>
      </c>
      <c r="AC609" s="2" t="s">
        <v>199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199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199</v>
      </c>
      <c r="AW609" s="8" t="s">
        <v>199</v>
      </c>
      <c r="AX609" s="4" t="s">
        <v>199</v>
      </c>
      <c r="AY609" s="8" t="s">
        <v>199</v>
      </c>
      <c r="AZ609" s="7" t="s">
        <v>199</v>
      </c>
      <c r="BA609" s="7" t="s">
        <v>199</v>
      </c>
      <c r="BB609" s="7"/>
      <c r="BC609" s="4" t="s">
        <v>199</v>
      </c>
      <c r="BD609" s="8" t="s">
        <v>199</v>
      </c>
      <c r="BE609" s="4" t="s">
        <v>199</v>
      </c>
      <c r="BF609" s="8" t="s">
        <v>199</v>
      </c>
      <c r="BG609" s="7" t="s">
        <v>199</v>
      </c>
      <c r="BH609" s="7" t="s">
        <v>199</v>
      </c>
      <c r="BI609" s="7"/>
      <c r="BJ609" s="4">
        <v>50</v>
      </c>
      <c r="BK609" s="8">
        <v>2856.68</v>
      </c>
      <c r="BL609" s="2" t="s">
        <v>3322</v>
      </c>
      <c r="BM609" s="7"/>
      <c r="BN609" s="7"/>
      <c r="BO609" s="4"/>
      <c r="BP609" s="8"/>
      <c r="BQ609" s="4"/>
      <c r="BR609" s="8"/>
      <c r="BS609" s="7"/>
      <c r="BT609" s="7"/>
      <c r="BU609" s="2" t="s">
        <v>3323</v>
      </c>
      <c r="BV609" s="2" t="s">
        <v>199</v>
      </c>
      <c r="BW609" s="2" t="s">
        <v>199</v>
      </c>
      <c r="BX609" s="2" t="s">
        <v>208</v>
      </c>
      <c r="BY609" s="2" t="s">
        <v>209</v>
      </c>
      <c r="BZ609" s="2" t="s">
        <v>196</v>
      </c>
      <c r="CA609" s="2" t="s">
        <v>210</v>
      </c>
      <c r="CB609" s="2" t="s">
        <v>773</v>
      </c>
      <c r="CC609" s="2" t="s">
        <v>212</v>
      </c>
      <c r="CD609" s="2" t="s">
        <v>199</v>
      </c>
      <c r="CE609" s="4">
        <v>438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>
        <v>449</v>
      </c>
      <c r="EU609" s="4">
        <v>429</v>
      </c>
      <c r="EV609" s="4">
        <v>418</v>
      </c>
      <c r="EW609" s="4">
        <v>407</v>
      </c>
      <c r="EX609" s="4">
        <v>396</v>
      </c>
      <c r="EY609" s="4">
        <v>385</v>
      </c>
      <c r="EZ609" s="4">
        <v>374</v>
      </c>
      <c r="FA609" s="4">
        <v>363</v>
      </c>
      <c r="FB609" s="4">
        <v>351</v>
      </c>
      <c r="FC609" s="4">
        <v>340</v>
      </c>
      <c r="FD609" s="4">
        <v>329</v>
      </c>
      <c r="FE609" s="4">
        <v>318</v>
      </c>
      <c r="FF609" s="4">
        <v>307</v>
      </c>
      <c r="FG609" s="4">
        <v>296</v>
      </c>
      <c r="FH609" s="4">
        <v>285</v>
      </c>
      <c r="FI609" s="4">
        <v>273</v>
      </c>
      <c r="FJ609" s="4">
        <v>262</v>
      </c>
      <c r="FK609" s="4">
        <v>251</v>
      </c>
      <c r="FL609" s="4">
        <v>240</v>
      </c>
      <c r="FM609" s="4">
        <v>229</v>
      </c>
      <c r="FN609" s="4">
        <v>217</v>
      </c>
      <c r="FO609" s="4">
        <v>206</v>
      </c>
      <c r="FP609" s="4">
        <v>194</v>
      </c>
      <c r="FQ609" s="4">
        <v>183</v>
      </c>
      <c r="FR609" s="4">
        <v>172</v>
      </c>
      <c r="FS609" s="4">
        <v>161</v>
      </c>
      <c r="FT609" s="19">
        <v>34.5</v>
      </c>
      <c r="FU609" s="19">
        <v>39</v>
      </c>
      <c r="FV609" s="19">
        <v>38</v>
      </c>
      <c r="FW609" s="19">
        <v>37</v>
      </c>
      <c r="FX609" s="19">
        <v>36</v>
      </c>
      <c r="FY609" s="19">
        <v>35</v>
      </c>
      <c r="FZ609" s="19">
        <v>34</v>
      </c>
      <c r="GA609" s="19">
        <v>33</v>
      </c>
      <c r="GB609" s="19">
        <v>31.9</v>
      </c>
      <c r="GC609" s="19">
        <v>30.9</v>
      </c>
      <c r="GD609" s="19">
        <v>29.9</v>
      </c>
      <c r="GE609" s="19">
        <v>28.9</v>
      </c>
      <c r="GF609" s="19">
        <v>27.9</v>
      </c>
      <c r="GG609" s="19">
        <v>26.9</v>
      </c>
      <c r="GH609" s="19">
        <v>25.9</v>
      </c>
      <c r="GI609" s="19">
        <v>24.8</v>
      </c>
      <c r="GJ609" s="19">
        <v>23.8</v>
      </c>
      <c r="GK609" s="19">
        <v>22.8</v>
      </c>
      <c r="GL609" s="19">
        <v>20</v>
      </c>
      <c r="GM609" s="19">
        <v>19.1</v>
      </c>
      <c r="GN609" s="19">
        <v>19.7</v>
      </c>
      <c r="GO609" s="19">
        <v>18.7</v>
      </c>
      <c r="GP609" s="19">
        <v>17.6</v>
      </c>
      <c r="GQ609" s="19">
        <v>16.6</v>
      </c>
      <c r="GR609" s="19">
        <v>15.6</v>
      </c>
      <c r="GS609" s="19">
        <v>13.4</v>
      </c>
    </row>
    <row r="610">
      <c r="A610" s="2" t="s">
        <v>3324</v>
      </c>
      <c r="B610" s="2" t="s">
        <v>630</v>
      </c>
      <c r="C610" s="2" t="s">
        <v>246</v>
      </c>
      <c r="D610" s="2" t="s">
        <v>228</v>
      </c>
      <c r="E610" s="2" t="s">
        <v>487</v>
      </c>
      <c r="F610" s="2" t="s">
        <v>3314</v>
      </c>
      <c r="G610" s="2" t="s">
        <v>3315</v>
      </c>
      <c r="H610" s="2" t="s">
        <v>3316</v>
      </c>
      <c r="I610" s="2" t="s">
        <v>976</v>
      </c>
      <c r="J610" s="2" t="s">
        <v>223</v>
      </c>
      <c r="K610" s="2" t="s">
        <v>865</v>
      </c>
      <c r="L610" s="3">
        <v>76.49</v>
      </c>
      <c r="M610" s="3">
        <v>80.32</v>
      </c>
      <c r="N610" s="3">
        <v>149.99</v>
      </c>
      <c r="O610" s="2" t="s">
        <v>196</v>
      </c>
      <c r="P610" s="2" t="s">
        <v>197</v>
      </c>
      <c r="Q610" s="2" t="s">
        <v>198</v>
      </c>
      <c r="R610" s="2" t="s">
        <v>199</v>
      </c>
      <c r="S610" s="2" t="s">
        <v>3318</v>
      </c>
      <c r="T610" s="2" t="s">
        <v>726</v>
      </c>
      <c r="U610" s="2" t="s">
        <v>509</v>
      </c>
      <c r="V610" s="2" t="s">
        <v>953</v>
      </c>
      <c r="W610" s="2" t="s">
        <v>529</v>
      </c>
      <c r="X610" s="2" t="s">
        <v>954</v>
      </c>
      <c r="Y610" s="2" t="s">
        <v>204</v>
      </c>
      <c r="Z610" s="4">
        <v>336</v>
      </c>
      <c r="AA610" s="4">
        <f>=ROUNDDOWN(33.6,0)</f>
      </c>
      <c r="AB610" s="5">
        <v>10</v>
      </c>
      <c r="AC610" s="2" t="s">
        <v>199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199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199</v>
      </c>
      <c r="AW610" s="8" t="s">
        <v>199</v>
      </c>
      <c r="AX610" s="4" t="s">
        <v>199</v>
      </c>
      <c r="AY610" s="8" t="s">
        <v>199</v>
      </c>
      <c r="AZ610" s="7" t="s">
        <v>199</v>
      </c>
      <c r="BA610" s="7" t="s">
        <v>199</v>
      </c>
      <c r="BB610" s="7"/>
      <c r="BC610" s="4" t="s">
        <v>199</v>
      </c>
      <c r="BD610" s="8" t="s">
        <v>199</v>
      </c>
      <c r="BE610" s="4" t="s">
        <v>199</v>
      </c>
      <c r="BF610" s="8" t="s">
        <v>199</v>
      </c>
      <c r="BG610" s="7" t="s">
        <v>199</v>
      </c>
      <c r="BH610" s="7" t="s">
        <v>199</v>
      </c>
      <c r="BI610" s="7"/>
      <c r="BJ610" s="4">
        <v>43</v>
      </c>
      <c r="BK610" s="8">
        <v>3281.96</v>
      </c>
      <c r="BL610" s="2" t="s">
        <v>3325</v>
      </c>
      <c r="BM610" s="7"/>
      <c r="BN610" s="7"/>
      <c r="BO610" s="4"/>
      <c r="BP610" s="8"/>
      <c r="BQ610" s="4"/>
      <c r="BR610" s="8"/>
      <c r="BS610" s="7"/>
      <c r="BT610" s="7"/>
      <c r="BU610" s="2" t="s">
        <v>3323</v>
      </c>
      <c r="BV610" s="2" t="s">
        <v>199</v>
      </c>
      <c r="BW610" s="2" t="s">
        <v>199</v>
      </c>
      <c r="BX610" s="2" t="s">
        <v>208</v>
      </c>
      <c r="BY610" s="2" t="s">
        <v>209</v>
      </c>
      <c r="BZ610" s="2" t="s">
        <v>196</v>
      </c>
      <c r="CA610" s="2" t="s">
        <v>210</v>
      </c>
      <c r="CB610" s="2" t="s">
        <v>773</v>
      </c>
      <c r="CC610" s="2" t="s">
        <v>212</v>
      </c>
      <c r="CD610" s="2" t="s">
        <v>199</v>
      </c>
      <c r="CE610" s="4">
        <v>336</v>
      </c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>
        <v>342</v>
      </c>
      <c r="EU610" s="4">
        <v>315</v>
      </c>
      <c r="EV610" s="4">
        <v>305</v>
      </c>
      <c r="EW610" s="4">
        <v>295</v>
      </c>
      <c r="EX610" s="4">
        <v>285</v>
      </c>
      <c r="EY610" s="4">
        <v>275</v>
      </c>
      <c r="EZ610" s="4">
        <v>265</v>
      </c>
      <c r="FA610" s="4">
        <v>255</v>
      </c>
      <c r="FB610" s="4">
        <v>244</v>
      </c>
      <c r="FC610" s="4">
        <v>234</v>
      </c>
      <c r="FD610" s="4">
        <v>224</v>
      </c>
      <c r="FE610" s="4">
        <v>214</v>
      </c>
      <c r="FF610" s="4">
        <v>204</v>
      </c>
      <c r="FG610" s="4">
        <v>194</v>
      </c>
      <c r="FH610" s="4">
        <v>184</v>
      </c>
      <c r="FI610" s="4">
        <v>173</v>
      </c>
      <c r="FJ610" s="4">
        <v>163</v>
      </c>
      <c r="FK610" s="4">
        <v>153</v>
      </c>
      <c r="FL610" s="4">
        <v>143</v>
      </c>
      <c r="FM610" s="4">
        <v>133</v>
      </c>
      <c r="FN610" s="4">
        <v>122</v>
      </c>
      <c r="FO610" s="4">
        <v>112</v>
      </c>
      <c r="FP610" s="4">
        <v>101</v>
      </c>
      <c r="FQ610" s="4">
        <v>91</v>
      </c>
      <c r="FR610" s="4">
        <v>81</v>
      </c>
      <c r="FS610" s="4">
        <v>71</v>
      </c>
      <c r="FT610" s="19">
        <v>24.4</v>
      </c>
      <c r="FU610" s="19">
        <v>31.5</v>
      </c>
      <c r="FV610" s="19">
        <v>30.5</v>
      </c>
      <c r="FW610" s="19">
        <v>29.5</v>
      </c>
      <c r="FX610" s="19">
        <v>28.5</v>
      </c>
      <c r="FY610" s="19">
        <v>27.5</v>
      </c>
      <c r="FZ610" s="19">
        <v>26.5</v>
      </c>
      <c r="GA610" s="19">
        <v>25.5</v>
      </c>
      <c r="GB610" s="19">
        <v>24.4</v>
      </c>
      <c r="GC610" s="19">
        <v>23.4</v>
      </c>
      <c r="GD610" s="19">
        <v>22.4</v>
      </c>
      <c r="GE610" s="19">
        <v>21.4</v>
      </c>
      <c r="GF610" s="19">
        <v>20.4</v>
      </c>
      <c r="GG610" s="19">
        <v>19.4</v>
      </c>
      <c r="GH610" s="19">
        <v>18.4</v>
      </c>
      <c r="GI610" s="19">
        <v>17.3</v>
      </c>
      <c r="GJ610" s="19">
        <v>16.3</v>
      </c>
      <c r="GK610" s="19">
        <v>15.3</v>
      </c>
      <c r="GL610" s="19">
        <v>14.3</v>
      </c>
      <c r="GM610" s="19">
        <v>13.3</v>
      </c>
      <c r="GN610" s="19">
        <v>12.2</v>
      </c>
      <c r="GO610" s="19">
        <v>11.2</v>
      </c>
      <c r="GP610" s="19">
        <v>10.1</v>
      </c>
      <c r="GQ610" s="19">
        <v>9.1</v>
      </c>
      <c r="GR610" s="19">
        <v>8.1</v>
      </c>
      <c r="GS610" s="19">
        <v>7.1</v>
      </c>
    </row>
    <row r="611">
      <c r="A611" s="2" t="s">
        <v>3326</v>
      </c>
      <c r="B611" s="2" t="s">
        <v>630</v>
      </c>
      <c r="C611" s="2" t="s">
        <v>246</v>
      </c>
      <c r="D611" s="2" t="s">
        <v>228</v>
      </c>
      <c r="E611" s="2" t="s">
        <v>487</v>
      </c>
      <c r="F611" s="2" t="s">
        <v>3314</v>
      </c>
      <c r="G611" s="2" t="s">
        <v>3315</v>
      </c>
      <c r="H611" s="2" t="s">
        <v>3316</v>
      </c>
      <c r="I611" s="2" t="s">
        <v>976</v>
      </c>
      <c r="J611" s="2" t="s">
        <v>251</v>
      </c>
      <c r="K611" s="2" t="s">
        <v>865</v>
      </c>
      <c r="L611" s="3">
        <v>76.49</v>
      </c>
      <c r="M611" s="3">
        <v>80.32</v>
      </c>
      <c r="N611" s="3">
        <v>149.99</v>
      </c>
      <c r="O611" s="2" t="s">
        <v>196</v>
      </c>
      <c r="P611" s="2" t="s">
        <v>197</v>
      </c>
      <c r="Q611" s="2" t="s">
        <v>198</v>
      </c>
      <c r="R611" s="2" t="s">
        <v>199</v>
      </c>
      <c r="S611" s="2" t="s">
        <v>3318</v>
      </c>
      <c r="T611" s="2" t="s">
        <v>726</v>
      </c>
      <c r="U611" s="2" t="s">
        <v>509</v>
      </c>
      <c r="V611" s="2" t="s">
        <v>953</v>
      </c>
      <c r="W611" s="2" t="s">
        <v>529</v>
      </c>
      <c r="X611" s="2" t="s">
        <v>954</v>
      </c>
      <c r="Y611" s="2" t="s">
        <v>204</v>
      </c>
      <c r="Z611" s="4">
        <v>267</v>
      </c>
      <c r="AA611" s="4">
        <f>=ROUNDDOWN(53.4,0)</f>
      </c>
      <c r="AB611" s="5">
        <v>5</v>
      </c>
      <c r="AC611" s="2" t="s">
        <v>199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199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199</v>
      </c>
      <c r="AW611" s="8" t="s">
        <v>199</v>
      </c>
      <c r="AX611" s="4" t="s">
        <v>199</v>
      </c>
      <c r="AY611" s="8" t="s">
        <v>199</v>
      </c>
      <c r="AZ611" s="7" t="s">
        <v>199</v>
      </c>
      <c r="BA611" s="7" t="s">
        <v>199</v>
      </c>
      <c r="BB611" s="7"/>
      <c r="BC611" s="4" t="s">
        <v>199</v>
      </c>
      <c r="BD611" s="8" t="s">
        <v>199</v>
      </c>
      <c r="BE611" s="4" t="s">
        <v>199</v>
      </c>
      <c r="BF611" s="8" t="s">
        <v>199</v>
      </c>
      <c r="BG611" s="7" t="s">
        <v>199</v>
      </c>
      <c r="BH611" s="7" t="s">
        <v>199</v>
      </c>
      <c r="BI611" s="7"/>
      <c r="BJ611" s="4">
        <v>18</v>
      </c>
      <c r="BK611" s="8">
        <v>1358.3</v>
      </c>
      <c r="BL611" s="2" t="s">
        <v>3327</v>
      </c>
      <c r="BM611" s="7"/>
      <c r="BN611" s="7"/>
      <c r="BO611" s="4"/>
      <c r="BP611" s="8"/>
      <c r="BQ611" s="4"/>
      <c r="BR611" s="8"/>
      <c r="BS611" s="7"/>
      <c r="BT611" s="7"/>
      <c r="BU611" s="2" t="s">
        <v>3323</v>
      </c>
      <c r="BV611" s="2" t="s">
        <v>199</v>
      </c>
      <c r="BW611" s="2" t="s">
        <v>199</v>
      </c>
      <c r="BX611" s="2" t="s">
        <v>208</v>
      </c>
      <c r="BY611" s="2" t="s">
        <v>209</v>
      </c>
      <c r="BZ611" s="2" t="s">
        <v>196</v>
      </c>
      <c r="CA611" s="2" t="s">
        <v>210</v>
      </c>
      <c r="CB611" s="2" t="s">
        <v>773</v>
      </c>
      <c r="CC611" s="2" t="s">
        <v>212</v>
      </c>
      <c r="CD611" s="2" t="s">
        <v>199</v>
      </c>
      <c r="CE611" s="4">
        <v>30</v>
      </c>
      <c r="CF611" s="4">
        <v>237</v>
      </c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>
        <v>274</v>
      </c>
      <c r="EU611" s="4">
        <v>256</v>
      </c>
      <c r="EV611" s="4">
        <v>251</v>
      </c>
      <c r="EW611" s="4">
        <v>246</v>
      </c>
      <c r="EX611" s="4">
        <v>241</v>
      </c>
      <c r="EY611" s="4">
        <v>236</v>
      </c>
      <c r="EZ611" s="4">
        <v>231</v>
      </c>
      <c r="FA611" s="4">
        <v>226</v>
      </c>
      <c r="FB611" s="4">
        <v>221</v>
      </c>
      <c r="FC611" s="4">
        <v>216</v>
      </c>
      <c r="FD611" s="4">
        <v>211</v>
      </c>
      <c r="FE611" s="4">
        <v>206</v>
      </c>
      <c r="FF611" s="4">
        <v>201</v>
      </c>
      <c r="FG611" s="4">
        <v>196</v>
      </c>
      <c r="FH611" s="4">
        <v>191</v>
      </c>
      <c r="FI611" s="4">
        <v>186</v>
      </c>
      <c r="FJ611" s="4">
        <v>181</v>
      </c>
      <c r="FK611" s="4">
        <v>176</v>
      </c>
      <c r="FL611" s="4">
        <v>171</v>
      </c>
      <c r="FM611" s="4">
        <v>166</v>
      </c>
      <c r="FN611" s="4">
        <v>161</v>
      </c>
      <c r="FO611" s="4">
        <v>156</v>
      </c>
      <c r="FP611" s="4">
        <v>151</v>
      </c>
      <c r="FQ611" s="4">
        <v>146</v>
      </c>
      <c r="FR611" s="4">
        <v>141</v>
      </c>
      <c r="FS611" s="4">
        <v>136</v>
      </c>
      <c r="FT611" s="19">
        <v>34.3</v>
      </c>
      <c r="FU611" s="19">
        <v>51.2</v>
      </c>
      <c r="FV611" s="19">
        <v>50.2</v>
      </c>
      <c r="FW611" s="19">
        <v>49.2</v>
      </c>
      <c r="FX611" s="19">
        <v>48.2</v>
      </c>
      <c r="FY611" s="19">
        <v>47.2</v>
      </c>
      <c r="FZ611" s="19">
        <v>46.2</v>
      </c>
      <c r="GA611" s="19">
        <v>45.2</v>
      </c>
      <c r="GB611" s="19">
        <v>44.2</v>
      </c>
      <c r="GC611" s="19">
        <v>43.2</v>
      </c>
      <c r="GD611" s="19">
        <v>42.2</v>
      </c>
      <c r="GE611" s="19">
        <v>41.2</v>
      </c>
      <c r="GF611" s="19">
        <v>40.2</v>
      </c>
      <c r="GG611" s="19">
        <v>39.2</v>
      </c>
      <c r="GH611" s="19">
        <v>38.2</v>
      </c>
      <c r="GI611" s="19">
        <v>37.2</v>
      </c>
      <c r="GJ611" s="19">
        <v>36.2</v>
      </c>
      <c r="GK611" s="19">
        <v>35.2</v>
      </c>
      <c r="GL611" s="19">
        <v>34.2</v>
      </c>
      <c r="GM611" s="19">
        <v>33.2</v>
      </c>
      <c r="GN611" s="19">
        <v>32.2</v>
      </c>
      <c r="GO611" s="19">
        <v>31.2</v>
      </c>
      <c r="GP611" s="19">
        <v>30.2</v>
      </c>
      <c r="GQ611" s="19">
        <v>29.2</v>
      </c>
      <c r="GR611" s="19">
        <v>28.2</v>
      </c>
      <c r="GS611" s="19">
        <v>27.2</v>
      </c>
    </row>
    <row r="612">
      <c r="A612" s="2" t="s">
        <v>3328</v>
      </c>
      <c r="B612" s="2" t="s">
        <v>245</v>
      </c>
      <c r="C612" s="2" t="s">
        <v>1007</v>
      </c>
      <c r="D612" s="2" t="s">
        <v>247</v>
      </c>
      <c r="E612" s="2" t="s">
        <v>248</v>
      </c>
      <c r="F612" s="2" t="s">
        <v>3329</v>
      </c>
      <c r="G612" s="2" t="s">
        <v>3329</v>
      </c>
      <c r="H612" s="2" t="s">
        <v>3329</v>
      </c>
      <c r="I612" s="2" t="s">
        <v>297</v>
      </c>
      <c r="J612" s="2" t="s">
        <v>223</v>
      </c>
      <c r="K612" s="2" t="s">
        <v>3330</v>
      </c>
      <c r="L612" s="3">
        <v>16.35</v>
      </c>
      <c r="M612" s="3">
        <v>17.17</v>
      </c>
      <c r="N612" s="3">
        <v>34.99</v>
      </c>
      <c r="O612" s="2" t="s">
        <v>196</v>
      </c>
      <c r="P612" s="2" t="s">
        <v>197</v>
      </c>
      <c r="Q612" s="2" t="s">
        <v>198</v>
      </c>
      <c r="R612" s="2" t="s">
        <v>199</v>
      </c>
      <c r="S612" s="2" t="s">
        <v>3331</v>
      </c>
      <c r="T612" s="2" t="s">
        <v>386</v>
      </c>
      <c r="U612" s="2" t="s">
        <v>254</v>
      </c>
      <c r="V612" s="2" t="s">
        <v>1381</v>
      </c>
      <c r="W612" s="2" t="s">
        <v>203</v>
      </c>
      <c r="X612" s="2" t="s">
        <v>199</v>
      </c>
      <c r="Y612" s="2" t="s">
        <v>3332</v>
      </c>
      <c r="Z612" s="4">
        <v>1</v>
      </c>
      <c r="AA612" s="4">
        <f>=ROUNDDOWN(0.142857142857143,0)</f>
      </c>
      <c r="AB612" s="5">
        <v>7</v>
      </c>
      <c r="AC612" s="2" t="s">
        <v>398</v>
      </c>
      <c r="AD612" s="4">
        <v>170</v>
      </c>
      <c r="AE612" s="4">
        <v>170</v>
      </c>
      <c r="AF612" s="6">
        <v>65</v>
      </c>
      <c r="AG612" s="6"/>
      <c r="AH612" s="7">
        <v>0.129</v>
      </c>
      <c r="AI612" s="4"/>
      <c r="AJ612" s="4">
        <f>=ROUNDDOWN({0},0)</f>
      </c>
      <c r="AK612" s="5"/>
      <c r="AL612" s="2" t="s">
        <v>199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199</v>
      </c>
      <c r="BD612" s="8" t="s">
        <v>199</v>
      </c>
      <c r="BE612" s="4" t="s">
        <v>199</v>
      </c>
      <c r="BF612" s="8" t="s">
        <v>199</v>
      </c>
      <c r="BG612" s="7" t="s">
        <v>199</v>
      </c>
      <c r="BH612" s="7" t="s">
        <v>199</v>
      </c>
      <c r="BI612" s="7"/>
      <c r="BJ612" s="4">
        <v>107</v>
      </c>
      <c r="BK612" s="8">
        <v>1934.68</v>
      </c>
      <c r="BL612" s="2" t="s">
        <v>2839</v>
      </c>
      <c r="BM612" s="7"/>
      <c r="BN612" s="7"/>
      <c r="BO612" s="4"/>
      <c r="BP612" s="8"/>
      <c r="BQ612" s="4"/>
      <c r="BR612" s="8"/>
      <c r="BS612" s="7"/>
      <c r="BT612" s="7"/>
      <c r="BU612" s="2" t="s">
        <v>3333</v>
      </c>
      <c r="BV612" s="2" t="s">
        <v>199</v>
      </c>
      <c r="BW612" s="2" t="s">
        <v>199</v>
      </c>
      <c r="BX612" s="2" t="s">
        <v>208</v>
      </c>
      <c r="BY612" s="2" t="s">
        <v>209</v>
      </c>
      <c r="BZ612" s="2" t="s">
        <v>196</v>
      </c>
      <c r="CA612" s="2" t="s">
        <v>3334</v>
      </c>
      <c r="CB612" s="2" t="s">
        <v>1418</v>
      </c>
      <c r="CC612" s="2" t="s">
        <v>212</v>
      </c>
      <c r="CD612" s="2" t="s">
        <v>199</v>
      </c>
      <c r="CE612" s="4">
        <v>1</v>
      </c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>
        <v>170</v>
      </c>
      <c r="ER612" s="4"/>
      <c r="ES612" s="4"/>
      <c r="ET612" s="4">
        <v>1</v>
      </c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>
        <v>210</v>
      </c>
      <c r="FN612" s="4">
        <v>180</v>
      </c>
      <c r="FO612" s="4">
        <v>172</v>
      </c>
      <c r="FP612" s="4">
        <v>164</v>
      </c>
      <c r="FQ612" s="4">
        <v>156</v>
      </c>
      <c r="FR612" s="4">
        <v>148</v>
      </c>
      <c r="FS612" s="4">
        <v>140</v>
      </c>
      <c r="FT612" s="19">
        <v>0.3</v>
      </c>
      <c r="FU612" s="20">
        <v>0</v>
      </c>
      <c r="FV612" s="20">
        <v>0</v>
      </c>
      <c r="FW612" s="20">
        <v>0</v>
      </c>
      <c r="FX612" s="20">
        <v>0</v>
      </c>
      <c r="FY612" s="20">
        <v>0</v>
      </c>
      <c r="FZ612" s="20">
        <v>0</v>
      </c>
      <c r="GA612" s="20">
        <v>0</v>
      </c>
      <c r="GB612" s="20">
        <v>0</v>
      </c>
      <c r="GC612" s="20">
        <v>0</v>
      </c>
      <c r="GD612" s="20">
        <v>0</v>
      </c>
      <c r="GE612" s="20">
        <v>0</v>
      </c>
      <c r="GF612" s="20">
        <v>0</v>
      </c>
      <c r="GG612" s="20">
        <v>0</v>
      </c>
      <c r="GH612" s="20">
        <v>0</v>
      </c>
      <c r="GI612" s="20">
        <v>0</v>
      </c>
      <c r="GJ612" s="20">
        <v>0</v>
      </c>
      <c r="GK612" s="20">
        <v>0</v>
      </c>
      <c r="GL612" s="20">
        <v>0</v>
      </c>
      <c r="GM612" s="19">
        <v>15</v>
      </c>
      <c r="GN612" s="19">
        <v>22.5</v>
      </c>
      <c r="GO612" s="19">
        <v>21.5</v>
      </c>
      <c r="GP612" s="19">
        <v>20.5</v>
      </c>
      <c r="GQ612" s="19">
        <v>19.5</v>
      </c>
      <c r="GR612" s="19">
        <v>18.5</v>
      </c>
      <c r="GS612" s="19">
        <v>17.5</v>
      </c>
    </row>
    <row r="613">
      <c r="A613" s="2" t="s">
        <v>3335</v>
      </c>
      <c r="B613" s="2" t="s">
        <v>245</v>
      </c>
      <c r="C613" s="2" t="s">
        <v>1007</v>
      </c>
      <c r="D613" s="2" t="s">
        <v>247</v>
      </c>
      <c r="E613" s="2" t="s">
        <v>248</v>
      </c>
      <c r="F613" s="2" t="s">
        <v>3329</v>
      </c>
      <c r="G613" s="2" t="s">
        <v>3329</v>
      </c>
      <c r="H613" s="2" t="s">
        <v>3329</v>
      </c>
      <c r="I613" s="2" t="s">
        <v>297</v>
      </c>
      <c r="J613" s="2" t="s">
        <v>194</v>
      </c>
      <c r="K613" s="2" t="s">
        <v>3336</v>
      </c>
      <c r="L613" s="3">
        <v>11.95</v>
      </c>
      <c r="M613" s="3">
        <v>12.55</v>
      </c>
      <c r="N613" s="3">
        <v>24.99</v>
      </c>
      <c r="O613" s="2" t="s">
        <v>196</v>
      </c>
      <c r="P613" s="2" t="s">
        <v>197</v>
      </c>
      <c r="Q613" s="2" t="s">
        <v>198</v>
      </c>
      <c r="R613" s="2" t="s">
        <v>199</v>
      </c>
      <c r="S613" s="2" t="s">
        <v>3337</v>
      </c>
      <c r="T613" s="2" t="s">
        <v>386</v>
      </c>
      <c r="U613" s="2" t="s">
        <v>637</v>
      </c>
      <c r="V613" s="2" t="s">
        <v>3053</v>
      </c>
      <c r="W613" s="2" t="s">
        <v>203</v>
      </c>
      <c r="X613" s="2" t="s">
        <v>199</v>
      </c>
      <c r="Y613" s="2" t="s">
        <v>3332</v>
      </c>
      <c r="Z613" s="4">
        <v>59</v>
      </c>
      <c r="AA613" s="4">
        <f>=ROUNDDOWN(11.8,0)</f>
      </c>
      <c r="AB613" s="5">
        <v>5</v>
      </c>
      <c r="AC613" s="2" t="s">
        <v>199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199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199</v>
      </c>
      <c r="AW613" s="8" t="s">
        <v>199</v>
      </c>
      <c r="AX613" s="4" t="s">
        <v>199</v>
      </c>
      <c r="AY613" s="8" t="s">
        <v>199</v>
      </c>
      <c r="AZ613" s="7" t="s">
        <v>199</v>
      </c>
      <c r="BA613" s="7" t="s">
        <v>199</v>
      </c>
      <c r="BB613" s="7"/>
      <c r="BC613" s="4" t="s">
        <v>199</v>
      </c>
      <c r="BD613" s="8" t="s">
        <v>199</v>
      </c>
      <c r="BE613" s="4" t="s">
        <v>199</v>
      </c>
      <c r="BF613" s="8" t="s">
        <v>199</v>
      </c>
      <c r="BG613" s="7" t="s">
        <v>199</v>
      </c>
      <c r="BH613" s="7" t="s">
        <v>199</v>
      </c>
      <c r="BI613" s="7"/>
      <c r="BJ613" s="4">
        <v>50</v>
      </c>
      <c r="BK613" s="8">
        <v>663.4</v>
      </c>
      <c r="BL613" s="2" t="s">
        <v>292</v>
      </c>
      <c r="BM613" s="7"/>
      <c r="BN613" s="7"/>
      <c r="BO613" s="4"/>
      <c r="BP613" s="8"/>
      <c r="BQ613" s="4"/>
      <c r="BR613" s="8"/>
      <c r="BS613" s="7"/>
      <c r="BT613" s="7"/>
      <c r="BU613" s="2" t="s">
        <v>3333</v>
      </c>
      <c r="BV613" s="2" t="s">
        <v>199</v>
      </c>
      <c r="BW613" s="2" t="s">
        <v>199</v>
      </c>
      <c r="BX613" s="2" t="s">
        <v>208</v>
      </c>
      <c r="BY613" s="2" t="s">
        <v>209</v>
      </c>
      <c r="BZ613" s="2" t="s">
        <v>196</v>
      </c>
      <c r="CA613" s="2" t="s">
        <v>1409</v>
      </c>
      <c r="CB613" s="2" t="s">
        <v>912</v>
      </c>
      <c r="CC613" s="2" t="s">
        <v>212</v>
      </c>
      <c r="CD613" s="2" t="s">
        <v>199</v>
      </c>
      <c r="CE613" s="4">
        <v>5</v>
      </c>
      <c r="CF613" s="4">
        <v>54</v>
      </c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>
        <v>59</v>
      </c>
      <c r="EU613" s="4">
        <v>55</v>
      </c>
      <c r="EV613" s="4">
        <v>51</v>
      </c>
      <c r="EW613" s="4">
        <v>46</v>
      </c>
      <c r="EX613" s="4">
        <v>41</v>
      </c>
      <c r="EY613" s="4">
        <v>36</v>
      </c>
      <c r="EZ613" s="4">
        <v>31</v>
      </c>
      <c r="FA613" s="4">
        <v>26</v>
      </c>
      <c r="FB613" s="4">
        <v>21</v>
      </c>
      <c r="FC613" s="4">
        <v>16</v>
      </c>
      <c r="FD613" s="4">
        <v>11</v>
      </c>
      <c r="FE613" s="4">
        <v>6</v>
      </c>
      <c r="FF613" s="4">
        <v>1</v>
      </c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>
        <v>123</v>
      </c>
      <c r="FR613" s="4">
        <v>105</v>
      </c>
      <c r="FS613" s="4">
        <v>99</v>
      </c>
      <c r="FT613" s="19">
        <v>14.8</v>
      </c>
      <c r="FU613" s="19">
        <v>11</v>
      </c>
      <c r="FV613" s="19">
        <v>10.2</v>
      </c>
      <c r="FW613" s="19">
        <v>9.2</v>
      </c>
      <c r="FX613" s="19">
        <v>8.2</v>
      </c>
      <c r="FY613" s="19">
        <v>7.2</v>
      </c>
      <c r="FZ613" s="19">
        <v>6.2</v>
      </c>
      <c r="GA613" s="19">
        <v>5.2</v>
      </c>
      <c r="GB613" s="19">
        <v>4.2</v>
      </c>
      <c r="GC613" s="19">
        <v>3.2</v>
      </c>
      <c r="GD613" s="19">
        <v>2.8</v>
      </c>
      <c r="GE613" s="19">
        <v>1.5</v>
      </c>
      <c r="GF613" s="19">
        <v>0.3</v>
      </c>
      <c r="GG613" s="20">
        <v>0</v>
      </c>
      <c r="GH613" s="20">
        <v>0</v>
      </c>
      <c r="GI613" s="20">
        <v>0</v>
      </c>
      <c r="GJ613" s="20">
        <v>0</v>
      </c>
      <c r="GK613" s="20">
        <v>0</v>
      </c>
      <c r="GL613" s="20">
        <v>0</v>
      </c>
      <c r="GM613" s="20">
        <v>0</v>
      </c>
      <c r="GN613" s="20">
        <v>0</v>
      </c>
      <c r="GO613" s="20">
        <v>0</v>
      </c>
      <c r="GP613" s="20">
        <v>0</v>
      </c>
      <c r="GQ613" s="19">
        <v>12.3</v>
      </c>
      <c r="GR613" s="19">
        <v>15</v>
      </c>
      <c r="GS613" s="19">
        <v>12.4</v>
      </c>
    </row>
    <row r="614">
      <c r="A614" s="2" t="s">
        <v>3338</v>
      </c>
      <c r="B614" s="2" t="s">
        <v>245</v>
      </c>
      <c r="C614" s="2" t="s">
        <v>1007</v>
      </c>
      <c r="D614" s="2" t="s">
        <v>247</v>
      </c>
      <c r="E614" s="2" t="s">
        <v>248</v>
      </c>
      <c r="F614" s="2" t="s">
        <v>3329</v>
      </c>
      <c r="G614" s="2" t="s">
        <v>3329</v>
      </c>
      <c r="H614" s="2" t="s">
        <v>3329</v>
      </c>
      <c r="I614" s="2" t="s">
        <v>297</v>
      </c>
      <c r="J614" s="2" t="s">
        <v>223</v>
      </c>
      <c r="K614" s="2" t="s">
        <v>3336</v>
      </c>
      <c r="L614" s="3">
        <v>16.35</v>
      </c>
      <c r="M614" s="3">
        <v>17.17</v>
      </c>
      <c r="N614" s="3">
        <v>34.99</v>
      </c>
      <c r="O614" s="2" t="s">
        <v>196</v>
      </c>
      <c r="P614" s="2" t="s">
        <v>197</v>
      </c>
      <c r="Q614" s="2" t="s">
        <v>198</v>
      </c>
      <c r="R614" s="2" t="s">
        <v>199</v>
      </c>
      <c r="S614" s="2" t="s">
        <v>3337</v>
      </c>
      <c r="T614" s="2" t="s">
        <v>386</v>
      </c>
      <c r="U614" s="2" t="s">
        <v>254</v>
      </c>
      <c r="V614" s="2" t="s">
        <v>3053</v>
      </c>
      <c r="W614" s="2" t="s">
        <v>203</v>
      </c>
      <c r="X614" s="2" t="s">
        <v>199</v>
      </c>
      <c r="Y614" s="2" t="s">
        <v>3332</v>
      </c>
      <c r="Z614" s="4">
        <v>44</v>
      </c>
      <c r="AA614" s="4">
        <f>=ROUNDDOWN(13.3333333333333,0)</f>
      </c>
      <c r="AB614" s="5">
        <v>3.3</v>
      </c>
      <c r="AC614" s="2" t="s">
        <v>199</v>
      </c>
      <c r="AD614" s="4"/>
      <c r="AE614" s="4"/>
      <c r="AF614" s="6">
        <v>65</v>
      </c>
      <c r="AG614" s="6"/>
      <c r="AH614" s="7">
        <v>0.4516</v>
      </c>
      <c r="AI614" s="4"/>
      <c r="AJ614" s="4">
        <f>=ROUNDDOWN({0},0)</f>
      </c>
      <c r="AK614" s="5"/>
      <c r="AL614" s="2" t="s">
        <v>199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199</v>
      </c>
      <c r="AW614" s="8" t="s">
        <v>199</v>
      </c>
      <c r="AX614" s="4" t="s">
        <v>199</v>
      </c>
      <c r="AY614" s="8" t="s">
        <v>199</v>
      </c>
      <c r="AZ614" s="7" t="s">
        <v>199</v>
      </c>
      <c r="BA614" s="7" t="s">
        <v>199</v>
      </c>
      <c r="BB614" s="7"/>
      <c r="BC614" s="4" t="s">
        <v>199</v>
      </c>
      <c r="BD614" s="8" t="s">
        <v>199</v>
      </c>
      <c r="BE614" s="4" t="s">
        <v>199</v>
      </c>
      <c r="BF614" s="8" t="s">
        <v>199</v>
      </c>
      <c r="BG614" s="7" t="s">
        <v>199</v>
      </c>
      <c r="BH614" s="7" t="s">
        <v>199</v>
      </c>
      <c r="BI614" s="7"/>
      <c r="BJ614" s="4">
        <v>60</v>
      </c>
      <c r="BK614" s="8">
        <v>1082.31</v>
      </c>
      <c r="BL614" s="2" t="s">
        <v>304</v>
      </c>
      <c r="BM614" s="7"/>
      <c r="BN614" s="7"/>
      <c r="BO614" s="4"/>
      <c r="BP614" s="8"/>
      <c r="BQ614" s="4"/>
      <c r="BR614" s="8"/>
      <c r="BS614" s="7"/>
      <c r="BT614" s="7"/>
      <c r="BU614" s="2" t="s">
        <v>3333</v>
      </c>
      <c r="BV614" s="2" t="s">
        <v>199</v>
      </c>
      <c r="BW614" s="2" t="s">
        <v>199</v>
      </c>
      <c r="BX614" s="2" t="s">
        <v>208</v>
      </c>
      <c r="BY614" s="2" t="s">
        <v>209</v>
      </c>
      <c r="BZ614" s="2" t="s">
        <v>196</v>
      </c>
      <c r="CA614" s="2" t="s">
        <v>1409</v>
      </c>
      <c r="CB614" s="2" t="s">
        <v>3339</v>
      </c>
      <c r="CC614" s="2" t="s">
        <v>212</v>
      </c>
      <c r="CD614" s="2" t="s">
        <v>199</v>
      </c>
      <c r="CE614" s="4">
        <v>44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>
        <v>44</v>
      </c>
      <c r="EU614" s="4">
        <v>41</v>
      </c>
      <c r="EV614" s="4">
        <v>38</v>
      </c>
      <c r="EW614" s="4">
        <v>35</v>
      </c>
      <c r="EX614" s="4">
        <v>32</v>
      </c>
      <c r="EY614" s="4">
        <v>29</v>
      </c>
      <c r="EZ614" s="4">
        <v>26</v>
      </c>
      <c r="FA614" s="4">
        <v>23</v>
      </c>
      <c r="FB614" s="4">
        <v>20</v>
      </c>
      <c r="FC614" s="4">
        <v>17</v>
      </c>
      <c r="FD614" s="4">
        <v>14</v>
      </c>
      <c r="FE614" s="4">
        <v>11</v>
      </c>
      <c r="FF614" s="4">
        <v>8</v>
      </c>
      <c r="FG614" s="4">
        <v>5</v>
      </c>
      <c r="FH614" s="4">
        <v>2</v>
      </c>
      <c r="FI614" s="4"/>
      <c r="FJ614" s="4"/>
      <c r="FK614" s="4"/>
      <c r="FL614" s="4"/>
      <c r="FM614" s="4"/>
      <c r="FN614" s="4"/>
      <c r="FO614" s="4"/>
      <c r="FP614" s="4"/>
      <c r="FQ614" s="4">
        <v>63</v>
      </c>
      <c r="FR614" s="4">
        <v>60</v>
      </c>
      <c r="FS614" s="4">
        <v>57</v>
      </c>
      <c r="FT614" s="19">
        <v>14.7</v>
      </c>
      <c r="FU614" s="19">
        <v>13.7</v>
      </c>
      <c r="FV614" s="19">
        <v>12.7</v>
      </c>
      <c r="FW614" s="19">
        <v>11.7</v>
      </c>
      <c r="FX614" s="19">
        <v>10.7</v>
      </c>
      <c r="FY614" s="19">
        <v>9.7</v>
      </c>
      <c r="FZ614" s="19">
        <v>8.7</v>
      </c>
      <c r="GA614" s="19">
        <v>7.7</v>
      </c>
      <c r="GB614" s="19">
        <v>6.7</v>
      </c>
      <c r="GC614" s="19">
        <v>5.7</v>
      </c>
      <c r="GD614" s="19">
        <v>4.7</v>
      </c>
      <c r="GE614" s="19">
        <v>3.7</v>
      </c>
      <c r="GF614" s="19">
        <v>2.7</v>
      </c>
      <c r="GG614" s="19">
        <v>1.7</v>
      </c>
      <c r="GH614" s="19">
        <v>0.7</v>
      </c>
      <c r="GI614" s="20">
        <v>0</v>
      </c>
      <c r="GJ614" s="20">
        <v>0</v>
      </c>
      <c r="GK614" s="20">
        <v>0</v>
      </c>
      <c r="GL614" s="20">
        <v>0</v>
      </c>
      <c r="GM614" s="20">
        <v>0</v>
      </c>
      <c r="GN614" s="20">
        <v>0</v>
      </c>
      <c r="GO614" s="20">
        <v>0</v>
      </c>
      <c r="GP614" s="20">
        <v>0</v>
      </c>
      <c r="GQ614" s="19">
        <v>15.8</v>
      </c>
      <c r="GR614" s="19">
        <v>15</v>
      </c>
      <c r="GS614" s="19">
        <v>14.3</v>
      </c>
    </row>
    <row r="615">
      <c r="A615" s="2" t="s">
        <v>3340</v>
      </c>
      <c r="B615" s="2" t="s">
        <v>245</v>
      </c>
      <c r="C615" s="2" t="s">
        <v>295</v>
      </c>
      <c r="D615" s="2" t="s">
        <v>247</v>
      </c>
      <c r="E615" s="2" t="s">
        <v>248</v>
      </c>
      <c r="F615" s="2" t="s">
        <v>3341</v>
      </c>
      <c r="G615" s="2" t="s">
        <v>3341</v>
      </c>
      <c r="H615" s="2" t="s">
        <v>3341</v>
      </c>
      <c r="I615" s="2" t="s">
        <v>297</v>
      </c>
      <c r="J615" s="2" t="s">
        <v>194</v>
      </c>
      <c r="K615" s="2" t="s">
        <v>3342</v>
      </c>
      <c r="L615" s="3">
        <v>15</v>
      </c>
      <c r="M615" s="3">
        <v>15.75</v>
      </c>
      <c r="N615" s="3">
        <v>29.99</v>
      </c>
      <c r="O615" s="2" t="s">
        <v>196</v>
      </c>
      <c r="P615" s="2" t="s">
        <v>197</v>
      </c>
      <c r="Q615" s="2" t="s">
        <v>198</v>
      </c>
      <c r="R615" s="2" t="s">
        <v>199</v>
      </c>
      <c r="S615" s="2" t="s">
        <v>3343</v>
      </c>
      <c r="T615" s="2" t="s">
        <v>3344</v>
      </c>
      <c r="U615" s="2" t="s">
        <v>637</v>
      </c>
      <c r="V615" s="2" t="s">
        <v>622</v>
      </c>
      <c r="W615" s="2" t="s">
        <v>255</v>
      </c>
      <c r="X615" s="2" t="s">
        <v>203</v>
      </c>
      <c r="Y615" s="2" t="s">
        <v>3345</v>
      </c>
      <c r="Z615" s="4">
        <v>74</v>
      </c>
      <c r="AA615" s="4">
        <f>=ROUNDDOWN(14.8,0)</f>
      </c>
      <c r="AB615" s="5">
        <v>5</v>
      </c>
      <c r="AC615" s="2" t="s">
        <v>387</v>
      </c>
      <c r="AD615" s="4">
        <v>110</v>
      </c>
      <c r="AE615" s="4">
        <v>110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199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199</v>
      </c>
      <c r="BD615" s="8" t="s">
        <v>199</v>
      </c>
      <c r="BE615" s="4" t="s">
        <v>199</v>
      </c>
      <c r="BF615" s="8" t="s">
        <v>199</v>
      </c>
      <c r="BG615" s="7" t="s">
        <v>199</v>
      </c>
      <c r="BH615" s="7" t="s">
        <v>199</v>
      </c>
      <c r="BI615" s="7"/>
      <c r="BJ615" s="4">
        <v>59</v>
      </c>
      <c r="BK615" s="8">
        <v>980.78</v>
      </c>
      <c r="BL615" s="2" t="s">
        <v>327</v>
      </c>
      <c r="BM615" s="7"/>
      <c r="BN615" s="7"/>
      <c r="BO615" s="4"/>
      <c r="BP615" s="8"/>
      <c r="BQ615" s="4"/>
      <c r="BR615" s="8"/>
      <c r="BS615" s="7"/>
      <c r="BT615" s="7"/>
      <c r="BU615" s="2" t="s">
        <v>3346</v>
      </c>
      <c r="BV615" s="2" t="s">
        <v>199</v>
      </c>
      <c r="BW615" s="2" t="s">
        <v>199</v>
      </c>
      <c r="BX615" s="2" t="s">
        <v>686</v>
      </c>
      <c r="BY615" s="2" t="s">
        <v>209</v>
      </c>
      <c r="BZ615" s="2" t="s">
        <v>196</v>
      </c>
      <c r="CA615" s="2" t="s">
        <v>1409</v>
      </c>
      <c r="CB615" s="2" t="s">
        <v>1944</v>
      </c>
      <c r="CC615" s="2" t="s">
        <v>212</v>
      </c>
      <c r="CD615" s="2" t="s">
        <v>199</v>
      </c>
      <c r="CE615" s="4">
        <v>74</v>
      </c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>
        <v>110</v>
      </c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>
        <v>78</v>
      </c>
      <c r="EU615" s="4">
        <v>72</v>
      </c>
      <c r="EV615" s="4">
        <v>66</v>
      </c>
      <c r="EW615" s="4">
        <v>170</v>
      </c>
      <c r="EX615" s="4">
        <v>164</v>
      </c>
      <c r="EY615" s="4">
        <v>158</v>
      </c>
      <c r="EZ615" s="4">
        <v>152</v>
      </c>
      <c r="FA615" s="4">
        <v>146</v>
      </c>
      <c r="FB615" s="4">
        <v>140</v>
      </c>
      <c r="FC615" s="4">
        <v>134</v>
      </c>
      <c r="FD615" s="4">
        <v>129</v>
      </c>
      <c r="FE615" s="4">
        <v>124</v>
      </c>
      <c r="FF615" s="4">
        <v>119</v>
      </c>
      <c r="FG615" s="4">
        <v>114</v>
      </c>
      <c r="FH615" s="4">
        <v>109</v>
      </c>
      <c r="FI615" s="4">
        <v>104</v>
      </c>
      <c r="FJ615" s="4">
        <v>99</v>
      </c>
      <c r="FK615" s="4">
        <v>94</v>
      </c>
      <c r="FL615" s="4">
        <v>89</v>
      </c>
      <c r="FM615" s="4">
        <v>84</v>
      </c>
      <c r="FN615" s="4">
        <v>79</v>
      </c>
      <c r="FO615" s="4">
        <v>74</v>
      </c>
      <c r="FP615" s="4">
        <v>68</v>
      </c>
      <c r="FQ615" s="4">
        <v>63</v>
      </c>
      <c r="FR615" s="4">
        <v>58</v>
      </c>
      <c r="FS615" s="4">
        <v>53</v>
      </c>
      <c r="FT615" s="19">
        <v>13</v>
      </c>
      <c r="FU615" s="19">
        <v>12</v>
      </c>
      <c r="FV615" s="19">
        <v>11</v>
      </c>
      <c r="FW615" s="19">
        <v>28.3</v>
      </c>
      <c r="FX615" s="19">
        <v>27.3</v>
      </c>
      <c r="FY615" s="19">
        <v>26.3</v>
      </c>
      <c r="FZ615" s="19">
        <v>25.3</v>
      </c>
      <c r="GA615" s="19">
        <v>24.3</v>
      </c>
      <c r="GB615" s="19">
        <v>28</v>
      </c>
      <c r="GC615" s="19">
        <v>26.8</v>
      </c>
      <c r="GD615" s="19">
        <v>25.8</v>
      </c>
      <c r="GE615" s="19">
        <v>24.8</v>
      </c>
      <c r="GF615" s="19">
        <v>23.8</v>
      </c>
      <c r="GG615" s="19">
        <v>22.8</v>
      </c>
      <c r="GH615" s="19">
        <v>21.8</v>
      </c>
      <c r="GI615" s="19">
        <v>20.8</v>
      </c>
      <c r="GJ615" s="19">
        <v>19.8</v>
      </c>
      <c r="GK615" s="19">
        <v>18.8</v>
      </c>
      <c r="GL615" s="19">
        <v>17.8</v>
      </c>
      <c r="GM615" s="19">
        <v>16.8</v>
      </c>
      <c r="GN615" s="19">
        <v>15.8</v>
      </c>
      <c r="GO615" s="19">
        <v>14.8</v>
      </c>
      <c r="GP615" s="19">
        <v>13.6</v>
      </c>
      <c r="GQ615" s="19">
        <v>12.6</v>
      </c>
      <c r="GR615" s="19">
        <v>9.7</v>
      </c>
      <c r="GS615" s="19">
        <v>8.8</v>
      </c>
    </row>
    <row r="616">
      <c r="A616" s="2" t="s">
        <v>3347</v>
      </c>
      <c r="B616" s="2" t="s">
        <v>245</v>
      </c>
      <c r="C616" s="2" t="s">
        <v>295</v>
      </c>
      <c r="D616" s="2" t="s">
        <v>247</v>
      </c>
      <c r="E616" s="2" t="s">
        <v>248</v>
      </c>
      <c r="F616" s="2" t="s">
        <v>3341</v>
      </c>
      <c r="G616" s="2" t="s">
        <v>3341</v>
      </c>
      <c r="H616" s="2" t="s">
        <v>3341</v>
      </c>
      <c r="I616" s="2" t="s">
        <v>297</v>
      </c>
      <c r="J616" s="2" t="s">
        <v>194</v>
      </c>
      <c r="K616" s="2" t="s">
        <v>3348</v>
      </c>
      <c r="L616" s="3">
        <v>15</v>
      </c>
      <c r="M616" s="3">
        <v>15.75</v>
      </c>
      <c r="N616" s="3">
        <v>29.99</v>
      </c>
      <c r="O616" s="2" t="s">
        <v>196</v>
      </c>
      <c r="P616" s="2" t="s">
        <v>197</v>
      </c>
      <c r="Q616" s="2" t="s">
        <v>198</v>
      </c>
      <c r="R616" s="2" t="s">
        <v>199</v>
      </c>
      <c r="S616" s="2" t="s">
        <v>3349</v>
      </c>
      <c r="T616" s="2" t="s">
        <v>3344</v>
      </c>
      <c r="U616" s="2" t="s">
        <v>637</v>
      </c>
      <c r="V616" s="2" t="s">
        <v>900</v>
      </c>
      <c r="W616" s="2" t="s">
        <v>255</v>
      </c>
      <c r="X616" s="2" t="s">
        <v>203</v>
      </c>
      <c r="Y616" s="2" t="s">
        <v>3350</v>
      </c>
      <c r="Z616" s="4">
        <v>202</v>
      </c>
      <c r="AA616" s="4">
        <f>=ROUNDDOWN(40.4,0)</f>
      </c>
      <c r="AB616" s="5">
        <v>5</v>
      </c>
      <c r="AC616" s="2" t="s">
        <v>199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199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199</v>
      </c>
      <c r="BD616" s="8" t="s">
        <v>199</v>
      </c>
      <c r="BE616" s="4" t="s">
        <v>199</v>
      </c>
      <c r="BF616" s="8" t="s">
        <v>199</v>
      </c>
      <c r="BG616" s="7" t="s">
        <v>199</v>
      </c>
      <c r="BH616" s="7" t="s">
        <v>199</v>
      </c>
      <c r="BI616" s="7"/>
      <c r="BJ616" s="4">
        <v>76</v>
      </c>
      <c r="BK616" s="8">
        <v>1312.34</v>
      </c>
      <c r="BL616" s="2" t="s">
        <v>3351</v>
      </c>
      <c r="BM616" s="7"/>
      <c r="BN616" s="7"/>
      <c r="BO616" s="4"/>
      <c r="BP616" s="8"/>
      <c r="BQ616" s="4"/>
      <c r="BR616" s="8"/>
      <c r="BS616" s="7"/>
      <c r="BT616" s="7"/>
      <c r="BU616" s="2" t="s">
        <v>3346</v>
      </c>
      <c r="BV616" s="2" t="s">
        <v>199</v>
      </c>
      <c r="BW616" s="2" t="s">
        <v>199</v>
      </c>
      <c r="BX616" s="2" t="s">
        <v>686</v>
      </c>
      <c r="BY616" s="2" t="s">
        <v>209</v>
      </c>
      <c r="BZ616" s="2" t="s">
        <v>196</v>
      </c>
      <c r="CA616" s="2" t="s">
        <v>1518</v>
      </c>
      <c r="CB616" s="2" t="s">
        <v>3352</v>
      </c>
      <c r="CC616" s="2" t="s">
        <v>212</v>
      </c>
      <c r="CD616" s="2" t="s">
        <v>199</v>
      </c>
      <c r="CE616" s="4">
        <v>202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>
        <v>207</v>
      </c>
      <c r="EU616" s="4">
        <v>203</v>
      </c>
      <c r="EV616" s="4">
        <v>201</v>
      </c>
      <c r="EW616" s="4">
        <v>199</v>
      </c>
      <c r="EX616" s="4">
        <v>197</v>
      </c>
      <c r="EY616" s="4">
        <v>195</v>
      </c>
      <c r="EZ616" s="4">
        <v>191</v>
      </c>
      <c r="FA616" s="4">
        <v>186</v>
      </c>
      <c r="FB616" s="4">
        <v>181</v>
      </c>
      <c r="FC616" s="4">
        <v>176</v>
      </c>
      <c r="FD616" s="4">
        <v>171</v>
      </c>
      <c r="FE616" s="4">
        <v>166</v>
      </c>
      <c r="FF616" s="4">
        <v>161</v>
      </c>
      <c r="FG616" s="4">
        <v>156</v>
      </c>
      <c r="FH616" s="4">
        <v>151</v>
      </c>
      <c r="FI616" s="4">
        <v>145</v>
      </c>
      <c r="FJ616" s="4">
        <v>140</v>
      </c>
      <c r="FK616" s="4">
        <v>135</v>
      </c>
      <c r="FL616" s="4">
        <v>130</v>
      </c>
      <c r="FM616" s="4">
        <v>125</v>
      </c>
      <c r="FN616" s="4">
        <v>119</v>
      </c>
      <c r="FO616" s="4">
        <v>113</v>
      </c>
      <c r="FP616" s="4">
        <v>107</v>
      </c>
      <c r="FQ616" s="4">
        <v>101</v>
      </c>
      <c r="FR616" s="4">
        <v>95</v>
      </c>
      <c r="FS616" s="4">
        <v>89</v>
      </c>
      <c r="FT616" s="19">
        <v>103.5</v>
      </c>
      <c r="FU616" s="19">
        <v>101.5</v>
      </c>
      <c r="FV616" s="19">
        <v>100.5</v>
      </c>
      <c r="FW616" s="19">
        <v>66.3</v>
      </c>
      <c r="FX616" s="19">
        <v>49.3</v>
      </c>
      <c r="FY616" s="19">
        <v>39</v>
      </c>
      <c r="FZ616" s="19">
        <v>38.2</v>
      </c>
      <c r="GA616" s="19">
        <v>37.2</v>
      </c>
      <c r="GB616" s="19">
        <v>36.2</v>
      </c>
      <c r="GC616" s="19">
        <v>35.2</v>
      </c>
      <c r="GD616" s="19">
        <v>34.2</v>
      </c>
      <c r="GE616" s="19">
        <v>33.2</v>
      </c>
      <c r="GF616" s="19">
        <v>32.2</v>
      </c>
      <c r="GG616" s="19">
        <v>31.2</v>
      </c>
      <c r="GH616" s="19">
        <v>30.2</v>
      </c>
      <c r="GI616" s="19">
        <v>29</v>
      </c>
      <c r="GJ616" s="19">
        <v>28</v>
      </c>
      <c r="GK616" s="19">
        <v>22.5</v>
      </c>
      <c r="GL616" s="19">
        <v>21.7</v>
      </c>
      <c r="GM616" s="19">
        <v>20.8</v>
      </c>
      <c r="GN616" s="19">
        <v>19.8</v>
      </c>
      <c r="GO616" s="19">
        <v>18.8</v>
      </c>
      <c r="GP616" s="19">
        <v>17.8</v>
      </c>
      <c r="GQ616" s="19">
        <v>16.8</v>
      </c>
      <c r="GR616" s="19">
        <v>15.8</v>
      </c>
      <c r="GS616" s="19">
        <v>14.8</v>
      </c>
    </row>
    <row r="617">
      <c r="A617" s="2" t="s">
        <v>3353</v>
      </c>
      <c r="B617" s="2" t="s">
        <v>245</v>
      </c>
      <c r="C617" s="2" t="s">
        <v>295</v>
      </c>
      <c r="D617" s="2" t="s">
        <v>247</v>
      </c>
      <c r="E617" s="2" t="s">
        <v>248</v>
      </c>
      <c r="F617" s="2" t="s">
        <v>3341</v>
      </c>
      <c r="G617" s="2" t="s">
        <v>3341</v>
      </c>
      <c r="H617" s="2" t="s">
        <v>3341</v>
      </c>
      <c r="I617" s="2" t="s">
        <v>297</v>
      </c>
      <c r="J617" s="2" t="s">
        <v>285</v>
      </c>
      <c r="K617" s="2" t="s">
        <v>3354</v>
      </c>
      <c r="L617" s="3">
        <v>16.5</v>
      </c>
      <c r="M617" s="3">
        <v>17.33</v>
      </c>
      <c r="N617" s="3">
        <v>32.99</v>
      </c>
      <c r="O617" s="2" t="s">
        <v>196</v>
      </c>
      <c r="P617" s="2" t="s">
        <v>197</v>
      </c>
      <c r="Q617" s="2" t="s">
        <v>198</v>
      </c>
      <c r="R617" s="2" t="s">
        <v>199</v>
      </c>
      <c r="S617" s="2" t="s">
        <v>3355</v>
      </c>
      <c r="T617" s="2" t="s">
        <v>3344</v>
      </c>
      <c r="U617" s="2" t="s">
        <v>254</v>
      </c>
      <c r="V617" s="2" t="s">
        <v>900</v>
      </c>
      <c r="W617" s="2" t="s">
        <v>255</v>
      </c>
      <c r="X617" s="2" t="s">
        <v>203</v>
      </c>
      <c r="Y617" s="2" t="s">
        <v>3350</v>
      </c>
      <c r="Z617" s="4">
        <v>47</v>
      </c>
      <c r="AA617" s="4">
        <f>=ROUNDDOWN(3.671875,0)</f>
      </c>
      <c r="AB617" s="5">
        <v>12.8</v>
      </c>
      <c r="AC617" s="2" t="s">
        <v>387</v>
      </c>
      <c r="AD617" s="4">
        <v>40</v>
      </c>
      <c r="AE617" s="4">
        <v>240</v>
      </c>
      <c r="AF617" s="6">
        <v>65</v>
      </c>
      <c r="AG617" s="6"/>
      <c r="AH617" s="7">
        <v>0.4516</v>
      </c>
      <c r="AI617" s="4"/>
      <c r="AJ617" s="4">
        <f>=ROUNDDOWN({0},0)</f>
      </c>
      <c r="AK617" s="5"/>
      <c r="AL617" s="2" t="s">
        <v>199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199</v>
      </c>
      <c r="AW617" s="8" t="s">
        <v>199</v>
      </c>
      <c r="AX617" s="4" t="s">
        <v>199</v>
      </c>
      <c r="AY617" s="8" t="s">
        <v>199</v>
      </c>
      <c r="AZ617" s="7" t="s">
        <v>199</v>
      </c>
      <c r="BA617" s="7" t="s">
        <v>199</v>
      </c>
      <c r="BB617" s="7"/>
      <c r="BC617" s="4" t="s">
        <v>199</v>
      </c>
      <c r="BD617" s="8" t="s">
        <v>199</v>
      </c>
      <c r="BE617" s="4" t="s">
        <v>199</v>
      </c>
      <c r="BF617" s="8" t="s">
        <v>199</v>
      </c>
      <c r="BG617" s="7" t="s">
        <v>199</v>
      </c>
      <c r="BH617" s="7" t="s">
        <v>199</v>
      </c>
      <c r="BI617" s="7"/>
      <c r="BJ617" s="4">
        <v>124</v>
      </c>
      <c r="BK617" s="8">
        <v>2336.44</v>
      </c>
      <c r="BL617" s="2" t="s">
        <v>3356</v>
      </c>
      <c r="BM617" s="7"/>
      <c r="BN617" s="7"/>
      <c r="BO617" s="4"/>
      <c r="BP617" s="8"/>
      <c r="BQ617" s="4"/>
      <c r="BR617" s="8"/>
      <c r="BS617" s="7"/>
      <c r="BT617" s="7"/>
      <c r="BU617" s="2" t="s">
        <v>3346</v>
      </c>
      <c r="BV617" s="2" t="s">
        <v>199</v>
      </c>
      <c r="BW617" s="2" t="s">
        <v>199</v>
      </c>
      <c r="BX617" s="2" t="s">
        <v>686</v>
      </c>
      <c r="BY617" s="2" t="s">
        <v>209</v>
      </c>
      <c r="BZ617" s="2" t="s">
        <v>196</v>
      </c>
      <c r="CA617" s="2" t="s">
        <v>1518</v>
      </c>
      <c r="CB617" s="2" t="s">
        <v>3357</v>
      </c>
      <c r="CC617" s="2" t="s">
        <v>212</v>
      </c>
      <c r="CD617" s="2" t="s">
        <v>199</v>
      </c>
      <c r="CE617" s="4">
        <v>47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>
        <v>40</v>
      </c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>
        <v>200</v>
      </c>
      <c r="ER617" s="4"/>
      <c r="ES617" s="4"/>
      <c r="ET617" s="4">
        <v>186</v>
      </c>
      <c r="EU617" s="4">
        <v>111</v>
      </c>
      <c r="EV617" s="4">
        <v>105</v>
      </c>
      <c r="EW617" s="4">
        <v>139</v>
      </c>
      <c r="EX617" s="4">
        <v>133</v>
      </c>
      <c r="EY617" s="4">
        <v>127</v>
      </c>
      <c r="EZ617" s="4">
        <v>121</v>
      </c>
      <c r="FA617" s="4">
        <v>115</v>
      </c>
      <c r="FB617" s="4">
        <v>109</v>
      </c>
      <c r="FC617" s="4">
        <v>103</v>
      </c>
      <c r="FD617" s="4">
        <v>98</v>
      </c>
      <c r="FE617" s="4">
        <v>93</v>
      </c>
      <c r="FF617" s="4">
        <v>80</v>
      </c>
      <c r="FG617" s="4">
        <v>67</v>
      </c>
      <c r="FH617" s="4">
        <v>54</v>
      </c>
      <c r="FI617" s="4">
        <v>39</v>
      </c>
      <c r="FJ617" s="4">
        <v>26</v>
      </c>
      <c r="FK617" s="4">
        <v>13</v>
      </c>
      <c r="FL617" s="4"/>
      <c r="FM617" s="4">
        <v>200</v>
      </c>
      <c r="FN617" s="4">
        <v>177</v>
      </c>
      <c r="FO617" s="4">
        <v>162</v>
      </c>
      <c r="FP617" s="4">
        <v>146</v>
      </c>
      <c r="FQ617" s="4">
        <v>131</v>
      </c>
      <c r="FR617" s="4">
        <v>116</v>
      </c>
      <c r="FS617" s="4">
        <v>101</v>
      </c>
      <c r="FT617" s="19">
        <v>8.1</v>
      </c>
      <c r="FU617" s="19">
        <v>18.5</v>
      </c>
      <c r="FV617" s="19">
        <v>17.5</v>
      </c>
      <c r="FW617" s="19">
        <v>23.2</v>
      </c>
      <c r="FX617" s="19">
        <v>22.2</v>
      </c>
      <c r="FY617" s="19">
        <v>21.2</v>
      </c>
      <c r="FZ617" s="19">
        <v>20.2</v>
      </c>
      <c r="GA617" s="19">
        <v>19.2</v>
      </c>
      <c r="GB617" s="19">
        <v>15.6</v>
      </c>
      <c r="GC617" s="19">
        <v>11.4</v>
      </c>
      <c r="GD617" s="19">
        <v>8.9</v>
      </c>
      <c r="GE617" s="19">
        <v>6.6</v>
      </c>
      <c r="GF617" s="19">
        <v>5.7</v>
      </c>
      <c r="GG617" s="19">
        <v>4.8</v>
      </c>
      <c r="GH617" s="19">
        <v>3.9</v>
      </c>
      <c r="GI617" s="19">
        <v>3.5</v>
      </c>
      <c r="GJ617" s="19">
        <v>1.9</v>
      </c>
      <c r="GK617" s="19">
        <v>0.9</v>
      </c>
      <c r="GL617" s="20">
        <v>0</v>
      </c>
      <c r="GM617" s="19">
        <v>11.8</v>
      </c>
      <c r="GN617" s="19">
        <v>11.8</v>
      </c>
      <c r="GO617" s="19">
        <v>10.8</v>
      </c>
      <c r="GP617" s="19">
        <v>9.7</v>
      </c>
      <c r="GQ617" s="19">
        <v>8.7</v>
      </c>
      <c r="GR617" s="19">
        <v>7.7</v>
      </c>
      <c r="GS617" s="19">
        <v>6.7</v>
      </c>
    </row>
    <row r="618">
      <c r="A618" s="2" t="s">
        <v>3358</v>
      </c>
      <c r="B618" s="2" t="s">
        <v>245</v>
      </c>
      <c r="C618" s="2" t="s">
        <v>295</v>
      </c>
      <c r="D618" s="2" t="s">
        <v>247</v>
      </c>
      <c r="E618" s="2" t="s">
        <v>248</v>
      </c>
      <c r="F618" s="2" t="s">
        <v>3341</v>
      </c>
      <c r="G618" s="2" t="s">
        <v>3341</v>
      </c>
      <c r="H618" s="2" t="s">
        <v>3341</v>
      </c>
      <c r="I618" s="2" t="s">
        <v>297</v>
      </c>
      <c r="J618" s="2" t="s">
        <v>223</v>
      </c>
      <c r="K618" s="2" t="s">
        <v>3354</v>
      </c>
      <c r="L618" s="3">
        <v>21.5</v>
      </c>
      <c r="M618" s="3">
        <v>22.58</v>
      </c>
      <c r="N618" s="3">
        <v>42.99</v>
      </c>
      <c r="O618" s="2" t="s">
        <v>196</v>
      </c>
      <c r="P618" s="2" t="s">
        <v>197</v>
      </c>
      <c r="Q618" s="2" t="s">
        <v>198</v>
      </c>
      <c r="R618" s="2" t="s">
        <v>199</v>
      </c>
      <c r="S618" s="2" t="s">
        <v>3355</v>
      </c>
      <c r="T618" s="2" t="s">
        <v>3344</v>
      </c>
      <c r="U618" s="2" t="s">
        <v>254</v>
      </c>
      <c r="V618" s="2" t="s">
        <v>900</v>
      </c>
      <c r="W618" s="2" t="s">
        <v>255</v>
      </c>
      <c r="X618" s="2" t="s">
        <v>203</v>
      </c>
      <c r="Y618" s="2" t="s">
        <v>3350</v>
      </c>
      <c r="Z618" s="4">
        <v>284</v>
      </c>
      <c r="AA618" s="4">
        <f>=ROUNDDOWN(33.4117647058824,0)</f>
      </c>
      <c r="AB618" s="5">
        <v>8.5</v>
      </c>
      <c r="AC618" s="2" t="s">
        <v>387</v>
      </c>
      <c r="AD618" s="4">
        <v>52</v>
      </c>
      <c r="AE618" s="4">
        <v>82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199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199</v>
      </c>
      <c r="AW618" s="8" t="s">
        <v>199</v>
      </c>
      <c r="AX618" s="4" t="s">
        <v>199</v>
      </c>
      <c r="AY618" s="8" t="s">
        <v>199</v>
      </c>
      <c r="AZ618" s="7" t="s">
        <v>199</v>
      </c>
      <c r="BA618" s="7" t="s">
        <v>199</v>
      </c>
      <c r="BB618" s="7"/>
      <c r="BC618" s="4" t="s">
        <v>199</v>
      </c>
      <c r="BD618" s="8" t="s">
        <v>199</v>
      </c>
      <c r="BE618" s="4" t="s">
        <v>199</v>
      </c>
      <c r="BF618" s="8" t="s">
        <v>199</v>
      </c>
      <c r="BG618" s="7" t="s">
        <v>199</v>
      </c>
      <c r="BH618" s="7" t="s">
        <v>199</v>
      </c>
      <c r="BI618" s="7"/>
      <c r="BJ618" s="4">
        <v>91</v>
      </c>
      <c r="BK618" s="8">
        <v>2216.55</v>
      </c>
      <c r="BL618" s="2" t="s">
        <v>3359</v>
      </c>
      <c r="BM618" s="7"/>
      <c r="BN618" s="7"/>
      <c r="BO618" s="4"/>
      <c r="BP618" s="8"/>
      <c r="BQ618" s="4"/>
      <c r="BR618" s="8"/>
      <c r="BS618" s="7"/>
      <c r="BT618" s="7"/>
      <c r="BU618" s="2" t="s">
        <v>3346</v>
      </c>
      <c r="BV618" s="2" t="s">
        <v>199</v>
      </c>
      <c r="BW618" s="2" t="s">
        <v>199</v>
      </c>
      <c r="BX618" s="2" t="s">
        <v>686</v>
      </c>
      <c r="BY618" s="2" t="s">
        <v>209</v>
      </c>
      <c r="BZ618" s="2" t="s">
        <v>196</v>
      </c>
      <c r="CA618" s="2" t="s">
        <v>1518</v>
      </c>
      <c r="CB618" s="2" t="s">
        <v>3360</v>
      </c>
      <c r="CC618" s="2" t="s">
        <v>212</v>
      </c>
      <c r="CD618" s="2" t="s">
        <v>199</v>
      </c>
      <c r="CE618" s="4">
        <v>284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>
        <v>52</v>
      </c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>
        <v>30</v>
      </c>
      <c r="ER618" s="4"/>
      <c r="ES618" s="4"/>
      <c r="ET618" s="4">
        <v>294</v>
      </c>
      <c r="EU618" s="4">
        <v>280</v>
      </c>
      <c r="EV618" s="4">
        <v>274</v>
      </c>
      <c r="EW618" s="4">
        <v>320</v>
      </c>
      <c r="EX618" s="4">
        <v>314</v>
      </c>
      <c r="EY618" s="4">
        <v>308</v>
      </c>
      <c r="EZ618" s="4">
        <v>302</v>
      </c>
      <c r="FA618" s="4">
        <v>296</v>
      </c>
      <c r="FB618" s="4">
        <v>287</v>
      </c>
      <c r="FC618" s="4">
        <v>278</v>
      </c>
      <c r="FD618" s="4">
        <v>270</v>
      </c>
      <c r="FE618" s="4">
        <v>262</v>
      </c>
      <c r="FF618" s="4">
        <v>254</v>
      </c>
      <c r="FG618" s="4">
        <v>246</v>
      </c>
      <c r="FH618" s="4">
        <v>238</v>
      </c>
      <c r="FI618" s="4">
        <v>229</v>
      </c>
      <c r="FJ618" s="4">
        <v>221</v>
      </c>
      <c r="FK618" s="4">
        <v>213</v>
      </c>
      <c r="FL618" s="4">
        <v>205</v>
      </c>
      <c r="FM618" s="4">
        <v>227</v>
      </c>
      <c r="FN618" s="4">
        <v>219</v>
      </c>
      <c r="FO618" s="4">
        <v>211</v>
      </c>
      <c r="FP618" s="4">
        <v>202</v>
      </c>
      <c r="FQ618" s="4">
        <v>194</v>
      </c>
      <c r="FR618" s="4">
        <v>186</v>
      </c>
      <c r="FS618" s="4">
        <v>178</v>
      </c>
      <c r="FT618" s="19">
        <v>36.8</v>
      </c>
      <c r="FU618" s="19">
        <v>46.7</v>
      </c>
      <c r="FV618" s="19">
        <v>45.7</v>
      </c>
      <c r="FW618" s="19">
        <v>53.3</v>
      </c>
      <c r="FX618" s="19">
        <v>44.9</v>
      </c>
      <c r="FY618" s="19">
        <v>38.5</v>
      </c>
      <c r="FZ618" s="19">
        <v>37.8</v>
      </c>
      <c r="GA618" s="19">
        <v>37</v>
      </c>
      <c r="GB618" s="19">
        <v>35.9</v>
      </c>
      <c r="GC618" s="19">
        <v>34.8</v>
      </c>
      <c r="GD618" s="19">
        <v>33.8</v>
      </c>
      <c r="GE618" s="19">
        <v>32.8</v>
      </c>
      <c r="GF618" s="19">
        <v>31.8</v>
      </c>
      <c r="GG618" s="19">
        <v>30.8</v>
      </c>
      <c r="GH618" s="19">
        <v>29.8</v>
      </c>
      <c r="GI618" s="19">
        <v>28.6</v>
      </c>
      <c r="GJ618" s="19">
        <v>27.6</v>
      </c>
      <c r="GK618" s="19">
        <v>26.6</v>
      </c>
      <c r="GL618" s="19">
        <v>25.6</v>
      </c>
      <c r="GM618" s="19">
        <v>28.4</v>
      </c>
      <c r="GN618" s="19">
        <v>27.4</v>
      </c>
      <c r="GO618" s="19">
        <v>26.4</v>
      </c>
      <c r="GP618" s="19">
        <v>25.3</v>
      </c>
      <c r="GQ618" s="19">
        <v>24.3</v>
      </c>
      <c r="GR618" s="19">
        <v>23.3</v>
      </c>
      <c r="GS618" s="19">
        <v>19.8</v>
      </c>
    </row>
    <row r="619">
      <c r="A619" s="2" t="s">
        <v>3361</v>
      </c>
      <c r="B619" s="2" t="s">
        <v>630</v>
      </c>
      <c r="C619" s="2" t="s">
        <v>246</v>
      </c>
      <c r="D619" s="2" t="s">
        <v>759</v>
      </c>
      <c r="E619" s="2" t="s">
        <v>3106</v>
      </c>
      <c r="F619" s="2" t="s">
        <v>3362</v>
      </c>
      <c r="G619" s="2" t="s">
        <v>3363</v>
      </c>
      <c r="H619" s="2" t="s">
        <v>3364</v>
      </c>
      <c r="I619" s="2" t="s">
        <v>3110</v>
      </c>
      <c r="J619" s="2" t="s">
        <v>285</v>
      </c>
      <c r="K619" s="2" t="s">
        <v>3365</v>
      </c>
      <c r="L619" s="3">
        <v>39.69</v>
      </c>
      <c r="M619" s="3">
        <v>41.67</v>
      </c>
      <c r="N619" s="3">
        <v>79.99</v>
      </c>
      <c r="O619" s="2" t="s">
        <v>196</v>
      </c>
      <c r="P619" s="2" t="s">
        <v>197</v>
      </c>
      <c r="Q619" s="2" t="s">
        <v>198</v>
      </c>
      <c r="R619" s="2" t="s">
        <v>199</v>
      </c>
      <c r="S619" s="2" t="s">
        <v>3366</v>
      </c>
      <c r="T619" s="2" t="s">
        <v>386</v>
      </c>
      <c r="U619" s="2" t="s">
        <v>637</v>
      </c>
      <c r="V619" s="2" t="s">
        <v>3367</v>
      </c>
      <c r="W619" s="2" t="s">
        <v>529</v>
      </c>
      <c r="X619" s="2" t="s">
        <v>203</v>
      </c>
      <c r="Y619" s="2" t="s">
        <v>3368</v>
      </c>
      <c r="Z619" s="4">
        <v>296</v>
      </c>
      <c r="AA619" s="4">
        <f>=ROUNDDOWN(42.2857142857143,0)</f>
      </c>
      <c r="AB619" s="5">
        <v>7</v>
      </c>
      <c r="AC619" s="2" t="s">
        <v>199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199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26</v>
      </c>
      <c r="BK619" s="8">
        <v>1094.06</v>
      </c>
      <c r="BL619" s="2" t="s">
        <v>3369</v>
      </c>
      <c r="BM619" s="7"/>
      <c r="BN619" s="7"/>
      <c r="BO619" s="4"/>
      <c r="BP619" s="8"/>
      <c r="BQ619" s="4"/>
      <c r="BR619" s="8"/>
      <c r="BS619" s="7"/>
      <c r="BT619" s="7"/>
      <c r="BU619" s="2" t="s">
        <v>3370</v>
      </c>
      <c r="BV619" s="2" t="s">
        <v>199</v>
      </c>
      <c r="BW619" s="2" t="s">
        <v>199</v>
      </c>
      <c r="BX619" s="2" t="s">
        <v>260</v>
      </c>
      <c r="BY619" s="2" t="s">
        <v>209</v>
      </c>
      <c r="BZ619" s="2" t="s">
        <v>196</v>
      </c>
      <c r="CA619" s="2" t="s">
        <v>3371</v>
      </c>
      <c r="CB619" s="2" t="s">
        <v>3372</v>
      </c>
      <c r="CC619" s="2" t="s">
        <v>212</v>
      </c>
      <c r="CD619" s="2" t="s">
        <v>199</v>
      </c>
      <c r="CE619" s="4">
        <v>45</v>
      </c>
      <c r="CF619" s="4">
        <v>126</v>
      </c>
      <c r="CG619" s="4"/>
      <c r="CH619" s="4">
        <v>125</v>
      </c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>
        <v>298</v>
      </c>
      <c r="EU619" s="4">
        <v>281</v>
      </c>
      <c r="EV619" s="4">
        <v>274</v>
      </c>
      <c r="EW619" s="4">
        <v>267</v>
      </c>
      <c r="EX619" s="4">
        <v>260</v>
      </c>
      <c r="EY619" s="4">
        <v>253</v>
      </c>
      <c r="EZ619" s="4">
        <v>246</v>
      </c>
      <c r="FA619" s="4">
        <v>239</v>
      </c>
      <c r="FB619" s="4">
        <v>231</v>
      </c>
      <c r="FC619" s="4">
        <v>224</v>
      </c>
      <c r="FD619" s="4">
        <v>217</v>
      </c>
      <c r="FE619" s="4">
        <v>210</v>
      </c>
      <c r="FF619" s="4">
        <v>203</v>
      </c>
      <c r="FG619" s="4">
        <v>196</v>
      </c>
      <c r="FH619" s="4">
        <v>189</v>
      </c>
      <c r="FI619" s="4">
        <v>182</v>
      </c>
      <c r="FJ619" s="4">
        <v>175</v>
      </c>
      <c r="FK619" s="4">
        <v>168</v>
      </c>
      <c r="FL619" s="4">
        <v>161</v>
      </c>
      <c r="FM619" s="4">
        <v>154</v>
      </c>
      <c r="FN619" s="4">
        <v>147</v>
      </c>
      <c r="FO619" s="4">
        <v>140</v>
      </c>
      <c r="FP619" s="4">
        <v>132</v>
      </c>
      <c r="FQ619" s="4">
        <v>125</v>
      </c>
      <c r="FR619" s="4">
        <v>118</v>
      </c>
      <c r="FS619" s="4">
        <v>111</v>
      </c>
      <c r="FT619" s="19">
        <v>29.8</v>
      </c>
      <c r="FU619" s="19">
        <v>40.1</v>
      </c>
      <c r="FV619" s="19">
        <v>39.1</v>
      </c>
      <c r="FW619" s="19">
        <v>38.1</v>
      </c>
      <c r="FX619" s="19">
        <v>37.1</v>
      </c>
      <c r="FY619" s="19">
        <v>36.1</v>
      </c>
      <c r="FZ619" s="19">
        <v>35.1</v>
      </c>
      <c r="GA619" s="19">
        <v>34.1</v>
      </c>
      <c r="GB619" s="19">
        <v>33</v>
      </c>
      <c r="GC619" s="19">
        <v>32</v>
      </c>
      <c r="GD619" s="19">
        <v>31</v>
      </c>
      <c r="GE619" s="19">
        <v>30</v>
      </c>
      <c r="GF619" s="19">
        <v>29</v>
      </c>
      <c r="GG619" s="19">
        <v>28</v>
      </c>
      <c r="GH619" s="19">
        <v>27</v>
      </c>
      <c r="GI619" s="19">
        <v>26</v>
      </c>
      <c r="GJ619" s="19">
        <v>25</v>
      </c>
      <c r="GK619" s="19">
        <v>24</v>
      </c>
      <c r="GL619" s="19">
        <v>23</v>
      </c>
      <c r="GM619" s="19">
        <v>22</v>
      </c>
      <c r="GN619" s="19">
        <v>21</v>
      </c>
      <c r="GO619" s="19">
        <v>20</v>
      </c>
      <c r="GP619" s="19">
        <v>18.9</v>
      </c>
      <c r="GQ619" s="19">
        <v>17.9</v>
      </c>
      <c r="GR619" s="19">
        <v>16.9</v>
      </c>
      <c r="GS619" s="19">
        <v>15.9</v>
      </c>
    </row>
    <row r="620">
      <c r="A620" s="2" t="s">
        <v>3373</v>
      </c>
      <c r="B620" s="2" t="s">
        <v>736</v>
      </c>
      <c r="C620" s="2" t="s">
        <v>1007</v>
      </c>
      <c r="D620" s="2" t="s">
        <v>631</v>
      </c>
      <c r="E620" s="2" t="s">
        <v>720</v>
      </c>
      <c r="F620" s="2" t="s">
        <v>3374</v>
      </c>
      <c r="G620" s="2" t="s">
        <v>3375</v>
      </c>
      <c r="H620" s="2" t="s">
        <v>3376</v>
      </c>
      <c r="I620" s="2" t="s">
        <v>3377</v>
      </c>
      <c r="J620" s="2" t="s">
        <v>1011</v>
      </c>
      <c r="K620" s="2" t="s">
        <v>3378</v>
      </c>
      <c r="L620" s="3">
        <v>26.1</v>
      </c>
      <c r="M620" s="3">
        <v>27.4</v>
      </c>
      <c r="N620" s="3">
        <v>57.99</v>
      </c>
      <c r="O620" s="2" t="s">
        <v>196</v>
      </c>
      <c r="P620" s="2" t="s">
        <v>621</v>
      </c>
      <c r="Q620" s="2" t="s">
        <v>198</v>
      </c>
      <c r="R620" s="2" t="s">
        <v>199</v>
      </c>
      <c r="S620" s="2" t="s">
        <v>3379</v>
      </c>
      <c r="T620" s="2" t="s">
        <v>386</v>
      </c>
      <c r="U620" s="2" t="s">
        <v>254</v>
      </c>
      <c r="V620" s="2" t="s">
        <v>638</v>
      </c>
      <c r="W620" s="2" t="s">
        <v>510</v>
      </c>
      <c r="X620" s="2" t="s">
        <v>255</v>
      </c>
      <c r="Y620" s="2" t="s">
        <v>3244</v>
      </c>
      <c r="Z620" s="4">
        <v>277</v>
      </c>
      <c r="AA620" s="4">
        <f>=ROUNDDOWN(92.3333333333333,0)</f>
      </c>
      <c r="AB620" s="5">
        <v>3</v>
      </c>
      <c r="AC620" s="2" t="s">
        <v>199</v>
      </c>
      <c r="AD620" s="4"/>
      <c r="AE620" s="4"/>
      <c r="AF620" s="6">
        <v>64</v>
      </c>
      <c r="AG620" s="6">
        <v>47</v>
      </c>
      <c r="AH620" s="7">
        <v>1</v>
      </c>
      <c r="AI620" s="4"/>
      <c r="AJ620" s="4">
        <f>=ROUNDDOWN({0},0)</f>
      </c>
      <c r="AK620" s="5"/>
      <c r="AL620" s="2" t="s">
        <v>199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199</v>
      </c>
      <c r="AW620" s="8" t="s">
        <v>199</v>
      </c>
      <c r="AX620" s="4" t="s">
        <v>199</v>
      </c>
      <c r="AY620" s="8" t="s">
        <v>199</v>
      </c>
      <c r="AZ620" s="7" t="s">
        <v>199</v>
      </c>
      <c r="BA620" s="7" t="s">
        <v>199</v>
      </c>
      <c r="BB620" s="7"/>
      <c r="BC620" s="4" t="s">
        <v>199</v>
      </c>
      <c r="BD620" s="8" t="s">
        <v>199</v>
      </c>
      <c r="BE620" s="4" t="s">
        <v>199</v>
      </c>
      <c r="BF620" s="8" t="s">
        <v>199</v>
      </c>
      <c r="BG620" s="7" t="s">
        <v>199</v>
      </c>
      <c r="BH620" s="7" t="s">
        <v>199</v>
      </c>
      <c r="BI620" s="7"/>
      <c r="BJ620" s="4">
        <v>17</v>
      </c>
      <c r="BK620" s="8">
        <v>494.07</v>
      </c>
      <c r="BL620" s="2" t="s">
        <v>3380</v>
      </c>
      <c r="BM620" s="7"/>
      <c r="BN620" s="7"/>
      <c r="BO620" s="4"/>
      <c r="BP620" s="8"/>
      <c r="BQ620" s="4"/>
      <c r="BR620" s="8"/>
      <c r="BS620" s="7"/>
      <c r="BT620" s="7"/>
      <c r="BU620" s="2" t="s">
        <v>3381</v>
      </c>
      <c r="BV620" s="2" t="s">
        <v>199</v>
      </c>
      <c r="BW620" s="2" t="s">
        <v>199</v>
      </c>
      <c r="BX620" s="2" t="s">
        <v>208</v>
      </c>
      <c r="BY620" s="2" t="s">
        <v>209</v>
      </c>
      <c r="BZ620" s="2" t="s">
        <v>196</v>
      </c>
      <c r="CA620" s="2" t="s">
        <v>3382</v>
      </c>
      <c r="CB620" s="2" t="s">
        <v>3383</v>
      </c>
      <c r="CC620" s="2" t="s">
        <v>212</v>
      </c>
      <c r="CD620" s="2" t="s">
        <v>199</v>
      </c>
      <c r="CE620" s="4">
        <v>199</v>
      </c>
      <c r="CF620" s="4"/>
      <c r="CG620" s="4"/>
      <c r="CH620" s="4">
        <v>78</v>
      </c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>
        <v>277</v>
      </c>
      <c r="EU620" s="4">
        <v>275</v>
      </c>
      <c r="EV620" s="4">
        <v>273</v>
      </c>
      <c r="EW620" s="4">
        <v>271</v>
      </c>
      <c r="EX620" s="4">
        <v>269</v>
      </c>
      <c r="EY620" s="4">
        <v>267</v>
      </c>
      <c r="EZ620" s="4">
        <v>265</v>
      </c>
      <c r="FA620" s="4">
        <v>263</v>
      </c>
      <c r="FB620" s="4">
        <v>260</v>
      </c>
      <c r="FC620" s="4">
        <v>257</v>
      </c>
      <c r="FD620" s="4">
        <v>254</v>
      </c>
      <c r="FE620" s="4">
        <v>251</v>
      </c>
      <c r="FF620" s="4">
        <v>248</v>
      </c>
      <c r="FG620" s="4">
        <v>245</v>
      </c>
      <c r="FH620" s="4">
        <v>242</v>
      </c>
      <c r="FI620" s="4">
        <v>239</v>
      </c>
      <c r="FJ620" s="4">
        <v>236</v>
      </c>
      <c r="FK620" s="4">
        <v>233</v>
      </c>
      <c r="FL620" s="4">
        <v>230</v>
      </c>
      <c r="FM620" s="4">
        <v>227</v>
      </c>
      <c r="FN620" s="4">
        <v>224</v>
      </c>
      <c r="FO620" s="4">
        <v>220</v>
      </c>
      <c r="FP620" s="4">
        <v>217</v>
      </c>
      <c r="FQ620" s="4">
        <v>213</v>
      </c>
      <c r="FR620" s="4">
        <v>209</v>
      </c>
      <c r="FS620" s="4">
        <v>204</v>
      </c>
      <c r="FT620" s="19">
        <v>138.5</v>
      </c>
      <c r="FU620" s="19">
        <v>137.5</v>
      </c>
      <c r="FV620" s="19">
        <v>136.5</v>
      </c>
      <c r="FW620" s="19">
        <v>135.5</v>
      </c>
      <c r="FX620" s="19">
        <v>134.5</v>
      </c>
      <c r="FY620" s="19">
        <v>85</v>
      </c>
      <c r="FZ620" s="19">
        <v>84.3</v>
      </c>
      <c r="GA620" s="19">
        <v>83.5</v>
      </c>
      <c r="GB620" s="19">
        <v>82.5</v>
      </c>
      <c r="GC620" s="19">
        <v>81.5</v>
      </c>
      <c r="GD620" s="19">
        <v>80.5</v>
      </c>
      <c r="GE620" s="19">
        <v>79.5</v>
      </c>
      <c r="GF620" s="19">
        <v>78.5</v>
      </c>
      <c r="GG620" s="19">
        <v>77.5</v>
      </c>
      <c r="GH620" s="19">
        <v>76.5</v>
      </c>
      <c r="GI620" s="19">
        <v>75.5</v>
      </c>
      <c r="GJ620" s="19">
        <v>74.5</v>
      </c>
      <c r="GK620" s="19">
        <v>73.5</v>
      </c>
      <c r="GL620" s="19">
        <v>72.5</v>
      </c>
      <c r="GM620" s="19">
        <v>56.8</v>
      </c>
      <c r="GN620" s="19">
        <v>56</v>
      </c>
      <c r="GO620" s="19">
        <v>55</v>
      </c>
      <c r="GP620" s="19">
        <v>40.8</v>
      </c>
      <c r="GQ620" s="19">
        <v>39.9</v>
      </c>
      <c r="GR620" s="19">
        <v>39.1</v>
      </c>
      <c r="GS620" s="19">
        <v>38.1</v>
      </c>
    </row>
    <row r="621">
      <c r="A621" s="2" t="s">
        <v>3384</v>
      </c>
      <c r="B621" s="2" t="s">
        <v>736</v>
      </c>
      <c r="C621" s="2" t="s">
        <v>1007</v>
      </c>
      <c r="D621" s="2" t="s">
        <v>631</v>
      </c>
      <c r="E621" s="2" t="s">
        <v>720</v>
      </c>
      <c r="F621" s="2" t="s">
        <v>3374</v>
      </c>
      <c r="G621" s="2" t="s">
        <v>3375</v>
      </c>
      <c r="H621" s="2" t="s">
        <v>3376</v>
      </c>
      <c r="I621" s="2" t="s">
        <v>3377</v>
      </c>
      <c r="J621" s="2" t="s">
        <v>241</v>
      </c>
      <c r="K621" s="2" t="s">
        <v>3378</v>
      </c>
      <c r="L621" s="3">
        <v>35.88</v>
      </c>
      <c r="M621" s="3">
        <v>37.67</v>
      </c>
      <c r="N621" s="3">
        <v>77.99</v>
      </c>
      <c r="O621" s="2" t="s">
        <v>196</v>
      </c>
      <c r="P621" s="2" t="s">
        <v>621</v>
      </c>
      <c r="Q621" s="2" t="s">
        <v>198</v>
      </c>
      <c r="R621" s="2" t="s">
        <v>199</v>
      </c>
      <c r="S621" s="2" t="s">
        <v>3379</v>
      </c>
      <c r="T621" s="2" t="s">
        <v>386</v>
      </c>
      <c r="U621" s="2" t="s">
        <v>492</v>
      </c>
      <c r="V621" s="2" t="s">
        <v>638</v>
      </c>
      <c r="W621" s="2" t="s">
        <v>510</v>
      </c>
      <c r="X621" s="2" t="s">
        <v>255</v>
      </c>
      <c r="Y621" s="2" t="s">
        <v>3385</v>
      </c>
      <c r="Z621" s="4">
        <v>231</v>
      </c>
      <c r="AA621" s="4">
        <f>=ROUNDDOWN(57.75,0)</f>
      </c>
      <c r="AB621" s="5">
        <v>4</v>
      </c>
      <c r="AC621" s="2" t="s">
        <v>199</v>
      </c>
      <c r="AD621" s="4"/>
      <c r="AE621" s="4"/>
      <c r="AF621" s="6">
        <v>64</v>
      </c>
      <c r="AG621" s="6">
        <v>47</v>
      </c>
      <c r="AH621" s="7">
        <v>1</v>
      </c>
      <c r="AI621" s="4"/>
      <c r="AJ621" s="4">
        <f>=ROUNDDOWN({0},0)</f>
      </c>
      <c r="AK621" s="5"/>
      <c r="AL621" s="2" t="s">
        <v>199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199</v>
      </c>
      <c r="AW621" s="8" t="s">
        <v>199</v>
      </c>
      <c r="AX621" s="4" t="s">
        <v>199</v>
      </c>
      <c r="AY621" s="8" t="s">
        <v>199</v>
      </c>
      <c r="AZ621" s="7" t="s">
        <v>199</v>
      </c>
      <c r="BA621" s="7" t="s">
        <v>199</v>
      </c>
      <c r="BB621" s="7"/>
      <c r="BC621" s="4" t="s">
        <v>199</v>
      </c>
      <c r="BD621" s="8" t="s">
        <v>199</v>
      </c>
      <c r="BE621" s="4" t="s">
        <v>199</v>
      </c>
      <c r="BF621" s="8" t="s">
        <v>199</v>
      </c>
      <c r="BG621" s="7" t="s">
        <v>199</v>
      </c>
      <c r="BH621" s="7" t="s">
        <v>199</v>
      </c>
      <c r="BI621" s="7"/>
      <c r="BJ621" s="4">
        <v>37</v>
      </c>
      <c r="BK621" s="8">
        <v>1374.28</v>
      </c>
      <c r="BL621" s="2" t="s">
        <v>3356</v>
      </c>
      <c r="BM621" s="7"/>
      <c r="BN621" s="7"/>
      <c r="BO621" s="4"/>
      <c r="BP621" s="8"/>
      <c r="BQ621" s="4"/>
      <c r="BR621" s="8"/>
      <c r="BS621" s="7"/>
      <c r="BT621" s="7"/>
      <c r="BU621" s="2" t="s">
        <v>3381</v>
      </c>
      <c r="BV621" s="2" t="s">
        <v>199</v>
      </c>
      <c r="BW621" s="2" t="s">
        <v>199</v>
      </c>
      <c r="BX621" s="2" t="s">
        <v>208</v>
      </c>
      <c r="BY621" s="2" t="s">
        <v>209</v>
      </c>
      <c r="BZ621" s="2" t="s">
        <v>196</v>
      </c>
      <c r="CA621" s="2" t="s">
        <v>3382</v>
      </c>
      <c r="CB621" s="2" t="s">
        <v>3386</v>
      </c>
      <c r="CC621" s="2" t="s">
        <v>212</v>
      </c>
      <c r="CD621" s="2" t="s">
        <v>199</v>
      </c>
      <c r="CE621" s="4">
        <v>190</v>
      </c>
      <c r="CF621" s="4"/>
      <c r="CG621" s="4"/>
      <c r="CH621" s="4">
        <v>41</v>
      </c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>
        <v>233</v>
      </c>
      <c r="EU621" s="4">
        <v>228</v>
      </c>
      <c r="EV621" s="4">
        <v>225</v>
      </c>
      <c r="EW621" s="4">
        <v>222</v>
      </c>
      <c r="EX621" s="4">
        <v>219</v>
      </c>
      <c r="EY621" s="4">
        <v>216</v>
      </c>
      <c r="EZ621" s="4">
        <v>213</v>
      </c>
      <c r="FA621" s="4">
        <v>210</v>
      </c>
      <c r="FB621" s="4">
        <v>207</v>
      </c>
      <c r="FC621" s="4">
        <v>203</v>
      </c>
      <c r="FD621" s="4">
        <v>199</v>
      </c>
      <c r="FE621" s="4">
        <v>195</v>
      </c>
      <c r="FF621" s="4">
        <v>191</v>
      </c>
      <c r="FG621" s="4">
        <v>187</v>
      </c>
      <c r="FH621" s="4">
        <v>183</v>
      </c>
      <c r="FI621" s="4">
        <v>179</v>
      </c>
      <c r="FJ621" s="4">
        <v>175</v>
      </c>
      <c r="FK621" s="4">
        <v>171</v>
      </c>
      <c r="FL621" s="4">
        <v>167</v>
      </c>
      <c r="FM621" s="4">
        <v>163</v>
      </c>
      <c r="FN621" s="4">
        <v>159</v>
      </c>
      <c r="FO621" s="4">
        <v>155</v>
      </c>
      <c r="FP621" s="4">
        <v>151</v>
      </c>
      <c r="FQ621" s="4">
        <v>146</v>
      </c>
      <c r="FR621" s="4">
        <v>142</v>
      </c>
      <c r="FS621" s="4">
        <v>137</v>
      </c>
      <c r="FT621" s="19">
        <v>68.8</v>
      </c>
      <c r="FU621" s="19">
        <v>67</v>
      </c>
      <c r="FV621" s="19">
        <v>66</v>
      </c>
      <c r="FW621" s="19">
        <v>65</v>
      </c>
      <c r="FX621" s="19">
        <v>64</v>
      </c>
      <c r="FY621" s="19">
        <v>63</v>
      </c>
      <c r="FZ621" s="19">
        <v>62</v>
      </c>
      <c r="GA621" s="19">
        <v>46.4</v>
      </c>
      <c r="GB621" s="19">
        <v>45.5</v>
      </c>
      <c r="GC621" s="19">
        <v>44.5</v>
      </c>
      <c r="GD621" s="19">
        <v>43.5</v>
      </c>
      <c r="GE621" s="19">
        <v>42.5</v>
      </c>
      <c r="GF621" s="19">
        <v>41.5</v>
      </c>
      <c r="GG621" s="19">
        <v>40.5</v>
      </c>
      <c r="GH621" s="19">
        <v>39.5</v>
      </c>
      <c r="GI621" s="19">
        <v>38.5</v>
      </c>
      <c r="GJ621" s="19">
        <v>37.5</v>
      </c>
      <c r="GK621" s="19">
        <v>36.5</v>
      </c>
      <c r="GL621" s="19">
        <v>35.5</v>
      </c>
      <c r="GM621" s="19">
        <v>34.5</v>
      </c>
      <c r="GN621" s="19">
        <v>33.5</v>
      </c>
      <c r="GO621" s="19">
        <v>26.9</v>
      </c>
      <c r="GP621" s="19">
        <v>26</v>
      </c>
      <c r="GQ621" s="19">
        <v>25</v>
      </c>
      <c r="GR621" s="19">
        <v>24.2</v>
      </c>
      <c r="GS621" s="19">
        <v>23.2</v>
      </c>
    </row>
    <row r="622">
      <c r="A622" s="2" t="s">
        <v>3387</v>
      </c>
      <c r="B622" s="2" t="s">
        <v>672</v>
      </c>
      <c r="C622" s="2" t="s">
        <v>1007</v>
      </c>
      <c r="D622" s="2" t="s">
        <v>673</v>
      </c>
      <c r="E622" s="2" t="s">
        <v>674</v>
      </c>
      <c r="F622" s="2" t="s">
        <v>3374</v>
      </c>
      <c r="G622" s="2" t="s">
        <v>3375</v>
      </c>
      <c r="H622" s="2" t="s">
        <v>3376</v>
      </c>
      <c r="I622" s="2" t="s">
        <v>3388</v>
      </c>
      <c r="J622" s="2" t="s">
        <v>710</v>
      </c>
      <c r="K622" s="2" t="s">
        <v>2555</v>
      </c>
      <c r="L622" s="3">
        <v>19.2</v>
      </c>
      <c r="M622" s="3">
        <v>20.16</v>
      </c>
      <c r="N622" s="3">
        <v>39.99</v>
      </c>
      <c r="O622" s="2" t="s">
        <v>196</v>
      </c>
      <c r="P622" s="2" t="s">
        <v>197</v>
      </c>
      <c r="Q622" s="2" t="s">
        <v>198</v>
      </c>
      <c r="R622" s="2" t="s">
        <v>199</v>
      </c>
      <c r="S622" s="2" t="s">
        <v>3389</v>
      </c>
      <c r="T622" s="2" t="s">
        <v>199</v>
      </c>
      <c r="U622" s="2" t="s">
        <v>199</v>
      </c>
      <c r="V622" s="2" t="s">
        <v>638</v>
      </c>
      <c r="W622" s="2" t="s">
        <v>203</v>
      </c>
      <c r="X622" s="2" t="s">
        <v>3390</v>
      </c>
      <c r="Y622" s="2" t="s">
        <v>3391</v>
      </c>
      <c r="Z622" s="4">
        <v>536</v>
      </c>
      <c r="AA622" s="4">
        <f>=ROUNDDOWN(22.3333333333333,0)</f>
      </c>
      <c r="AB622" s="5">
        <v>24</v>
      </c>
      <c r="AC622" s="2" t="s">
        <v>1936</v>
      </c>
      <c r="AD622" s="4">
        <v>660</v>
      </c>
      <c r="AE622" s="4">
        <v>660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199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199</v>
      </c>
      <c r="BD622" s="8" t="s">
        <v>199</v>
      </c>
      <c r="BE622" s="4" t="s">
        <v>199</v>
      </c>
      <c r="BF622" s="8" t="s">
        <v>199</v>
      </c>
      <c r="BG622" s="7" t="s">
        <v>199</v>
      </c>
      <c r="BH622" s="7" t="s">
        <v>199</v>
      </c>
      <c r="BI622" s="7"/>
      <c r="BJ622" s="4">
        <v>41</v>
      </c>
      <c r="BK622" s="8">
        <v>1054.91</v>
      </c>
      <c r="BL622" s="2" t="s">
        <v>3392</v>
      </c>
      <c r="BM622" s="7"/>
      <c r="BN622" s="7"/>
      <c r="BO622" s="4"/>
      <c r="BP622" s="8"/>
      <c r="BQ622" s="4"/>
      <c r="BR622" s="8"/>
      <c r="BS622" s="7"/>
      <c r="BT622" s="7"/>
      <c r="BU622" s="2" t="s">
        <v>3393</v>
      </c>
      <c r="BV622" s="2" t="s">
        <v>199</v>
      </c>
      <c r="BW622" s="2" t="s">
        <v>199</v>
      </c>
      <c r="BX622" s="2" t="s">
        <v>260</v>
      </c>
      <c r="BY622" s="2" t="s">
        <v>209</v>
      </c>
      <c r="BZ622" s="2" t="s">
        <v>196</v>
      </c>
      <c r="CA622" s="2" t="s">
        <v>3394</v>
      </c>
      <c r="CB622" s="2" t="s">
        <v>2081</v>
      </c>
      <c r="CC622" s="2" t="s">
        <v>212</v>
      </c>
      <c r="CD622" s="2" t="s">
        <v>199</v>
      </c>
      <c r="CE622" s="4">
        <v>536</v>
      </c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>
        <v>660</v>
      </c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>
        <v>539</v>
      </c>
      <c r="EU622" s="4">
        <v>513</v>
      </c>
      <c r="EV622" s="4">
        <v>492</v>
      </c>
      <c r="EW622" s="4">
        <v>471</v>
      </c>
      <c r="EX622" s="4">
        <v>450</v>
      </c>
      <c r="EY622" s="4">
        <v>429</v>
      </c>
      <c r="EZ622" s="4">
        <v>1068</v>
      </c>
      <c r="FA622" s="4">
        <v>1047</v>
      </c>
      <c r="FB622" s="4">
        <v>1022</v>
      </c>
      <c r="FC622" s="4">
        <v>1001</v>
      </c>
      <c r="FD622" s="4">
        <v>980</v>
      </c>
      <c r="FE622" s="4">
        <v>959</v>
      </c>
      <c r="FF622" s="4">
        <v>935</v>
      </c>
      <c r="FG622" s="4">
        <v>911</v>
      </c>
      <c r="FH622" s="4">
        <v>887</v>
      </c>
      <c r="FI622" s="4">
        <v>862</v>
      </c>
      <c r="FJ622" s="4">
        <v>838</v>
      </c>
      <c r="FK622" s="4">
        <v>814</v>
      </c>
      <c r="FL622" s="4">
        <v>790</v>
      </c>
      <c r="FM622" s="4">
        <v>766</v>
      </c>
      <c r="FN622" s="4">
        <v>741</v>
      </c>
      <c r="FO622" s="4">
        <v>717</v>
      </c>
      <c r="FP622" s="4">
        <v>689</v>
      </c>
      <c r="FQ622" s="4">
        <v>665</v>
      </c>
      <c r="FR622" s="4">
        <v>641</v>
      </c>
      <c r="FS622" s="4">
        <v>617</v>
      </c>
      <c r="FT622" s="19">
        <v>24.5</v>
      </c>
      <c r="FU622" s="19">
        <v>24.4</v>
      </c>
      <c r="FV622" s="19">
        <v>23.4</v>
      </c>
      <c r="FW622" s="19">
        <v>22.4</v>
      </c>
      <c r="FX622" s="19">
        <v>20.5</v>
      </c>
      <c r="FY622" s="19">
        <v>19.5</v>
      </c>
      <c r="FZ622" s="19">
        <v>48.5</v>
      </c>
      <c r="GA622" s="19">
        <v>47.6</v>
      </c>
      <c r="GB622" s="19">
        <v>46.5</v>
      </c>
      <c r="GC622" s="19">
        <v>45.5</v>
      </c>
      <c r="GD622" s="19">
        <v>42.6</v>
      </c>
      <c r="GE622" s="19">
        <v>40</v>
      </c>
      <c r="GF622" s="19">
        <v>39</v>
      </c>
      <c r="GG622" s="19">
        <v>38</v>
      </c>
      <c r="GH622" s="19">
        <v>37</v>
      </c>
      <c r="GI622" s="19">
        <v>35.9</v>
      </c>
      <c r="GJ622" s="19">
        <v>34.9</v>
      </c>
      <c r="GK622" s="19">
        <v>33.9</v>
      </c>
      <c r="GL622" s="19">
        <v>31.6</v>
      </c>
      <c r="GM622" s="19">
        <v>30.6</v>
      </c>
      <c r="GN622" s="19">
        <v>29.6</v>
      </c>
      <c r="GO622" s="19">
        <v>28.7</v>
      </c>
      <c r="GP622" s="19">
        <v>28.7</v>
      </c>
      <c r="GQ622" s="19">
        <v>26.6</v>
      </c>
      <c r="GR622" s="19">
        <v>25.6</v>
      </c>
      <c r="GS622" s="19">
        <v>24.7</v>
      </c>
    </row>
    <row r="623">
      <c r="A623" s="2" t="s">
        <v>3395</v>
      </c>
      <c r="B623" s="2" t="s">
        <v>188</v>
      </c>
      <c r="C623" s="2" t="s">
        <v>189</v>
      </c>
      <c r="D623" s="2" t="s">
        <v>1963</v>
      </c>
      <c r="E623" s="2" t="s">
        <v>2732</v>
      </c>
      <c r="F623" s="2" t="s">
        <v>3396</v>
      </c>
      <c r="G623" s="2" t="s">
        <v>3396</v>
      </c>
      <c r="H623" s="2" t="s">
        <v>3396</v>
      </c>
      <c r="I623" s="2" t="s">
        <v>3397</v>
      </c>
      <c r="J623" s="2" t="s">
        <v>219</v>
      </c>
      <c r="K623" s="2" t="s">
        <v>252</v>
      </c>
      <c r="L623" s="3">
        <v>16.2</v>
      </c>
      <c r="M623" s="3">
        <v>17.01</v>
      </c>
      <c r="N623" s="3">
        <v>35.99</v>
      </c>
      <c r="O623" s="2" t="s">
        <v>196</v>
      </c>
      <c r="P623" s="2" t="s">
        <v>197</v>
      </c>
      <c r="Q623" s="2" t="s">
        <v>198</v>
      </c>
      <c r="R623" s="2" t="s">
        <v>199</v>
      </c>
      <c r="S623" s="2" t="s">
        <v>3398</v>
      </c>
      <c r="T623" s="2" t="s">
        <v>199</v>
      </c>
      <c r="U623" s="2" t="s">
        <v>199</v>
      </c>
      <c r="V623" s="2" t="s">
        <v>202</v>
      </c>
      <c r="W623" s="2" t="s">
        <v>3399</v>
      </c>
      <c r="X623" s="2" t="s">
        <v>199</v>
      </c>
      <c r="Y623" s="2" t="s">
        <v>3188</v>
      </c>
      <c r="Z623" s="4">
        <v>139</v>
      </c>
      <c r="AA623" s="4">
        <f>=ROUNDDOWN(9.26666666666667,0)</f>
      </c>
      <c r="AB623" s="5">
        <v>15</v>
      </c>
      <c r="AC623" s="2" t="s">
        <v>776</v>
      </c>
      <c r="AD623" s="4">
        <v>250</v>
      </c>
      <c r="AE623" s="4">
        <v>570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199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199</v>
      </c>
      <c r="AW623" s="8" t="s">
        <v>199</v>
      </c>
      <c r="AX623" s="4" t="s">
        <v>199</v>
      </c>
      <c r="AY623" s="8" t="s">
        <v>199</v>
      </c>
      <c r="AZ623" s="7" t="s">
        <v>199</v>
      </c>
      <c r="BA623" s="7" t="s">
        <v>199</v>
      </c>
      <c r="BB623" s="7"/>
      <c r="BC623" s="4" t="s">
        <v>199</v>
      </c>
      <c r="BD623" s="8" t="s">
        <v>199</v>
      </c>
      <c r="BE623" s="4" t="s">
        <v>199</v>
      </c>
      <c r="BF623" s="8" t="s">
        <v>199</v>
      </c>
      <c r="BG623" s="7" t="s">
        <v>199</v>
      </c>
      <c r="BH623" s="7" t="s">
        <v>199</v>
      </c>
      <c r="BI623" s="7"/>
      <c r="BJ623" s="4">
        <v>91</v>
      </c>
      <c r="BK623" s="8">
        <v>1512.78</v>
      </c>
      <c r="BL623" s="2" t="s">
        <v>3400</v>
      </c>
      <c r="BM623" s="7"/>
      <c r="BN623" s="7"/>
      <c r="BO623" s="4"/>
      <c r="BP623" s="8"/>
      <c r="BQ623" s="4"/>
      <c r="BR623" s="8"/>
      <c r="BS623" s="7"/>
      <c r="BT623" s="7"/>
      <c r="BU623" s="2" t="s">
        <v>3401</v>
      </c>
      <c r="BV623" s="2" t="s">
        <v>199</v>
      </c>
      <c r="BW623" s="2" t="s">
        <v>199</v>
      </c>
      <c r="BX623" s="2" t="s">
        <v>208</v>
      </c>
      <c r="BY623" s="2" t="s">
        <v>209</v>
      </c>
      <c r="BZ623" s="2" t="s">
        <v>196</v>
      </c>
      <c r="CA623" s="2" t="s">
        <v>3402</v>
      </c>
      <c r="CB623" s="2" t="s">
        <v>3226</v>
      </c>
      <c r="CC623" s="2" t="s">
        <v>212</v>
      </c>
      <c r="CD623" s="2" t="s">
        <v>199</v>
      </c>
      <c r="CE623" s="4">
        <v>139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>
        <v>250</v>
      </c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>
        <v>150</v>
      </c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>
        <v>170</v>
      </c>
      <c r="EP623" s="4"/>
      <c r="EQ623" s="4"/>
      <c r="ER623" s="4"/>
      <c r="ES623" s="4"/>
      <c r="ET623" s="4">
        <v>148</v>
      </c>
      <c r="EU623" s="4">
        <v>117</v>
      </c>
      <c r="EV623" s="4">
        <v>93</v>
      </c>
      <c r="EW623" s="4">
        <v>69</v>
      </c>
      <c r="EX623" s="4">
        <v>295</v>
      </c>
      <c r="EY623" s="4">
        <v>268</v>
      </c>
      <c r="EZ623" s="4">
        <v>241</v>
      </c>
      <c r="FA623" s="4">
        <v>214</v>
      </c>
      <c r="FB623" s="4">
        <v>187</v>
      </c>
      <c r="FC623" s="4">
        <v>320</v>
      </c>
      <c r="FD623" s="4">
        <v>303</v>
      </c>
      <c r="FE623" s="4">
        <v>286</v>
      </c>
      <c r="FF623" s="4">
        <v>269</v>
      </c>
      <c r="FG623" s="4">
        <v>252</v>
      </c>
      <c r="FH623" s="4">
        <v>238</v>
      </c>
      <c r="FI623" s="4">
        <v>224</v>
      </c>
      <c r="FJ623" s="4">
        <v>210</v>
      </c>
      <c r="FK623" s="4">
        <v>366</v>
      </c>
      <c r="FL623" s="4">
        <v>349</v>
      </c>
      <c r="FM623" s="4">
        <v>332</v>
      </c>
      <c r="FN623" s="4">
        <v>315</v>
      </c>
      <c r="FO623" s="4">
        <v>298</v>
      </c>
      <c r="FP623" s="4">
        <v>283</v>
      </c>
      <c r="FQ623" s="4">
        <v>268</v>
      </c>
      <c r="FR623" s="4">
        <v>253</v>
      </c>
      <c r="FS623" s="4">
        <v>238</v>
      </c>
      <c r="FT623" s="19">
        <v>5.7</v>
      </c>
      <c r="FU623" s="19">
        <v>4.7</v>
      </c>
      <c r="FV623" s="19">
        <v>3.6</v>
      </c>
      <c r="FW623" s="19">
        <v>2.7</v>
      </c>
      <c r="FX623" s="19">
        <v>10.9</v>
      </c>
      <c r="FY623" s="19">
        <v>11.2</v>
      </c>
      <c r="FZ623" s="19">
        <v>11</v>
      </c>
      <c r="GA623" s="19">
        <v>10.7</v>
      </c>
      <c r="GB623" s="19">
        <v>11</v>
      </c>
      <c r="GC623" s="19">
        <v>18.8</v>
      </c>
      <c r="GD623" s="19">
        <v>18.9</v>
      </c>
      <c r="GE623" s="19">
        <v>17.9</v>
      </c>
      <c r="GF623" s="19">
        <v>17.9</v>
      </c>
      <c r="GG623" s="19">
        <v>18</v>
      </c>
      <c r="GH623" s="19">
        <v>15.9</v>
      </c>
      <c r="GI623" s="19">
        <v>14</v>
      </c>
      <c r="GJ623" s="19">
        <v>13.1</v>
      </c>
      <c r="GK623" s="19">
        <v>21.5</v>
      </c>
      <c r="GL623" s="19">
        <v>21.8</v>
      </c>
      <c r="GM623" s="19">
        <v>20.8</v>
      </c>
      <c r="GN623" s="19">
        <v>19.7</v>
      </c>
      <c r="GO623" s="19">
        <v>19.9</v>
      </c>
      <c r="GP623" s="19">
        <v>18.9</v>
      </c>
      <c r="GQ623" s="19">
        <v>16.8</v>
      </c>
      <c r="GR623" s="19">
        <v>14.1</v>
      </c>
      <c r="GS623" s="19">
        <v>11.9</v>
      </c>
    </row>
    <row r="624">
      <c r="A624" s="2" t="s">
        <v>3403</v>
      </c>
      <c r="B624" s="2" t="s">
        <v>188</v>
      </c>
      <c r="C624" s="2" t="s">
        <v>189</v>
      </c>
      <c r="D624" s="2" t="s">
        <v>1963</v>
      </c>
      <c r="E624" s="2" t="s">
        <v>2732</v>
      </c>
      <c r="F624" s="2" t="s">
        <v>3396</v>
      </c>
      <c r="G624" s="2" t="s">
        <v>3396</v>
      </c>
      <c r="H624" s="2" t="s">
        <v>3396</v>
      </c>
      <c r="I624" s="2" t="s">
        <v>3397</v>
      </c>
      <c r="J624" s="2" t="s">
        <v>223</v>
      </c>
      <c r="K624" s="2" t="s">
        <v>252</v>
      </c>
      <c r="L624" s="3">
        <v>18.4</v>
      </c>
      <c r="M624" s="3">
        <v>19.32</v>
      </c>
      <c r="N624" s="3">
        <v>39.99</v>
      </c>
      <c r="O624" s="2" t="s">
        <v>196</v>
      </c>
      <c r="P624" s="2" t="s">
        <v>197</v>
      </c>
      <c r="Q624" s="2" t="s">
        <v>198</v>
      </c>
      <c r="R624" s="2" t="s">
        <v>199</v>
      </c>
      <c r="S624" s="2" t="s">
        <v>3398</v>
      </c>
      <c r="T624" s="2" t="s">
        <v>199</v>
      </c>
      <c r="U624" s="2" t="s">
        <v>199</v>
      </c>
      <c r="V624" s="2" t="s">
        <v>202</v>
      </c>
      <c r="W624" s="2" t="s">
        <v>3399</v>
      </c>
      <c r="X624" s="2" t="s">
        <v>199</v>
      </c>
      <c r="Y624" s="2" t="s">
        <v>3188</v>
      </c>
      <c r="Z624" s="4">
        <v>640</v>
      </c>
      <c r="AA624" s="4">
        <f>=ROUNDDOWN(32,0)</f>
      </c>
      <c r="AB624" s="5">
        <v>20</v>
      </c>
      <c r="AC624" s="2" t="s">
        <v>205</v>
      </c>
      <c r="AD624" s="4">
        <v>50</v>
      </c>
      <c r="AE624" s="4">
        <v>50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199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199</v>
      </c>
      <c r="AW624" s="8" t="s">
        <v>199</v>
      </c>
      <c r="AX624" s="4" t="s">
        <v>199</v>
      </c>
      <c r="AY624" s="8" t="s">
        <v>199</v>
      </c>
      <c r="AZ624" s="7" t="s">
        <v>199</v>
      </c>
      <c r="BA624" s="7" t="s">
        <v>199</v>
      </c>
      <c r="BB624" s="7"/>
      <c r="BC624" s="4" t="s">
        <v>199</v>
      </c>
      <c r="BD624" s="8" t="s">
        <v>199</v>
      </c>
      <c r="BE624" s="4" t="s">
        <v>199</v>
      </c>
      <c r="BF624" s="8" t="s">
        <v>199</v>
      </c>
      <c r="BG624" s="7" t="s">
        <v>199</v>
      </c>
      <c r="BH624" s="7" t="s">
        <v>199</v>
      </c>
      <c r="BI624" s="7"/>
      <c r="BJ624" s="4">
        <v>90</v>
      </c>
      <c r="BK624" s="8">
        <v>1694.35</v>
      </c>
      <c r="BL624" s="2" t="s">
        <v>539</v>
      </c>
      <c r="BM624" s="7"/>
      <c r="BN624" s="7"/>
      <c r="BO624" s="4"/>
      <c r="BP624" s="8"/>
      <c r="BQ624" s="4"/>
      <c r="BR624" s="8"/>
      <c r="BS624" s="7"/>
      <c r="BT624" s="7"/>
      <c r="BU624" s="2" t="s">
        <v>3401</v>
      </c>
      <c r="BV624" s="2" t="s">
        <v>199</v>
      </c>
      <c r="BW624" s="2" t="s">
        <v>199</v>
      </c>
      <c r="BX624" s="2" t="s">
        <v>208</v>
      </c>
      <c r="BY624" s="2" t="s">
        <v>209</v>
      </c>
      <c r="BZ624" s="2" t="s">
        <v>196</v>
      </c>
      <c r="CA624" s="2" t="s">
        <v>3402</v>
      </c>
      <c r="CB624" s="2" t="s">
        <v>1843</v>
      </c>
      <c r="CC624" s="2" t="s">
        <v>212</v>
      </c>
      <c r="CD624" s="2" t="s">
        <v>199</v>
      </c>
      <c r="CE624" s="4">
        <v>640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>
        <v>50</v>
      </c>
      <c r="EP624" s="4"/>
      <c r="EQ624" s="4"/>
      <c r="ER624" s="4"/>
      <c r="ES624" s="4"/>
      <c r="ET624" s="4">
        <v>646</v>
      </c>
      <c r="EU624" s="4">
        <v>610</v>
      </c>
      <c r="EV624" s="4">
        <v>580</v>
      </c>
      <c r="EW624" s="4">
        <v>550</v>
      </c>
      <c r="EX624" s="4">
        <v>520</v>
      </c>
      <c r="EY624" s="4">
        <v>494</v>
      </c>
      <c r="EZ624" s="4">
        <v>468</v>
      </c>
      <c r="FA624" s="4">
        <v>442</v>
      </c>
      <c r="FB624" s="4">
        <v>416</v>
      </c>
      <c r="FC624" s="4">
        <v>392</v>
      </c>
      <c r="FD624" s="4">
        <v>368</v>
      </c>
      <c r="FE624" s="4">
        <v>344</v>
      </c>
      <c r="FF624" s="4">
        <v>320</v>
      </c>
      <c r="FG624" s="4">
        <v>296</v>
      </c>
      <c r="FH624" s="4">
        <v>280</v>
      </c>
      <c r="FI624" s="4">
        <v>264</v>
      </c>
      <c r="FJ624" s="4">
        <v>248</v>
      </c>
      <c r="FK624" s="4">
        <v>282</v>
      </c>
      <c r="FL624" s="4">
        <v>266</v>
      </c>
      <c r="FM624" s="4">
        <v>250</v>
      </c>
      <c r="FN624" s="4">
        <v>234</v>
      </c>
      <c r="FO624" s="4">
        <v>218</v>
      </c>
      <c r="FP624" s="4">
        <v>206</v>
      </c>
      <c r="FQ624" s="4">
        <v>194</v>
      </c>
      <c r="FR624" s="4">
        <v>182</v>
      </c>
      <c r="FS624" s="4">
        <v>170</v>
      </c>
      <c r="FT624" s="19">
        <v>20.2</v>
      </c>
      <c r="FU624" s="19">
        <v>21</v>
      </c>
      <c r="FV624" s="19">
        <v>20.7</v>
      </c>
      <c r="FW624" s="19">
        <v>20.4</v>
      </c>
      <c r="FX624" s="19">
        <v>20</v>
      </c>
      <c r="FY624" s="19">
        <v>19</v>
      </c>
      <c r="FZ624" s="19">
        <v>18.7</v>
      </c>
      <c r="GA624" s="19">
        <v>18.4</v>
      </c>
      <c r="GB624" s="19">
        <v>17.3</v>
      </c>
      <c r="GC624" s="19">
        <v>16.3</v>
      </c>
      <c r="GD624" s="19">
        <v>16.7</v>
      </c>
      <c r="GE624" s="19">
        <v>17.2</v>
      </c>
      <c r="GF624" s="19">
        <v>17.8</v>
      </c>
      <c r="GG624" s="19">
        <v>18.5</v>
      </c>
      <c r="GH624" s="19">
        <v>17.5</v>
      </c>
      <c r="GI624" s="19">
        <v>16.5</v>
      </c>
      <c r="GJ624" s="19">
        <v>15.5</v>
      </c>
      <c r="GK624" s="19">
        <v>17.6</v>
      </c>
      <c r="GL624" s="19">
        <v>17.7</v>
      </c>
      <c r="GM624" s="19">
        <v>17.9</v>
      </c>
      <c r="GN624" s="19">
        <v>18</v>
      </c>
      <c r="GO624" s="19">
        <v>18.2</v>
      </c>
      <c r="GP624" s="19">
        <v>17.2</v>
      </c>
      <c r="GQ624" s="19">
        <v>16.2</v>
      </c>
      <c r="GR624" s="19">
        <v>15.2</v>
      </c>
      <c r="GS624" s="19">
        <v>14.2</v>
      </c>
    </row>
    <row r="625">
      <c r="A625" s="2" t="s">
        <v>3404</v>
      </c>
      <c r="B625" s="2" t="s">
        <v>188</v>
      </c>
      <c r="C625" s="2" t="s">
        <v>189</v>
      </c>
      <c r="D625" s="2" t="s">
        <v>1963</v>
      </c>
      <c r="E625" s="2" t="s">
        <v>2732</v>
      </c>
      <c r="F625" s="2" t="s">
        <v>3396</v>
      </c>
      <c r="G625" s="2" t="s">
        <v>3396</v>
      </c>
      <c r="H625" s="2" t="s">
        <v>3396</v>
      </c>
      <c r="I625" s="2" t="s">
        <v>3397</v>
      </c>
      <c r="J625" s="2" t="s">
        <v>3405</v>
      </c>
      <c r="K625" s="2" t="s">
        <v>252</v>
      </c>
      <c r="L625" s="3">
        <v>25.3</v>
      </c>
      <c r="M625" s="3">
        <v>26.56</v>
      </c>
      <c r="N625" s="3">
        <v>54.99</v>
      </c>
      <c r="O625" s="2" t="s">
        <v>196</v>
      </c>
      <c r="P625" s="2" t="s">
        <v>197</v>
      </c>
      <c r="Q625" s="2" t="s">
        <v>198</v>
      </c>
      <c r="R625" s="2" t="s">
        <v>199</v>
      </c>
      <c r="S625" s="2" t="s">
        <v>3398</v>
      </c>
      <c r="T625" s="2" t="s">
        <v>199</v>
      </c>
      <c r="U625" s="2" t="s">
        <v>199</v>
      </c>
      <c r="V625" s="2" t="s">
        <v>202</v>
      </c>
      <c r="W625" s="2" t="s">
        <v>3399</v>
      </c>
      <c r="X625" s="2" t="s">
        <v>199</v>
      </c>
      <c r="Y625" s="2" t="s">
        <v>3188</v>
      </c>
      <c r="Z625" s="4">
        <v>94</v>
      </c>
      <c r="AA625" s="4">
        <f>=ROUNDDOWN(4.27272727272727,0)</f>
      </c>
      <c r="AB625" s="5">
        <v>22</v>
      </c>
      <c r="AC625" s="2" t="s">
        <v>776</v>
      </c>
      <c r="AD625" s="4">
        <v>250</v>
      </c>
      <c r="AE625" s="4">
        <v>880</v>
      </c>
      <c r="AF625" s="6">
        <v>65</v>
      </c>
      <c r="AG625" s="6"/>
      <c r="AH625" s="7">
        <v>0.7097</v>
      </c>
      <c r="AI625" s="4"/>
      <c r="AJ625" s="4">
        <f>=ROUNDDOWN({0},0)</f>
      </c>
      <c r="AK625" s="5"/>
      <c r="AL625" s="2" t="s">
        <v>199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199</v>
      </c>
      <c r="AW625" s="8" t="s">
        <v>199</v>
      </c>
      <c r="AX625" s="4" t="s">
        <v>199</v>
      </c>
      <c r="AY625" s="8" t="s">
        <v>199</v>
      </c>
      <c r="AZ625" s="7" t="s">
        <v>199</v>
      </c>
      <c r="BA625" s="7" t="s">
        <v>199</v>
      </c>
      <c r="BB625" s="7"/>
      <c r="BC625" s="4" t="s">
        <v>199</v>
      </c>
      <c r="BD625" s="8" t="s">
        <v>199</v>
      </c>
      <c r="BE625" s="4" t="s">
        <v>199</v>
      </c>
      <c r="BF625" s="8" t="s">
        <v>199</v>
      </c>
      <c r="BG625" s="7" t="s">
        <v>199</v>
      </c>
      <c r="BH625" s="7" t="s">
        <v>199</v>
      </c>
      <c r="BI625" s="7"/>
      <c r="BJ625" s="4">
        <v>284</v>
      </c>
      <c r="BK625" s="8">
        <v>7204.44</v>
      </c>
      <c r="BL625" s="2" t="s">
        <v>3406</v>
      </c>
      <c r="BM625" s="7"/>
      <c r="BN625" s="7"/>
      <c r="BO625" s="4"/>
      <c r="BP625" s="8"/>
      <c r="BQ625" s="4"/>
      <c r="BR625" s="8"/>
      <c r="BS625" s="7"/>
      <c r="BT625" s="7"/>
      <c r="BU625" s="2" t="s">
        <v>3401</v>
      </c>
      <c r="BV625" s="2" t="s">
        <v>199</v>
      </c>
      <c r="BW625" s="2" t="s">
        <v>199</v>
      </c>
      <c r="BX625" s="2" t="s">
        <v>208</v>
      </c>
      <c r="BY625" s="2" t="s">
        <v>209</v>
      </c>
      <c r="BZ625" s="2" t="s">
        <v>196</v>
      </c>
      <c r="CA625" s="2" t="s">
        <v>3402</v>
      </c>
      <c r="CB625" s="2" t="s">
        <v>3382</v>
      </c>
      <c r="CC625" s="2" t="s">
        <v>212</v>
      </c>
      <c r="CD625" s="2" t="s">
        <v>199</v>
      </c>
      <c r="CE625" s="4">
        <v>94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>
        <v>250</v>
      </c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>
        <v>350</v>
      </c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>
        <v>280</v>
      </c>
      <c r="EP625" s="4"/>
      <c r="EQ625" s="4"/>
      <c r="ER625" s="4"/>
      <c r="ES625" s="4"/>
      <c r="ET625" s="4">
        <v>106</v>
      </c>
      <c r="EU625" s="4">
        <v>72</v>
      </c>
      <c r="EV625" s="4">
        <v>46</v>
      </c>
      <c r="EW625" s="4">
        <v>20</v>
      </c>
      <c r="EX625" s="4">
        <v>250</v>
      </c>
      <c r="EY625" s="4">
        <v>224</v>
      </c>
      <c r="EZ625" s="4">
        <v>198</v>
      </c>
      <c r="FA625" s="4">
        <v>172</v>
      </c>
      <c r="FB625" s="4">
        <v>146</v>
      </c>
      <c r="FC625" s="4">
        <v>470</v>
      </c>
      <c r="FD625" s="4">
        <v>444</v>
      </c>
      <c r="FE625" s="4">
        <v>418</v>
      </c>
      <c r="FF625" s="4">
        <v>392</v>
      </c>
      <c r="FG625" s="4">
        <v>366</v>
      </c>
      <c r="FH625" s="4">
        <v>340</v>
      </c>
      <c r="FI625" s="4">
        <v>314</v>
      </c>
      <c r="FJ625" s="4">
        <v>288</v>
      </c>
      <c r="FK625" s="4">
        <v>542</v>
      </c>
      <c r="FL625" s="4">
        <v>522</v>
      </c>
      <c r="FM625" s="4">
        <v>502</v>
      </c>
      <c r="FN625" s="4">
        <v>482</v>
      </c>
      <c r="FO625" s="4">
        <v>462</v>
      </c>
      <c r="FP625" s="4">
        <v>438</v>
      </c>
      <c r="FQ625" s="4">
        <v>414</v>
      </c>
      <c r="FR625" s="4">
        <v>390</v>
      </c>
      <c r="FS625" s="4">
        <v>366</v>
      </c>
      <c r="FT625" s="19">
        <v>3.8</v>
      </c>
      <c r="FU625" s="19">
        <v>2.8</v>
      </c>
      <c r="FV625" s="19">
        <v>1.8</v>
      </c>
      <c r="FW625" s="19">
        <v>0.8</v>
      </c>
      <c r="FX625" s="19">
        <v>9.6</v>
      </c>
      <c r="FY625" s="19">
        <v>8.6</v>
      </c>
      <c r="FZ625" s="19">
        <v>7.6</v>
      </c>
      <c r="GA625" s="19">
        <v>6.6</v>
      </c>
      <c r="GB625" s="19">
        <v>5.6</v>
      </c>
      <c r="GC625" s="19">
        <v>18.1</v>
      </c>
      <c r="GD625" s="19">
        <v>17.1</v>
      </c>
      <c r="GE625" s="19">
        <v>16.1</v>
      </c>
      <c r="GF625" s="19">
        <v>15.1</v>
      </c>
      <c r="GG625" s="19">
        <v>14.1</v>
      </c>
      <c r="GH625" s="19">
        <v>14.2</v>
      </c>
      <c r="GI625" s="19">
        <v>13.7</v>
      </c>
      <c r="GJ625" s="19">
        <v>13.1</v>
      </c>
      <c r="GK625" s="19">
        <v>27.1</v>
      </c>
      <c r="GL625" s="19">
        <v>24.9</v>
      </c>
      <c r="GM625" s="19">
        <v>22.8</v>
      </c>
      <c r="GN625" s="19">
        <v>21</v>
      </c>
      <c r="GO625" s="19">
        <v>19.3</v>
      </c>
      <c r="GP625" s="19">
        <v>18.3</v>
      </c>
      <c r="GQ625" s="19">
        <v>15.9</v>
      </c>
      <c r="GR625" s="19">
        <v>13.9</v>
      </c>
      <c r="GS625" s="19">
        <v>12.6</v>
      </c>
    </row>
    <row r="626">
      <c r="A626" s="2" t="s">
        <v>3407</v>
      </c>
      <c r="B626" s="2" t="s">
        <v>736</v>
      </c>
      <c r="C626" s="2" t="s">
        <v>737</v>
      </c>
      <c r="D626" s="2" t="s">
        <v>228</v>
      </c>
      <c r="E626" s="2" t="s">
        <v>487</v>
      </c>
      <c r="F626" s="2" t="s">
        <v>3408</v>
      </c>
      <c r="G626" s="2" t="s">
        <v>2982</v>
      </c>
      <c r="H626" s="2" t="s">
        <v>3409</v>
      </c>
      <c r="I626" s="2" t="s">
        <v>1896</v>
      </c>
      <c r="J626" s="2" t="s">
        <v>241</v>
      </c>
      <c r="K626" s="2" t="s">
        <v>1202</v>
      </c>
      <c r="L626" s="3">
        <v>38.4</v>
      </c>
      <c r="M626" s="3">
        <v>40.32</v>
      </c>
      <c r="N626" s="3">
        <v>79.99</v>
      </c>
      <c r="O626" s="2" t="s">
        <v>196</v>
      </c>
      <c r="P626" s="2" t="s">
        <v>517</v>
      </c>
      <c r="Q626" s="2" t="s">
        <v>198</v>
      </c>
      <c r="R626" s="2" t="s">
        <v>199</v>
      </c>
      <c r="S626" s="2" t="s">
        <v>3410</v>
      </c>
      <c r="T626" s="2" t="s">
        <v>386</v>
      </c>
      <c r="U626" s="2" t="s">
        <v>254</v>
      </c>
      <c r="V626" s="2" t="s">
        <v>900</v>
      </c>
      <c r="W626" s="2" t="s">
        <v>510</v>
      </c>
      <c r="X626" s="2" t="s">
        <v>255</v>
      </c>
      <c r="Y626" s="2" t="s">
        <v>204</v>
      </c>
      <c r="Z626" s="4">
        <v>254</v>
      </c>
      <c r="AA626" s="4">
        <f>=ROUNDDOWN(31.75,0)</f>
      </c>
      <c r="AB626" s="5">
        <v>8</v>
      </c>
      <c r="AC626" s="2" t="s">
        <v>398</v>
      </c>
      <c r="AD626" s="4">
        <v>70</v>
      </c>
      <c r="AE626" s="4">
        <v>70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199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>
        <v>77</v>
      </c>
      <c r="BK626" s="8">
        <v>3387.62</v>
      </c>
      <c r="BL626" s="2" t="s">
        <v>3411</v>
      </c>
      <c r="BM626" s="7"/>
      <c r="BN626" s="7"/>
      <c r="BO626" s="4"/>
      <c r="BP626" s="8"/>
      <c r="BQ626" s="4"/>
      <c r="BR626" s="8"/>
      <c r="BS626" s="7"/>
      <c r="BT626" s="7"/>
      <c r="BU626" s="2" t="s">
        <v>3412</v>
      </c>
      <c r="BV626" s="2" t="s">
        <v>199</v>
      </c>
      <c r="BW626" s="2" t="s">
        <v>199</v>
      </c>
      <c r="BX626" s="2" t="s">
        <v>208</v>
      </c>
      <c r="BY626" s="2" t="s">
        <v>209</v>
      </c>
      <c r="BZ626" s="2" t="s">
        <v>196</v>
      </c>
      <c r="CA626" s="2" t="s">
        <v>3413</v>
      </c>
      <c r="CB626" s="2" t="s">
        <v>3414</v>
      </c>
      <c r="CC626" s="2" t="s">
        <v>212</v>
      </c>
      <c r="CD626" s="2" t="s">
        <v>199</v>
      </c>
      <c r="CE626" s="4">
        <v>198</v>
      </c>
      <c r="CF626" s="4">
        <v>56</v>
      </c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>
        <v>70</v>
      </c>
      <c r="ER626" s="4"/>
      <c r="ES626" s="4"/>
      <c r="ET626" s="4">
        <v>274</v>
      </c>
      <c r="EU626" s="4">
        <v>256</v>
      </c>
      <c r="EV626" s="4">
        <v>251</v>
      </c>
      <c r="EW626" s="4">
        <v>244</v>
      </c>
      <c r="EX626" s="4">
        <v>236</v>
      </c>
      <c r="EY626" s="4">
        <v>228</v>
      </c>
      <c r="EZ626" s="4">
        <v>219</v>
      </c>
      <c r="FA626" s="4">
        <v>209</v>
      </c>
      <c r="FB626" s="4">
        <v>199</v>
      </c>
      <c r="FC626" s="4">
        <v>189</v>
      </c>
      <c r="FD626" s="4">
        <v>179</v>
      </c>
      <c r="FE626" s="4">
        <v>170</v>
      </c>
      <c r="FF626" s="4">
        <v>161</v>
      </c>
      <c r="FG626" s="4">
        <v>152</v>
      </c>
      <c r="FH626" s="4">
        <v>143</v>
      </c>
      <c r="FI626" s="4">
        <v>134</v>
      </c>
      <c r="FJ626" s="4">
        <v>126</v>
      </c>
      <c r="FK626" s="4">
        <v>118</v>
      </c>
      <c r="FL626" s="4">
        <v>111</v>
      </c>
      <c r="FM626" s="4">
        <v>174</v>
      </c>
      <c r="FN626" s="4">
        <v>165</v>
      </c>
      <c r="FO626" s="4">
        <v>157</v>
      </c>
      <c r="FP626" s="4">
        <v>148</v>
      </c>
      <c r="FQ626" s="4">
        <v>141</v>
      </c>
      <c r="FR626" s="4">
        <v>131</v>
      </c>
      <c r="FS626" s="4">
        <v>121</v>
      </c>
      <c r="FT626" s="19">
        <v>27.4</v>
      </c>
      <c r="FU626" s="19">
        <v>36.6</v>
      </c>
      <c r="FV626" s="19">
        <v>31.4</v>
      </c>
      <c r="FW626" s="19">
        <v>27.1</v>
      </c>
      <c r="FX626" s="19">
        <v>26.2</v>
      </c>
      <c r="FY626" s="19">
        <v>22.8</v>
      </c>
      <c r="FZ626" s="19">
        <v>21.9</v>
      </c>
      <c r="GA626" s="19">
        <v>20.9</v>
      </c>
      <c r="GB626" s="19">
        <v>19.9</v>
      </c>
      <c r="GC626" s="19">
        <v>21</v>
      </c>
      <c r="GD626" s="19">
        <v>19.9</v>
      </c>
      <c r="GE626" s="19">
        <v>18.9</v>
      </c>
      <c r="GF626" s="19">
        <v>17.9</v>
      </c>
      <c r="GG626" s="19">
        <v>19</v>
      </c>
      <c r="GH626" s="19">
        <v>17.9</v>
      </c>
      <c r="GI626" s="19">
        <v>16.8</v>
      </c>
      <c r="GJ626" s="19">
        <v>15.8</v>
      </c>
      <c r="GK626" s="19">
        <v>14.8</v>
      </c>
      <c r="GL626" s="19">
        <v>13.9</v>
      </c>
      <c r="GM626" s="19">
        <v>21.8</v>
      </c>
      <c r="GN626" s="19">
        <v>20.6</v>
      </c>
      <c r="GO626" s="19">
        <v>17.4</v>
      </c>
      <c r="GP626" s="19">
        <v>16.4</v>
      </c>
      <c r="GQ626" s="19">
        <v>12.8</v>
      </c>
      <c r="GR626" s="19">
        <v>11.9</v>
      </c>
      <c r="GS626" s="19">
        <v>11</v>
      </c>
    </row>
    <row r="627">
      <c r="A627" s="2" t="s">
        <v>3415</v>
      </c>
      <c r="B627" s="2" t="s">
        <v>630</v>
      </c>
      <c r="C627" s="2" t="s">
        <v>604</v>
      </c>
      <c r="D627" s="2" t="s">
        <v>228</v>
      </c>
      <c r="E627" s="2" t="s">
        <v>988</v>
      </c>
      <c r="F627" s="2" t="s">
        <v>3416</v>
      </c>
      <c r="G627" s="2" t="s">
        <v>3416</v>
      </c>
      <c r="H627" s="2" t="s">
        <v>3416</v>
      </c>
      <c r="I627" s="2" t="s">
        <v>3417</v>
      </c>
      <c r="J627" s="2" t="s">
        <v>232</v>
      </c>
      <c r="K627" s="2" t="s">
        <v>3418</v>
      </c>
      <c r="L627" s="3">
        <v>52.99</v>
      </c>
      <c r="M627" s="3">
        <v>55.64</v>
      </c>
      <c r="N627" s="3">
        <v>104.99</v>
      </c>
      <c r="O627" s="2" t="s">
        <v>196</v>
      </c>
      <c r="P627" s="2" t="s">
        <v>197</v>
      </c>
      <c r="Q627" s="2" t="s">
        <v>198</v>
      </c>
      <c r="R627" s="2" t="s">
        <v>199</v>
      </c>
      <c r="S627" s="2" t="s">
        <v>3419</v>
      </c>
      <c r="T627" s="2" t="s">
        <v>726</v>
      </c>
      <c r="U627" s="2" t="s">
        <v>637</v>
      </c>
      <c r="V627" s="2" t="s">
        <v>301</v>
      </c>
      <c r="W627" s="2" t="s">
        <v>2697</v>
      </c>
      <c r="X627" s="2" t="s">
        <v>769</v>
      </c>
      <c r="Y627" s="2" t="s">
        <v>3420</v>
      </c>
      <c r="Z627" s="4">
        <v>340</v>
      </c>
      <c r="AA627" s="4">
        <f>=ROUNDDOWN(56.6666666666667,0)</f>
      </c>
      <c r="AB627" s="5">
        <v>6</v>
      </c>
      <c r="AC627" s="2" t="s">
        <v>199</v>
      </c>
      <c r="AD627" s="4"/>
      <c r="AE627" s="4"/>
      <c r="AF627" s="6">
        <v>67</v>
      </c>
      <c r="AG627" s="6"/>
      <c r="AH627" s="7">
        <v>1</v>
      </c>
      <c r="AI627" s="4"/>
      <c r="AJ627" s="4">
        <f>=ROUNDDOWN({0},0)</f>
      </c>
      <c r="AK627" s="5"/>
      <c r="AL627" s="2" t="s">
        <v>199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199</v>
      </c>
      <c r="AW627" s="8" t="s">
        <v>199</v>
      </c>
      <c r="AX627" s="4" t="s">
        <v>199</v>
      </c>
      <c r="AY627" s="8" t="s">
        <v>199</v>
      </c>
      <c r="AZ627" s="7" t="s">
        <v>199</v>
      </c>
      <c r="BA627" s="7" t="s">
        <v>199</v>
      </c>
      <c r="BB627" s="7"/>
      <c r="BC627" s="4" t="s">
        <v>199</v>
      </c>
      <c r="BD627" s="8" t="s">
        <v>199</v>
      </c>
      <c r="BE627" s="4" t="s">
        <v>199</v>
      </c>
      <c r="BF627" s="8" t="s">
        <v>199</v>
      </c>
      <c r="BG627" s="7" t="s">
        <v>199</v>
      </c>
      <c r="BH627" s="7" t="s">
        <v>199</v>
      </c>
      <c r="BI627" s="7"/>
      <c r="BJ627" s="4">
        <v>66</v>
      </c>
      <c r="BK627" s="8">
        <v>3722.57</v>
      </c>
      <c r="BL627" s="2" t="s">
        <v>1623</v>
      </c>
      <c r="BM627" s="7"/>
      <c r="BN627" s="7"/>
      <c r="BO627" s="4"/>
      <c r="BP627" s="8"/>
      <c r="BQ627" s="4"/>
      <c r="BR627" s="8"/>
      <c r="BS627" s="7"/>
      <c r="BT627" s="7"/>
      <c r="BU627" s="2" t="s">
        <v>3421</v>
      </c>
      <c r="BV627" s="2" t="s">
        <v>199</v>
      </c>
      <c r="BW627" s="2" t="s">
        <v>199</v>
      </c>
      <c r="BX627" s="2" t="s">
        <v>208</v>
      </c>
      <c r="BY627" s="2" t="s">
        <v>209</v>
      </c>
      <c r="BZ627" s="2" t="s">
        <v>196</v>
      </c>
      <c r="CA627" s="2" t="s">
        <v>3422</v>
      </c>
      <c r="CB627" s="2" t="s">
        <v>513</v>
      </c>
      <c r="CC627" s="2" t="s">
        <v>212</v>
      </c>
      <c r="CD627" s="2" t="s">
        <v>199</v>
      </c>
      <c r="CE627" s="4">
        <v>161</v>
      </c>
      <c r="CF627" s="4">
        <v>179</v>
      </c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>
        <v>347</v>
      </c>
      <c r="EU627" s="4">
        <v>342</v>
      </c>
      <c r="EV627" s="4">
        <v>337</v>
      </c>
      <c r="EW627" s="4">
        <v>331</v>
      </c>
      <c r="EX627" s="4">
        <v>325</v>
      </c>
      <c r="EY627" s="4">
        <v>319</v>
      </c>
      <c r="EZ627" s="4">
        <v>313</v>
      </c>
      <c r="FA627" s="4">
        <v>307</v>
      </c>
      <c r="FB627" s="4">
        <v>301</v>
      </c>
      <c r="FC627" s="4">
        <v>295</v>
      </c>
      <c r="FD627" s="4">
        <v>289</v>
      </c>
      <c r="FE627" s="4">
        <v>283</v>
      </c>
      <c r="FF627" s="4">
        <v>277</v>
      </c>
      <c r="FG627" s="4">
        <v>271</v>
      </c>
      <c r="FH627" s="4">
        <v>265</v>
      </c>
      <c r="FI627" s="4">
        <v>259</v>
      </c>
      <c r="FJ627" s="4">
        <v>253</v>
      </c>
      <c r="FK627" s="4">
        <v>247</v>
      </c>
      <c r="FL627" s="4">
        <v>241</v>
      </c>
      <c r="FM627" s="4">
        <v>235</v>
      </c>
      <c r="FN627" s="4">
        <v>229</v>
      </c>
      <c r="FO627" s="4">
        <v>223</v>
      </c>
      <c r="FP627" s="4">
        <v>217</v>
      </c>
      <c r="FQ627" s="4">
        <v>211</v>
      </c>
      <c r="FR627" s="4">
        <v>205</v>
      </c>
      <c r="FS627" s="4">
        <v>199</v>
      </c>
      <c r="FT627" s="19">
        <v>57.8</v>
      </c>
      <c r="FU627" s="19">
        <v>57</v>
      </c>
      <c r="FV627" s="19">
        <v>56.2</v>
      </c>
      <c r="FW627" s="19">
        <v>55.2</v>
      </c>
      <c r="FX627" s="19">
        <v>54.2</v>
      </c>
      <c r="FY627" s="19">
        <v>53.2</v>
      </c>
      <c r="FZ627" s="19">
        <v>52.2</v>
      </c>
      <c r="GA627" s="19">
        <v>51.2</v>
      </c>
      <c r="GB627" s="19">
        <v>50.2</v>
      </c>
      <c r="GC627" s="19">
        <v>49.2</v>
      </c>
      <c r="GD627" s="19">
        <v>48.2</v>
      </c>
      <c r="GE627" s="19">
        <v>47.2</v>
      </c>
      <c r="GF627" s="19">
        <v>46.2</v>
      </c>
      <c r="GG627" s="19">
        <v>45.2</v>
      </c>
      <c r="GH627" s="19">
        <v>44.2</v>
      </c>
      <c r="GI627" s="19">
        <v>43.2</v>
      </c>
      <c r="GJ627" s="19">
        <v>42.2</v>
      </c>
      <c r="GK627" s="19">
        <v>41.2</v>
      </c>
      <c r="GL627" s="19">
        <v>40.2</v>
      </c>
      <c r="GM627" s="19">
        <v>39.2</v>
      </c>
      <c r="GN627" s="19">
        <v>38.2</v>
      </c>
      <c r="GO627" s="19">
        <v>37.2</v>
      </c>
      <c r="GP627" s="19">
        <v>36.2</v>
      </c>
      <c r="GQ627" s="19">
        <v>35.2</v>
      </c>
      <c r="GR627" s="19">
        <v>34.2</v>
      </c>
      <c r="GS627" s="19">
        <v>33.2</v>
      </c>
    </row>
    <row r="628">
      <c r="A628" s="2" t="s">
        <v>3423</v>
      </c>
      <c r="B628" s="2" t="s">
        <v>630</v>
      </c>
      <c r="C628" s="2" t="s">
        <v>604</v>
      </c>
      <c r="D628" s="2" t="s">
        <v>228</v>
      </c>
      <c r="E628" s="2" t="s">
        <v>988</v>
      </c>
      <c r="F628" s="2" t="s">
        <v>3416</v>
      </c>
      <c r="G628" s="2" t="s">
        <v>3416</v>
      </c>
      <c r="H628" s="2" t="s">
        <v>3416</v>
      </c>
      <c r="I628" s="2" t="s">
        <v>3417</v>
      </c>
      <c r="J628" s="2" t="s">
        <v>241</v>
      </c>
      <c r="K628" s="2" t="s">
        <v>3418</v>
      </c>
      <c r="L628" s="3">
        <v>69</v>
      </c>
      <c r="M628" s="3">
        <v>72.45</v>
      </c>
      <c r="N628" s="3">
        <v>134.99</v>
      </c>
      <c r="O628" s="2" t="s">
        <v>196</v>
      </c>
      <c r="P628" s="2" t="s">
        <v>197</v>
      </c>
      <c r="Q628" s="2" t="s">
        <v>198</v>
      </c>
      <c r="R628" s="2" t="s">
        <v>199</v>
      </c>
      <c r="S628" s="2" t="s">
        <v>3419</v>
      </c>
      <c r="T628" s="2" t="s">
        <v>726</v>
      </c>
      <c r="U628" s="2" t="s">
        <v>637</v>
      </c>
      <c r="V628" s="2" t="s">
        <v>301</v>
      </c>
      <c r="W628" s="2" t="s">
        <v>2697</v>
      </c>
      <c r="X628" s="2" t="s">
        <v>769</v>
      </c>
      <c r="Y628" s="2" t="s">
        <v>3420</v>
      </c>
      <c r="Z628" s="4">
        <v>592</v>
      </c>
      <c r="AA628" s="4">
        <f>=ROUNDDOWN(84.5714285714286,0)</f>
      </c>
      <c r="AB628" s="5">
        <v>7</v>
      </c>
      <c r="AC628" s="2" t="s">
        <v>199</v>
      </c>
      <c r="AD628" s="4"/>
      <c r="AE628" s="4"/>
      <c r="AF628" s="6">
        <v>67</v>
      </c>
      <c r="AG628" s="6"/>
      <c r="AH628" s="7">
        <v>1</v>
      </c>
      <c r="AI628" s="4"/>
      <c r="AJ628" s="4">
        <f>=ROUNDDOWN({0},0)</f>
      </c>
      <c r="AK628" s="5"/>
      <c r="AL628" s="2" t="s">
        <v>199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199</v>
      </c>
      <c r="AW628" s="8" t="s">
        <v>199</v>
      </c>
      <c r="AX628" s="4" t="s">
        <v>199</v>
      </c>
      <c r="AY628" s="8" t="s">
        <v>199</v>
      </c>
      <c r="AZ628" s="7" t="s">
        <v>199</v>
      </c>
      <c r="BA628" s="7" t="s">
        <v>199</v>
      </c>
      <c r="BB628" s="7"/>
      <c r="BC628" s="4" t="s">
        <v>199</v>
      </c>
      <c r="BD628" s="8" t="s">
        <v>199</v>
      </c>
      <c r="BE628" s="4" t="s">
        <v>199</v>
      </c>
      <c r="BF628" s="8" t="s">
        <v>199</v>
      </c>
      <c r="BG628" s="7" t="s">
        <v>199</v>
      </c>
      <c r="BH628" s="7" t="s">
        <v>199</v>
      </c>
      <c r="BI628" s="7"/>
      <c r="BJ628" s="4">
        <v>38</v>
      </c>
      <c r="BK628" s="8">
        <v>2845.67</v>
      </c>
      <c r="BL628" s="2" t="s">
        <v>3424</v>
      </c>
      <c r="BM628" s="7"/>
      <c r="BN628" s="7"/>
      <c r="BO628" s="4"/>
      <c r="BP628" s="8"/>
      <c r="BQ628" s="4"/>
      <c r="BR628" s="8"/>
      <c r="BS628" s="7"/>
      <c r="BT628" s="7"/>
      <c r="BU628" s="2" t="s">
        <v>3421</v>
      </c>
      <c r="BV628" s="2" t="s">
        <v>199</v>
      </c>
      <c r="BW628" s="2" t="s">
        <v>199</v>
      </c>
      <c r="BX628" s="2" t="s">
        <v>208</v>
      </c>
      <c r="BY628" s="2" t="s">
        <v>209</v>
      </c>
      <c r="BZ628" s="2" t="s">
        <v>196</v>
      </c>
      <c r="CA628" s="2" t="s">
        <v>3422</v>
      </c>
      <c r="CB628" s="2" t="s">
        <v>511</v>
      </c>
      <c r="CC628" s="2" t="s">
        <v>212</v>
      </c>
      <c r="CD628" s="2" t="s">
        <v>199</v>
      </c>
      <c r="CE628" s="4">
        <v>592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>
        <v>598</v>
      </c>
      <c r="EU628" s="4">
        <v>589</v>
      </c>
      <c r="EV628" s="4">
        <v>584</v>
      </c>
      <c r="EW628" s="4">
        <v>579</v>
      </c>
      <c r="EX628" s="4">
        <v>574</v>
      </c>
      <c r="EY628" s="4">
        <v>569</v>
      </c>
      <c r="EZ628" s="4">
        <v>564</v>
      </c>
      <c r="FA628" s="4">
        <v>558</v>
      </c>
      <c r="FB628" s="4">
        <v>550</v>
      </c>
      <c r="FC628" s="4">
        <v>543</v>
      </c>
      <c r="FD628" s="4">
        <v>536</v>
      </c>
      <c r="FE628" s="4">
        <v>529</v>
      </c>
      <c r="FF628" s="4">
        <v>522</v>
      </c>
      <c r="FG628" s="4">
        <v>515</v>
      </c>
      <c r="FH628" s="4">
        <v>508</v>
      </c>
      <c r="FI628" s="4">
        <v>501</v>
      </c>
      <c r="FJ628" s="4">
        <v>494</v>
      </c>
      <c r="FK628" s="4">
        <v>487</v>
      </c>
      <c r="FL628" s="4">
        <v>480</v>
      </c>
      <c r="FM628" s="4">
        <v>473</v>
      </c>
      <c r="FN628" s="4">
        <v>466</v>
      </c>
      <c r="FO628" s="4">
        <v>459</v>
      </c>
      <c r="FP628" s="4">
        <v>451</v>
      </c>
      <c r="FQ628" s="4">
        <v>444</v>
      </c>
      <c r="FR628" s="4">
        <v>437</v>
      </c>
      <c r="FS628" s="4">
        <v>430</v>
      </c>
      <c r="FT628" s="19">
        <v>99.7</v>
      </c>
      <c r="FU628" s="19">
        <v>117.8</v>
      </c>
      <c r="FV628" s="19">
        <v>116.8</v>
      </c>
      <c r="FW628" s="19">
        <v>115.8</v>
      </c>
      <c r="FX628" s="19">
        <v>95.7</v>
      </c>
      <c r="FY628" s="19">
        <v>94.8</v>
      </c>
      <c r="FZ628" s="19">
        <v>80.6</v>
      </c>
      <c r="GA628" s="19">
        <v>79.7</v>
      </c>
      <c r="GB628" s="19">
        <v>78.6</v>
      </c>
      <c r="GC628" s="19">
        <v>77.6</v>
      </c>
      <c r="GD628" s="19">
        <v>76.6</v>
      </c>
      <c r="GE628" s="19">
        <v>75.6</v>
      </c>
      <c r="GF628" s="19">
        <v>74.6</v>
      </c>
      <c r="GG628" s="19">
        <v>73.6</v>
      </c>
      <c r="GH628" s="19">
        <v>72.6</v>
      </c>
      <c r="GI628" s="19">
        <v>71.6</v>
      </c>
      <c r="GJ628" s="19">
        <v>70.6</v>
      </c>
      <c r="GK628" s="19">
        <v>69.6</v>
      </c>
      <c r="GL628" s="19">
        <v>68.6</v>
      </c>
      <c r="GM628" s="19">
        <v>67.6</v>
      </c>
      <c r="GN628" s="19">
        <v>66.6</v>
      </c>
      <c r="GO628" s="19">
        <v>65.6</v>
      </c>
      <c r="GP628" s="19">
        <v>64.4</v>
      </c>
      <c r="GQ628" s="19">
        <v>63.4</v>
      </c>
      <c r="GR628" s="19">
        <v>62.4</v>
      </c>
      <c r="GS628" s="19">
        <v>61.4</v>
      </c>
    </row>
    <row r="629">
      <c r="A629" s="2" t="s">
        <v>3425</v>
      </c>
      <c r="B629" s="2" t="s">
        <v>630</v>
      </c>
      <c r="C629" s="2" t="s">
        <v>246</v>
      </c>
      <c r="D629" s="2" t="s">
        <v>228</v>
      </c>
      <c r="E629" s="2" t="s">
        <v>487</v>
      </c>
      <c r="F629" s="2" t="s">
        <v>1081</v>
      </c>
      <c r="G629" s="2" t="s">
        <v>3426</v>
      </c>
      <c r="H629" s="2" t="s">
        <v>3427</v>
      </c>
      <c r="I629" s="2" t="s">
        <v>3428</v>
      </c>
      <c r="J629" s="2" t="s">
        <v>241</v>
      </c>
      <c r="K629" s="2" t="s">
        <v>3429</v>
      </c>
      <c r="L629" s="3">
        <v>41.14</v>
      </c>
      <c r="M629" s="3">
        <v>43.2</v>
      </c>
      <c r="N629" s="3">
        <v>89.99</v>
      </c>
      <c r="O629" s="2" t="s">
        <v>196</v>
      </c>
      <c r="P629" s="2" t="s">
        <v>197</v>
      </c>
      <c r="Q629" s="2" t="s">
        <v>198</v>
      </c>
      <c r="R629" s="2" t="s">
        <v>199</v>
      </c>
      <c r="S629" s="2" t="s">
        <v>3430</v>
      </c>
      <c r="T629" s="2" t="s">
        <v>3431</v>
      </c>
      <c r="U629" s="2" t="s">
        <v>254</v>
      </c>
      <c r="V629" s="2" t="s">
        <v>301</v>
      </c>
      <c r="W629" s="2" t="s">
        <v>510</v>
      </c>
      <c r="X629" s="2" t="s">
        <v>510</v>
      </c>
      <c r="Y629" s="2" t="s">
        <v>3432</v>
      </c>
      <c r="Z629" s="4">
        <v>333</v>
      </c>
      <c r="AA629" s="4">
        <f>=ROUNDDOWN(47.5714285714286,0)</f>
      </c>
      <c r="AB629" s="5">
        <v>7</v>
      </c>
      <c r="AC629" s="2" t="s">
        <v>199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199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199</v>
      </c>
      <c r="AW629" s="8" t="s">
        <v>199</v>
      </c>
      <c r="AX629" s="4" t="s">
        <v>199</v>
      </c>
      <c r="AY629" s="8" t="s">
        <v>199</v>
      </c>
      <c r="AZ629" s="7" t="s">
        <v>199</v>
      </c>
      <c r="BA629" s="7" t="s">
        <v>199</v>
      </c>
      <c r="BB629" s="7" t="s">
        <v>199</v>
      </c>
      <c r="BC629" s="4" t="s">
        <v>199</v>
      </c>
      <c r="BD629" s="8" t="s">
        <v>199</v>
      </c>
      <c r="BE629" s="4" t="s">
        <v>199</v>
      </c>
      <c r="BF629" s="8" t="s">
        <v>199</v>
      </c>
      <c r="BG629" s="7" t="s">
        <v>199</v>
      </c>
      <c r="BH629" s="7" t="s">
        <v>199</v>
      </c>
      <c r="BI629" s="7"/>
      <c r="BJ629" s="4">
        <v>42</v>
      </c>
      <c r="BK629" s="8">
        <v>1956.75</v>
      </c>
      <c r="BL629" s="2" t="s">
        <v>1600</v>
      </c>
      <c r="BM629" s="7"/>
      <c r="BN629" s="7"/>
      <c r="BO629" s="4"/>
      <c r="BP629" s="8"/>
      <c r="BQ629" s="4"/>
      <c r="BR629" s="8"/>
      <c r="BS629" s="7"/>
      <c r="BT629" s="7"/>
      <c r="BU629" s="2" t="s">
        <v>3433</v>
      </c>
      <c r="BV629" s="2" t="s">
        <v>199</v>
      </c>
      <c r="BW629" s="2" t="s">
        <v>199</v>
      </c>
      <c r="BX629" s="2" t="s">
        <v>208</v>
      </c>
      <c r="BY629" s="2" t="s">
        <v>209</v>
      </c>
      <c r="BZ629" s="2" t="s">
        <v>196</v>
      </c>
      <c r="CA629" s="2" t="s">
        <v>1961</v>
      </c>
      <c r="CB629" s="2" t="s">
        <v>2324</v>
      </c>
      <c r="CC629" s="2" t="s">
        <v>212</v>
      </c>
      <c r="CD629" s="2" t="s">
        <v>199</v>
      </c>
      <c r="CE629" s="4">
        <v>333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>
        <v>336</v>
      </c>
      <c r="EU629" s="4">
        <v>319</v>
      </c>
      <c r="EV629" s="4">
        <v>312</v>
      </c>
      <c r="EW629" s="4">
        <v>305</v>
      </c>
      <c r="EX629" s="4">
        <v>298</v>
      </c>
      <c r="EY629" s="4">
        <v>291</v>
      </c>
      <c r="EZ629" s="4">
        <v>284</v>
      </c>
      <c r="FA629" s="4">
        <v>277</v>
      </c>
      <c r="FB629" s="4">
        <v>269</v>
      </c>
      <c r="FC629" s="4">
        <v>262</v>
      </c>
      <c r="FD629" s="4">
        <v>255</v>
      </c>
      <c r="FE629" s="4">
        <v>248</v>
      </c>
      <c r="FF629" s="4">
        <v>241</v>
      </c>
      <c r="FG629" s="4">
        <v>234</v>
      </c>
      <c r="FH629" s="4">
        <v>227</v>
      </c>
      <c r="FI629" s="4">
        <v>220</v>
      </c>
      <c r="FJ629" s="4">
        <v>213</v>
      </c>
      <c r="FK629" s="4">
        <v>206</v>
      </c>
      <c r="FL629" s="4">
        <v>199</v>
      </c>
      <c r="FM629" s="4">
        <v>192</v>
      </c>
      <c r="FN629" s="4">
        <v>185</v>
      </c>
      <c r="FO629" s="4">
        <v>178</v>
      </c>
      <c r="FP629" s="4">
        <v>170</v>
      </c>
      <c r="FQ629" s="4">
        <v>163</v>
      </c>
      <c r="FR629" s="4">
        <v>156</v>
      </c>
      <c r="FS629" s="4">
        <v>149</v>
      </c>
      <c r="FT629" s="19">
        <v>33.6</v>
      </c>
      <c r="FU629" s="19">
        <v>45.6</v>
      </c>
      <c r="FV629" s="19">
        <v>44.6</v>
      </c>
      <c r="FW629" s="19">
        <v>43.6</v>
      </c>
      <c r="FX629" s="19">
        <v>42.6</v>
      </c>
      <c r="FY629" s="19">
        <v>41.6</v>
      </c>
      <c r="FZ629" s="19">
        <v>40.6</v>
      </c>
      <c r="GA629" s="19">
        <v>39.6</v>
      </c>
      <c r="GB629" s="19">
        <v>38.4</v>
      </c>
      <c r="GC629" s="19">
        <v>37.4</v>
      </c>
      <c r="GD629" s="19">
        <v>36.4</v>
      </c>
      <c r="GE629" s="19">
        <v>35.4</v>
      </c>
      <c r="GF629" s="19">
        <v>34.4</v>
      </c>
      <c r="GG629" s="19">
        <v>33.4</v>
      </c>
      <c r="GH629" s="19">
        <v>32.4</v>
      </c>
      <c r="GI629" s="19">
        <v>31.4</v>
      </c>
      <c r="GJ629" s="19">
        <v>30.4</v>
      </c>
      <c r="GK629" s="19">
        <v>29.4</v>
      </c>
      <c r="GL629" s="19">
        <v>28.4</v>
      </c>
      <c r="GM629" s="19">
        <v>27.4</v>
      </c>
      <c r="GN629" s="19">
        <v>26.4</v>
      </c>
      <c r="GO629" s="19">
        <v>25.4</v>
      </c>
      <c r="GP629" s="19">
        <v>24.3</v>
      </c>
      <c r="GQ629" s="19">
        <v>23.3</v>
      </c>
      <c r="GR629" s="19">
        <v>22.3</v>
      </c>
      <c r="GS629" s="19">
        <v>21.3</v>
      </c>
    </row>
    <row r="630">
      <c r="A630" s="2" t="s">
        <v>3434</v>
      </c>
      <c r="B630" s="2" t="s">
        <v>630</v>
      </c>
      <c r="C630" s="2" t="s">
        <v>246</v>
      </c>
      <c r="D630" s="2" t="s">
        <v>631</v>
      </c>
      <c r="E630" s="2" t="s">
        <v>632</v>
      </c>
      <c r="F630" s="2" t="s">
        <v>1081</v>
      </c>
      <c r="G630" s="2" t="s">
        <v>3426</v>
      </c>
      <c r="H630" s="2" t="s">
        <v>3427</v>
      </c>
      <c r="I630" s="2" t="s">
        <v>3435</v>
      </c>
      <c r="J630" s="2" t="s">
        <v>241</v>
      </c>
      <c r="K630" s="2" t="s">
        <v>3429</v>
      </c>
      <c r="L630" s="3">
        <v>32</v>
      </c>
      <c r="M630" s="3">
        <v>33.6</v>
      </c>
      <c r="N630" s="3">
        <v>69.99</v>
      </c>
      <c r="O630" s="2" t="s">
        <v>196</v>
      </c>
      <c r="P630" s="2" t="s">
        <v>197</v>
      </c>
      <c r="Q630" s="2" t="s">
        <v>198</v>
      </c>
      <c r="R630" s="2" t="s">
        <v>199</v>
      </c>
      <c r="S630" s="2" t="s">
        <v>3430</v>
      </c>
      <c r="T630" s="2" t="s">
        <v>3431</v>
      </c>
      <c r="U630" s="2" t="s">
        <v>637</v>
      </c>
      <c r="V630" s="2" t="s">
        <v>301</v>
      </c>
      <c r="W630" s="2" t="s">
        <v>510</v>
      </c>
      <c r="X630" s="2" t="s">
        <v>510</v>
      </c>
      <c r="Y630" s="2" t="s">
        <v>3436</v>
      </c>
      <c r="Z630" s="4">
        <v>39</v>
      </c>
      <c r="AA630" s="4">
        <f>=ROUNDDOWN(19.5,0)</f>
      </c>
      <c r="AB630" s="5">
        <v>2</v>
      </c>
      <c r="AC630" s="2" t="s">
        <v>697</v>
      </c>
      <c r="AD630" s="4">
        <v>30</v>
      </c>
      <c r="AE630" s="4">
        <v>30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199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199</v>
      </c>
      <c r="AW630" s="8" t="s">
        <v>199</v>
      </c>
      <c r="AX630" s="4" t="s">
        <v>199</v>
      </c>
      <c r="AY630" s="8" t="s">
        <v>199</v>
      </c>
      <c r="AZ630" s="7" t="s">
        <v>199</v>
      </c>
      <c r="BA630" s="7" t="s">
        <v>199</v>
      </c>
      <c r="BB630" s="7" t="s">
        <v>199</v>
      </c>
      <c r="BC630" s="4" t="s">
        <v>199</v>
      </c>
      <c r="BD630" s="8" t="s">
        <v>199</v>
      </c>
      <c r="BE630" s="4" t="s">
        <v>199</v>
      </c>
      <c r="BF630" s="8" t="s">
        <v>199</v>
      </c>
      <c r="BG630" s="7" t="s">
        <v>199</v>
      </c>
      <c r="BH630" s="7" t="s">
        <v>199</v>
      </c>
      <c r="BI630" s="7"/>
      <c r="BJ630" s="4">
        <v>15</v>
      </c>
      <c r="BK630" s="8">
        <v>544.67</v>
      </c>
      <c r="BL630" s="2" t="s">
        <v>3437</v>
      </c>
      <c r="BM630" s="7"/>
      <c r="BN630" s="7"/>
      <c r="BO630" s="4"/>
      <c r="BP630" s="8"/>
      <c r="BQ630" s="4"/>
      <c r="BR630" s="8"/>
      <c r="BS630" s="7"/>
      <c r="BT630" s="7"/>
      <c r="BU630" s="2" t="s">
        <v>3438</v>
      </c>
      <c r="BV630" s="2" t="s">
        <v>199</v>
      </c>
      <c r="BW630" s="2" t="s">
        <v>199</v>
      </c>
      <c r="BX630" s="2" t="s">
        <v>208</v>
      </c>
      <c r="BY630" s="2" t="s">
        <v>209</v>
      </c>
      <c r="BZ630" s="2" t="s">
        <v>196</v>
      </c>
      <c r="CA630" s="2" t="s">
        <v>1961</v>
      </c>
      <c r="CB630" s="2" t="s">
        <v>366</v>
      </c>
      <c r="CC630" s="2" t="s">
        <v>212</v>
      </c>
      <c r="CD630" s="2" t="s">
        <v>199</v>
      </c>
      <c r="CE630" s="4">
        <v>39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>
        <v>30</v>
      </c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>
        <v>41</v>
      </c>
      <c r="EU630" s="4">
        <v>38</v>
      </c>
      <c r="EV630" s="4">
        <v>36</v>
      </c>
      <c r="EW630" s="4">
        <v>34</v>
      </c>
      <c r="EX630" s="4">
        <v>62</v>
      </c>
      <c r="EY630" s="4">
        <v>60</v>
      </c>
      <c r="EZ630" s="4">
        <v>58</v>
      </c>
      <c r="FA630" s="4">
        <v>56</v>
      </c>
      <c r="FB630" s="4">
        <v>54</v>
      </c>
      <c r="FC630" s="4">
        <v>52</v>
      </c>
      <c r="FD630" s="4">
        <v>50</v>
      </c>
      <c r="FE630" s="4">
        <v>48</v>
      </c>
      <c r="FF630" s="4">
        <v>46</v>
      </c>
      <c r="FG630" s="4">
        <v>44</v>
      </c>
      <c r="FH630" s="4">
        <v>42</v>
      </c>
      <c r="FI630" s="4">
        <v>40</v>
      </c>
      <c r="FJ630" s="4">
        <v>38</v>
      </c>
      <c r="FK630" s="4">
        <v>36</v>
      </c>
      <c r="FL630" s="4">
        <v>34</v>
      </c>
      <c r="FM630" s="4">
        <v>32</v>
      </c>
      <c r="FN630" s="4">
        <v>30</v>
      </c>
      <c r="FO630" s="4">
        <v>28</v>
      </c>
      <c r="FP630" s="4">
        <v>26</v>
      </c>
      <c r="FQ630" s="4">
        <v>24</v>
      </c>
      <c r="FR630" s="4">
        <v>22</v>
      </c>
      <c r="FS630" s="4">
        <v>20</v>
      </c>
      <c r="FT630" s="19">
        <v>20.5</v>
      </c>
      <c r="FU630" s="19">
        <v>19</v>
      </c>
      <c r="FV630" s="19">
        <v>18</v>
      </c>
      <c r="FW630" s="19">
        <v>17</v>
      </c>
      <c r="FX630" s="19">
        <v>31</v>
      </c>
      <c r="FY630" s="19">
        <v>30</v>
      </c>
      <c r="FZ630" s="19">
        <v>29</v>
      </c>
      <c r="GA630" s="19">
        <v>28</v>
      </c>
      <c r="GB630" s="19">
        <v>27</v>
      </c>
      <c r="GC630" s="19">
        <v>26</v>
      </c>
      <c r="GD630" s="19">
        <v>25</v>
      </c>
      <c r="GE630" s="19">
        <v>24</v>
      </c>
      <c r="GF630" s="19">
        <v>23</v>
      </c>
      <c r="GG630" s="19">
        <v>22</v>
      </c>
      <c r="GH630" s="19">
        <v>21</v>
      </c>
      <c r="GI630" s="19">
        <v>20</v>
      </c>
      <c r="GJ630" s="19">
        <v>19</v>
      </c>
      <c r="GK630" s="19">
        <v>18</v>
      </c>
      <c r="GL630" s="19">
        <v>17</v>
      </c>
      <c r="GM630" s="19">
        <v>16</v>
      </c>
      <c r="GN630" s="19">
        <v>15</v>
      </c>
      <c r="GO630" s="19">
        <v>14</v>
      </c>
      <c r="GP630" s="19">
        <v>13</v>
      </c>
      <c r="GQ630" s="19">
        <v>12</v>
      </c>
      <c r="GR630" s="19">
        <v>11</v>
      </c>
      <c r="GS630" s="19">
        <v>10</v>
      </c>
    </row>
    <row r="631">
      <c r="A631" s="2" t="s">
        <v>3439</v>
      </c>
      <c r="B631" s="2" t="s">
        <v>736</v>
      </c>
      <c r="C631" s="2" t="s">
        <v>1007</v>
      </c>
      <c r="D631" s="2" t="s">
        <v>228</v>
      </c>
      <c r="E631" s="2" t="s">
        <v>2456</v>
      </c>
      <c r="F631" s="2" t="s">
        <v>3440</v>
      </c>
      <c r="G631" s="2" t="s">
        <v>3441</v>
      </c>
      <c r="H631" s="2" t="s">
        <v>3442</v>
      </c>
      <c r="I631" s="2" t="s">
        <v>3443</v>
      </c>
      <c r="J631" s="2" t="s">
        <v>194</v>
      </c>
      <c r="K631" s="2" t="s">
        <v>3444</v>
      </c>
      <c r="L631" s="3">
        <v>33.6</v>
      </c>
      <c r="M631" s="3">
        <v>35.28</v>
      </c>
      <c r="N631" s="3">
        <v>74.99</v>
      </c>
      <c r="O631" s="2" t="s">
        <v>196</v>
      </c>
      <c r="P631" s="2" t="s">
        <v>197</v>
      </c>
      <c r="Q631" s="2" t="s">
        <v>198</v>
      </c>
      <c r="R631" s="2" t="s">
        <v>199</v>
      </c>
      <c r="S631" s="2" t="s">
        <v>3445</v>
      </c>
      <c r="T631" s="2" t="s">
        <v>386</v>
      </c>
      <c r="U631" s="2" t="s">
        <v>509</v>
      </c>
      <c r="V631" s="2" t="s">
        <v>681</v>
      </c>
      <c r="W631" s="2" t="s">
        <v>203</v>
      </c>
      <c r="X631" s="2" t="s">
        <v>1014</v>
      </c>
      <c r="Y631" s="2" t="s">
        <v>3446</v>
      </c>
      <c r="Z631" s="4">
        <v>138</v>
      </c>
      <c r="AA631" s="4">
        <f>=ROUNDDOWN(34.5,0)</f>
      </c>
      <c r="AB631" s="5">
        <v>4</v>
      </c>
      <c r="AC631" s="2" t="s">
        <v>199</v>
      </c>
      <c r="AD631" s="4"/>
      <c r="AE631" s="4"/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199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199</v>
      </c>
      <c r="AW631" s="8" t="s">
        <v>199</v>
      </c>
      <c r="AX631" s="4" t="s">
        <v>199</v>
      </c>
      <c r="AY631" s="8" t="s">
        <v>199</v>
      </c>
      <c r="AZ631" s="7" t="s">
        <v>199</v>
      </c>
      <c r="BA631" s="7" t="s">
        <v>199</v>
      </c>
      <c r="BB631" s="7"/>
      <c r="BC631" s="4" t="s">
        <v>199</v>
      </c>
      <c r="BD631" s="8" t="s">
        <v>199</v>
      </c>
      <c r="BE631" s="4" t="s">
        <v>199</v>
      </c>
      <c r="BF631" s="8" t="s">
        <v>199</v>
      </c>
      <c r="BG631" s="7" t="s">
        <v>199</v>
      </c>
      <c r="BH631" s="7" t="s">
        <v>199</v>
      </c>
      <c r="BI631" s="7"/>
      <c r="BJ631" s="4">
        <v>17</v>
      </c>
      <c r="BK631" s="8">
        <v>593.31</v>
      </c>
      <c r="BL631" s="2" t="s">
        <v>1191</v>
      </c>
      <c r="BM631" s="7"/>
      <c r="BN631" s="7"/>
      <c r="BO631" s="4"/>
      <c r="BP631" s="8"/>
      <c r="BQ631" s="4"/>
      <c r="BR631" s="8"/>
      <c r="BS631" s="7"/>
      <c r="BT631" s="7"/>
      <c r="BU631" s="2" t="s">
        <v>3447</v>
      </c>
      <c r="BV631" s="2" t="s">
        <v>199</v>
      </c>
      <c r="BW631" s="2" t="s">
        <v>199</v>
      </c>
      <c r="BX631" s="2" t="s">
        <v>260</v>
      </c>
      <c r="BY631" s="2" t="s">
        <v>209</v>
      </c>
      <c r="BZ631" s="2" t="s">
        <v>196</v>
      </c>
      <c r="CA631" s="2" t="s">
        <v>602</v>
      </c>
      <c r="CB631" s="2" t="s">
        <v>199</v>
      </c>
      <c r="CC631" s="2" t="s">
        <v>212</v>
      </c>
      <c r="CD631" s="2" t="s">
        <v>199</v>
      </c>
      <c r="CE631" s="4">
        <v>138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>
        <v>139</v>
      </c>
      <c r="EU631" s="4">
        <v>134</v>
      </c>
      <c r="EV631" s="4">
        <v>130</v>
      </c>
      <c r="EW631" s="4">
        <v>126</v>
      </c>
      <c r="EX631" s="4">
        <v>122</v>
      </c>
      <c r="EY631" s="4">
        <v>118</v>
      </c>
      <c r="EZ631" s="4">
        <v>114</v>
      </c>
      <c r="FA631" s="4">
        <v>110</v>
      </c>
      <c r="FB631" s="4">
        <v>106</v>
      </c>
      <c r="FC631" s="4">
        <v>102</v>
      </c>
      <c r="FD631" s="4">
        <v>98</v>
      </c>
      <c r="FE631" s="4">
        <v>94</v>
      </c>
      <c r="FF631" s="4">
        <v>90</v>
      </c>
      <c r="FG631" s="4">
        <v>86</v>
      </c>
      <c r="FH631" s="4">
        <v>82</v>
      </c>
      <c r="FI631" s="4">
        <v>78</v>
      </c>
      <c r="FJ631" s="4">
        <v>74</v>
      </c>
      <c r="FK631" s="4">
        <v>70</v>
      </c>
      <c r="FL631" s="4">
        <v>66</v>
      </c>
      <c r="FM631" s="4">
        <v>62</v>
      </c>
      <c r="FN631" s="4">
        <v>58</v>
      </c>
      <c r="FO631" s="4">
        <v>54</v>
      </c>
      <c r="FP631" s="4">
        <v>50</v>
      </c>
      <c r="FQ631" s="4">
        <v>46</v>
      </c>
      <c r="FR631" s="4">
        <v>42</v>
      </c>
      <c r="FS631" s="4">
        <v>38</v>
      </c>
      <c r="FT631" s="19">
        <v>34.8</v>
      </c>
      <c r="FU631" s="19">
        <v>33.5</v>
      </c>
      <c r="FV631" s="19">
        <v>32.5</v>
      </c>
      <c r="FW631" s="19">
        <v>31.5</v>
      </c>
      <c r="FX631" s="19">
        <v>30.5</v>
      </c>
      <c r="FY631" s="19">
        <v>29.5</v>
      </c>
      <c r="FZ631" s="19">
        <v>28.5</v>
      </c>
      <c r="GA631" s="19">
        <v>27.5</v>
      </c>
      <c r="GB631" s="19">
        <v>26.5</v>
      </c>
      <c r="GC631" s="19">
        <v>25.5</v>
      </c>
      <c r="GD631" s="19">
        <v>24.5</v>
      </c>
      <c r="GE631" s="19">
        <v>23.5</v>
      </c>
      <c r="GF631" s="19">
        <v>22.5</v>
      </c>
      <c r="GG631" s="19">
        <v>21.5</v>
      </c>
      <c r="GH631" s="19">
        <v>20.5</v>
      </c>
      <c r="GI631" s="19">
        <v>19.5</v>
      </c>
      <c r="GJ631" s="19">
        <v>18.5</v>
      </c>
      <c r="GK631" s="19">
        <v>17.5</v>
      </c>
      <c r="GL631" s="19">
        <v>16.5</v>
      </c>
      <c r="GM631" s="19">
        <v>15.5</v>
      </c>
      <c r="GN631" s="19">
        <v>14.5</v>
      </c>
      <c r="GO631" s="19">
        <v>13.5</v>
      </c>
      <c r="GP631" s="19">
        <v>12.5</v>
      </c>
      <c r="GQ631" s="19">
        <v>11.5</v>
      </c>
      <c r="GR631" s="19">
        <v>10.5</v>
      </c>
      <c r="GS631" s="19">
        <v>9.5</v>
      </c>
    </row>
    <row r="632">
      <c r="A632" s="2" t="s">
        <v>3448</v>
      </c>
      <c r="B632" s="2" t="s">
        <v>736</v>
      </c>
      <c r="C632" s="2" t="s">
        <v>1007</v>
      </c>
      <c r="D632" s="2" t="s">
        <v>228</v>
      </c>
      <c r="E632" s="2" t="s">
        <v>2456</v>
      </c>
      <c r="F632" s="2" t="s">
        <v>3440</v>
      </c>
      <c r="G632" s="2" t="s">
        <v>3441</v>
      </c>
      <c r="H632" s="2" t="s">
        <v>3442</v>
      </c>
      <c r="I632" s="2" t="s">
        <v>3443</v>
      </c>
      <c r="J632" s="2" t="s">
        <v>214</v>
      </c>
      <c r="K632" s="2" t="s">
        <v>3444</v>
      </c>
      <c r="L632" s="3">
        <v>35.52</v>
      </c>
      <c r="M632" s="3">
        <v>37.3</v>
      </c>
      <c r="N632" s="3">
        <v>78.99</v>
      </c>
      <c r="O632" s="2" t="s">
        <v>196</v>
      </c>
      <c r="P632" s="2" t="s">
        <v>197</v>
      </c>
      <c r="Q632" s="2" t="s">
        <v>198</v>
      </c>
      <c r="R632" s="2" t="s">
        <v>199</v>
      </c>
      <c r="S632" s="2" t="s">
        <v>3445</v>
      </c>
      <c r="T632" s="2" t="s">
        <v>386</v>
      </c>
      <c r="U632" s="2" t="s">
        <v>509</v>
      </c>
      <c r="V632" s="2" t="s">
        <v>681</v>
      </c>
      <c r="W632" s="2" t="s">
        <v>203</v>
      </c>
      <c r="X632" s="2" t="s">
        <v>1014</v>
      </c>
      <c r="Y632" s="2" t="s">
        <v>3446</v>
      </c>
      <c r="Z632" s="4">
        <v>212</v>
      </c>
      <c r="AA632" s="4">
        <f>=ROUNDDOWN(42.4,0)</f>
      </c>
      <c r="AB632" s="5">
        <v>5</v>
      </c>
      <c r="AC632" s="2" t="s">
        <v>199</v>
      </c>
      <c r="AD632" s="4"/>
      <c r="AE632" s="4"/>
      <c r="AF632" s="6">
        <v>64</v>
      </c>
      <c r="AG632" s="6"/>
      <c r="AH632" s="7">
        <v>1</v>
      </c>
      <c r="AI632" s="4"/>
      <c r="AJ632" s="4">
        <f>=ROUNDDOWN({0},0)</f>
      </c>
      <c r="AK632" s="5"/>
      <c r="AL632" s="2" t="s">
        <v>199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199</v>
      </c>
      <c r="AW632" s="8" t="s">
        <v>199</v>
      </c>
      <c r="AX632" s="4" t="s">
        <v>199</v>
      </c>
      <c r="AY632" s="8" t="s">
        <v>199</v>
      </c>
      <c r="AZ632" s="7" t="s">
        <v>199</v>
      </c>
      <c r="BA632" s="7" t="s">
        <v>199</v>
      </c>
      <c r="BB632" s="7"/>
      <c r="BC632" s="4" t="s">
        <v>199</v>
      </c>
      <c r="BD632" s="8" t="s">
        <v>199</v>
      </c>
      <c r="BE632" s="4" t="s">
        <v>199</v>
      </c>
      <c r="BF632" s="8" t="s">
        <v>199</v>
      </c>
      <c r="BG632" s="7" t="s">
        <v>199</v>
      </c>
      <c r="BH632" s="7" t="s">
        <v>199</v>
      </c>
      <c r="BI632" s="7"/>
      <c r="BJ632" s="4">
        <v>9</v>
      </c>
      <c r="BK632" s="8">
        <v>330.65</v>
      </c>
      <c r="BL632" s="2" t="s">
        <v>282</v>
      </c>
      <c r="BM632" s="7"/>
      <c r="BN632" s="7"/>
      <c r="BO632" s="4"/>
      <c r="BP632" s="8"/>
      <c r="BQ632" s="4"/>
      <c r="BR632" s="8"/>
      <c r="BS632" s="7"/>
      <c r="BT632" s="7"/>
      <c r="BU632" s="2" t="s">
        <v>3447</v>
      </c>
      <c r="BV632" s="2" t="s">
        <v>199</v>
      </c>
      <c r="BW632" s="2" t="s">
        <v>199</v>
      </c>
      <c r="BX632" s="2" t="s">
        <v>260</v>
      </c>
      <c r="BY632" s="2" t="s">
        <v>209</v>
      </c>
      <c r="BZ632" s="2" t="s">
        <v>196</v>
      </c>
      <c r="CA632" s="2" t="s">
        <v>602</v>
      </c>
      <c r="CB632" s="2" t="s">
        <v>1335</v>
      </c>
      <c r="CC632" s="2" t="s">
        <v>212</v>
      </c>
      <c r="CD632" s="2" t="s">
        <v>199</v>
      </c>
      <c r="CE632" s="4">
        <v>212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>
        <v>212</v>
      </c>
      <c r="EU632" s="4">
        <v>208</v>
      </c>
      <c r="EV632" s="4">
        <v>204</v>
      </c>
      <c r="EW632" s="4">
        <v>200</v>
      </c>
      <c r="EX632" s="4">
        <v>196</v>
      </c>
      <c r="EY632" s="4">
        <v>192</v>
      </c>
      <c r="EZ632" s="4">
        <v>188</v>
      </c>
      <c r="FA632" s="4">
        <v>184</v>
      </c>
      <c r="FB632" s="4">
        <v>180</v>
      </c>
      <c r="FC632" s="4">
        <v>176</v>
      </c>
      <c r="FD632" s="4">
        <v>172</v>
      </c>
      <c r="FE632" s="4">
        <v>168</v>
      </c>
      <c r="FF632" s="4">
        <v>164</v>
      </c>
      <c r="FG632" s="4">
        <v>160</v>
      </c>
      <c r="FH632" s="4">
        <v>156</v>
      </c>
      <c r="FI632" s="4">
        <v>152</v>
      </c>
      <c r="FJ632" s="4">
        <v>147</v>
      </c>
      <c r="FK632" s="4">
        <v>142</v>
      </c>
      <c r="FL632" s="4">
        <v>137</v>
      </c>
      <c r="FM632" s="4">
        <v>132</v>
      </c>
      <c r="FN632" s="4">
        <v>127</v>
      </c>
      <c r="FO632" s="4">
        <v>121</v>
      </c>
      <c r="FP632" s="4">
        <v>115</v>
      </c>
      <c r="FQ632" s="4">
        <v>109</v>
      </c>
      <c r="FR632" s="4">
        <v>103</v>
      </c>
      <c r="FS632" s="4">
        <v>97</v>
      </c>
      <c r="FT632" s="19">
        <v>53</v>
      </c>
      <c r="FU632" s="19">
        <v>52</v>
      </c>
      <c r="FV632" s="19">
        <v>51</v>
      </c>
      <c r="FW632" s="19">
        <v>50</v>
      </c>
      <c r="FX632" s="19">
        <v>49</v>
      </c>
      <c r="FY632" s="19">
        <v>48</v>
      </c>
      <c r="FZ632" s="19">
        <v>47</v>
      </c>
      <c r="GA632" s="19">
        <v>46</v>
      </c>
      <c r="GB632" s="19">
        <v>45</v>
      </c>
      <c r="GC632" s="19">
        <v>44</v>
      </c>
      <c r="GD632" s="19">
        <v>43</v>
      </c>
      <c r="GE632" s="19">
        <v>42</v>
      </c>
      <c r="GF632" s="19">
        <v>41</v>
      </c>
      <c r="GG632" s="19">
        <v>40</v>
      </c>
      <c r="GH632" s="19">
        <v>31.2</v>
      </c>
      <c r="GI632" s="19">
        <v>30.4</v>
      </c>
      <c r="GJ632" s="19">
        <v>29.4</v>
      </c>
      <c r="GK632" s="19">
        <v>28.4</v>
      </c>
      <c r="GL632" s="19">
        <v>22.8</v>
      </c>
      <c r="GM632" s="19">
        <v>22</v>
      </c>
      <c r="GN632" s="19">
        <v>21.2</v>
      </c>
      <c r="GO632" s="19">
        <v>20.2</v>
      </c>
      <c r="GP632" s="19">
        <v>19.2</v>
      </c>
      <c r="GQ632" s="19">
        <v>18.2</v>
      </c>
      <c r="GR632" s="19">
        <v>17.2</v>
      </c>
      <c r="GS632" s="19">
        <v>13.9</v>
      </c>
    </row>
    <row r="633">
      <c r="A633" s="2" t="s">
        <v>3449</v>
      </c>
      <c r="B633" s="2" t="s">
        <v>554</v>
      </c>
      <c r="C633" s="2" t="s">
        <v>604</v>
      </c>
      <c r="D633" s="2" t="s">
        <v>861</v>
      </c>
      <c r="E633" s="2" t="s">
        <v>862</v>
      </c>
      <c r="F633" s="2" t="s">
        <v>3450</v>
      </c>
      <c r="G633" s="2" t="s">
        <v>3450</v>
      </c>
      <c r="H633" s="2" t="s">
        <v>3450</v>
      </c>
      <c r="I633" s="2" t="s">
        <v>2113</v>
      </c>
      <c r="J633" s="2" t="s">
        <v>559</v>
      </c>
      <c r="K633" s="2" t="s">
        <v>195</v>
      </c>
      <c r="L633" s="3">
        <v>41.27</v>
      </c>
      <c r="M633" s="3">
        <v>43.33</v>
      </c>
      <c r="N633" s="3">
        <v>84.99</v>
      </c>
      <c r="O633" s="2" t="s">
        <v>196</v>
      </c>
      <c r="P633" s="2" t="s">
        <v>841</v>
      </c>
      <c r="Q633" s="2" t="s">
        <v>198</v>
      </c>
      <c r="R633" s="2" t="s">
        <v>199</v>
      </c>
      <c r="S633" s="2" t="s">
        <v>3451</v>
      </c>
      <c r="T633" s="2" t="s">
        <v>199</v>
      </c>
      <c r="U633" s="2" t="s">
        <v>637</v>
      </c>
      <c r="V633" s="2" t="s">
        <v>562</v>
      </c>
      <c r="W633" s="2" t="s">
        <v>510</v>
      </c>
      <c r="X633" s="2" t="s">
        <v>199</v>
      </c>
      <c r="Y633" s="2" t="s">
        <v>204</v>
      </c>
      <c r="Z633" s="4">
        <v>24</v>
      </c>
      <c r="AA633" s="4">
        <f>=ROUNDDOWN(8,0)</f>
      </c>
      <c r="AB633" s="5">
        <v>3</v>
      </c>
      <c r="AC633" s="2" t="s">
        <v>776</v>
      </c>
      <c r="AD633" s="4">
        <v>50</v>
      </c>
      <c r="AE633" s="4">
        <v>50</v>
      </c>
      <c r="AF633" s="6">
        <v>61</v>
      </c>
      <c r="AG633" s="6"/>
      <c r="AH633" s="7">
        <v>1</v>
      </c>
      <c r="AI633" s="4"/>
      <c r="AJ633" s="4">
        <f>=ROUNDDOWN({0},0)</f>
      </c>
      <c r="AK633" s="5"/>
      <c r="AL633" s="2" t="s">
        <v>199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12</v>
      </c>
      <c r="BK633" s="8">
        <v>592.57</v>
      </c>
      <c r="BL633" s="2" t="s">
        <v>3452</v>
      </c>
      <c r="BM633" s="7"/>
      <c r="BN633" s="7"/>
      <c r="BO633" s="4"/>
      <c r="BP633" s="8"/>
      <c r="BQ633" s="4"/>
      <c r="BR633" s="8"/>
      <c r="BS633" s="7"/>
      <c r="BT633" s="7"/>
      <c r="BU633" s="2" t="s">
        <v>3453</v>
      </c>
      <c r="BV633" s="2" t="s">
        <v>199</v>
      </c>
      <c r="BW633" s="2" t="s">
        <v>199</v>
      </c>
      <c r="BX633" s="2" t="s">
        <v>208</v>
      </c>
      <c r="BY633" s="2" t="s">
        <v>209</v>
      </c>
      <c r="BZ633" s="2" t="s">
        <v>196</v>
      </c>
      <c r="CA633" s="2" t="s">
        <v>643</v>
      </c>
      <c r="CB633" s="2" t="s">
        <v>3454</v>
      </c>
      <c r="CC633" s="2" t="s">
        <v>212</v>
      </c>
      <c r="CD633" s="2" t="s">
        <v>199</v>
      </c>
      <c r="CE633" s="4"/>
      <c r="CF633" s="4">
        <v>24</v>
      </c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>
        <v>50</v>
      </c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>
        <v>24</v>
      </c>
      <c r="EU633" s="4">
        <v>21</v>
      </c>
      <c r="EV633" s="4">
        <v>18</v>
      </c>
      <c r="EW633" s="4">
        <v>15</v>
      </c>
      <c r="EX633" s="4">
        <v>62</v>
      </c>
      <c r="EY633" s="4">
        <v>59</v>
      </c>
      <c r="EZ633" s="4">
        <v>56</v>
      </c>
      <c r="FA633" s="4">
        <v>53</v>
      </c>
      <c r="FB633" s="4">
        <v>49</v>
      </c>
      <c r="FC633" s="4">
        <v>46</v>
      </c>
      <c r="FD633" s="4">
        <v>43</v>
      </c>
      <c r="FE633" s="4">
        <v>40</v>
      </c>
      <c r="FF633" s="4">
        <v>37</v>
      </c>
      <c r="FG633" s="4">
        <v>34</v>
      </c>
      <c r="FH633" s="4">
        <v>31</v>
      </c>
      <c r="FI633" s="4">
        <v>28</v>
      </c>
      <c r="FJ633" s="4">
        <v>25</v>
      </c>
      <c r="FK633" s="4">
        <v>22</v>
      </c>
      <c r="FL633" s="4">
        <v>19</v>
      </c>
      <c r="FM633" s="4">
        <v>16</v>
      </c>
      <c r="FN633" s="4">
        <v>13</v>
      </c>
      <c r="FO633" s="4">
        <v>10</v>
      </c>
      <c r="FP633" s="4">
        <v>6</v>
      </c>
      <c r="FQ633" s="4">
        <v>21</v>
      </c>
      <c r="FR633" s="4">
        <v>18</v>
      </c>
      <c r="FS633" s="4">
        <v>15</v>
      </c>
      <c r="FT633" s="19">
        <v>8</v>
      </c>
      <c r="FU633" s="19">
        <v>7</v>
      </c>
      <c r="FV633" s="19">
        <v>6</v>
      </c>
      <c r="FW633" s="19">
        <v>5</v>
      </c>
      <c r="FX633" s="19">
        <v>20.7</v>
      </c>
      <c r="FY633" s="19">
        <v>19.7</v>
      </c>
      <c r="FZ633" s="19">
        <v>18.7</v>
      </c>
      <c r="GA633" s="19">
        <v>17.7</v>
      </c>
      <c r="GB633" s="19">
        <v>16.3</v>
      </c>
      <c r="GC633" s="19">
        <v>15.3</v>
      </c>
      <c r="GD633" s="19">
        <v>14.3</v>
      </c>
      <c r="GE633" s="19">
        <v>13.3</v>
      </c>
      <c r="GF633" s="19">
        <v>12.3</v>
      </c>
      <c r="GG633" s="19">
        <v>11.3</v>
      </c>
      <c r="GH633" s="19">
        <v>10.3</v>
      </c>
      <c r="GI633" s="19">
        <v>9.3</v>
      </c>
      <c r="GJ633" s="19">
        <v>8.3</v>
      </c>
      <c r="GK633" s="19">
        <v>7.3</v>
      </c>
      <c r="GL633" s="19">
        <v>6.3</v>
      </c>
      <c r="GM633" s="19">
        <v>5.3</v>
      </c>
      <c r="GN633" s="19">
        <v>4.3</v>
      </c>
      <c r="GO633" s="19">
        <v>3.3</v>
      </c>
      <c r="GP633" s="19">
        <v>2</v>
      </c>
      <c r="GQ633" s="19">
        <v>7</v>
      </c>
      <c r="GR633" s="9"/>
      <c r="GS633" s="19">
        <v>5</v>
      </c>
    </row>
    <row r="634">
      <c r="A634" s="2" t="s">
        <v>3455</v>
      </c>
      <c r="B634" s="2" t="s">
        <v>736</v>
      </c>
      <c r="C634" s="2" t="s">
        <v>737</v>
      </c>
      <c r="D634" s="2" t="s">
        <v>228</v>
      </c>
      <c r="E634" s="2" t="s">
        <v>487</v>
      </c>
      <c r="F634" s="2" t="s">
        <v>3456</v>
      </c>
      <c r="G634" s="2" t="s">
        <v>3457</v>
      </c>
      <c r="H634" s="2" t="s">
        <v>3458</v>
      </c>
      <c r="I634" s="2" t="s">
        <v>3459</v>
      </c>
      <c r="J634" s="2" t="s">
        <v>232</v>
      </c>
      <c r="K634" s="2" t="s">
        <v>2550</v>
      </c>
      <c r="L634" s="3">
        <v>38.09</v>
      </c>
      <c r="M634" s="3">
        <v>39.99</v>
      </c>
      <c r="N634" s="3">
        <v>79.99</v>
      </c>
      <c r="O634" s="2" t="s">
        <v>196</v>
      </c>
      <c r="P634" s="2" t="s">
        <v>197</v>
      </c>
      <c r="Q634" s="2" t="s">
        <v>198</v>
      </c>
      <c r="R634" s="2" t="s">
        <v>199</v>
      </c>
      <c r="S634" s="2" t="s">
        <v>3460</v>
      </c>
      <c r="T634" s="2" t="s">
        <v>1322</v>
      </c>
      <c r="U634" s="2" t="s">
        <v>254</v>
      </c>
      <c r="V634" s="2" t="s">
        <v>202</v>
      </c>
      <c r="W634" s="2" t="s">
        <v>203</v>
      </c>
      <c r="X634" s="2" t="s">
        <v>623</v>
      </c>
      <c r="Y634" s="2" t="s">
        <v>2046</v>
      </c>
      <c r="Z634" s="4">
        <v>1006</v>
      </c>
      <c r="AA634" s="4">
        <f>=ROUNDDOWN(59.1764705882353,0)</f>
      </c>
      <c r="AB634" s="5">
        <v>17</v>
      </c>
      <c r="AC634" s="2" t="s">
        <v>199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199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199</v>
      </c>
      <c r="BD634" s="8" t="s">
        <v>199</v>
      </c>
      <c r="BE634" s="4" t="s">
        <v>199</v>
      </c>
      <c r="BF634" s="8" t="s">
        <v>199</v>
      </c>
      <c r="BG634" s="7" t="s">
        <v>199</v>
      </c>
      <c r="BH634" s="7" t="s">
        <v>199</v>
      </c>
      <c r="BI634" s="7"/>
      <c r="BJ634" s="4">
        <v>44</v>
      </c>
      <c r="BK634" s="8">
        <v>1906.21</v>
      </c>
      <c r="BL634" s="2" t="s">
        <v>1553</v>
      </c>
      <c r="BM634" s="7"/>
      <c r="BN634" s="7"/>
      <c r="BO634" s="4"/>
      <c r="BP634" s="8"/>
      <c r="BQ634" s="4"/>
      <c r="BR634" s="8"/>
      <c r="BS634" s="7"/>
      <c r="BT634" s="7"/>
      <c r="BU634" s="2" t="s">
        <v>3461</v>
      </c>
      <c r="BV634" s="2" t="s">
        <v>199</v>
      </c>
      <c r="BW634" s="2" t="s">
        <v>199</v>
      </c>
      <c r="BX634" s="2" t="s">
        <v>260</v>
      </c>
      <c r="BY634" s="2" t="s">
        <v>209</v>
      </c>
      <c r="BZ634" s="2" t="s">
        <v>196</v>
      </c>
      <c r="CA634" s="2" t="s">
        <v>1364</v>
      </c>
      <c r="CB634" s="2" t="s">
        <v>3462</v>
      </c>
      <c r="CC634" s="2" t="s">
        <v>212</v>
      </c>
      <c r="CD634" s="2" t="s">
        <v>199</v>
      </c>
      <c r="CE634" s="4">
        <v>1006</v>
      </c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>
        <v>1020</v>
      </c>
      <c r="EU634" s="4">
        <v>974</v>
      </c>
      <c r="EV634" s="4">
        <v>957</v>
      </c>
      <c r="EW634" s="4">
        <v>937</v>
      </c>
      <c r="EX634" s="4">
        <v>917</v>
      </c>
      <c r="EY634" s="4">
        <v>897</v>
      </c>
      <c r="EZ634" s="4">
        <v>877</v>
      </c>
      <c r="FA634" s="4">
        <v>860</v>
      </c>
      <c r="FB634" s="4">
        <v>842</v>
      </c>
      <c r="FC634" s="4">
        <v>825</v>
      </c>
      <c r="FD634" s="4">
        <v>806</v>
      </c>
      <c r="FE634" s="4">
        <v>789</v>
      </c>
      <c r="FF634" s="4">
        <v>772</v>
      </c>
      <c r="FG634" s="4">
        <v>755</v>
      </c>
      <c r="FH634" s="4">
        <v>740</v>
      </c>
      <c r="FI634" s="4">
        <v>724</v>
      </c>
      <c r="FJ634" s="4">
        <v>708</v>
      </c>
      <c r="FK634" s="4">
        <v>692</v>
      </c>
      <c r="FL634" s="4">
        <v>678</v>
      </c>
      <c r="FM634" s="4">
        <v>664</v>
      </c>
      <c r="FN634" s="4">
        <v>646</v>
      </c>
      <c r="FO634" s="4">
        <v>629</v>
      </c>
      <c r="FP634" s="4">
        <v>611</v>
      </c>
      <c r="FQ634" s="4">
        <v>593</v>
      </c>
      <c r="FR634" s="4">
        <v>572</v>
      </c>
      <c r="FS634" s="4">
        <v>551</v>
      </c>
      <c r="FT634" s="19">
        <v>39.2</v>
      </c>
      <c r="FU634" s="19">
        <v>51.3</v>
      </c>
      <c r="FV634" s="19">
        <v>47.9</v>
      </c>
      <c r="FW634" s="19">
        <v>49.3</v>
      </c>
      <c r="FX634" s="19">
        <v>48.3</v>
      </c>
      <c r="FY634" s="19">
        <v>49.8</v>
      </c>
      <c r="FZ634" s="19">
        <v>48.7</v>
      </c>
      <c r="GA634" s="19">
        <v>47.8</v>
      </c>
      <c r="GB634" s="19">
        <v>46.8</v>
      </c>
      <c r="GC634" s="19">
        <v>45.8</v>
      </c>
      <c r="GD634" s="19">
        <v>50.4</v>
      </c>
      <c r="GE634" s="19">
        <v>49.3</v>
      </c>
      <c r="GF634" s="19">
        <v>48.3</v>
      </c>
      <c r="GG634" s="19">
        <v>47.2</v>
      </c>
      <c r="GH634" s="19">
        <v>46.3</v>
      </c>
      <c r="GI634" s="19">
        <v>48.3</v>
      </c>
      <c r="GJ634" s="19">
        <v>44.3</v>
      </c>
      <c r="GK634" s="19">
        <v>43.3</v>
      </c>
      <c r="GL634" s="19">
        <v>39.9</v>
      </c>
      <c r="GM634" s="19">
        <v>36.9</v>
      </c>
      <c r="GN634" s="19">
        <v>35.9</v>
      </c>
      <c r="GO634" s="19">
        <v>31.5</v>
      </c>
      <c r="GP634" s="19">
        <v>30.6</v>
      </c>
      <c r="GQ634" s="19">
        <v>27</v>
      </c>
      <c r="GR634" s="19">
        <v>26</v>
      </c>
      <c r="GS634" s="19">
        <v>25</v>
      </c>
    </row>
    <row r="635">
      <c r="A635" s="2" t="s">
        <v>3463</v>
      </c>
      <c r="B635" s="2" t="s">
        <v>736</v>
      </c>
      <c r="C635" s="2" t="s">
        <v>737</v>
      </c>
      <c r="D635" s="2" t="s">
        <v>228</v>
      </c>
      <c r="E635" s="2" t="s">
        <v>487</v>
      </c>
      <c r="F635" s="2" t="s">
        <v>3456</v>
      </c>
      <c r="G635" s="2" t="s">
        <v>3457</v>
      </c>
      <c r="H635" s="2" t="s">
        <v>3458</v>
      </c>
      <c r="I635" s="2" t="s">
        <v>3459</v>
      </c>
      <c r="J635" s="2" t="s">
        <v>232</v>
      </c>
      <c r="K635" s="2" t="s">
        <v>3464</v>
      </c>
      <c r="L635" s="3">
        <v>38.09</v>
      </c>
      <c r="M635" s="3">
        <v>39.99</v>
      </c>
      <c r="N635" s="3">
        <v>79.99</v>
      </c>
      <c r="O635" s="2" t="s">
        <v>196</v>
      </c>
      <c r="P635" s="2" t="s">
        <v>197</v>
      </c>
      <c r="Q635" s="2" t="s">
        <v>198</v>
      </c>
      <c r="R635" s="2" t="s">
        <v>199</v>
      </c>
      <c r="S635" s="2" t="s">
        <v>3465</v>
      </c>
      <c r="T635" s="2" t="s">
        <v>1322</v>
      </c>
      <c r="U635" s="2" t="s">
        <v>254</v>
      </c>
      <c r="V635" s="2" t="s">
        <v>202</v>
      </c>
      <c r="W635" s="2" t="s">
        <v>203</v>
      </c>
      <c r="X635" s="2" t="s">
        <v>623</v>
      </c>
      <c r="Y635" s="2" t="s">
        <v>3466</v>
      </c>
      <c r="Z635" s="4">
        <v>986</v>
      </c>
      <c r="AA635" s="4">
        <f>=ROUNDDOWN(54.7777777777778,0)</f>
      </c>
      <c r="AB635" s="5">
        <v>18</v>
      </c>
      <c r="AC635" s="2" t="s">
        <v>199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199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199</v>
      </c>
      <c r="BD635" s="8" t="s">
        <v>199</v>
      </c>
      <c r="BE635" s="4" t="s">
        <v>199</v>
      </c>
      <c r="BF635" s="8" t="s">
        <v>199</v>
      </c>
      <c r="BG635" s="7" t="s">
        <v>199</v>
      </c>
      <c r="BH635" s="7" t="s">
        <v>199</v>
      </c>
      <c r="BI635" s="7"/>
      <c r="BJ635" s="4">
        <v>43</v>
      </c>
      <c r="BK635" s="8">
        <v>1883.34</v>
      </c>
      <c r="BL635" s="2" t="s">
        <v>327</v>
      </c>
      <c r="BM635" s="7"/>
      <c r="BN635" s="7"/>
      <c r="BO635" s="4"/>
      <c r="BP635" s="8"/>
      <c r="BQ635" s="4"/>
      <c r="BR635" s="8"/>
      <c r="BS635" s="7"/>
      <c r="BT635" s="7"/>
      <c r="BU635" s="2" t="s">
        <v>3461</v>
      </c>
      <c r="BV635" s="2" t="s">
        <v>199</v>
      </c>
      <c r="BW635" s="2" t="s">
        <v>199</v>
      </c>
      <c r="BX635" s="2" t="s">
        <v>260</v>
      </c>
      <c r="BY635" s="2" t="s">
        <v>209</v>
      </c>
      <c r="BZ635" s="2" t="s">
        <v>196</v>
      </c>
      <c r="CA635" s="2" t="s">
        <v>1364</v>
      </c>
      <c r="CB635" s="2" t="s">
        <v>2048</v>
      </c>
      <c r="CC635" s="2" t="s">
        <v>212</v>
      </c>
      <c r="CD635" s="2" t="s">
        <v>199</v>
      </c>
      <c r="CE635" s="4">
        <v>986</v>
      </c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>
        <v>1019</v>
      </c>
      <c r="EU635" s="4">
        <v>973</v>
      </c>
      <c r="EV635" s="4">
        <v>955</v>
      </c>
      <c r="EW635" s="4">
        <v>934</v>
      </c>
      <c r="EX635" s="4">
        <v>913</v>
      </c>
      <c r="EY635" s="4">
        <v>892</v>
      </c>
      <c r="EZ635" s="4">
        <v>871</v>
      </c>
      <c r="FA635" s="4">
        <v>853</v>
      </c>
      <c r="FB635" s="4">
        <v>834</v>
      </c>
      <c r="FC635" s="4">
        <v>816</v>
      </c>
      <c r="FD635" s="4">
        <v>796</v>
      </c>
      <c r="FE635" s="4">
        <v>778</v>
      </c>
      <c r="FF635" s="4">
        <v>760</v>
      </c>
      <c r="FG635" s="4">
        <v>742</v>
      </c>
      <c r="FH635" s="4">
        <v>726</v>
      </c>
      <c r="FI635" s="4">
        <v>709</v>
      </c>
      <c r="FJ635" s="4">
        <v>692</v>
      </c>
      <c r="FK635" s="4">
        <v>675</v>
      </c>
      <c r="FL635" s="4">
        <v>660</v>
      </c>
      <c r="FM635" s="4">
        <v>645</v>
      </c>
      <c r="FN635" s="4">
        <v>626</v>
      </c>
      <c r="FO635" s="4">
        <v>608</v>
      </c>
      <c r="FP635" s="4">
        <v>589</v>
      </c>
      <c r="FQ635" s="4">
        <v>570</v>
      </c>
      <c r="FR635" s="4">
        <v>547</v>
      </c>
      <c r="FS635" s="4">
        <v>524</v>
      </c>
      <c r="FT635" s="19">
        <v>39.2</v>
      </c>
      <c r="FU635" s="19">
        <v>48.7</v>
      </c>
      <c r="FV635" s="19">
        <v>45.5</v>
      </c>
      <c r="FW635" s="19">
        <v>46.7</v>
      </c>
      <c r="FX635" s="19">
        <v>45.7</v>
      </c>
      <c r="FY635" s="19">
        <v>46.9</v>
      </c>
      <c r="FZ635" s="19">
        <v>45.8</v>
      </c>
      <c r="GA635" s="19">
        <v>44.9</v>
      </c>
      <c r="GB635" s="19">
        <v>46.3</v>
      </c>
      <c r="GC635" s="19">
        <v>45.3</v>
      </c>
      <c r="GD635" s="19">
        <v>44.2</v>
      </c>
      <c r="GE635" s="19">
        <v>45.8</v>
      </c>
      <c r="GF635" s="19">
        <v>44.7</v>
      </c>
      <c r="GG635" s="19">
        <v>43.6</v>
      </c>
      <c r="GH635" s="19">
        <v>45.4</v>
      </c>
      <c r="GI635" s="19">
        <v>44.3</v>
      </c>
      <c r="GJ635" s="19">
        <v>43.3</v>
      </c>
      <c r="GK635" s="19">
        <v>39.7</v>
      </c>
      <c r="GL635" s="19">
        <v>36.7</v>
      </c>
      <c r="GM635" s="19">
        <v>33.9</v>
      </c>
      <c r="GN635" s="19">
        <v>31.3</v>
      </c>
      <c r="GO635" s="19">
        <v>29</v>
      </c>
      <c r="GP635" s="19">
        <v>26.8</v>
      </c>
      <c r="GQ635" s="19">
        <v>23.8</v>
      </c>
      <c r="GR635" s="19">
        <v>22.8</v>
      </c>
      <c r="GS635" s="19">
        <v>21.8</v>
      </c>
    </row>
    <row r="636">
      <c r="A636" s="2" t="s">
        <v>3467</v>
      </c>
      <c r="B636" s="2" t="s">
        <v>672</v>
      </c>
      <c r="C636" s="2" t="s">
        <v>246</v>
      </c>
      <c r="D636" s="2" t="s">
        <v>673</v>
      </c>
      <c r="E636" s="2" t="s">
        <v>873</v>
      </c>
      <c r="F636" s="2" t="s">
        <v>3468</v>
      </c>
      <c r="G636" s="2" t="s">
        <v>3469</v>
      </c>
      <c r="H636" s="2" t="s">
        <v>3470</v>
      </c>
      <c r="I636" s="2" t="s">
        <v>3471</v>
      </c>
      <c r="J636" s="2" t="s">
        <v>710</v>
      </c>
      <c r="K636" s="2" t="s">
        <v>405</v>
      </c>
      <c r="L636" s="3">
        <v>13.5</v>
      </c>
      <c r="M636" s="3">
        <v>14.18</v>
      </c>
      <c r="N636" s="3">
        <v>29.99</v>
      </c>
      <c r="O636" s="2" t="s">
        <v>196</v>
      </c>
      <c r="P636" s="2" t="s">
        <v>197</v>
      </c>
      <c r="Q636" s="2" t="s">
        <v>198</v>
      </c>
      <c r="R636" s="2" t="s">
        <v>199</v>
      </c>
      <c r="S636" s="2" t="s">
        <v>3472</v>
      </c>
      <c r="T636" s="2" t="s">
        <v>199</v>
      </c>
      <c r="U636" s="2" t="s">
        <v>280</v>
      </c>
      <c r="V636" s="2" t="s">
        <v>202</v>
      </c>
      <c r="W636" s="2" t="s">
        <v>1171</v>
      </c>
      <c r="X636" s="2" t="s">
        <v>873</v>
      </c>
      <c r="Y636" s="2" t="s">
        <v>3473</v>
      </c>
      <c r="Z636" s="4">
        <v>193</v>
      </c>
      <c r="AA636" s="4">
        <f>=ROUNDDOWN(48.25,0)</f>
      </c>
      <c r="AB636" s="5">
        <v>4</v>
      </c>
      <c r="AC636" s="2" t="s">
        <v>199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199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199</v>
      </c>
      <c r="BD636" s="8" t="s">
        <v>199</v>
      </c>
      <c r="BE636" s="4" t="s">
        <v>199</v>
      </c>
      <c r="BF636" s="8" t="s">
        <v>199</v>
      </c>
      <c r="BG636" s="7" t="s">
        <v>199</v>
      </c>
      <c r="BH636" s="7" t="s">
        <v>199</v>
      </c>
      <c r="BI636" s="7"/>
      <c r="BJ636" s="4">
        <v>16</v>
      </c>
      <c r="BK636" s="8">
        <v>226.46</v>
      </c>
      <c r="BL636" s="2" t="s">
        <v>3474</v>
      </c>
      <c r="BM636" s="7"/>
      <c r="BN636" s="7"/>
      <c r="BO636" s="4"/>
      <c r="BP636" s="8"/>
      <c r="BQ636" s="4"/>
      <c r="BR636" s="8"/>
      <c r="BS636" s="7"/>
      <c r="BT636" s="7"/>
      <c r="BU636" s="2" t="s">
        <v>3475</v>
      </c>
      <c r="BV636" s="2" t="s">
        <v>199</v>
      </c>
      <c r="BW636" s="2" t="s">
        <v>199</v>
      </c>
      <c r="BX636" s="2" t="s">
        <v>208</v>
      </c>
      <c r="BY636" s="2" t="s">
        <v>209</v>
      </c>
      <c r="BZ636" s="2" t="s">
        <v>196</v>
      </c>
      <c r="CA636" s="2" t="s">
        <v>1398</v>
      </c>
      <c r="CB636" s="2" t="s">
        <v>3476</v>
      </c>
      <c r="CC636" s="2" t="s">
        <v>212</v>
      </c>
      <c r="CD636" s="2" t="s">
        <v>199</v>
      </c>
      <c r="CE636" s="4">
        <v>193</v>
      </c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>
        <v>193</v>
      </c>
      <c r="EU636" s="4">
        <v>190</v>
      </c>
      <c r="EV636" s="4">
        <v>187</v>
      </c>
      <c r="EW636" s="4">
        <v>184</v>
      </c>
      <c r="EX636" s="4">
        <v>181</v>
      </c>
      <c r="EY636" s="4">
        <v>178</v>
      </c>
      <c r="EZ636" s="4">
        <v>175</v>
      </c>
      <c r="FA636" s="4">
        <v>172</v>
      </c>
      <c r="FB636" s="4">
        <v>168</v>
      </c>
      <c r="FC636" s="4">
        <v>165</v>
      </c>
      <c r="FD636" s="4">
        <v>162</v>
      </c>
      <c r="FE636" s="4">
        <v>159</v>
      </c>
      <c r="FF636" s="4">
        <v>156</v>
      </c>
      <c r="FG636" s="4">
        <v>153</v>
      </c>
      <c r="FH636" s="4">
        <v>150</v>
      </c>
      <c r="FI636" s="4">
        <v>146</v>
      </c>
      <c r="FJ636" s="4">
        <v>142</v>
      </c>
      <c r="FK636" s="4">
        <v>138</v>
      </c>
      <c r="FL636" s="4">
        <v>134</v>
      </c>
      <c r="FM636" s="4">
        <v>130</v>
      </c>
      <c r="FN636" s="4">
        <v>126</v>
      </c>
      <c r="FO636" s="4">
        <v>122</v>
      </c>
      <c r="FP636" s="4">
        <v>117</v>
      </c>
      <c r="FQ636" s="4">
        <v>113</v>
      </c>
      <c r="FR636" s="4">
        <v>109</v>
      </c>
      <c r="FS636" s="4">
        <v>105</v>
      </c>
      <c r="FT636" s="19">
        <v>64.3</v>
      </c>
      <c r="FU636" s="19">
        <v>63.3</v>
      </c>
      <c r="FV636" s="19">
        <v>62.3</v>
      </c>
      <c r="FW636" s="19">
        <v>61.3</v>
      </c>
      <c r="FX636" s="19">
        <v>60.3</v>
      </c>
      <c r="FY636" s="19">
        <v>59.3</v>
      </c>
      <c r="FZ636" s="19">
        <v>58.3</v>
      </c>
      <c r="GA636" s="19">
        <v>57.3</v>
      </c>
      <c r="GB636" s="19">
        <v>56</v>
      </c>
      <c r="GC636" s="19">
        <v>55</v>
      </c>
      <c r="GD636" s="19">
        <v>54</v>
      </c>
      <c r="GE636" s="19">
        <v>53</v>
      </c>
      <c r="GF636" s="19">
        <v>39</v>
      </c>
      <c r="GG636" s="19">
        <v>38.3</v>
      </c>
      <c r="GH636" s="19">
        <v>37.5</v>
      </c>
      <c r="GI636" s="19">
        <v>36.5</v>
      </c>
      <c r="GJ636" s="19">
        <v>35.5</v>
      </c>
      <c r="GK636" s="19">
        <v>34.5</v>
      </c>
      <c r="GL636" s="19">
        <v>33.5</v>
      </c>
      <c r="GM636" s="19">
        <v>32.5</v>
      </c>
      <c r="GN636" s="19">
        <v>31.5</v>
      </c>
      <c r="GO636" s="19">
        <v>30.5</v>
      </c>
      <c r="GP636" s="19">
        <v>29.3</v>
      </c>
      <c r="GQ636" s="19">
        <v>28.3</v>
      </c>
      <c r="GR636" s="19">
        <v>27.3</v>
      </c>
      <c r="GS636" s="19">
        <v>26.3</v>
      </c>
    </row>
    <row r="637">
      <c r="A637" s="2" t="s">
        <v>3477</v>
      </c>
      <c r="B637" s="2" t="s">
        <v>672</v>
      </c>
      <c r="C637" s="2" t="s">
        <v>246</v>
      </c>
      <c r="D637" s="2" t="s">
        <v>673</v>
      </c>
      <c r="E637" s="2" t="s">
        <v>873</v>
      </c>
      <c r="F637" s="2" t="s">
        <v>3468</v>
      </c>
      <c r="G637" s="2" t="s">
        <v>3469</v>
      </c>
      <c r="H637" s="2" t="s">
        <v>3470</v>
      </c>
      <c r="I637" s="2" t="s">
        <v>3471</v>
      </c>
      <c r="J637" s="2" t="s">
        <v>710</v>
      </c>
      <c r="K637" s="2" t="s">
        <v>2996</v>
      </c>
      <c r="L637" s="3">
        <v>13.5</v>
      </c>
      <c r="M637" s="3">
        <v>14.18</v>
      </c>
      <c r="N637" s="3">
        <v>29.99</v>
      </c>
      <c r="O637" s="2" t="s">
        <v>196</v>
      </c>
      <c r="P637" s="2" t="s">
        <v>197</v>
      </c>
      <c r="Q637" s="2" t="s">
        <v>198</v>
      </c>
      <c r="R637" s="2" t="s">
        <v>199</v>
      </c>
      <c r="S637" s="2" t="s">
        <v>3478</v>
      </c>
      <c r="T637" s="2" t="s">
        <v>199</v>
      </c>
      <c r="U637" s="2" t="s">
        <v>280</v>
      </c>
      <c r="V637" s="2" t="s">
        <v>202</v>
      </c>
      <c r="W637" s="2" t="s">
        <v>1171</v>
      </c>
      <c r="X637" s="2" t="s">
        <v>873</v>
      </c>
      <c r="Y637" s="2" t="s">
        <v>2036</v>
      </c>
      <c r="Z637" s="4">
        <v>414</v>
      </c>
      <c r="AA637" s="4">
        <f>=ROUNDDOWN(59.1428571428571,0)</f>
      </c>
      <c r="AB637" s="5">
        <v>7</v>
      </c>
      <c r="AC637" s="2" t="s">
        <v>199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199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199</v>
      </c>
      <c r="BD637" s="8" t="s">
        <v>199</v>
      </c>
      <c r="BE637" s="4" t="s">
        <v>199</v>
      </c>
      <c r="BF637" s="8" t="s">
        <v>199</v>
      </c>
      <c r="BG637" s="7" t="s">
        <v>199</v>
      </c>
      <c r="BH637" s="7" t="s">
        <v>199</v>
      </c>
      <c r="BI637" s="7"/>
      <c r="BJ637" s="4">
        <v>18</v>
      </c>
      <c r="BK637" s="8">
        <v>263.38</v>
      </c>
      <c r="BL637" s="2" t="s">
        <v>3479</v>
      </c>
      <c r="BM637" s="7"/>
      <c r="BN637" s="7"/>
      <c r="BO637" s="4"/>
      <c r="BP637" s="8"/>
      <c r="BQ637" s="4"/>
      <c r="BR637" s="8"/>
      <c r="BS637" s="7"/>
      <c r="BT637" s="7"/>
      <c r="BU637" s="2" t="s">
        <v>3475</v>
      </c>
      <c r="BV637" s="2" t="s">
        <v>199</v>
      </c>
      <c r="BW637" s="2" t="s">
        <v>199</v>
      </c>
      <c r="BX637" s="2" t="s">
        <v>208</v>
      </c>
      <c r="BY637" s="2" t="s">
        <v>209</v>
      </c>
      <c r="BZ637" s="2" t="s">
        <v>196</v>
      </c>
      <c r="CA637" s="2" t="s">
        <v>3480</v>
      </c>
      <c r="CB637" s="2" t="s">
        <v>3481</v>
      </c>
      <c r="CC637" s="2" t="s">
        <v>212</v>
      </c>
      <c r="CD637" s="2" t="s">
        <v>199</v>
      </c>
      <c r="CE637" s="4">
        <v>414</v>
      </c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>
        <v>422</v>
      </c>
      <c r="EU637" s="4">
        <v>408</v>
      </c>
      <c r="EV637" s="4">
        <v>402</v>
      </c>
      <c r="EW637" s="4">
        <v>396</v>
      </c>
      <c r="EX637" s="4">
        <v>390</v>
      </c>
      <c r="EY637" s="4">
        <v>384</v>
      </c>
      <c r="EZ637" s="4">
        <v>378</v>
      </c>
      <c r="FA637" s="4">
        <v>372</v>
      </c>
      <c r="FB637" s="4">
        <v>365</v>
      </c>
      <c r="FC637" s="4">
        <v>359</v>
      </c>
      <c r="FD637" s="4">
        <v>353</v>
      </c>
      <c r="FE637" s="4">
        <v>347</v>
      </c>
      <c r="FF637" s="4">
        <v>341</v>
      </c>
      <c r="FG637" s="4">
        <v>335</v>
      </c>
      <c r="FH637" s="4">
        <v>329</v>
      </c>
      <c r="FI637" s="4">
        <v>323</v>
      </c>
      <c r="FJ637" s="4">
        <v>317</v>
      </c>
      <c r="FK637" s="4">
        <v>311</v>
      </c>
      <c r="FL637" s="4">
        <v>305</v>
      </c>
      <c r="FM637" s="4">
        <v>299</v>
      </c>
      <c r="FN637" s="4">
        <v>293</v>
      </c>
      <c r="FO637" s="4">
        <v>287</v>
      </c>
      <c r="FP637" s="4">
        <v>280</v>
      </c>
      <c r="FQ637" s="4">
        <v>274</v>
      </c>
      <c r="FR637" s="4">
        <v>268</v>
      </c>
      <c r="FS637" s="4">
        <v>262</v>
      </c>
      <c r="FT637" s="19">
        <v>52.8</v>
      </c>
      <c r="FU637" s="19">
        <v>68</v>
      </c>
      <c r="FV637" s="19">
        <v>67</v>
      </c>
      <c r="FW637" s="19">
        <v>66</v>
      </c>
      <c r="FX637" s="19">
        <v>65</v>
      </c>
      <c r="FY637" s="19">
        <v>64</v>
      </c>
      <c r="FZ637" s="19">
        <v>63</v>
      </c>
      <c r="GA637" s="19">
        <v>62</v>
      </c>
      <c r="GB637" s="19">
        <v>60.8</v>
      </c>
      <c r="GC637" s="19">
        <v>59.8</v>
      </c>
      <c r="GD637" s="19">
        <v>58.8</v>
      </c>
      <c r="GE637" s="19">
        <v>57.8</v>
      </c>
      <c r="GF637" s="19">
        <v>56.8</v>
      </c>
      <c r="GG637" s="19">
        <v>55.8</v>
      </c>
      <c r="GH637" s="19">
        <v>54.8</v>
      </c>
      <c r="GI637" s="19">
        <v>53.8</v>
      </c>
      <c r="GJ637" s="19">
        <v>52.8</v>
      </c>
      <c r="GK637" s="19">
        <v>51.8</v>
      </c>
      <c r="GL637" s="19">
        <v>50.8</v>
      </c>
      <c r="GM637" s="19">
        <v>49.8</v>
      </c>
      <c r="GN637" s="19">
        <v>48.8</v>
      </c>
      <c r="GO637" s="19">
        <v>47.8</v>
      </c>
      <c r="GP637" s="19">
        <v>46.7</v>
      </c>
      <c r="GQ637" s="19">
        <v>45.7</v>
      </c>
      <c r="GR637" s="19">
        <v>44.7</v>
      </c>
      <c r="GS637" s="19">
        <v>43.7</v>
      </c>
    </row>
    <row r="638">
      <c r="A638" s="2" t="s">
        <v>3482</v>
      </c>
      <c r="B638" s="2" t="s">
        <v>630</v>
      </c>
      <c r="C638" s="2" t="s">
        <v>295</v>
      </c>
      <c r="D638" s="2" t="s">
        <v>759</v>
      </c>
      <c r="E638" s="2" t="s">
        <v>2456</v>
      </c>
      <c r="F638" s="2" t="s">
        <v>3483</v>
      </c>
      <c r="G638" s="2" t="s">
        <v>3484</v>
      </c>
      <c r="H638" s="2" t="s">
        <v>3485</v>
      </c>
      <c r="I638" s="2" t="s">
        <v>2464</v>
      </c>
      <c r="J638" s="2" t="s">
        <v>194</v>
      </c>
      <c r="K638" s="2" t="s">
        <v>360</v>
      </c>
      <c r="L638" s="3">
        <v>46.28</v>
      </c>
      <c r="M638" s="3">
        <v>48.59</v>
      </c>
      <c r="N638" s="3">
        <v>89</v>
      </c>
      <c r="O638" s="2" t="s">
        <v>196</v>
      </c>
      <c r="P638" s="2" t="s">
        <v>197</v>
      </c>
      <c r="Q638" s="2" t="s">
        <v>198</v>
      </c>
      <c r="R638" s="2" t="s">
        <v>199</v>
      </c>
      <c r="S638" s="2" t="s">
        <v>3486</v>
      </c>
      <c r="T638" s="2" t="s">
        <v>386</v>
      </c>
      <c r="U638" s="2" t="s">
        <v>546</v>
      </c>
      <c r="V638" s="2" t="s">
        <v>301</v>
      </c>
      <c r="W638" s="2" t="s">
        <v>510</v>
      </c>
      <c r="X638" s="2" t="s">
        <v>199</v>
      </c>
      <c r="Y638" s="2" t="s">
        <v>3487</v>
      </c>
      <c r="Z638" s="4">
        <v>200</v>
      </c>
      <c r="AA638" s="4">
        <f>=ROUNDDOWN(66.6666666666667,0)</f>
      </c>
      <c r="AB638" s="5">
        <v>3</v>
      </c>
      <c r="AC638" s="2" t="s">
        <v>199</v>
      </c>
      <c r="AD638" s="4"/>
      <c r="AE638" s="4"/>
      <c r="AF638" s="6">
        <v>65</v>
      </c>
      <c r="AG638" s="6">
        <v>73</v>
      </c>
      <c r="AH638" s="7">
        <v>1</v>
      </c>
      <c r="AI638" s="4"/>
      <c r="AJ638" s="4">
        <f>=ROUNDDOWN({0},0)</f>
      </c>
      <c r="AK638" s="5"/>
      <c r="AL638" s="2" t="s">
        <v>199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10</v>
      </c>
      <c r="BK638" s="8">
        <v>480.07</v>
      </c>
      <c r="BL638" s="2" t="s">
        <v>1513</v>
      </c>
      <c r="BM638" s="7"/>
      <c r="BN638" s="7"/>
      <c r="BO638" s="4"/>
      <c r="BP638" s="8"/>
      <c r="BQ638" s="4"/>
      <c r="BR638" s="8"/>
      <c r="BS638" s="7"/>
      <c r="BT638" s="7"/>
      <c r="BU638" s="2" t="s">
        <v>3488</v>
      </c>
      <c r="BV638" s="2" t="s">
        <v>199</v>
      </c>
      <c r="BW638" s="2" t="s">
        <v>199</v>
      </c>
      <c r="BX638" s="2" t="s">
        <v>208</v>
      </c>
      <c r="BY638" s="2" t="s">
        <v>209</v>
      </c>
      <c r="BZ638" s="2" t="s">
        <v>196</v>
      </c>
      <c r="CA638" s="2" t="s">
        <v>3489</v>
      </c>
      <c r="CB638" s="2" t="s">
        <v>3490</v>
      </c>
      <c r="CC638" s="2" t="s">
        <v>212</v>
      </c>
      <c r="CD638" s="2" t="s">
        <v>199</v>
      </c>
      <c r="CE638" s="4">
        <v>117</v>
      </c>
      <c r="CF638" s="4"/>
      <c r="CG638" s="4"/>
      <c r="CH638" s="4">
        <v>43</v>
      </c>
      <c r="CI638" s="4"/>
      <c r="CJ638" s="4"/>
      <c r="CK638" s="4"/>
      <c r="CL638" s="4"/>
      <c r="CM638" s="4"/>
      <c r="CN638" s="4"/>
      <c r="CO638" s="4"/>
      <c r="CP638" s="4">
        <v>40</v>
      </c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>
        <v>201</v>
      </c>
      <c r="EU638" s="4">
        <v>198</v>
      </c>
      <c r="EV638" s="4">
        <v>196</v>
      </c>
      <c r="EW638" s="4">
        <v>194</v>
      </c>
      <c r="EX638" s="4">
        <v>192</v>
      </c>
      <c r="EY638" s="4">
        <v>190</v>
      </c>
      <c r="EZ638" s="4">
        <v>188</v>
      </c>
      <c r="FA638" s="4">
        <v>186</v>
      </c>
      <c r="FB638" s="4">
        <v>184</v>
      </c>
      <c r="FC638" s="4">
        <v>181</v>
      </c>
      <c r="FD638" s="4">
        <v>178</v>
      </c>
      <c r="FE638" s="4">
        <v>175</v>
      </c>
      <c r="FF638" s="4">
        <v>172</v>
      </c>
      <c r="FG638" s="4">
        <v>169</v>
      </c>
      <c r="FH638" s="4">
        <v>166</v>
      </c>
      <c r="FI638" s="4">
        <v>163</v>
      </c>
      <c r="FJ638" s="4">
        <v>160</v>
      </c>
      <c r="FK638" s="4">
        <v>157</v>
      </c>
      <c r="FL638" s="4">
        <v>154</v>
      </c>
      <c r="FM638" s="4">
        <v>151</v>
      </c>
      <c r="FN638" s="4">
        <v>148</v>
      </c>
      <c r="FO638" s="4">
        <v>145</v>
      </c>
      <c r="FP638" s="4">
        <v>142</v>
      </c>
      <c r="FQ638" s="4">
        <v>138</v>
      </c>
      <c r="FR638" s="4">
        <v>134</v>
      </c>
      <c r="FS638" s="4">
        <v>131</v>
      </c>
      <c r="FT638" s="19">
        <v>100.5</v>
      </c>
      <c r="FU638" s="19">
        <v>99</v>
      </c>
      <c r="FV638" s="19">
        <v>98</v>
      </c>
      <c r="FW638" s="19">
        <v>97</v>
      </c>
      <c r="FX638" s="19">
        <v>96</v>
      </c>
      <c r="FY638" s="19">
        <v>95</v>
      </c>
      <c r="FZ638" s="19">
        <v>66.3</v>
      </c>
      <c r="GA638" s="19">
        <v>65.5</v>
      </c>
      <c r="GB638" s="19">
        <v>64.8</v>
      </c>
      <c r="GC638" s="19">
        <v>63.8</v>
      </c>
      <c r="GD638" s="19">
        <v>62.8</v>
      </c>
      <c r="GE638" s="19">
        <v>61.8</v>
      </c>
      <c r="GF638" s="19">
        <v>60.8</v>
      </c>
      <c r="GG638" s="19">
        <v>59.8</v>
      </c>
      <c r="GH638" s="19">
        <v>58.8</v>
      </c>
      <c r="GI638" s="19">
        <v>57.8</v>
      </c>
      <c r="GJ638" s="19">
        <v>56.8</v>
      </c>
      <c r="GK638" s="19">
        <v>55.8</v>
      </c>
      <c r="GL638" s="19">
        <v>54.8</v>
      </c>
      <c r="GM638" s="19">
        <v>53.8</v>
      </c>
      <c r="GN638" s="19">
        <v>52.8</v>
      </c>
      <c r="GO638" s="19">
        <v>51.8</v>
      </c>
      <c r="GP638" s="19">
        <v>50.8</v>
      </c>
      <c r="GQ638" s="19">
        <v>49.5</v>
      </c>
      <c r="GR638" s="19">
        <v>48.3</v>
      </c>
      <c r="GS638" s="19">
        <v>47.3</v>
      </c>
    </row>
    <row r="639">
      <c r="A639" s="2" t="s">
        <v>3491</v>
      </c>
      <c r="B639" s="2" t="s">
        <v>1019</v>
      </c>
      <c r="C639" s="2" t="s">
        <v>246</v>
      </c>
      <c r="D639" s="2" t="s">
        <v>1021</v>
      </c>
      <c r="E639" s="2" t="s">
        <v>1022</v>
      </c>
      <c r="F639" s="2" t="s">
        <v>3492</v>
      </c>
      <c r="G639" s="2" t="s">
        <v>3493</v>
      </c>
      <c r="H639" s="2" t="s">
        <v>3493</v>
      </c>
      <c r="I639" s="2" t="s">
        <v>3494</v>
      </c>
      <c r="J639" s="2" t="s">
        <v>1991</v>
      </c>
      <c r="K639" s="2" t="s">
        <v>405</v>
      </c>
      <c r="L639" s="3">
        <v>14.85</v>
      </c>
      <c r="M639" s="3">
        <v>15.59</v>
      </c>
      <c r="N639" s="3">
        <v>32.99</v>
      </c>
      <c r="O639" s="2" t="s">
        <v>196</v>
      </c>
      <c r="P639" s="2" t="s">
        <v>197</v>
      </c>
      <c r="Q639" s="2" t="s">
        <v>198</v>
      </c>
      <c r="R639" s="2" t="s">
        <v>199</v>
      </c>
      <c r="S639" s="2" t="s">
        <v>3495</v>
      </c>
      <c r="T639" s="2" t="s">
        <v>1969</v>
      </c>
      <c r="U639" s="2" t="s">
        <v>280</v>
      </c>
      <c r="V639" s="2" t="s">
        <v>562</v>
      </c>
      <c r="W639" s="2" t="s">
        <v>510</v>
      </c>
      <c r="X639" s="2" t="s">
        <v>255</v>
      </c>
      <c r="Y639" s="2" t="s">
        <v>3496</v>
      </c>
      <c r="Z639" s="4">
        <v>1230</v>
      </c>
      <c r="AA639" s="4">
        <f>=ROUNDDOWN(146.428571428571,0)</f>
      </c>
      <c r="AB639" s="5">
        <v>8.4</v>
      </c>
      <c r="AC639" s="2" t="s">
        <v>199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199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520</v>
      </c>
      <c r="BK639" s="8">
        <v>7852.96</v>
      </c>
      <c r="BL639" s="2" t="s">
        <v>3497</v>
      </c>
      <c r="BM639" s="7"/>
      <c r="BN639" s="7"/>
      <c r="BO639" s="4"/>
      <c r="BP639" s="8"/>
      <c r="BQ639" s="4"/>
      <c r="BR639" s="8"/>
      <c r="BS639" s="7"/>
      <c r="BT639" s="7"/>
      <c r="BU639" s="2" t="s">
        <v>3498</v>
      </c>
      <c r="BV639" s="2" t="s">
        <v>199</v>
      </c>
      <c r="BW639" s="2" t="s">
        <v>199</v>
      </c>
      <c r="BX639" s="2" t="s">
        <v>208</v>
      </c>
      <c r="BY639" s="2" t="s">
        <v>209</v>
      </c>
      <c r="BZ639" s="2" t="s">
        <v>196</v>
      </c>
      <c r="CA639" s="2" t="s">
        <v>3496</v>
      </c>
      <c r="CB639" s="2" t="s">
        <v>1868</v>
      </c>
      <c r="CC639" s="2" t="s">
        <v>212</v>
      </c>
      <c r="CD639" s="2" t="s">
        <v>199</v>
      </c>
      <c r="CE639" s="4">
        <v>1230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>
        <v>1236</v>
      </c>
      <c r="EU639" s="4">
        <v>1215</v>
      </c>
      <c r="EV639" s="4">
        <v>1199</v>
      </c>
      <c r="EW639" s="4">
        <v>1183</v>
      </c>
      <c r="EX639" s="4">
        <v>1167</v>
      </c>
      <c r="EY639" s="4">
        <v>1151</v>
      </c>
      <c r="EZ639" s="4">
        <v>1143</v>
      </c>
      <c r="FA639" s="4">
        <v>1135</v>
      </c>
      <c r="FB639" s="4">
        <v>1126</v>
      </c>
      <c r="FC639" s="4">
        <v>1118</v>
      </c>
      <c r="FD639" s="4">
        <v>1110</v>
      </c>
      <c r="FE639" s="4">
        <v>1102</v>
      </c>
      <c r="FF639" s="4">
        <v>1094</v>
      </c>
      <c r="FG639" s="4">
        <v>1086</v>
      </c>
      <c r="FH639" s="4">
        <v>1078</v>
      </c>
      <c r="FI639" s="4">
        <v>1070</v>
      </c>
      <c r="FJ639" s="4">
        <v>1062</v>
      </c>
      <c r="FK639" s="4">
        <v>1054</v>
      </c>
      <c r="FL639" s="4">
        <v>1046</v>
      </c>
      <c r="FM639" s="4">
        <v>1038</v>
      </c>
      <c r="FN639" s="4">
        <v>1030</v>
      </c>
      <c r="FO639" s="4">
        <v>1022</v>
      </c>
      <c r="FP639" s="4">
        <v>1013</v>
      </c>
      <c r="FQ639" s="4">
        <v>1005</v>
      </c>
      <c r="FR639" s="4">
        <v>997</v>
      </c>
      <c r="FS639" s="4">
        <v>989</v>
      </c>
      <c r="FT639" s="19">
        <v>72.7</v>
      </c>
      <c r="FU639" s="19">
        <v>75.9</v>
      </c>
      <c r="FV639" s="19">
        <v>85.6</v>
      </c>
      <c r="FW639" s="19">
        <v>98.6</v>
      </c>
      <c r="FX639" s="19">
        <v>116.7</v>
      </c>
      <c r="FY639" s="19">
        <v>143.9</v>
      </c>
      <c r="FZ639" s="19">
        <v>142.9</v>
      </c>
      <c r="GA639" s="19">
        <v>141.9</v>
      </c>
      <c r="GB639" s="19">
        <v>140.8</v>
      </c>
      <c r="GC639" s="19">
        <v>139.8</v>
      </c>
      <c r="GD639" s="19">
        <v>138.8</v>
      </c>
      <c r="GE639" s="19">
        <v>137.8</v>
      </c>
      <c r="GF639" s="19">
        <v>136.8</v>
      </c>
      <c r="GG639" s="19">
        <v>135.8</v>
      </c>
      <c r="GH639" s="19">
        <v>134.8</v>
      </c>
      <c r="GI639" s="19">
        <v>133.8</v>
      </c>
      <c r="GJ639" s="19">
        <v>132.8</v>
      </c>
      <c r="GK639" s="19">
        <v>131.8</v>
      </c>
      <c r="GL639" s="19">
        <v>130.8</v>
      </c>
      <c r="GM639" s="19">
        <v>129.8</v>
      </c>
      <c r="GN639" s="19">
        <v>128.8</v>
      </c>
      <c r="GO639" s="19">
        <v>127.8</v>
      </c>
      <c r="GP639" s="19">
        <v>126.6</v>
      </c>
      <c r="GQ639" s="19">
        <v>125.6</v>
      </c>
      <c r="GR639" s="19">
        <v>124.6</v>
      </c>
      <c r="GS639" s="19">
        <v>123.6</v>
      </c>
    </row>
    <row r="640">
      <c r="A640" s="2" t="s">
        <v>3499</v>
      </c>
      <c r="B640" s="2" t="s">
        <v>630</v>
      </c>
      <c r="C640" s="2" t="s">
        <v>1377</v>
      </c>
      <c r="D640" s="2" t="s">
        <v>631</v>
      </c>
      <c r="E640" s="2" t="s">
        <v>720</v>
      </c>
      <c r="F640" s="2" t="s">
        <v>3500</v>
      </c>
      <c r="G640" s="2" t="s">
        <v>3500</v>
      </c>
      <c r="H640" s="2" t="s">
        <v>3500</v>
      </c>
      <c r="I640" s="2" t="s">
        <v>3501</v>
      </c>
      <c r="J640" s="2" t="s">
        <v>232</v>
      </c>
      <c r="K640" s="2" t="s">
        <v>3502</v>
      </c>
      <c r="L640" s="3">
        <v>75.2</v>
      </c>
      <c r="M640" s="3">
        <v>78.96</v>
      </c>
      <c r="N640" s="3">
        <v>159.99</v>
      </c>
      <c r="O640" s="2" t="s">
        <v>196</v>
      </c>
      <c r="P640" s="2" t="s">
        <v>621</v>
      </c>
      <c r="Q640" s="2" t="s">
        <v>198</v>
      </c>
      <c r="R640" s="2" t="s">
        <v>199</v>
      </c>
      <c r="S640" s="2" t="s">
        <v>3503</v>
      </c>
      <c r="T640" s="2" t="s">
        <v>300</v>
      </c>
      <c r="U640" s="2" t="s">
        <v>637</v>
      </c>
      <c r="V640" s="2" t="s">
        <v>1381</v>
      </c>
      <c r="W640" s="2" t="s">
        <v>510</v>
      </c>
      <c r="X640" s="2" t="s">
        <v>199</v>
      </c>
      <c r="Y640" s="2" t="s">
        <v>3504</v>
      </c>
      <c r="Z640" s="4">
        <v>181</v>
      </c>
      <c r="AA640" s="4">
        <f>=ROUNDDOWN(30.1666666666667,0)</f>
      </c>
      <c r="AB640" s="5">
        <v>6</v>
      </c>
      <c r="AC640" s="2" t="s">
        <v>199</v>
      </c>
      <c r="AD640" s="4"/>
      <c r="AE640" s="4"/>
      <c r="AF640" s="6">
        <v>63</v>
      </c>
      <c r="AG640" s="6"/>
      <c r="AH640" s="7">
        <v>0.2903</v>
      </c>
      <c r="AI640" s="4"/>
      <c r="AJ640" s="4">
        <f>=ROUNDDOWN({0},0)</f>
      </c>
      <c r="AK640" s="5"/>
      <c r="AL640" s="2" t="s">
        <v>199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>
        <v>31</v>
      </c>
      <c r="BK640" s="8">
        <v>2385.66</v>
      </c>
      <c r="BL640" s="2" t="s">
        <v>731</v>
      </c>
      <c r="BM640" s="7"/>
      <c r="BN640" s="7"/>
      <c r="BO640" s="4"/>
      <c r="BP640" s="8"/>
      <c r="BQ640" s="4"/>
      <c r="BR640" s="8"/>
      <c r="BS640" s="7"/>
      <c r="BT640" s="7"/>
      <c r="BU640" s="2" t="s">
        <v>3505</v>
      </c>
      <c r="BV640" s="2" t="s">
        <v>199</v>
      </c>
      <c r="BW640" s="2" t="s">
        <v>199</v>
      </c>
      <c r="BX640" s="2" t="s">
        <v>208</v>
      </c>
      <c r="BY640" s="2" t="s">
        <v>209</v>
      </c>
      <c r="BZ640" s="2" t="s">
        <v>196</v>
      </c>
      <c r="CA640" s="2" t="s">
        <v>1580</v>
      </c>
      <c r="CB640" s="2" t="s">
        <v>1743</v>
      </c>
      <c r="CC640" s="2" t="s">
        <v>212</v>
      </c>
      <c r="CD640" s="2" t="s">
        <v>199</v>
      </c>
      <c r="CE640" s="4">
        <v>181</v>
      </c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>
        <v>189</v>
      </c>
      <c r="EU640" s="4">
        <v>180</v>
      </c>
      <c r="EV640" s="4">
        <v>176</v>
      </c>
      <c r="EW640" s="4">
        <v>173</v>
      </c>
      <c r="EX640" s="4">
        <v>170</v>
      </c>
      <c r="EY640" s="4">
        <v>166</v>
      </c>
      <c r="EZ640" s="4">
        <v>161</v>
      </c>
      <c r="FA640" s="4">
        <v>155</v>
      </c>
      <c r="FB640" s="4">
        <v>149</v>
      </c>
      <c r="FC640" s="4">
        <v>143</v>
      </c>
      <c r="FD640" s="4">
        <v>137</v>
      </c>
      <c r="FE640" s="4">
        <v>131</v>
      </c>
      <c r="FF640" s="4">
        <v>125</v>
      </c>
      <c r="FG640" s="4">
        <v>119</v>
      </c>
      <c r="FH640" s="4">
        <v>113</v>
      </c>
      <c r="FI640" s="4">
        <v>107</v>
      </c>
      <c r="FJ640" s="4">
        <v>101</v>
      </c>
      <c r="FK640" s="4">
        <v>171</v>
      </c>
      <c r="FL640" s="4">
        <v>165</v>
      </c>
      <c r="FM640" s="4">
        <v>159</v>
      </c>
      <c r="FN640" s="4">
        <v>153</v>
      </c>
      <c r="FO640" s="4">
        <v>147</v>
      </c>
      <c r="FP640" s="4">
        <v>141</v>
      </c>
      <c r="FQ640" s="4">
        <v>136</v>
      </c>
      <c r="FR640" s="4">
        <v>130</v>
      </c>
      <c r="FS640" s="4">
        <v>124</v>
      </c>
      <c r="FT640" s="19">
        <v>37.8</v>
      </c>
      <c r="FU640" s="19">
        <v>45</v>
      </c>
      <c r="FV640" s="19">
        <v>44</v>
      </c>
      <c r="FW640" s="19">
        <v>43.3</v>
      </c>
      <c r="FX640" s="19">
        <v>34</v>
      </c>
      <c r="FY640" s="19">
        <v>27.7</v>
      </c>
      <c r="FZ640" s="19">
        <v>26.8</v>
      </c>
      <c r="GA640" s="19">
        <v>25.8</v>
      </c>
      <c r="GB640" s="19">
        <v>24.8</v>
      </c>
      <c r="GC640" s="19">
        <v>23.8</v>
      </c>
      <c r="GD640" s="19">
        <v>22.8</v>
      </c>
      <c r="GE640" s="19">
        <v>21.8</v>
      </c>
      <c r="GF640" s="19">
        <v>20.8</v>
      </c>
      <c r="GG640" s="19">
        <v>19.8</v>
      </c>
      <c r="GH640" s="19">
        <v>18.8</v>
      </c>
      <c r="GI640" s="19">
        <v>17.8</v>
      </c>
      <c r="GJ640" s="19">
        <v>16.8</v>
      </c>
      <c r="GK640" s="19">
        <v>28.5</v>
      </c>
      <c r="GL640" s="19">
        <v>27.5</v>
      </c>
      <c r="GM640" s="19">
        <v>26.5</v>
      </c>
      <c r="GN640" s="19">
        <v>25.5</v>
      </c>
      <c r="GO640" s="19">
        <v>24.5</v>
      </c>
      <c r="GP640" s="19">
        <v>23.5</v>
      </c>
      <c r="GQ640" s="19">
        <v>22.7</v>
      </c>
      <c r="GR640" s="19">
        <v>21.7</v>
      </c>
      <c r="GS640" s="19">
        <v>20.7</v>
      </c>
    </row>
    <row r="641">
      <c r="A641" s="2" t="s">
        <v>3506</v>
      </c>
      <c r="B641" s="2" t="s">
        <v>672</v>
      </c>
      <c r="C641" s="2" t="s">
        <v>246</v>
      </c>
      <c r="D641" s="2" t="s">
        <v>673</v>
      </c>
      <c r="E641" s="2" t="s">
        <v>674</v>
      </c>
      <c r="F641" s="2" t="s">
        <v>3507</v>
      </c>
      <c r="G641" s="2" t="s">
        <v>3508</v>
      </c>
      <c r="H641" s="2" t="s">
        <v>3509</v>
      </c>
      <c r="I641" s="2" t="s">
        <v>3510</v>
      </c>
      <c r="J641" s="2" t="s">
        <v>679</v>
      </c>
      <c r="K641" s="2" t="s">
        <v>3511</v>
      </c>
      <c r="L641" s="3">
        <v>15.75</v>
      </c>
      <c r="M641" s="3">
        <v>16.54</v>
      </c>
      <c r="N641" s="3">
        <v>34.99</v>
      </c>
      <c r="O641" s="2" t="s">
        <v>196</v>
      </c>
      <c r="P641" s="2" t="s">
        <v>197</v>
      </c>
      <c r="Q641" s="2" t="s">
        <v>198</v>
      </c>
      <c r="R641" s="2" t="s">
        <v>199</v>
      </c>
      <c r="S641" s="2" t="s">
        <v>3512</v>
      </c>
      <c r="T641" s="2" t="s">
        <v>199</v>
      </c>
      <c r="U641" s="2" t="s">
        <v>280</v>
      </c>
      <c r="V641" s="2" t="s">
        <v>622</v>
      </c>
      <c r="W641" s="2" t="s">
        <v>510</v>
      </c>
      <c r="X641" s="2" t="s">
        <v>682</v>
      </c>
      <c r="Y641" s="2" t="s">
        <v>204</v>
      </c>
      <c r="Z641" s="4">
        <v>749</v>
      </c>
      <c r="AA641" s="4">
        <f>=ROUNDDOWN(44.0588235294118,0)</f>
      </c>
      <c r="AB641" s="5">
        <v>17</v>
      </c>
      <c r="AC641" s="2" t="s">
        <v>1160</v>
      </c>
      <c r="AD641" s="4">
        <v>220</v>
      </c>
      <c r="AE641" s="4">
        <v>220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199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199</v>
      </c>
      <c r="AW641" s="8" t="s">
        <v>199</v>
      </c>
      <c r="AX641" s="4" t="s">
        <v>199</v>
      </c>
      <c r="AY641" s="8" t="s">
        <v>199</v>
      </c>
      <c r="AZ641" s="7" t="s">
        <v>199</v>
      </c>
      <c r="BA641" s="7" t="s">
        <v>199</v>
      </c>
      <c r="BB641" s="7"/>
      <c r="BC641" s="4" t="s">
        <v>199</v>
      </c>
      <c r="BD641" s="8" t="s">
        <v>199</v>
      </c>
      <c r="BE641" s="4" t="s">
        <v>199</v>
      </c>
      <c r="BF641" s="8" t="s">
        <v>199</v>
      </c>
      <c r="BG641" s="7" t="s">
        <v>199</v>
      </c>
      <c r="BH641" s="7" t="s">
        <v>199</v>
      </c>
      <c r="BI641" s="7"/>
      <c r="BJ641" s="4">
        <v>40</v>
      </c>
      <c r="BK641" s="8">
        <v>683.69</v>
      </c>
      <c r="BL641" s="2" t="s">
        <v>3513</v>
      </c>
      <c r="BM641" s="7"/>
      <c r="BN641" s="7"/>
      <c r="BO641" s="4"/>
      <c r="BP641" s="8"/>
      <c r="BQ641" s="4"/>
      <c r="BR641" s="8"/>
      <c r="BS641" s="7"/>
      <c r="BT641" s="7"/>
      <c r="BU641" s="2" t="s">
        <v>3514</v>
      </c>
      <c r="BV641" s="2" t="s">
        <v>199</v>
      </c>
      <c r="BW641" s="2" t="s">
        <v>199</v>
      </c>
      <c r="BX641" s="2" t="s">
        <v>208</v>
      </c>
      <c r="BY641" s="2" t="s">
        <v>209</v>
      </c>
      <c r="BZ641" s="2" t="s">
        <v>196</v>
      </c>
      <c r="CA641" s="2" t="s">
        <v>3515</v>
      </c>
      <c r="CB641" s="2" t="s">
        <v>747</v>
      </c>
      <c r="CC641" s="2" t="s">
        <v>212</v>
      </c>
      <c r="CD641" s="2" t="s">
        <v>199</v>
      </c>
      <c r="CE641" s="4">
        <v>749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>
        <v>220</v>
      </c>
      <c r="ET641" s="4">
        <v>749</v>
      </c>
      <c r="EU641" s="4">
        <v>722</v>
      </c>
      <c r="EV641" s="4">
        <v>705</v>
      </c>
      <c r="EW641" s="4">
        <v>688</v>
      </c>
      <c r="EX641" s="4">
        <v>671</v>
      </c>
      <c r="EY641" s="4">
        <v>654</v>
      </c>
      <c r="EZ641" s="4">
        <v>637</v>
      </c>
      <c r="FA641" s="4">
        <v>620</v>
      </c>
      <c r="FB641" s="4">
        <v>600</v>
      </c>
      <c r="FC641" s="4">
        <v>583</v>
      </c>
      <c r="FD641" s="4">
        <v>566</v>
      </c>
      <c r="FE641" s="4">
        <v>549</v>
      </c>
      <c r="FF641" s="4">
        <v>532</v>
      </c>
      <c r="FG641" s="4">
        <v>515</v>
      </c>
      <c r="FH641" s="4">
        <v>498</v>
      </c>
      <c r="FI641" s="4">
        <v>480</v>
      </c>
      <c r="FJ641" s="4">
        <v>463</v>
      </c>
      <c r="FK641" s="4">
        <v>446</v>
      </c>
      <c r="FL641" s="4">
        <v>429</v>
      </c>
      <c r="FM641" s="4">
        <v>412</v>
      </c>
      <c r="FN641" s="4">
        <v>614</v>
      </c>
      <c r="FO641" s="4">
        <v>597</v>
      </c>
      <c r="FP641" s="4">
        <v>577</v>
      </c>
      <c r="FQ641" s="4">
        <v>560</v>
      </c>
      <c r="FR641" s="4">
        <v>543</v>
      </c>
      <c r="FS641" s="4">
        <v>526</v>
      </c>
      <c r="FT641" s="19">
        <v>37.5</v>
      </c>
      <c r="FU641" s="19">
        <v>42.5</v>
      </c>
      <c r="FV641" s="19">
        <v>41.5</v>
      </c>
      <c r="FW641" s="19">
        <v>40.5</v>
      </c>
      <c r="FX641" s="19">
        <v>37.3</v>
      </c>
      <c r="FY641" s="19">
        <v>36.3</v>
      </c>
      <c r="FZ641" s="19">
        <v>35.4</v>
      </c>
      <c r="GA641" s="19">
        <v>34.4</v>
      </c>
      <c r="GB641" s="19">
        <v>35.3</v>
      </c>
      <c r="GC641" s="19">
        <v>34.3</v>
      </c>
      <c r="GD641" s="19">
        <v>33.3</v>
      </c>
      <c r="GE641" s="19">
        <v>32.3</v>
      </c>
      <c r="GF641" s="19">
        <v>31.3</v>
      </c>
      <c r="GG641" s="19">
        <v>30.3</v>
      </c>
      <c r="GH641" s="19">
        <v>29.3</v>
      </c>
      <c r="GI641" s="19">
        <v>28.2</v>
      </c>
      <c r="GJ641" s="19">
        <v>27.2</v>
      </c>
      <c r="GK641" s="19">
        <v>26.2</v>
      </c>
      <c r="GL641" s="19">
        <v>23.8</v>
      </c>
      <c r="GM641" s="19">
        <v>22.9</v>
      </c>
      <c r="GN641" s="19">
        <v>34.1</v>
      </c>
      <c r="GO641" s="19">
        <v>33.2</v>
      </c>
      <c r="GP641" s="19">
        <v>33.9</v>
      </c>
      <c r="GQ641" s="19">
        <v>31.1</v>
      </c>
      <c r="GR641" s="19">
        <v>30.2</v>
      </c>
      <c r="GS641" s="19">
        <v>29.2</v>
      </c>
    </row>
    <row r="642">
      <c r="A642" s="2" t="s">
        <v>3516</v>
      </c>
      <c r="B642" s="2" t="s">
        <v>672</v>
      </c>
      <c r="C642" s="2" t="s">
        <v>246</v>
      </c>
      <c r="D642" s="2" t="s">
        <v>673</v>
      </c>
      <c r="E642" s="2" t="s">
        <v>674</v>
      </c>
      <c r="F642" s="2" t="s">
        <v>3507</v>
      </c>
      <c r="G642" s="2" t="s">
        <v>3508</v>
      </c>
      <c r="H642" s="2" t="s">
        <v>3509</v>
      </c>
      <c r="I642" s="2" t="s">
        <v>3510</v>
      </c>
      <c r="J642" s="2" t="s">
        <v>804</v>
      </c>
      <c r="K642" s="2" t="s">
        <v>3511</v>
      </c>
      <c r="L642" s="3">
        <v>20.7</v>
      </c>
      <c r="M642" s="3">
        <v>21.74</v>
      </c>
      <c r="N642" s="3">
        <v>44.99</v>
      </c>
      <c r="O642" s="2" t="s">
        <v>196</v>
      </c>
      <c r="P642" s="2" t="s">
        <v>197</v>
      </c>
      <c r="Q642" s="2" t="s">
        <v>198</v>
      </c>
      <c r="R642" s="2" t="s">
        <v>199</v>
      </c>
      <c r="S642" s="2" t="s">
        <v>3512</v>
      </c>
      <c r="T642" s="2" t="s">
        <v>199</v>
      </c>
      <c r="U642" s="2" t="s">
        <v>280</v>
      </c>
      <c r="V642" s="2" t="s">
        <v>622</v>
      </c>
      <c r="W642" s="2" t="s">
        <v>510</v>
      </c>
      <c r="X642" s="2" t="s">
        <v>682</v>
      </c>
      <c r="Y642" s="2" t="s">
        <v>204</v>
      </c>
      <c r="Z642" s="4">
        <v>177</v>
      </c>
      <c r="AA642" s="4">
        <f>=ROUNDDOWN(22.125,0)</f>
      </c>
      <c r="AB642" s="5">
        <v>8</v>
      </c>
      <c r="AC642" s="2" t="s">
        <v>1936</v>
      </c>
      <c r="AD642" s="4">
        <v>172</v>
      </c>
      <c r="AE642" s="4">
        <v>252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199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199</v>
      </c>
      <c r="AW642" s="8" t="s">
        <v>199</v>
      </c>
      <c r="AX642" s="4" t="s">
        <v>199</v>
      </c>
      <c r="AY642" s="8" t="s">
        <v>199</v>
      </c>
      <c r="AZ642" s="7" t="s">
        <v>199</v>
      </c>
      <c r="BA642" s="7" t="s">
        <v>199</v>
      </c>
      <c r="BB642" s="7"/>
      <c r="BC642" s="4" t="s">
        <v>199</v>
      </c>
      <c r="BD642" s="8" t="s">
        <v>199</v>
      </c>
      <c r="BE642" s="4" t="s">
        <v>199</v>
      </c>
      <c r="BF642" s="8" t="s">
        <v>199</v>
      </c>
      <c r="BG642" s="7" t="s">
        <v>199</v>
      </c>
      <c r="BH642" s="7" t="s">
        <v>199</v>
      </c>
      <c r="BI642" s="7"/>
      <c r="BJ642" s="4">
        <v>3</v>
      </c>
      <c r="BK642" s="8">
        <v>106.8</v>
      </c>
      <c r="BL642" s="2" t="s">
        <v>3517</v>
      </c>
      <c r="BM642" s="7"/>
      <c r="BN642" s="7"/>
      <c r="BO642" s="4"/>
      <c r="BP642" s="8"/>
      <c r="BQ642" s="4"/>
      <c r="BR642" s="8"/>
      <c r="BS642" s="7"/>
      <c r="BT642" s="7"/>
      <c r="BU642" s="2" t="s">
        <v>3514</v>
      </c>
      <c r="BV642" s="2" t="s">
        <v>199</v>
      </c>
      <c r="BW642" s="2" t="s">
        <v>199</v>
      </c>
      <c r="BX642" s="2" t="s">
        <v>208</v>
      </c>
      <c r="BY642" s="2" t="s">
        <v>209</v>
      </c>
      <c r="BZ642" s="2" t="s">
        <v>196</v>
      </c>
      <c r="CA642" s="2" t="s">
        <v>3515</v>
      </c>
      <c r="CB642" s="2" t="s">
        <v>646</v>
      </c>
      <c r="CC642" s="2" t="s">
        <v>212</v>
      </c>
      <c r="CD642" s="2" t="s">
        <v>199</v>
      </c>
      <c r="CE642" s="4">
        <v>177</v>
      </c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>
        <v>172</v>
      </c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>
        <v>80</v>
      </c>
      <c r="ET642" s="4">
        <v>179</v>
      </c>
      <c r="EU642" s="4">
        <v>169</v>
      </c>
      <c r="EV642" s="4">
        <v>161</v>
      </c>
      <c r="EW642" s="4">
        <v>153</v>
      </c>
      <c r="EX642" s="4">
        <v>145</v>
      </c>
      <c r="EY642" s="4">
        <v>137</v>
      </c>
      <c r="EZ642" s="4">
        <v>301</v>
      </c>
      <c r="FA642" s="4">
        <v>293</v>
      </c>
      <c r="FB642" s="4">
        <v>283</v>
      </c>
      <c r="FC642" s="4">
        <v>275</v>
      </c>
      <c r="FD642" s="4">
        <v>267</v>
      </c>
      <c r="FE642" s="4">
        <v>259</v>
      </c>
      <c r="FF642" s="4">
        <v>251</v>
      </c>
      <c r="FG642" s="4">
        <v>243</v>
      </c>
      <c r="FH642" s="4">
        <v>235</v>
      </c>
      <c r="FI642" s="4">
        <v>227</v>
      </c>
      <c r="FJ642" s="4">
        <v>219</v>
      </c>
      <c r="FK642" s="4">
        <v>211</v>
      </c>
      <c r="FL642" s="4">
        <v>203</v>
      </c>
      <c r="FM642" s="4">
        <v>195</v>
      </c>
      <c r="FN642" s="4">
        <v>267</v>
      </c>
      <c r="FO642" s="4">
        <v>259</v>
      </c>
      <c r="FP642" s="4">
        <v>249</v>
      </c>
      <c r="FQ642" s="4">
        <v>241</v>
      </c>
      <c r="FR642" s="4">
        <v>233</v>
      </c>
      <c r="FS642" s="4">
        <v>225</v>
      </c>
      <c r="FT642" s="19">
        <v>22.4</v>
      </c>
      <c r="FU642" s="19">
        <v>21.1</v>
      </c>
      <c r="FV642" s="19">
        <v>20.1</v>
      </c>
      <c r="FW642" s="19">
        <v>19.1</v>
      </c>
      <c r="FX642" s="19">
        <v>18.1</v>
      </c>
      <c r="FY642" s="19">
        <v>17.1</v>
      </c>
      <c r="FZ642" s="19">
        <v>37.6</v>
      </c>
      <c r="GA642" s="19">
        <v>36.6</v>
      </c>
      <c r="GB642" s="19">
        <v>35.4</v>
      </c>
      <c r="GC642" s="19">
        <v>34.4</v>
      </c>
      <c r="GD642" s="19">
        <v>33.4</v>
      </c>
      <c r="GE642" s="19">
        <v>32.4</v>
      </c>
      <c r="GF642" s="19">
        <v>31.4</v>
      </c>
      <c r="GG642" s="19">
        <v>30.4</v>
      </c>
      <c r="GH642" s="19">
        <v>29.4</v>
      </c>
      <c r="GI642" s="19">
        <v>28.4</v>
      </c>
      <c r="GJ642" s="19">
        <v>27.4</v>
      </c>
      <c r="GK642" s="19">
        <v>26.4</v>
      </c>
      <c r="GL642" s="19">
        <v>25.4</v>
      </c>
      <c r="GM642" s="19">
        <v>24.4</v>
      </c>
      <c r="GN642" s="19">
        <v>33.4</v>
      </c>
      <c r="GO642" s="19">
        <v>32.4</v>
      </c>
      <c r="GP642" s="19">
        <v>31.1</v>
      </c>
      <c r="GQ642" s="19">
        <v>30.1</v>
      </c>
      <c r="GR642" s="19">
        <v>29.1</v>
      </c>
      <c r="GS642" s="19">
        <v>28.1</v>
      </c>
    </row>
    <row r="643">
      <c r="A643" s="2" t="s">
        <v>3518</v>
      </c>
      <c r="B643" s="2" t="s">
        <v>672</v>
      </c>
      <c r="C643" s="2" t="s">
        <v>246</v>
      </c>
      <c r="D643" s="2" t="s">
        <v>673</v>
      </c>
      <c r="E643" s="2" t="s">
        <v>674</v>
      </c>
      <c r="F643" s="2" t="s">
        <v>3507</v>
      </c>
      <c r="G643" s="2" t="s">
        <v>3508</v>
      </c>
      <c r="H643" s="2" t="s">
        <v>3509</v>
      </c>
      <c r="I643" s="2" t="s">
        <v>3510</v>
      </c>
      <c r="J643" s="2" t="s">
        <v>679</v>
      </c>
      <c r="K643" s="2" t="s">
        <v>3519</v>
      </c>
      <c r="L643" s="3">
        <v>15.75</v>
      </c>
      <c r="M643" s="3">
        <v>16.54</v>
      </c>
      <c r="N643" s="3">
        <v>34.99</v>
      </c>
      <c r="O643" s="2" t="s">
        <v>196</v>
      </c>
      <c r="P643" s="2" t="s">
        <v>197</v>
      </c>
      <c r="Q643" s="2" t="s">
        <v>198</v>
      </c>
      <c r="R643" s="2" t="s">
        <v>199</v>
      </c>
      <c r="S643" s="2" t="s">
        <v>3520</v>
      </c>
      <c r="T643" s="2" t="s">
        <v>199</v>
      </c>
      <c r="U643" s="2" t="s">
        <v>280</v>
      </c>
      <c r="V643" s="2" t="s">
        <v>622</v>
      </c>
      <c r="W643" s="2" t="s">
        <v>510</v>
      </c>
      <c r="X643" s="2" t="s">
        <v>682</v>
      </c>
      <c r="Y643" s="2" t="s">
        <v>204</v>
      </c>
      <c r="Z643" s="4">
        <v>689</v>
      </c>
      <c r="AA643" s="4">
        <f>=ROUNDDOWN(38.2777777777778,0)</f>
      </c>
      <c r="AB643" s="5">
        <v>18</v>
      </c>
      <c r="AC643" s="2" t="s">
        <v>199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199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199</v>
      </c>
      <c r="AW643" s="8" t="s">
        <v>199</v>
      </c>
      <c r="AX643" s="4" t="s">
        <v>199</v>
      </c>
      <c r="AY643" s="8" t="s">
        <v>199</v>
      </c>
      <c r="AZ643" s="7" t="s">
        <v>199</v>
      </c>
      <c r="BA643" s="7" t="s">
        <v>199</v>
      </c>
      <c r="BB643" s="7"/>
      <c r="BC643" s="4" t="s">
        <v>199</v>
      </c>
      <c r="BD643" s="8" t="s">
        <v>199</v>
      </c>
      <c r="BE643" s="4" t="s">
        <v>199</v>
      </c>
      <c r="BF643" s="8" t="s">
        <v>199</v>
      </c>
      <c r="BG643" s="7" t="s">
        <v>199</v>
      </c>
      <c r="BH643" s="7" t="s">
        <v>199</v>
      </c>
      <c r="BI643" s="7"/>
      <c r="BJ643" s="4">
        <v>34</v>
      </c>
      <c r="BK643" s="8">
        <v>533.92</v>
      </c>
      <c r="BL643" s="2" t="s">
        <v>3521</v>
      </c>
      <c r="BM643" s="7"/>
      <c r="BN643" s="7"/>
      <c r="BO643" s="4"/>
      <c r="BP643" s="8"/>
      <c r="BQ643" s="4"/>
      <c r="BR643" s="8"/>
      <c r="BS643" s="7"/>
      <c r="BT643" s="7"/>
      <c r="BU643" s="2" t="s">
        <v>3514</v>
      </c>
      <c r="BV643" s="2" t="s">
        <v>199</v>
      </c>
      <c r="BW643" s="2" t="s">
        <v>199</v>
      </c>
      <c r="BX643" s="2" t="s">
        <v>208</v>
      </c>
      <c r="BY643" s="2" t="s">
        <v>209</v>
      </c>
      <c r="BZ643" s="2" t="s">
        <v>196</v>
      </c>
      <c r="CA643" s="2" t="s">
        <v>210</v>
      </c>
      <c r="CB643" s="2" t="s">
        <v>3522</v>
      </c>
      <c r="CC643" s="2" t="s">
        <v>212</v>
      </c>
      <c r="CD643" s="2" t="s">
        <v>199</v>
      </c>
      <c r="CE643" s="4">
        <v>689</v>
      </c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>
        <v>689</v>
      </c>
      <c r="EU643" s="4">
        <v>671</v>
      </c>
      <c r="EV643" s="4">
        <v>653</v>
      </c>
      <c r="EW643" s="4">
        <v>635</v>
      </c>
      <c r="EX643" s="4">
        <v>617</v>
      </c>
      <c r="EY643" s="4">
        <v>599</v>
      </c>
      <c r="EZ643" s="4">
        <v>581</v>
      </c>
      <c r="FA643" s="4">
        <v>563</v>
      </c>
      <c r="FB643" s="4">
        <v>541</v>
      </c>
      <c r="FC643" s="4">
        <v>523</v>
      </c>
      <c r="FD643" s="4">
        <v>505</v>
      </c>
      <c r="FE643" s="4">
        <v>487</v>
      </c>
      <c r="FF643" s="4">
        <v>469</v>
      </c>
      <c r="FG643" s="4">
        <v>451</v>
      </c>
      <c r="FH643" s="4">
        <v>433</v>
      </c>
      <c r="FI643" s="4">
        <v>415</v>
      </c>
      <c r="FJ643" s="4">
        <v>397</v>
      </c>
      <c r="FK643" s="4">
        <v>379</v>
      </c>
      <c r="FL643" s="4">
        <v>361</v>
      </c>
      <c r="FM643" s="4">
        <v>343</v>
      </c>
      <c r="FN643" s="4">
        <v>325</v>
      </c>
      <c r="FO643" s="4">
        <v>307</v>
      </c>
      <c r="FP643" s="4">
        <v>285</v>
      </c>
      <c r="FQ643" s="4">
        <v>267</v>
      </c>
      <c r="FR643" s="4">
        <v>249</v>
      </c>
      <c r="FS643" s="4">
        <v>231</v>
      </c>
      <c r="FT643" s="19">
        <v>38.3</v>
      </c>
      <c r="FU643" s="19">
        <v>37.3</v>
      </c>
      <c r="FV643" s="19">
        <v>36.3</v>
      </c>
      <c r="FW643" s="19">
        <v>35.3</v>
      </c>
      <c r="FX643" s="19">
        <v>32.5</v>
      </c>
      <c r="FY643" s="19">
        <v>31.5</v>
      </c>
      <c r="FZ643" s="19">
        <v>30.6</v>
      </c>
      <c r="GA643" s="19">
        <v>29.6</v>
      </c>
      <c r="GB643" s="19">
        <v>30.1</v>
      </c>
      <c r="GC643" s="19">
        <v>29.1</v>
      </c>
      <c r="GD643" s="19">
        <v>28.1</v>
      </c>
      <c r="GE643" s="19">
        <v>27.1</v>
      </c>
      <c r="GF643" s="19">
        <v>26.1</v>
      </c>
      <c r="GG643" s="19">
        <v>25.1</v>
      </c>
      <c r="GH643" s="19">
        <v>24.1</v>
      </c>
      <c r="GI643" s="19">
        <v>23.1</v>
      </c>
      <c r="GJ643" s="19">
        <v>22.1</v>
      </c>
      <c r="GK643" s="19">
        <v>21.1</v>
      </c>
      <c r="GL643" s="19">
        <v>19</v>
      </c>
      <c r="GM643" s="19">
        <v>18.1</v>
      </c>
      <c r="GN643" s="19">
        <v>17.1</v>
      </c>
      <c r="GO643" s="19">
        <v>16.2</v>
      </c>
      <c r="GP643" s="19">
        <v>15.8</v>
      </c>
      <c r="GQ643" s="19">
        <v>14.1</v>
      </c>
      <c r="GR643" s="19">
        <v>13.1</v>
      </c>
      <c r="GS643" s="19">
        <v>12.2</v>
      </c>
    </row>
    <row r="644">
      <c r="A644" s="2" t="s">
        <v>3523</v>
      </c>
      <c r="B644" s="2" t="s">
        <v>672</v>
      </c>
      <c r="C644" s="2" t="s">
        <v>246</v>
      </c>
      <c r="D644" s="2" t="s">
        <v>673</v>
      </c>
      <c r="E644" s="2" t="s">
        <v>674</v>
      </c>
      <c r="F644" s="2" t="s">
        <v>3507</v>
      </c>
      <c r="G644" s="2" t="s">
        <v>3508</v>
      </c>
      <c r="H644" s="2" t="s">
        <v>3509</v>
      </c>
      <c r="I644" s="2" t="s">
        <v>3510</v>
      </c>
      <c r="J644" s="2" t="s">
        <v>804</v>
      </c>
      <c r="K644" s="2" t="s">
        <v>3519</v>
      </c>
      <c r="L644" s="3">
        <v>20.7</v>
      </c>
      <c r="M644" s="3">
        <v>21.74</v>
      </c>
      <c r="N644" s="3">
        <v>44.99</v>
      </c>
      <c r="O644" s="2" t="s">
        <v>196</v>
      </c>
      <c r="P644" s="2" t="s">
        <v>197</v>
      </c>
      <c r="Q644" s="2" t="s">
        <v>198</v>
      </c>
      <c r="R644" s="2" t="s">
        <v>199</v>
      </c>
      <c r="S644" s="2" t="s">
        <v>3520</v>
      </c>
      <c r="T644" s="2" t="s">
        <v>199</v>
      </c>
      <c r="U644" s="2" t="s">
        <v>280</v>
      </c>
      <c r="V644" s="2" t="s">
        <v>622</v>
      </c>
      <c r="W644" s="2" t="s">
        <v>510</v>
      </c>
      <c r="X644" s="2" t="s">
        <v>682</v>
      </c>
      <c r="Y644" s="2" t="s">
        <v>204</v>
      </c>
      <c r="Z644" s="4">
        <v>239</v>
      </c>
      <c r="AA644" s="4">
        <f>=ROUNDDOWN(39.8333333333333,0)</f>
      </c>
      <c r="AB644" s="5">
        <v>6</v>
      </c>
      <c r="AC644" s="2" t="s">
        <v>199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199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 t="s">
        <v>199</v>
      </c>
      <c r="AW644" s="8" t="s">
        <v>199</v>
      </c>
      <c r="AX644" s="4" t="s">
        <v>199</v>
      </c>
      <c r="AY644" s="8" t="s">
        <v>199</v>
      </c>
      <c r="AZ644" s="7" t="s">
        <v>199</v>
      </c>
      <c r="BA644" s="7" t="s">
        <v>199</v>
      </c>
      <c r="BB644" s="7"/>
      <c r="BC644" s="4" t="s">
        <v>199</v>
      </c>
      <c r="BD644" s="8" t="s">
        <v>199</v>
      </c>
      <c r="BE644" s="4" t="s">
        <v>199</v>
      </c>
      <c r="BF644" s="8" t="s">
        <v>199</v>
      </c>
      <c r="BG644" s="7" t="s">
        <v>199</v>
      </c>
      <c r="BH644" s="7" t="s">
        <v>199</v>
      </c>
      <c r="BI644" s="7"/>
      <c r="BJ644" s="4">
        <v>19</v>
      </c>
      <c r="BK644" s="8">
        <v>475.92</v>
      </c>
      <c r="BL644" s="2" t="s">
        <v>3517</v>
      </c>
      <c r="BM644" s="7"/>
      <c r="BN644" s="7"/>
      <c r="BO644" s="4"/>
      <c r="BP644" s="8"/>
      <c r="BQ644" s="4"/>
      <c r="BR644" s="8"/>
      <c r="BS644" s="7"/>
      <c r="BT644" s="7"/>
      <c r="BU644" s="2" t="s">
        <v>3514</v>
      </c>
      <c r="BV644" s="2" t="s">
        <v>199</v>
      </c>
      <c r="BW644" s="2" t="s">
        <v>199</v>
      </c>
      <c r="BX644" s="2" t="s">
        <v>208</v>
      </c>
      <c r="BY644" s="2" t="s">
        <v>209</v>
      </c>
      <c r="BZ644" s="2" t="s">
        <v>196</v>
      </c>
      <c r="CA644" s="2" t="s">
        <v>210</v>
      </c>
      <c r="CB644" s="2" t="s">
        <v>3524</v>
      </c>
      <c r="CC644" s="2" t="s">
        <v>212</v>
      </c>
      <c r="CD644" s="2" t="s">
        <v>199</v>
      </c>
      <c r="CE644" s="4">
        <v>239</v>
      </c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>
        <v>239</v>
      </c>
      <c r="EU644" s="4">
        <v>233</v>
      </c>
      <c r="EV644" s="4">
        <v>227</v>
      </c>
      <c r="EW644" s="4">
        <v>221</v>
      </c>
      <c r="EX644" s="4">
        <v>215</v>
      </c>
      <c r="EY644" s="4">
        <v>209</v>
      </c>
      <c r="EZ644" s="4">
        <v>203</v>
      </c>
      <c r="FA644" s="4">
        <v>197</v>
      </c>
      <c r="FB644" s="4">
        <v>190</v>
      </c>
      <c r="FC644" s="4">
        <v>184</v>
      </c>
      <c r="FD644" s="4">
        <v>178</v>
      </c>
      <c r="FE644" s="4">
        <v>172</v>
      </c>
      <c r="FF644" s="4">
        <v>166</v>
      </c>
      <c r="FG644" s="4">
        <v>160</v>
      </c>
      <c r="FH644" s="4">
        <v>154</v>
      </c>
      <c r="FI644" s="4">
        <v>148</v>
      </c>
      <c r="FJ644" s="4">
        <v>142</v>
      </c>
      <c r="FK644" s="4">
        <v>136</v>
      </c>
      <c r="FL644" s="4">
        <v>130</v>
      </c>
      <c r="FM644" s="4">
        <v>124</v>
      </c>
      <c r="FN644" s="4">
        <v>118</v>
      </c>
      <c r="FO644" s="4">
        <v>112</v>
      </c>
      <c r="FP644" s="4">
        <v>105</v>
      </c>
      <c r="FQ644" s="4">
        <v>99</v>
      </c>
      <c r="FR644" s="4">
        <v>93</v>
      </c>
      <c r="FS644" s="4">
        <v>87</v>
      </c>
      <c r="FT644" s="19">
        <v>39.8</v>
      </c>
      <c r="FU644" s="19">
        <v>38.8</v>
      </c>
      <c r="FV644" s="19">
        <v>37.8</v>
      </c>
      <c r="FW644" s="19">
        <v>36.8</v>
      </c>
      <c r="FX644" s="19">
        <v>35.8</v>
      </c>
      <c r="FY644" s="19">
        <v>34.8</v>
      </c>
      <c r="FZ644" s="19">
        <v>33.8</v>
      </c>
      <c r="GA644" s="19">
        <v>32.8</v>
      </c>
      <c r="GB644" s="19">
        <v>31.7</v>
      </c>
      <c r="GC644" s="19">
        <v>30.7</v>
      </c>
      <c r="GD644" s="19">
        <v>29.7</v>
      </c>
      <c r="GE644" s="19">
        <v>28.7</v>
      </c>
      <c r="GF644" s="19">
        <v>27.7</v>
      </c>
      <c r="GG644" s="19">
        <v>26.7</v>
      </c>
      <c r="GH644" s="19">
        <v>25.7</v>
      </c>
      <c r="GI644" s="19">
        <v>24.7</v>
      </c>
      <c r="GJ644" s="19">
        <v>23.7</v>
      </c>
      <c r="GK644" s="19">
        <v>22.7</v>
      </c>
      <c r="GL644" s="19">
        <v>21.7</v>
      </c>
      <c r="GM644" s="19">
        <v>20.7</v>
      </c>
      <c r="GN644" s="19">
        <v>19.7</v>
      </c>
      <c r="GO644" s="19">
        <v>18.7</v>
      </c>
      <c r="GP644" s="19">
        <v>17.5</v>
      </c>
      <c r="GQ644" s="19">
        <v>16.5</v>
      </c>
      <c r="GR644" s="19">
        <v>15.5</v>
      </c>
      <c r="GS644" s="19">
        <v>14.5</v>
      </c>
    </row>
    <row r="645">
      <c r="A645" s="2" t="s">
        <v>3525</v>
      </c>
      <c r="B645" s="2" t="s">
        <v>672</v>
      </c>
      <c r="C645" s="2" t="s">
        <v>246</v>
      </c>
      <c r="D645" s="2" t="s">
        <v>673</v>
      </c>
      <c r="E645" s="2" t="s">
        <v>674</v>
      </c>
      <c r="F645" s="2" t="s">
        <v>3507</v>
      </c>
      <c r="G645" s="2" t="s">
        <v>3508</v>
      </c>
      <c r="H645" s="2" t="s">
        <v>3509</v>
      </c>
      <c r="I645" s="2" t="s">
        <v>3510</v>
      </c>
      <c r="J645" s="2" t="s">
        <v>710</v>
      </c>
      <c r="K645" s="2" t="s">
        <v>3526</v>
      </c>
      <c r="L645" s="3">
        <v>13.5</v>
      </c>
      <c r="M645" s="3">
        <v>14.18</v>
      </c>
      <c r="N645" s="3">
        <v>29.99</v>
      </c>
      <c r="O645" s="2" t="s">
        <v>196</v>
      </c>
      <c r="P645" s="2" t="s">
        <v>197</v>
      </c>
      <c r="Q645" s="2" t="s">
        <v>198</v>
      </c>
      <c r="R645" s="2" t="s">
        <v>199</v>
      </c>
      <c r="S645" s="2" t="s">
        <v>3527</v>
      </c>
      <c r="T645" s="2" t="s">
        <v>199</v>
      </c>
      <c r="U645" s="2" t="s">
        <v>280</v>
      </c>
      <c r="V645" s="2" t="s">
        <v>622</v>
      </c>
      <c r="W645" s="2" t="s">
        <v>510</v>
      </c>
      <c r="X645" s="2" t="s">
        <v>682</v>
      </c>
      <c r="Y645" s="2" t="s">
        <v>204</v>
      </c>
      <c r="Z645" s="4">
        <v>435</v>
      </c>
      <c r="AA645" s="4">
        <f>=ROUNDDOWN(72.5,0)</f>
      </c>
      <c r="AB645" s="5">
        <v>6</v>
      </c>
      <c r="AC645" s="2" t="s">
        <v>199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199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199</v>
      </c>
      <c r="AW645" s="8" t="s">
        <v>199</v>
      </c>
      <c r="AX645" s="4" t="s">
        <v>199</v>
      </c>
      <c r="AY645" s="8" t="s">
        <v>199</v>
      </c>
      <c r="AZ645" s="7" t="s">
        <v>199</v>
      </c>
      <c r="BA645" s="7" t="s">
        <v>199</v>
      </c>
      <c r="BB645" s="7"/>
      <c r="BC645" s="4" t="s">
        <v>199</v>
      </c>
      <c r="BD645" s="8" t="s">
        <v>199</v>
      </c>
      <c r="BE645" s="4" t="s">
        <v>199</v>
      </c>
      <c r="BF645" s="8" t="s">
        <v>199</v>
      </c>
      <c r="BG645" s="7" t="s">
        <v>199</v>
      </c>
      <c r="BH645" s="7" t="s">
        <v>199</v>
      </c>
      <c r="BI645" s="7"/>
      <c r="BJ645" s="4">
        <v>25</v>
      </c>
      <c r="BK645" s="8">
        <v>343.3</v>
      </c>
      <c r="BL645" s="2" t="s">
        <v>3528</v>
      </c>
      <c r="BM645" s="7"/>
      <c r="BN645" s="7"/>
      <c r="BO645" s="4"/>
      <c r="BP645" s="8"/>
      <c r="BQ645" s="4"/>
      <c r="BR645" s="8"/>
      <c r="BS645" s="7"/>
      <c r="BT645" s="7"/>
      <c r="BU645" s="2" t="s">
        <v>3514</v>
      </c>
      <c r="BV645" s="2" t="s">
        <v>199</v>
      </c>
      <c r="BW645" s="2" t="s">
        <v>199</v>
      </c>
      <c r="BX645" s="2" t="s">
        <v>208</v>
      </c>
      <c r="BY645" s="2" t="s">
        <v>209</v>
      </c>
      <c r="BZ645" s="2" t="s">
        <v>196</v>
      </c>
      <c r="CA645" s="2" t="s">
        <v>210</v>
      </c>
      <c r="CB645" s="2" t="s">
        <v>773</v>
      </c>
      <c r="CC645" s="2" t="s">
        <v>212</v>
      </c>
      <c r="CD645" s="2" t="s">
        <v>199</v>
      </c>
      <c r="CE645" s="4">
        <v>435</v>
      </c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>
        <v>437</v>
      </c>
      <c r="EU645" s="4">
        <v>430</v>
      </c>
      <c r="EV645" s="4">
        <v>424</v>
      </c>
      <c r="EW645" s="4">
        <v>418</v>
      </c>
      <c r="EX645" s="4">
        <v>412</v>
      </c>
      <c r="EY645" s="4">
        <v>406</v>
      </c>
      <c r="EZ645" s="4">
        <v>400</v>
      </c>
      <c r="FA645" s="4">
        <v>394</v>
      </c>
      <c r="FB645" s="4">
        <v>387</v>
      </c>
      <c r="FC645" s="4">
        <v>381</v>
      </c>
      <c r="FD645" s="4">
        <v>375</v>
      </c>
      <c r="FE645" s="4">
        <v>369</v>
      </c>
      <c r="FF645" s="4">
        <v>363</v>
      </c>
      <c r="FG645" s="4">
        <v>357</v>
      </c>
      <c r="FH645" s="4">
        <v>351</v>
      </c>
      <c r="FI645" s="4">
        <v>345</v>
      </c>
      <c r="FJ645" s="4">
        <v>339</v>
      </c>
      <c r="FK645" s="4">
        <v>333</v>
      </c>
      <c r="FL645" s="4">
        <v>327</v>
      </c>
      <c r="FM645" s="4">
        <v>321</v>
      </c>
      <c r="FN645" s="4">
        <v>315</v>
      </c>
      <c r="FO645" s="4">
        <v>309</v>
      </c>
      <c r="FP645" s="4">
        <v>302</v>
      </c>
      <c r="FQ645" s="4">
        <v>296</v>
      </c>
      <c r="FR645" s="4">
        <v>290</v>
      </c>
      <c r="FS645" s="4">
        <v>284</v>
      </c>
      <c r="FT645" s="19">
        <v>72.8</v>
      </c>
      <c r="FU645" s="19">
        <v>71.7</v>
      </c>
      <c r="FV645" s="19">
        <v>70.7</v>
      </c>
      <c r="FW645" s="19">
        <v>69.7</v>
      </c>
      <c r="FX645" s="19">
        <v>68.7</v>
      </c>
      <c r="FY645" s="19">
        <v>67.7</v>
      </c>
      <c r="FZ645" s="19">
        <v>66.7</v>
      </c>
      <c r="GA645" s="19">
        <v>65.7</v>
      </c>
      <c r="GB645" s="19">
        <v>64.5</v>
      </c>
      <c r="GC645" s="19">
        <v>63.5</v>
      </c>
      <c r="GD645" s="19">
        <v>62.5</v>
      </c>
      <c r="GE645" s="19">
        <v>61.5</v>
      </c>
      <c r="GF645" s="19">
        <v>60.5</v>
      </c>
      <c r="GG645" s="19">
        <v>59.5</v>
      </c>
      <c r="GH645" s="19">
        <v>58.5</v>
      </c>
      <c r="GI645" s="19">
        <v>57.5</v>
      </c>
      <c r="GJ645" s="19">
        <v>56.5</v>
      </c>
      <c r="GK645" s="19">
        <v>55.5</v>
      </c>
      <c r="GL645" s="19">
        <v>54.5</v>
      </c>
      <c r="GM645" s="19">
        <v>53.5</v>
      </c>
      <c r="GN645" s="19">
        <v>52.5</v>
      </c>
      <c r="GO645" s="19">
        <v>51.5</v>
      </c>
      <c r="GP645" s="19">
        <v>50.3</v>
      </c>
      <c r="GQ645" s="19">
        <v>49.3</v>
      </c>
      <c r="GR645" s="19">
        <v>48.3</v>
      </c>
      <c r="GS645" s="19">
        <v>47.3</v>
      </c>
    </row>
    <row r="646">
      <c r="A646" s="2" t="s">
        <v>3529</v>
      </c>
      <c r="B646" s="2" t="s">
        <v>672</v>
      </c>
      <c r="C646" s="2" t="s">
        <v>246</v>
      </c>
      <c r="D646" s="2" t="s">
        <v>673</v>
      </c>
      <c r="E646" s="2" t="s">
        <v>674</v>
      </c>
      <c r="F646" s="2" t="s">
        <v>3507</v>
      </c>
      <c r="G646" s="2" t="s">
        <v>3508</v>
      </c>
      <c r="H646" s="2" t="s">
        <v>3509</v>
      </c>
      <c r="I646" s="2" t="s">
        <v>3510</v>
      </c>
      <c r="J646" s="2" t="s">
        <v>804</v>
      </c>
      <c r="K646" s="2" t="s">
        <v>3526</v>
      </c>
      <c r="L646" s="3">
        <v>20.7</v>
      </c>
      <c r="M646" s="3">
        <v>21.74</v>
      </c>
      <c r="N646" s="3">
        <v>44.99</v>
      </c>
      <c r="O646" s="2" t="s">
        <v>196</v>
      </c>
      <c r="P646" s="2" t="s">
        <v>197</v>
      </c>
      <c r="Q646" s="2" t="s">
        <v>198</v>
      </c>
      <c r="R646" s="2" t="s">
        <v>199</v>
      </c>
      <c r="S646" s="2" t="s">
        <v>3527</v>
      </c>
      <c r="T646" s="2" t="s">
        <v>199</v>
      </c>
      <c r="U646" s="2" t="s">
        <v>280</v>
      </c>
      <c r="V646" s="2" t="s">
        <v>622</v>
      </c>
      <c r="W646" s="2" t="s">
        <v>510</v>
      </c>
      <c r="X646" s="2" t="s">
        <v>682</v>
      </c>
      <c r="Y646" s="2" t="s">
        <v>204</v>
      </c>
      <c r="Z646" s="4">
        <v>183</v>
      </c>
      <c r="AA646" s="4">
        <f>=ROUNDDOWN(61,0)</f>
      </c>
      <c r="AB646" s="5">
        <v>3</v>
      </c>
      <c r="AC646" s="2" t="s">
        <v>199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199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199</v>
      </c>
      <c r="AW646" s="8" t="s">
        <v>199</v>
      </c>
      <c r="AX646" s="4" t="s">
        <v>199</v>
      </c>
      <c r="AY646" s="8" t="s">
        <v>199</v>
      </c>
      <c r="AZ646" s="7" t="s">
        <v>199</v>
      </c>
      <c r="BA646" s="7" t="s">
        <v>199</v>
      </c>
      <c r="BB646" s="7"/>
      <c r="BC646" s="4" t="s">
        <v>199</v>
      </c>
      <c r="BD646" s="8" t="s">
        <v>199</v>
      </c>
      <c r="BE646" s="4" t="s">
        <v>199</v>
      </c>
      <c r="BF646" s="8" t="s">
        <v>199</v>
      </c>
      <c r="BG646" s="7" t="s">
        <v>199</v>
      </c>
      <c r="BH646" s="7" t="s">
        <v>199</v>
      </c>
      <c r="BI646" s="7"/>
      <c r="BJ646" s="4">
        <v>2</v>
      </c>
      <c r="BK646" s="8">
        <v>79.28</v>
      </c>
      <c r="BL646" s="2" t="s">
        <v>3530</v>
      </c>
      <c r="BM646" s="7"/>
      <c r="BN646" s="7"/>
      <c r="BO646" s="4"/>
      <c r="BP646" s="8"/>
      <c r="BQ646" s="4"/>
      <c r="BR646" s="8"/>
      <c r="BS646" s="7"/>
      <c r="BT646" s="7"/>
      <c r="BU646" s="2" t="s">
        <v>3514</v>
      </c>
      <c r="BV646" s="2" t="s">
        <v>199</v>
      </c>
      <c r="BW646" s="2" t="s">
        <v>199</v>
      </c>
      <c r="BX646" s="2" t="s">
        <v>208</v>
      </c>
      <c r="BY646" s="2" t="s">
        <v>209</v>
      </c>
      <c r="BZ646" s="2" t="s">
        <v>196</v>
      </c>
      <c r="CA646" s="2" t="s">
        <v>210</v>
      </c>
      <c r="CB646" s="2" t="s">
        <v>3531</v>
      </c>
      <c r="CC646" s="2" t="s">
        <v>212</v>
      </c>
      <c r="CD646" s="2" t="s">
        <v>199</v>
      </c>
      <c r="CE646" s="4">
        <v>183</v>
      </c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>
        <v>183</v>
      </c>
      <c r="EU646" s="4">
        <v>177</v>
      </c>
      <c r="EV646" s="4">
        <v>174</v>
      </c>
      <c r="EW646" s="4">
        <v>171</v>
      </c>
      <c r="EX646" s="4">
        <v>168</v>
      </c>
      <c r="EY646" s="4">
        <v>165</v>
      </c>
      <c r="EZ646" s="4">
        <v>162</v>
      </c>
      <c r="FA646" s="4">
        <v>159</v>
      </c>
      <c r="FB646" s="4">
        <v>156</v>
      </c>
      <c r="FC646" s="4">
        <v>153</v>
      </c>
      <c r="FD646" s="4">
        <v>150</v>
      </c>
      <c r="FE646" s="4">
        <v>147</v>
      </c>
      <c r="FF646" s="4">
        <v>144</v>
      </c>
      <c r="FG646" s="4">
        <v>141</v>
      </c>
      <c r="FH646" s="4">
        <v>138</v>
      </c>
      <c r="FI646" s="4">
        <v>135</v>
      </c>
      <c r="FJ646" s="4">
        <v>132</v>
      </c>
      <c r="FK646" s="4">
        <v>129</v>
      </c>
      <c r="FL646" s="4">
        <v>126</v>
      </c>
      <c r="FM646" s="4">
        <v>123</v>
      </c>
      <c r="FN646" s="4">
        <v>120</v>
      </c>
      <c r="FO646" s="4">
        <v>117</v>
      </c>
      <c r="FP646" s="4">
        <v>114</v>
      </c>
      <c r="FQ646" s="4">
        <v>111</v>
      </c>
      <c r="FR646" s="4">
        <v>108</v>
      </c>
      <c r="FS646" s="4">
        <v>105</v>
      </c>
      <c r="FT646" s="19">
        <v>45.8</v>
      </c>
      <c r="FU646" s="19">
        <v>59</v>
      </c>
      <c r="FV646" s="19">
        <v>58</v>
      </c>
      <c r="FW646" s="19">
        <v>57</v>
      </c>
      <c r="FX646" s="19">
        <v>56</v>
      </c>
      <c r="FY646" s="19">
        <v>55</v>
      </c>
      <c r="FZ646" s="19">
        <v>54</v>
      </c>
      <c r="GA646" s="19">
        <v>53</v>
      </c>
      <c r="GB646" s="19">
        <v>52</v>
      </c>
      <c r="GC646" s="19">
        <v>51</v>
      </c>
      <c r="GD646" s="19">
        <v>50</v>
      </c>
      <c r="GE646" s="19">
        <v>49</v>
      </c>
      <c r="GF646" s="19">
        <v>48</v>
      </c>
      <c r="GG646" s="19">
        <v>47</v>
      </c>
      <c r="GH646" s="19">
        <v>46</v>
      </c>
      <c r="GI646" s="19">
        <v>45</v>
      </c>
      <c r="GJ646" s="19">
        <v>44</v>
      </c>
      <c r="GK646" s="19">
        <v>43</v>
      </c>
      <c r="GL646" s="19">
        <v>42</v>
      </c>
      <c r="GM646" s="19">
        <v>41</v>
      </c>
      <c r="GN646" s="19">
        <v>40</v>
      </c>
      <c r="GO646" s="19">
        <v>39</v>
      </c>
      <c r="GP646" s="19">
        <v>38</v>
      </c>
      <c r="GQ646" s="19">
        <v>37</v>
      </c>
      <c r="GR646" s="19">
        <v>36</v>
      </c>
      <c r="GS646" s="19">
        <v>35</v>
      </c>
    </row>
    <row r="647">
      <c r="A647" s="2" t="s">
        <v>3532</v>
      </c>
      <c r="B647" s="2" t="s">
        <v>672</v>
      </c>
      <c r="C647" s="2" t="s">
        <v>246</v>
      </c>
      <c r="D647" s="2" t="s">
        <v>673</v>
      </c>
      <c r="E647" s="2" t="s">
        <v>674</v>
      </c>
      <c r="F647" s="2" t="s">
        <v>3507</v>
      </c>
      <c r="G647" s="2" t="s">
        <v>3508</v>
      </c>
      <c r="H647" s="2" t="s">
        <v>3509</v>
      </c>
      <c r="I647" s="2" t="s">
        <v>3510</v>
      </c>
      <c r="J647" s="2" t="s">
        <v>710</v>
      </c>
      <c r="K647" s="2" t="s">
        <v>3533</v>
      </c>
      <c r="L647" s="3">
        <v>13.5</v>
      </c>
      <c r="M647" s="3">
        <v>14.18</v>
      </c>
      <c r="N647" s="3">
        <v>29.99</v>
      </c>
      <c r="O647" s="2" t="s">
        <v>196</v>
      </c>
      <c r="P647" s="2" t="s">
        <v>197</v>
      </c>
      <c r="Q647" s="2" t="s">
        <v>198</v>
      </c>
      <c r="R647" s="2" t="s">
        <v>199</v>
      </c>
      <c r="S647" s="2" t="s">
        <v>3534</v>
      </c>
      <c r="T647" s="2" t="s">
        <v>199</v>
      </c>
      <c r="U647" s="2" t="s">
        <v>280</v>
      </c>
      <c r="V647" s="2" t="s">
        <v>622</v>
      </c>
      <c r="W647" s="2" t="s">
        <v>510</v>
      </c>
      <c r="X647" s="2" t="s">
        <v>682</v>
      </c>
      <c r="Y647" s="2" t="s">
        <v>3535</v>
      </c>
      <c r="Z647" s="4">
        <v>412</v>
      </c>
      <c r="AA647" s="4">
        <f>=ROUNDDOWN(37.4545454545455,0)</f>
      </c>
      <c r="AB647" s="5">
        <v>11</v>
      </c>
      <c r="AC647" s="2" t="s">
        <v>199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199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199</v>
      </c>
      <c r="BD647" s="8" t="s">
        <v>199</v>
      </c>
      <c r="BE647" s="4" t="s">
        <v>199</v>
      </c>
      <c r="BF647" s="8" t="s">
        <v>199</v>
      </c>
      <c r="BG647" s="7" t="s">
        <v>199</v>
      </c>
      <c r="BH647" s="7" t="s">
        <v>199</v>
      </c>
      <c r="BI647" s="7"/>
      <c r="BJ647" s="4">
        <v>16</v>
      </c>
      <c r="BK647" s="8">
        <v>197.34</v>
      </c>
      <c r="BL647" s="2" t="s">
        <v>3536</v>
      </c>
      <c r="BM647" s="7"/>
      <c r="BN647" s="7"/>
      <c r="BO647" s="4"/>
      <c r="BP647" s="8"/>
      <c r="BQ647" s="4"/>
      <c r="BR647" s="8"/>
      <c r="BS647" s="7"/>
      <c r="BT647" s="7"/>
      <c r="BU647" s="2" t="s">
        <v>3514</v>
      </c>
      <c r="BV647" s="2" t="s">
        <v>199</v>
      </c>
      <c r="BW647" s="2" t="s">
        <v>199</v>
      </c>
      <c r="BX647" s="2" t="s">
        <v>208</v>
      </c>
      <c r="BY647" s="2" t="s">
        <v>209</v>
      </c>
      <c r="BZ647" s="2" t="s">
        <v>196</v>
      </c>
      <c r="CA647" s="2" t="s">
        <v>210</v>
      </c>
      <c r="CB647" s="2" t="s">
        <v>3537</v>
      </c>
      <c r="CC647" s="2" t="s">
        <v>212</v>
      </c>
      <c r="CD647" s="2" t="s">
        <v>199</v>
      </c>
      <c r="CE647" s="4">
        <v>412</v>
      </c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>
        <v>412</v>
      </c>
      <c r="EU647" s="4">
        <v>402</v>
      </c>
      <c r="EV647" s="4">
        <v>392</v>
      </c>
      <c r="EW647" s="4">
        <v>382</v>
      </c>
      <c r="EX647" s="4">
        <v>372</v>
      </c>
      <c r="EY647" s="4">
        <v>362</v>
      </c>
      <c r="EZ647" s="4">
        <v>352</v>
      </c>
      <c r="FA647" s="4">
        <v>342</v>
      </c>
      <c r="FB647" s="4">
        <v>330</v>
      </c>
      <c r="FC647" s="4">
        <v>320</v>
      </c>
      <c r="FD647" s="4">
        <v>309</v>
      </c>
      <c r="FE647" s="4">
        <v>298</v>
      </c>
      <c r="FF647" s="4">
        <v>287</v>
      </c>
      <c r="FG647" s="4">
        <v>276</v>
      </c>
      <c r="FH647" s="4">
        <v>265</v>
      </c>
      <c r="FI647" s="4">
        <v>254</v>
      </c>
      <c r="FJ647" s="4">
        <v>243</v>
      </c>
      <c r="FK647" s="4">
        <v>232</v>
      </c>
      <c r="FL647" s="4">
        <v>221</v>
      </c>
      <c r="FM647" s="4">
        <v>210</v>
      </c>
      <c r="FN647" s="4">
        <v>199</v>
      </c>
      <c r="FO647" s="4">
        <v>188</v>
      </c>
      <c r="FP647" s="4">
        <v>175</v>
      </c>
      <c r="FQ647" s="4">
        <v>164</v>
      </c>
      <c r="FR647" s="4">
        <v>153</v>
      </c>
      <c r="FS647" s="4">
        <v>142</v>
      </c>
      <c r="FT647" s="19">
        <v>41.2</v>
      </c>
      <c r="FU647" s="19">
        <v>40.2</v>
      </c>
      <c r="FV647" s="19">
        <v>39.2</v>
      </c>
      <c r="FW647" s="19">
        <v>38.2</v>
      </c>
      <c r="FX647" s="19">
        <v>37.2</v>
      </c>
      <c r="FY647" s="19">
        <v>36.2</v>
      </c>
      <c r="FZ647" s="19">
        <v>32</v>
      </c>
      <c r="GA647" s="19">
        <v>31.1</v>
      </c>
      <c r="GB647" s="19">
        <v>30</v>
      </c>
      <c r="GC647" s="19">
        <v>29.1</v>
      </c>
      <c r="GD647" s="19">
        <v>28.1</v>
      </c>
      <c r="GE647" s="19">
        <v>27.1</v>
      </c>
      <c r="GF647" s="19">
        <v>26.1</v>
      </c>
      <c r="GG647" s="19">
        <v>25.1</v>
      </c>
      <c r="GH647" s="19">
        <v>24.1</v>
      </c>
      <c r="GI647" s="19">
        <v>23.1</v>
      </c>
      <c r="GJ647" s="19">
        <v>22.1</v>
      </c>
      <c r="GK647" s="19">
        <v>21.1</v>
      </c>
      <c r="GL647" s="19">
        <v>18.4</v>
      </c>
      <c r="GM647" s="19">
        <v>17.5</v>
      </c>
      <c r="GN647" s="19">
        <v>16.6</v>
      </c>
      <c r="GO647" s="19">
        <v>15.7</v>
      </c>
      <c r="GP647" s="19">
        <v>15.9</v>
      </c>
      <c r="GQ647" s="19">
        <v>13.7</v>
      </c>
      <c r="GR647" s="19">
        <v>12.8</v>
      </c>
      <c r="GS647" s="19">
        <v>11.8</v>
      </c>
    </row>
    <row r="648">
      <c r="A648" s="2" t="s">
        <v>3538</v>
      </c>
      <c r="B648" s="2" t="s">
        <v>672</v>
      </c>
      <c r="C648" s="2" t="s">
        <v>246</v>
      </c>
      <c r="D648" s="2" t="s">
        <v>673</v>
      </c>
      <c r="E648" s="2" t="s">
        <v>674</v>
      </c>
      <c r="F648" s="2" t="s">
        <v>3507</v>
      </c>
      <c r="G648" s="2" t="s">
        <v>3508</v>
      </c>
      <c r="H648" s="2" t="s">
        <v>3509</v>
      </c>
      <c r="I648" s="2" t="s">
        <v>3510</v>
      </c>
      <c r="J648" s="2" t="s">
        <v>804</v>
      </c>
      <c r="K648" s="2" t="s">
        <v>3539</v>
      </c>
      <c r="L648" s="3">
        <v>20.7</v>
      </c>
      <c r="M648" s="3">
        <v>21.74</v>
      </c>
      <c r="N648" s="3">
        <v>44.99</v>
      </c>
      <c r="O648" s="2" t="s">
        <v>196</v>
      </c>
      <c r="P648" s="2" t="s">
        <v>197</v>
      </c>
      <c r="Q648" s="2" t="s">
        <v>198</v>
      </c>
      <c r="R648" s="2" t="s">
        <v>199</v>
      </c>
      <c r="S648" s="2" t="s">
        <v>3540</v>
      </c>
      <c r="T648" s="2" t="s">
        <v>199</v>
      </c>
      <c r="U648" s="2" t="s">
        <v>280</v>
      </c>
      <c r="V648" s="2" t="s">
        <v>622</v>
      </c>
      <c r="W648" s="2" t="s">
        <v>510</v>
      </c>
      <c r="X648" s="2" t="s">
        <v>682</v>
      </c>
      <c r="Y648" s="2" t="s">
        <v>204</v>
      </c>
      <c r="Z648" s="4">
        <v>137</v>
      </c>
      <c r="AA648" s="4">
        <f>=ROUNDDOWN(45.6666666666667,0)</f>
      </c>
      <c r="AB648" s="5">
        <v>3</v>
      </c>
      <c r="AC648" s="2" t="s">
        <v>199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199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199</v>
      </c>
      <c r="BD648" s="8" t="s">
        <v>199</v>
      </c>
      <c r="BE648" s="4" t="s">
        <v>199</v>
      </c>
      <c r="BF648" s="8" t="s">
        <v>199</v>
      </c>
      <c r="BG648" s="7" t="s">
        <v>199</v>
      </c>
      <c r="BH648" s="7" t="s">
        <v>199</v>
      </c>
      <c r="BI648" s="7"/>
      <c r="BJ648" s="4">
        <v>2</v>
      </c>
      <c r="BK648" s="8">
        <v>45.64</v>
      </c>
      <c r="BL648" s="2" t="s">
        <v>3541</v>
      </c>
      <c r="BM648" s="7"/>
      <c r="BN648" s="7"/>
      <c r="BO648" s="4"/>
      <c r="BP648" s="8"/>
      <c r="BQ648" s="4"/>
      <c r="BR648" s="8"/>
      <c r="BS648" s="7"/>
      <c r="BT648" s="7"/>
      <c r="BU648" s="2" t="s">
        <v>3514</v>
      </c>
      <c r="BV648" s="2" t="s">
        <v>199</v>
      </c>
      <c r="BW648" s="2" t="s">
        <v>199</v>
      </c>
      <c r="BX648" s="2" t="s">
        <v>208</v>
      </c>
      <c r="BY648" s="2" t="s">
        <v>209</v>
      </c>
      <c r="BZ648" s="2" t="s">
        <v>196</v>
      </c>
      <c r="CA648" s="2" t="s">
        <v>210</v>
      </c>
      <c r="CB648" s="2" t="s">
        <v>3542</v>
      </c>
      <c r="CC648" s="2" t="s">
        <v>212</v>
      </c>
      <c r="CD648" s="2" t="s">
        <v>199</v>
      </c>
      <c r="CE648" s="4">
        <v>137</v>
      </c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>
        <v>137</v>
      </c>
      <c r="EU648" s="4">
        <v>134</v>
      </c>
      <c r="EV648" s="4">
        <v>131</v>
      </c>
      <c r="EW648" s="4">
        <v>128</v>
      </c>
      <c r="EX648" s="4">
        <v>125</v>
      </c>
      <c r="EY648" s="4">
        <v>122</v>
      </c>
      <c r="EZ648" s="4">
        <v>119</v>
      </c>
      <c r="FA648" s="4">
        <v>116</v>
      </c>
      <c r="FB648" s="4">
        <v>112</v>
      </c>
      <c r="FC648" s="4">
        <v>109</v>
      </c>
      <c r="FD648" s="4">
        <v>106</v>
      </c>
      <c r="FE648" s="4">
        <v>103</v>
      </c>
      <c r="FF648" s="4">
        <v>100</v>
      </c>
      <c r="FG648" s="4">
        <v>97</v>
      </c>
      <c r="FH648" s="4">
        <v>94</v>
      </c>
      <c r="FI648" s="4">
        <v>91</v>
      </c>
      <c r="FJ648" s="4">
        <v>88</v>
      </c>
      <c r="FK648" s="4">
        <v>85</v>
      </c>
      <c r="FL648" s="4">
        <v>82</v>
      </c>
      <c r="FM648" s="4">
        <v>79</v>
      </c>
      <c r="FN648" s="4">
        <v>76</v>
      </c>
      <c r="FO648" s="4">
        <v>73</v>
      </c>
      <c r="FP648" s="4">
        <v>69</v>
      </c>
      <c r="FQ648" s="4">
        <v>66</v>
      </c>
      <c r="FR648" s="4">
        <v>63</v>
      </c>
      <c r="FS648" s="4">
        <v>60</v>
      </c>
      <c r="FT648" s="19">
        <v>45.7</v>
      </c>
      <c r="FU648" s="19">
        <v>44.7</v>
      </c>
      <c r="FV648" s="19">
        <v>43.7</v>
      </c>
      <c r="FW648" s="19">
        <v>42.7</v>
      </c>
      <c r="FX648" s="19">
        <v>41.7</v>
      </c>
      <c r="FY648" s="19">
        <v>40.7</v>
      </c>
      <c r="FZ648" s="19">
        <v>39.7</v>
      </c>
      <c r="GA648" s="19">
        <v>38.7</v>
      </c>
      <c r="GB648" s="19">
        <v>37.3</v>
      </c>
      <c r="GC648" s="19">
        <v>36.3</v>
      </c>
      <c r="GD648" s="19">
        <v>35.3</v>
      </c>
      <c r="GE648" s="19">
        <v>34.3</v>
      </c>
      <c r="GF648" s="19">
        <v>33.3</v>
      </c>
      <c r="GG648" s="19">
        <v>32.3</v>
      </c>
      <c r="GH648" s="19">
        <v>31.3</v>
      </c>
      <c r="GI648" s="19">
        <v>30.3</v>
      </c>
      <c r="GJ648" s="19">
        <v>29.3</v>
      </c>
      <c r="GK648" s="19">
        <v>28.3</v>
      </c>
      <c r="GL648" s="19">
        <v>27.3</v>
      </c>
      <c r="GM648" s="19">
        <v>26.3</v>
      </c>
      <c r="GN648" s="19">
        <v>25.3</v>
      </c>
      <c r="GO648" s="19">
        <v>24.3</v>
      </c>
      <c r="GP648" s="19">
        <v>23</v>
      </c>
      <c r="GQ648" s="19">
        <v>22</v>
      </c>
      <c r="GR648" s="19">
        <v>21</v>
      </c>
      <c r="GS648" s="19">
        <v>20</v>
      </c>
    </row>
    <row r="649">
      <c r="A649" s="2" t="s">
        <v>3543</v>
      </c>
      <c r="B649" s="2" t="s">
        <v>554</v>
      </c>
      <c r="C649" s="2" t="s">
        <v>246</v>
      </c>
      <c r="D649" s="2" t="s">
        <v>861</v>
      </c>
      <c r="E649" s="2" t="s">
        <v>556</v>
      </c>
      <c r="F649" s="2" t="s">
        <v>3544</v>
      </c>
      <c r="G649" s="2" t="s">
        <v>3544</v>
      </c>
      <c r="H649" s="2" t="s">
        <v>3544</v>
      </c>
      <c r="I649" s="2" t="s">
        <v>3117</v>
      </c>
      <c r="J649" s="2" t="s">
        <v>559</v>
      </c>
      <c r="K649" s="2" t="s">
        <v>195</v>
      </c>
      <c r="L649" s="3">
        <v>55.77</v>
      </c>
      <c r="M649" s="3">
        <v>58.56</v>
      </c>
      <c r="N649" s="3">
        <v>118.99</v>
      </c>
      <c r="O649" s="2" t="s">
        <v>196</v>
      </c>
      <c r="P649" s="2" t="s">
        <v>841</v>
      </c>
      <c r="Q649" s="2" t="s">
        <v>198</v>
      </c>
      <c r="R649" s="2" t="s">
        <v>199</v>
      </c>
      <c r="S649" s="2" t="s">
        <v>3545</v>
      </c>
      <c r="T649" s="2" t="s">
        <v>199</v>
      </c>
      <c r="U649" s="2" t="s">
        <v>254</v>
      </c>
      <c r="V649" s="2" t="s">
        <v>728</v>
      </c>
      <c r="W649" s="2" t="s">
        <v>728</v>
      </c>
      <c r="X649" s="2" t="s">
        <v>199</v>
      </c>
      <c r="Y649" s="2" t="s">
        <v>1372</v>
      </c>
      <c r="Z649" s="4">
        <v>32</v>
      </c>
      <c r="AA649" s="4">
        <f>=ROUNDDOWN(10.6666666666667,0)</f>
      </c>
      <c r="AB649" s="5">
        <v>3</v>
      </c>
      <c r="AC649" s="2" t="s">
        <v>199</v>
      </c>
      <c r="AD649" s="4"/>
      <c r="AE649" s="4"/>
      <c r="AF649" s="6">
        <v>61</v>
      </c>
      <c r="AG649" s="6"/>
      <c r="AH649" s="7">
        <v>1</v>
      </c>
      <c r="AI649" s="4"/>
      <c r="AJ649" s="4">
        <f>=ROUNDDOWN({0},0)</f>
      </c>
      <c r="AK649" s="5"/>
      <c r="AL649" s="2" t="s">
        <v>199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6</v>
      </c>
      <c r="BK649" s="8">
        <v>381.35</v>
      </c>
      <c r="BL649" s="2" t="s">
        <v>3546</v>
      </c>
      <c r="BM649" s="7"/>
      <c r="BN649" s="7"/>
      <c r="BO649" s="4"/>
      <c r="BP649" s="8"/>
      <c r="BQ649" s="4"/>
      <c r="BR649" s="8"/>
      <c r="BS649" s="7"/>
      <c r="BT649" s="7"/>
      <c r="BU649" s="2" t="s">
        <v>3547</v>
      </c>
      <c r="BV649" s="2" t="s">
        <v>199</v>
      </c>
      <c r="BW649" s="2" t="s">
        <v>199</v>
      </c>
      <c r="BX649" s="2" t="s">
        <v>208</v>
      </c>
      <c r="BY649" s="2" t="s">
        <v>209</v>
      </c>
      <c r="BZ649" s="2" t="s">
        <v>196</v>
      </c>
      <c r="CA649" s="2" t="s">
        <v>1375</v>
      </c>
      <c r="CB649" s="2" t="s">
        <v>871</v>
      </c>
      <c r="CC649" s="2" t="s">
        <v>212</v>
      </c>
      <c r="CD649" s="2" t="s">
        <v>199</v>
      </c>
      <c r="CE649" s="4"/>
      <c r="CF649" s="4">
        <v>32</v>
      </c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>
        <v>33</v>
      </c>
      <c r="EU649" s="4">
        <v>26</v>
      </c>
      <c r="EV649" s="4">
        <v>23</v>
      </c>
      <c r="EW649" s="4">
        <v>20</v>
      </c>
      <c r="EX649" s="4">
        <v>17</v>
      </c>
      <c r="EY649" s="4">
        <v>14</v>
      </c>
      <c r="EZ649" s="4">
        <v>11</v>
      </c>
      <c r="FA649" s="4">
        <v>8</v>
      </c>
      <c r="FB649" s="4">
        <v>5</v>
      </c>
      <c r="FC649" s="4">
        <v>2</v>
      </c>
      <c r="FD649" s="4"/>
      <c r="FE649" s="4"/>
      <c r="FF649" s="4"/>
      <c r="FG649" s="4"/>
      <c r="FH649" s="4"/>
      <c r="FI649" s="4"/>
      <c r="FJ649" s="4"/>
      <c r="FK649" s="4"/>
      <c r="FL649" s="4"/>
      <c r="FM649" s="4">
        <v>104</v>
      </c>
      <c r="FN649" s="4">
        <v>94</v>
      </c>
      <c r="FO649" s="4">
        <v>91</v>
      </c>
      <c r="FP649" s="4">
        <v>88</v>
      </c>
      <c r="FQ649" s="4">
        <v>85</v>
      </c>
      <c r="FR649" s="4">
        <v>82</v>
      </c>
      <c r="FS649" s="4">
        <v>79</v>
      </c>
      <c r="FT649" s="19">
        <v>8.3</v>
      </c>
      <c r="FU649" s="19">
        <v>8.7</v>
      </c>
      <c r="FV649" s="19">
        <v>7.7</v>
      </c>
      <c r="FW649" s="19">
        <v>6.7</v>
      </c>
      <c r="FX649" s="19">
        <v>5.7</v>
      </c>
      <c r="FY649" s="19">
        <v>4.7</v>
      </c>
      <c r="FZ649" s="19">
        <v>3.7</v>
      </c>
      <c r="GA649" s="19">
        <v>4</v>
      </c>
      <c r="GB649" s="19">
        <v>2.5</v>
      </c>
      <c r="GC649" s="19">
        <v>1</v>
      </c>
      <c r="GD649" s="20">
        <v>0</v>
      </c>
      <c r="GE649" s="20">
        <v>0</v>
      </c>
      <c r="GF649" s="20">
        <v>0</v>
      </c>
      <c r="GG649" s="20">
        <v>0</v>
      </c>
      <c r="GH649" s="20">
        <v>0</v>
      </c>
      <c r="GI649" s="20">
        <v>0</v>
      </c>
      <c r="GJ649" s="20">
        <v>0</v>
      </c>
      <c r="GK649" s="20">
        <v>0</v>
      </c>
      <c r="GL649" s="20">
        <v>0</v>
      </c>
      <c r="GM649" s="19">
        <v>20.8</v>
      </c>
      <c r="GN649" s="19">
        <v>31.3</v>
      </c>
      <c r="GO649" s="19">
        <v>30.3</v>
      </c>
      <c r="GP649" s="19">
        <v>29.3</v>
      </c>
      <c r="GQ649" s="19">
        <v>28.3</v>
      </c>
      <c r="GR649" s="19">
        <v>27.3</v>
      </c>
      <c r="GS649" s="19">
        <v>26.3</v>
      </c>
    </row>
    <row r="650">
      <c r="A650" s="2" t="s">
        <v>3548</v>
      </c>
      <c r="B650" s="2" t="s">
        <v>883</v>
      </c>
      <c r="C650" s="2" t="s">
        <v>884</v>
      </c>
      <c r="D650" s="2" t="s">
        <v>885</v>
      </c>
      <c r="E650" s="2" t="s">
        <v>886</v>
      </c>
      <c r="F650" s="2" t="s">
        <v>3549</v>
      </c>
      <c r="G650" s="2" t="s">
        <v>3549</v>
      </c>
      <c r="H650" s="2" t="s">
        <v>3549</v>
      </c>
      <c r="I650" s="2" t="s">
        <v>3550</v>
      </c>
      <c r="J650" s="2" t="s">
        <v>3551</v>
      </c>
      <c r="K650" s="2" t="s">
        <v>371</v>
      </c>
      <c r="L650" s="3">
        <v>18.75</v>
      </c>
      <c r="M650" s="3">
        <v>19.69</v>
      </c>
      <c r="N650" s="3">
        <v>39.99</v>
      </c>
      <c r="O650" s="2" t="s">
        <v>196</v>
      </c>
      <c r="P650" s="2" t="s">
        <v>841</v>
      </c>
      <c r="Q650" s="2" t="s">
        <v>198</v>
      </c>
      <c r="R650" s="2" t="s">
        <v>199</v>
      </c>
      <c r="S650" s="2" t="s">
        <v>199</v>
      </c>
      <c r="T650" s="2" t="s">
        <v>199</v>
      </c>
      <c r="U650" s="2" t="s">
        <v>280</v>
      </c>
      <c r="V650" s="2" t="s">
        <v>493</v>
      </c>
      <c r="W650" s="2" t="s">
        <v>199</v>
      </c>
      <c r="X650" s="2" t="s">
        <v>199</v>
      </c>
      <c r="Y650" s="2" t="s">
        <v>2659</v>
      </c>
      <c r="Z650" s="4">
        <v>987</v>
      </c>
      <c r="AA650" s="4">
        <f>=ROUNDDOWN(117.5,0)</f>
      </c>
      <c r="AB650" s="5">
        <v>8.4</v>
      </c>
      <c r="AC650" s="2" t="s">
        <v>199</v>
      </c>
      <c r="AD650" s="4"/>
      <c r="AE650" s="4"/>
      <c r="AF650" s="6">
        <v>64</v>
      </c>
      <c r="AG650" s="6"/>
      <c r="AH650" s="7">
        <v>1</v>
      </c>
      <c r="AI650" s="4"/>
      <c r="AJ650" s="4">
        <f>=ROUNDDOWN({0},0)</f>
      </c>
      <c r="AK650" s="5"/>
      <c r="AL650" s="2" t="s">
        <v>199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199</v>
      </c>
      <c r="AW650" s="8" t="s">
        <v>199</v>
      </c>
      <c r="AX650" s="4" t="s">
        <v>199</v>
      </c>
      <c r="AY650" s="8" t="s">
        <v>199</v>
      </c>
      <c r="AZ650" s="7" t="s">
        <v>199</v>
      </c>
      <c r="BA650" s="7" t="s">
        <v>199</v>
      </c>
      <c r="BB650" s="7"/>
      <c r="BC650" s="4" t="s">
        <v>199</v>
      </c>
      <c r="BD650" s="8" t="s">
        <v>199</v>
      </c>
      <c r="BE650" s="4" t="s">
        <v>199</v>
      </c>
      <c r="BF650" s="8" t="s">
        <v>199</v>
      </c>
      <c r="BG650" s="7" t="s">
        <v>199</v>
      </c>
      <c r="BH650" s="7" t="s">
        <v>199</v>
      </c>
      <c r="BI650" s="7"/>
      <c r="BJ650" s="4">
        <v>36</v>
      </c>
      <c r="BK650" s="8">
        <v>689.58</v>
      </c>
      <c r="BL650" s="2" t="s">
        <v>2664</v>
      </c>
      <c r="BM650" s="7"/>
      <c r="BN650" s="7"/>
      <c r="BO650" s="4"/>
      <c r="BP650" s="8"/>
      <c r="BQ650" s="4"/>
      <c r="BR650" s="8"/>
      <c r="BS650" s="7"/>
      <c r="BT650" s="7"/>
      <c r="BU650" s="2" t="s">
        <v>3552</v>
      </c>
      <c r="BV650" s="2" t="s">
        <v>199</v>
      </c>
      <c r="BW650" s="2" t="s">
        <v>199</v>
      </c>
      <c r="BX650" s="2" t="s">
        <v>208</v>
      </c>
      <c r="BY650" s="2" t="s">
        <v>209</v>
      </c>
      <c r="BZ650" s="2" t="s">
        <v>196</v>
      </c>
      <c r="CA650" s="2" t="s">
        <v>2245</v>
      </c>
      <c r="CB650" s="2" t="s">
        <v>3553</v>
      </c>
      <c r="CC650" s="2" t="s">
        <v>212</v>
      </c>
      <c r="CD650" s="2" t="s">
        <v>199</v>
      </c>
      <c r="CE650" s="4"/>
      <c r="CF650" s="4">
        <v>987</v>
      </c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>
        <v>1048</v>
      </c>
      <c r="EU650" s="4">
        <v>1040</v>
      </c>
      <c r="EV650" s="4">
        <v>1035</v>
      </c>
      <c r="EW650" s="4">
        <v>1030</v>
      </c>
      <c r="EX650" s="4">
        <v>1025</v>
      </c>
      <c r="EY650" s="4">
        <v>1015</v>
      </c>
      <c r="EZ650" s="4">
        <v>1006</v>
      </c>
      <c r="FA650" s="4">
        <v>997</v>
      </c>
      <c r="FB650" s="4">
        <v>988</v>
      </c>
      <c r="FC650" s="4">
        <v>979</v>
      </c>
      <c r="FD650" s="4">
        <v>970</v>
      </c>
      <c r="FE650" s="4">
        <v>961</v>
      </c>
      <c r="FF650" s="4">
        <v>952</v>
      </c>
      <c r="FG650" s="4">
        <v>943</v>
      </c>
      <c r="FH650" s="4">
        <v>934</v>
      </c>
      <c r="FI650" s="4">
        <v>924</v>
      </c>
      <c r="FJ650" s="4">
        <v>915</v>
      </c>
      <c r="FK650" s="4">
        <v>906</v>
      </c>
      <c r="FL650" s="4">
        <v>897</v>
      </c>
      <c r="FM650" s="4">
        <v>888</v>
      </c>
      <c r="FN650" s="4">
        <v>878</v>
      </c>
      <c r="FO650" s="4">
        <v>869</v>
      </c>
      <c r="FP650" s="4">
        <v>860</v>
      </c>
      <c r="FQ650" s="4">
        <v>851</v>
      </c>
      <c r="FR650" s="4">
        <v>842</v>
      </c>
      <c r="FS650" s="4">
        <v>833</v>
      </c>
      <c r="FT650" s="19">
        <v>174.7</v>
      </c>
      <c r="FU650" s="19">
        <v>173.3</v>
      </c>
      <c r="FV650" s="19">
        <v>147.9</v>
      </c>
      <c r="FW650" s="19">
        <v>128.8</v>
      </c>
      <c r="FX650" s="19">
        <v>113.9</v>
      </c>
      <c r="FY650" s="19">
        <v>112.8</v>
      </c>
      <c r="FZ650" s="19">
        <v>111.8</v>
      </c>
      <c r="GA650" s="19">
        <v>110.8</v>
      </c>
      <c r="GB650" s="19">
        <v>109.8</v>
      </c>
      <c r="GC650" s="19">
        <v>108.8</v>
      </c>
      <c r="GD650" s="19">
        <v>107.8</v>
      </c>
      <c r="GE650" s="19">
        <v>106.8</v>
      </c>
      <c r="GF650" s="19">
        <v>105.8</v>
      </c>
      <c r="GG650" s="19">
        <v>104.8</v>
      </c>
      <c r="GH650" s="19">
        <v>103.8</v>
      </c>
      <c r="GI650" s="19">
        <v>102.7</v>
      </c>
      <c r="GJ650" s="19">
        <v>101.7</v>
      </c>
      <c r="GK650" s="19">
        <v>100.7</v>
      </c>
      <c r="GL650" s="19">
        <v>99.7</v>
      </c>
      <c r="GM650" s="19">
        <v>98.7</v>
      </c>
      <c r="GN650" s="19">
        <v>97.6</v>
      </c>
      <c r="GO650" s="19">
        <v>96.6</v>
      </c>
      <c r="GP650" s="19">
        <v>95.6</v>
      </c>
      <c r="GQ650" s="19">
        <v>94.6</v>
      </c>
      <c r="GR650" s="19">
        <v>93.6</v>
      </c>
      <c r="GS650" s="19">
        <v>92.6</v>
      </c>
    </row>
    <row r="651">
      <c r="A651" s="2" t="s">
        <v>3554</v>
      </c>
      <c r="B651" s="2" t="s">
        <v>883</v>
      </c>
      <c r="C651" s="2" t="s">
        <v>884</v>
      </c>
      <c r="D651" s="2" t="s">
        <v>885</v>
      </c>
      <c r="E651" s="2" t="s">
        <v>886</v>
      </c>
      <c r="F651" s="2" t="s">
        <v>3549</v>
      </c>
      <c r="G651" s="2" t="s">
        <v>3549</v>
      </c>
      <c r="H651" s="2" t="s">
        <v>3549</v>
      </c>
      <c r="I651" s="2" t="s">
        <v>3550</v>
      </c>
      <c r="J651" s="2" t="s">
        <v>3555</v>
      </c>
      <c r="K651" s="2" t="s">
        <v>371</v>
      </c>
      <c r="L651" s="3">
        <v>24.25</v>
      </c>
      <c r="M651" s="3">
        <v>25.46</v>
      </c>
      <c r="N651" s="3">
        <v>49.99</v>
      </c>
      <c r="O651" s="2" t="s">
        <v>196</v>
      </c>
      <c r="P651" s="2" t="s">
        <v>841</v>
      </c>
      <c r="Q651" s="2" t="s">
        <v>198</v>
      </c>
      <c r="R651" s="2" t="s">
        <v>199</v>
      </c>
      <c r="S651" s="2" t="s">
        <v>199</v>
      </c>
      <c r="T651" s="2" t="s">
        <v>199</v>
      </c>
      <c r="U651" s="2" t="s">
        <v>280</v>
      </c>
      <c r="V651" s="2" t="s">
        <v>493</v>
      </c>
      <c r="W651" s="2" t="s">
        <v>199</v>
      </c>
      <c r="X651" s="2" t="s">
        <v>199</v>
      </c>
      <c r="Y651" s="2" t="s">
        <v>2663</v>
      </c>
      <c r="Z651" s="4">
        <v>1718</v>
      </c>
      <c r="AA651" s="4">
        <f>=ROUNDDOWN(687.2,0)</f>
      </c>
      <c r="AB651" s="5">
        <v>2.5</v>
      </c>
      <c r="AC651" s="2" t="s">
        <v>199</v>
      </c>
      <c r="AD651" s="4"/>
      <c r="AE651" s="4"/>
      <c r="AF651" s="6">
        <v>64</v>
      </c>
      <c r="AG651" s="6"/>
      <c r="AH651" s="7">
        <v>1</v>
      </c>
      <c r="AI651" s="4"/>
      <c r="AJ651" s="4">
        <f>=ROUNDDOWN({0},0)</f>
      </c>
      <c r="AK651" s="5"/>
      <c r="AL651" s="2" t="s">
        <v>199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199</v>
      </c>
      <c r="AW651" s="8" t="s">
        <v>199</v>
      </c>
      <c r="AX651" s="4" t="s">
        <v>199</v>
      </c>
      <c r="AY651" s="8" t="s">
        <v>199</v>
      </c>
      <c r="AZ651" s="7" t="s">
        <v>199</v>
      </c>
      <c r="BA651" s="7" t="s">
        <v>199</v>
      </c>
      <c r="BB651" s="7"/>
      <c r="BC651" s="4" t="s">
        <v>199</v>
      </c>
      <c r="BD651" s="8" t="s">
        <v>199</v>
      </c>
      <c r="BE651" s="4" t="s">
        <v>199</v>
      </c>
      <c r="BF651" s="8" t="s">
        <v>199</v>
      </c>
      <c r="BG651" s="7" t="s">
        <v>199</v>
      </c>
      <c r="BH651" s="7" t="s">
        <v>199</v>
      </c>
      <c r="BI651" s="7"/>
      <c r="BJ651" s="4">
        <v>42</v>
      </c>
      <c r="BK651" s="8">
        <v>1099.42</v>
      </c>
      <c r="BL651" s="2" t="s">
        <v>2249</v>
      </c>
      <c r="BM651" s="7"/>
      <c r="BN651" s="7"/>
      <c r="BO651" s="4"/>
      <c r="BP651" s="8"/>
      <c r="BQ651" s="4"/>
      <c r="BR651" s="8"/>
      <c r="BS651" s="7"/>
      <c r="BT651" s="7"/>
      <c r="BU651" s="2" t="s">
        <v>3552</v>
      </c>
      <c r="BV651" s="2" t="s">
        <v>199</v>
      </c>
      <c r="BW651" s="2" t="s">
        <v>199</v>
      </c>
      <c r="BX651" s="2" t="s">
        <v>208</v>
      </c>
      <c r="BY651" s="2" t="s">
        <v>209</v>
      </c>
      <c r="BZ651" s="2" t="s">
        <v>196</v>
      </c>
      <c r="CA651" s="2" t="s">
        <v>2245</v>
      </c>
      <c r="CB651" s="2" t="s">
        <v>3556</v>
      </c>
      <c r="CC651" s="2" t="s">
        <v>212</v>
      </c>
      <c r="CD651" s="2" t="s">
        <v>199</v>
      </c>
      <c r="CE651" s="4"/>
      <c r="CF651" s="4">
        <v>1718</v>
      </c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>
        <v>1721</v>
      </c>
      <c r="EU651" s="4">
        <v>1703</v>
      </c>
      <c r="EV651" s="4">
        <v>1700</v>
      </c>
      <c r="EW651" s="4">
        <v>1697</v>
      </c>
      <c r="EX651" s="4">
        <v>1694</v>
      </c>
      <c r="EY651" s="4">
        <v>1691</v>
      </c>
      <c r="EZ651" s="4">
        <v>1688</v>
      </c>
      <c r="FA651" s="4">
        <v>1685</v>
      </c>
      <c r="FB651" s="4">
        <v>1682</v>
      </c>
      <c r="FC651" s="4">
        <v>1679</v>
      </c>
      <c r="FD651" s="4">
        <v>1676</v>
      </c>
      <c r="FE651" s="4">
        <v>1673</v>
      </c>
      <c r="FF651" s="4">
        <v>1670</v>
      </c>
      <c r="FG651" s="4">
        <v>1667</v>
      </c>
      <c r="FH651" s="4">
        <v>1664</v>
      </c>
      <c r="FI651" s="4">
        <v>1661</v>
      </c>
      <c r="FJ651" s="4">
        <v>1658</v>
      </c>
      <c r="FK651" s="4">
        <v>1655</v>
      </c>
      <c r="FL651" s="4">
        <v>1652</v>
      </c>
      <c r="FM651" s="4">
        <v>1649</v>
      </c>
      <c r="FN651" s="4">
        <v>1646</v>
      </c>
      <c r="FO651" s="4">
        <v>1643</v>
      </c>
      <c r="FP651" s="4">
        <v>1640</v>
      </c>
      <c r="FQ651" s="4">
        <v>1637</v>
      </c>
      <c r="FR651" s="4">
        <v>1634</v>
      </c>
      <c r="FS651" s="4">
        <v>1631</v>
      </c>
      <c r="FT651" s="19">
        <v>245.9</v>
      </c>
      <c r="FU651" s="19">
        <v>567.7</v>
      </c>
      <c r="FV651" s="19">
        <v>566.7</v>
      </c>
      <c r="FW651" s="19">
        <v>565.7</v>
      </c>
      <c r="FX651" s="19">
        <v>564.7</v>
      </c>
      <c r="FY651" s="19">
        <v>563.7</v>
      </c>
      <c r="FZ651" s="19">
        <v>562.7</v>
      </c>
      <c r="GA651" s="19">
        <v>561.7</v>
      </c>
      <c r="GB651" s="19">
        <v>560.7</v>
      </c>
      <c r="GC651" s="19">
        <v>559.7</v>
      </c>
      <c r="GD651" s="19">
        <v>558.7</v>
      </c>
      <c r="GE651" s="19">
        <v>557.7</v>
      </c>
      <c r="GF651" s="19">
        <v>556.7</v>
      </c>
      <c r="GG651" s="19">
        <v>555.7</v>
      </c>
      <c r="GH651" s="19">
        <v>554.7</v>
      </c>
      <c r="GI651" s="19">
        <v>553.7</v>
      </c>
      <c r="GJ651" s="19">
        <v>552.7</v>
      </c>
      <c r="GK651" s="19">
        <v>551.7</v>
      </c>
      <c r="GL651" s="19">
        <v>550.7</v>
      </c>
      <c r="GM651" s="19">
        <v>549.7</v>
      </c>
      <c r="GN651" s="19">
        <v>548.7</v>
      </c>
      <c r="GO651" s="19">
        <v>547.7</v>
      </c>
      <c r="GP651" s="19">
        <v>546.7</v>
      </c>
      <c r="GQ651" s="19">
        <v>545.7</v>
      </c>
      <c r="GR651" s="19">
        <v>544.7</v>
      </c>
      <c r="GS651" s="19">
        <v>543.7</v>
      </c>
    </row>
    <row r="652">
      <c r="A652" s="2" t="s">
        <v>3557</v>
      </c>
      <c r="B652" s="2" t="s">
        <v>883</v>
      </c>
      <c r="C652" s="2" t="s">
        <v>884</v>
      </c>
      <c r="D652" s="2" t="s">
        <v>885</v>
      </c>
      <c r="E652" s="2" t="s">
        <v>886</v>
      </c>
      <c r="F652" s="2" t="s">
        <v>3549</v>
      </c>
      <c r="G652" s="2" t="s">
        <v>3549</v>
      </c>
      <c r="H652" s="2" t="s">
        <v>3549</v>
      </c>
      <c r="I652" s="2" t="s">
        <v>3550</v>
      </c>
      <c r="J652" s="2" t="s">
        <v>3551</v>
      </c>
      <c r="K652" s="2" t="s">
        <v>1037</v>
      </c>
      <c r="L652" s="3">
        <v>18.75</v>
      </c>
      <c r="M652" s="3">
        <v>19.69</v>
      </c>
      <c r="N652" s="3">
        <v>39.99</v>
      </c>
      <c r="O652" s="2" t="s">
        <v>196</v>
      </c>
      <c r="P652" s="2" t="s">
        <v>841</v>
      </c>
      <c r="Q652" s="2" t="s">
        <v>198</v>
      </c>
      <c r="R652" s="2" t="s">
        <v>199</v>
      </c>
      <c r="S652" s="2" t="s">
        <v>199</v>
      </c>
      <c r="T652" s="2" t="s">
        <v>199</v>
      </c>
      <c r="U652" s="2" t="s">
        <v>280</v>
      </c>
      <c r="V652" s="2" t="s">
        <v>493</v>
      </c>
      <c r="W652" s="2" t="s">
        <v>199</v>
      </c>
      <c r="X652" s="2" t="s">
        <v>199</v>
      </c>
      <c r="Y652" s="2" t="s">
        <v>2659</v>
      </c>
      <c r="Z652" s="4">
        <v>665</v>
      </c>
      <c r="AA652" s="4">
        <f>=ROUNDDOWN(105.555555555556,0)</f>
      </c>
      <c r="AB652" s="5">
        <v>6.3</v>
      </c>
      <c r="AC652" s="2" t="s">
        <v>199</v>
      </c>
      <c r="AD652" s="4"/>
      <c r="AE652" s="4"/>
      <c r="AF652" s="6">
        <v>64</v>
      </c>
      <c r="AG652" s="6"/>
      <c r="AH652" s="7">
        <v>1</v>
      </c>
      <c r="AI652" s="4"/>
      <c r="AJ652" s="4">
        <f>=ROUNDDOWN({0},0)</f>
      </c>
      <c r="AK652" s="5"/>
      <c r="AL652" s="2" t="s">
        <v>199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199</v>
      </c>
      <c r="AW652" s="8" t="s">
        <v>199</v>
      </c>
      <c r="AX652" s="4" t="s">
        <v>199</v>
      </c>
      <c r="AY652" s="8" t="s">
        <v>199</v>
      </c>
      <c r="AZ652" s="7" t="s">
        <v>199</v>
      </c>
      <c r="BA652" s="7" t="s">
        <v>199</v>
      </c>
      <c r="BB652" s="7"/>
      <c r="BC652" s="4" t="s">
        <v>199</v>
      </c>
      <c r="BD652" s="8" t="s">
        <v>199</v>
      </c>
      <c r="BE652" s="4" t="s">
        <v>199</v>
      </c>
      <c r="BF652" s="8" t="s">
        <v>199</v>
      </c>
      <c r="BG652" s="7" t="s">
        <v>199</v>
      </c>
      <c r="BH652" s="7" t="s">
        <v>199</v>
      </c>
      <c r="BI652" s="7"/>
      <c r="BJ652" s="4">
        <v>27</v>
      </c>
      <c r="BK652" s="8">
        <v>541.54</v>
      </c>
      <c r="BL652" s="2" t="s">
        <v>2249</v>
      </c>
      <c r="BM652" s="7"/>
      <c r="BN652" s="7"/>
      <c r="BO652" s="4"/>
      <c r="BP652" s="8"/>
      <c r="BQ652" s="4"/>
      <c r="BR652" s="8"/>
      <c r="BS652" s="7"/>
      <c r="BT652" s="7"/>
      <c r="BU652" s="2" t="s">
        <v>3552</v>
      </c>
      <c r="BV652" s="2" t="s">
        <v>199</v>
      </c>
      <c r="BW652" s="2" t="s">
        <v>199</v>
      </c>
      <c r="BX652" s="2" t="s">
        <v>208</v>
      </c>
      <c r="BY652" s="2" t="s">
        <v>209</v>
      </c>
      <c r="BZ652" s="2" t="s">
        <v>196</v>
      </c>
      <c r="CA652" s="2" t="s">
        <v>2245</v>
      </c>
      <c r="CB652" s="2" t="s">
        <v>3558</v>
      </c>
      <c r="CC652" s="2" t="s">
        <v>212</v>
      </c>
      <c r="CD652" s="2" t="s">
        <v>199</v>
      </c>
      <c r="CE652" s="4"/>
      <c r="CF652" s="4">
        <v>665</v>
      </c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>
        <v>671</v>
      </c>
      <c r="EU652" s="4">
        <v>628</v>
      </c>
      <c r="EV652" s="4">
        <v>620</v>
      </c>
      <c r="EW652" s="4">
        <v>612</v>
      </c>
      <c r="EX652" s="4">
        <v>604</v>
      </c>
      <c r="EY652" s="4">
        <v>596</v>
      </c>
      <c r="EZ652" s="4">
        <v>589</v>
      </c>
      <c r="FA652" s="4">
        <v>582</v>
      </c>
      <c r="FB652" s="4">
        <v>575</v>
      </c>
      <c r="FC652" s="4">
        <v>568</v>
      </c>
      <c r="FD652" s="4">
        <v>561</v>
      </c>
      <c r="FE652" s="4">
        <v>554</v>
      </c>
      <c r="FF652" s="4">
        <v>547</v>
      </c>
      <c r="FG652" s="4">
        <v>540</v>
      </c>
      <c r="FH652" s="4">
        <v>533</v>
      </c>
      <c r="FI652" s="4">
        <v>526</v>
      </c>
      <c r="FJ652" s="4">
        <v>519</v>
      </c>
      <c r="FK652" s="4">
        <v>512</v>
      </c>
      <c r="FL652" s="4">
        <v>505</v>
      </c>
      <c r="FM652" s="4">
        <v>498</v>
      </c>
      <c r="FN652" s="4">
        <v>491</v>
      </c>
      <c r="FO652" s="4">
        <v>484</v>
      </c>
      <c r="FP652" s="4">
        <v>477</v>
      </c>
      <c r="FQ652" s="4">
        <v>470</v>
      </c>
      <c r="FR652" s="4">
        <v>463</v>
      </c>
      <c r="FS652" s="4">
        <v>456</v>
      </c>
      <c r="FT652" s="19">
        <v>39.5</v>
      </c>
      <c r="FU652" s="19">
        <v>78.5</v>
      </c>
      <c r="FV652" s="19">
        <v>77.5</v>
      </c>
      <c r="FW652" s="19">
        <v>76.5</v>
      </c>
      <c r="FX652" s="19">
        <v>86.3</v>
      </c>
      <c r="FY652" s="19">
        <v>85.1</v>
      </c>
      <c r="FZ652" s="19">
        <v>84.1</v>
      </c>
      <c r="GA652" s="19">
        <v>83.1</v>
      </c>
      <c r="GB652" s="19">
        <v>82.1</v>
      </c>
      <c r="GC652" s="19">
        <v>81.1</v>
      </c>
      <c r="GD652" s="19">
        <v>80.1</v>
      </c>
      <c r="GE652" s="19">
        <v>79.1</v>
      </c>
      <c r="GF652" s="19">
        <v>78.1</v>
      </c>
      <c r="GG652" s="19">
        <v>77.1</v>
      </c>
      <c r="GH652" s="19">
        <v>76.1</v>
      </c>
      <c r="GI652" s="19">
        <v>75.1</v>
      </c>
      <c r="GJ652" s="19">
        <v>74.1</v>
      </c>
      <c r="GK652" s="19">
        <v>73.1</v>
      </c>
      <c r="GL652" s="19">
        <v>72.1</v>
      </c>
      <c r="GM652" s="19">
        <v>71.1</v>
      </c>
      <c r="GN652" s="19">
        <v>70.1</v>
      </c>
      <c r="GO652" s="19">
        <v>69.1</v>
      </c>
      <c r="GP652" s="19">
        <v>68.1</v>
      </c>
      <c r="GQ652" s="19">
        <v>67.1</v>
      </c>
      <c r="GR652" s="19">
        <v>66.1</v>
      </c>
      <c r="GS652" s="19">
        <v>65.1</v>
      </c>
    </row>
    <row r="653">
      <c r="A653" s="2" t="s">
        <v>3559</v>
      </c>
      <c r="B653" s="2" t="s">
        <v>883</v>
      </c>
      <c r="C653" s="2" t="s">
        <v>884</v>
      </c>
      <c r="D653" s="2" t="s">
        <v>885</v>
      </c>
      <c r="E653" s="2" t="s">
        <v>886</v>
      </c>
      <c r="F653" s="2" t="s">
        <v>3549</v>
      </c>
      <c r="G653" s="2" t="s">
        <v>3549</v>
      </c>
      <c r="H653" s="2" t="s">
        <v>3549</v>
      </c>
      <c r="I653" s="2" t="s">
        <v>3550</v>
      </c>
      <c r="J653" s="2" t="s">
        <v>3560</v>
      </c>
      <c r="K653" s="2" t="s">
        <v>1037</v>
      </c>
      <c r="L653" s="3">
        <v>33.5</v>
      </c>
      <c r="M653" s="3">
        <v>35.18</v>
      </c>
      <c r="N653" s="3">
        <v>69.99</v>
      </c>
      <c r="O653" s="2" t="s">
        <v>196</v>
      </c>
      <c r="P653" s="2" t="s">
        <v>841</v>
      </c>
      <c r="Q653" s="2" t="s">
        <v>198</v>
      </c>
      <c r="R653" s="2" t="s">
        <v>199</v>
      </c>
      <c r="S653" s="2" t="s">
        <v>199</v>
      </c>
      <c r="T653" s="2" t="s">
        <v>199</v>
      </c>
      <c r="U653" s="2" t="s">
        <v>280</v>
      </c>
      <c r="V653" s="2" t="s">
        <v>493</v>
      </c>
      <c r="W653" s="2" t="s">
        <v>199</v>
      </c>
      <c r="X653" s="2" t="s">
        <v>199</v>
      </c>
      <c r="Y653" s="2" t="s">
        <v>2659</v>
      </c>
      <c r="Z653" s="4">
        <v>308</v>
      </c>
      <c r="AA653" s="4">
        <f>=ROUNDDOWN(96.25,0)</f>
      </c>
      <c r="AB653" s="5">
        <v>3.2</v>
      </c>
      <c r="AC653" s="2" t="s">
        <v>199</v>
      </c>
      <c r="AD653" s="4"/>
      <c r="AE653" s="4"/>
      <c r="AF653" s="6">
        <v>64</v>
      </c>
      <c r="AG653" s="6"/>
      <c r="AH653" s="7">
        <v>1</v>
      </c>
      <c r="AI653" s="4"/>
      <c r="AJ653" s="4">
        <f>=ROUNDDOWN({0},0)</f>
      </c>
      <c r="AK653" s="5"/>
      <c r="AL653" s="2" t="s">
        <v>199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199</v>
      </c>
      <c r="AW653" s="8" t="s">
        <v>199</v>
      </c>
      <c r="AX653" s="4" t="s">
        <v>199</v>
      </c>
      <c r="AY653" s="8" t="s">
        <v>199</v>
      </c>
      <c r="AZ653" s="7" t="s">
        <v>199</v>
      </c>
      <c r="BA653" s="7" t="s">
        <v>199</v>
      </c>
      <c r="BB653" s="7"/>
      <c r="BC653" s="4" t="s">
        <v>199</v>
      </c>
      <c r="BD653" s="8" t="s">
        <v>199</v>
      </c>
      <c r="BE653" s="4" t="s">
        <v>199</v>
      </c>
      <c r="BF653" s="8" t="s">
        <v>199</v>
      </c>
      <c r="BG653" s="7" t="s">
        <v>199</v>
      </c>
      <c r="BH653" s="7" t="s">
        <v>199</v>
      </c>
      <c r="BI653" s="7"/>
      <c r="BJ653" s="4">
        <v>44</v>
      </c>
      <c r="BK653" s="8">
        <v>1547.27</v>
      </c>
      <c r="BL653" s="2" t="s">
        <v>2664</v>
      </c>
      <c r="BM653" s="7"/>
      <c r="BN653" s="7"/>
      <c r="BO653" s="4"/>
      <c r="BP653" s="8"/>
      <c r="BQ653" s="4"/>
      <c r="BR653" s="8"/>
      <c r="BS653" s="7"/>
      <c r="BT653" s="7"/>
      <c r="BU653" s="2" t="s">
        <v>3552</v>
      </c>
      <c r="BV653" s="2" t="s">
        <v>199</v>
      </c>
      <c r="BW653" s="2" t="s">
        <v>199</v>
      </c>
      <c r="BX653" s="2" t="s">
        <v>208</v>
      </c>
      <c r="BY653" s="2" t="s">
        <v>209</v>
      </c>
      <c r="BZ653" s="2" t="s">
        <v>196</v>
      </c>
      <c r="CA653" s="2" t="s">
        <v>2245</v>
      </c>
      <c r="CB653" s="2" t="s">
        <v>3561</v>
      </c>
      <c r="CC653" s="2" t="s">
        <v>212</v>
      </c>
      <c r="CD653" s="2" t="s">
        <v>199</v>
      </c>
      <c r="CE653" s="4"/>
      <c r="CF653" s="4">
        <v>308</v>
      </c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>
        <v>320</v>
      </c>
      <c r="EU653" s="4">
        <v>320</v>
      </c>
      <c r="EV653" s="4">
        <v>319</v>
      </c>
      <c r="EW653" s="4">
        <v>316</v>
      </c>
      <c r="EX653" s="4">
        <v>313</v>
      </c>
      <c r="EY653" s="4">
        <v>310</v>
      </c>
      <c r="EZ653" s="4">
        <v>307</v>
      </c>
      <c r="FA653" s="4">
        <v>304</v>
      </c>
      <c r="FB653" s="4">
        <v>301</v>
      </c>
      <c r="FC653" s="4">
        <v>298</v>
      </c>
      <c r="FD653" s="4">
        <v>295</v>
      </c>
      <c r="FE653" s="4">
        <v>292</v>
      </c>
      <c r="FF653" s="4">
        <v>289</v>
      </c>
      <c r="FG653" s="4">
        <v>286</v>
      </c>
      <c r="FH653" s="4">
        <v>283</v>
      </c>
      <c r="FI653" s="4">
        <v>280</v>
      </c>
      <c r="FJ653" s="4">
        <v>277</v>
      </c>
      <c r="FK653" s="4">
        <v>274</v>
      </c>
      <c r="FL653" s="4">
        <v>271</v>
      </c>
      <c r="FM653" s="4">
        <v>268</v>
      </c>
      <c r="FN653" s="4">
        <v>265</v>
      </c>
      <c r="FO653" s="4">
        <v>262</v>
      </c>
      <c r="FP653" s="4">
        <v>259</v>
      </c>
      <c r="FQ653" s="4">
        <v>256</v>
      </c>
      <c r="FR653" s="4">
        <v>253</v>
      </c>
      <c r="FS653" s="4">
        <v>250</v>
      </c>
      <c r="FT653" s="19">
        <v>160</v>
      </c>
      <c r="FU653" s="19">
        <v>160</v>
      </c>
      <c r="FV653" s="19">
        <v>106.3</v>
      </c>
      <c r="FW653" s="19">
        <v>105.3</v>
      </c>
      <c r="FX653" s="19">
        <v>104.3</v>
      </c>
      <c r="FY653" s="19">
        <v>103.3</v>
      </c>
      <c r="FZ653" s="19">
        <v>102.3</v>
      </c>
      <c r="GA653" s="19">
        <v>101.3</v>
      </c>
      <c r="GB653" s="19">
        <v>100.3</v>
      </c>
      <c r="GC653" s="19">
        <v>99.3</v>
      </c>
      <c r="GD653" s="19">
        <v>98.3</v>
      </c>
      <c r="GE653" s="19">
        <v>97.3</v>
      </c>
      <c r="GF653" s="19">
        <v>96.3</v>
      </c>
      <c r="GG653" s="19">
        <v>95.3</v>
      </c>
      <c r="GH653" s="19">
        <v>94.3</v>
      </c>
      <c r="GI653" s="19">
        <v>93.3</v>
      </c>
      <c r="GJ653" s="19">
        <v>92.3</v>
      </c>
      <c r="GK653" s="19">
        <v>91.3</v>
      </c>
      <c r="GL653" s="19">
        <v>90.3</v>
      </c>
      <c r="GM653" s="19">
        <v>89.3</v>
      </c>
      <c r="GN653" s="19">
        <v>88.3</v>
      </c>
      <c r="GO653" s="19">
        <v>87.3</v>
      </c>
      <c r="GP653" s="19">
        <v>86.3</v>
      </c>
      <c r="GQ653" s="19">
        <v>85.3</v>
      </c>
      <c r="GR653" s="19">
        <v>84.3</v>
      </c>
      <c r="GS653" s="19">
        <v>83.3</v>
      </c>
    </row>
    <row r="654">
      <c r="A654" s="2" t="s">
        <v>3562</v>
      </c>
      <c r="B654" s="2" t="s">
        <v>672</v>
      </c>
      <c r="C654" s="2" t="s">
        <v>246</v>
      </c>
      <c r="D654" s="2" t="s">
        <v>673</v>
      </c>
      <c r="E654" s="2" t="s">
        <v>674</v>
      </c>
      <c r="F654" s="2" t="s">
        <v>3563</v>
      </c>
      <c r="G654" s="2" t="s">
        <v>3564</v>
      </c>
      <c r="H654" s="2" t="s">
        <v>3565</v>
      </c>
      <c r="I654" s="2" t="s">
        <v>3566</v>
      </c>
      <c r="J654" s="2" t="s">
        <v>679</v>
      </c>
      <c r="K654" s="2" t="s">
        <v>665</v>
      </c>
      <c r="L654" s="3">
        <v>16.45</v>
      </c>
      <c r="M654" s="3">
        <v>17.27</v>
      </c>
      <c r="N654" s="3">
        <v>34.99</v>
      </c>
      <c r="O654" s="2" t="s">
        <v>196</v>
      </c>
      <c r="P654" s="2" t="s">
        <v>841</v>
      </c>
      <c r="Q654" s="2" t="s">
        <v>198</v>
      </c>
      <c r="R654" s="2" t="s">
        <v>199</v>
      </c>
      <c r="S654" s="2" t="s">
        <v>3567</v>
      </c>
      <c r="T654" s="2" t="s">
        <v>199</v>
      </c>
      <c r="U654" s="2" t="s">
        <v>199</v>
      </c>
      <c r="V654" s="2" t="s">
        <v>3568</v>
      </c>
      <c r="W654" s="2" t="s">
        <v>529</v>
      </c>
      <c r="X654" s="2" t="s">
        <v>682</v>
      </c>
      <c r="Y654" s="2" t="s">
        <v>408</v>
      </c>
      <c r="Z654" s="4">
        <v>275</v>
      </c>
      <c r="AA654" s="4">
        <f>=ROUNDDOWN(34.375,0)</f>
      </c>
      <c r="AB654" s="5">
        <v>8</v>
      </c>
      <c r="AC654" s="2" t="s">
        <v>199</v>
      </c>
      <c r="AD654" s="4"/>
      <c r="AE654" s="4"/>
      <c r="AF654" s="6">
        <v>64</v>
      </c>
      <c r="AG654" s="6"/>
      <c r="AH654" s="7">
        <v>1</v>
      </c>
      <c r="AI654" s="4"/>
      <c r="AJ654" s="4">
        <f>=ROUNDDOWN({0},0)</f>
      </c>
      <c r="AK654" s="5"/>
      <c r="AL654" s="2" t="s">
        <v>199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199</v>
      </c>
      <c r="BD654" s="8" t="s">
        <v>199</v>
      </c>
      <c r="BE654" s="4" t="s">
        <v>199</v>
      </c>
      <c r="BF654" s="8" t="s">
        <v>199</v>
      </c>
      <c r="BG654" s="7" t="s">
        <v>199</v>
      </c>
      <c r="BH654" s="7" t="s">
        <v>199</v>
      </c>
      <c r="BI654" s="7"/>
      <c r="BJ654" s="4">
        <v>35</v>
      </c>
      <c r="BK654" s="8">
        <v>608.46</v>
      </c>
      <c r="BL654" s="2" t="s">
        <v>3569</v>
      </c>
      <c r="BM654" s="7"/>
      <c r="BN654" s="7"/>
      <c r="BO654" s="4"/>
      <c r="BP654" s="8"/>
      <c r="BQ654" s="4"/>
      <c r="BR654" s="8"/>
      <c r="BS654" s="7"/>
      <c r="BT654" s="7"/>
      <c r="BU654" s="2" t="s">
        <v>3570</v>
      </c>
      <c r="BV654" s="2" t="s">
        <v>199</v>
      </c>
      <c r="BW654" s="2" t="s">
        <v>199</v>
      </c>
      <c r="BX654" s="2" t="s">
        <v>208</v>
      </c>
      <c r="BY654" s="2" t="s">
        <v>209</v>
      </c>
      <c r="BZ654" s="2" t="s">
        <v>196</v>
      </c>
      <c r="CA654" s="2" t="s">
        <v>408</v>
      </c>
      <c r="CB654" s="2" t="s">
        <v>3571</v>
      </c>
      <c r="CC654" s="2" t="s">
        <v>212</v>
      </c>
      <c r="CD654" s="2" t="s">
        <v>199</v>
      </c>
      <c r="CE654" s="4">
        <v>275</v>
      </c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>
        <v>280</v>
      </c>
      <c r="EU654" s="4">
        <v>271</v>
      </c>
      <c r="EV654" s="4">
        <v>267</v>
      </c>
      <c r="EW654" s="4">
        <v>263</v>
      </c>
      <c r="EX654" s="4">
        <v>259</v>
      </c>
      <c r="EY654" s="4">
        <v>255</v>
      </c>
      <c r="EZ654" s="4">
        <v>247</v>
      </c>
      <c r="FA654" s="4">
        <v>239</v>
      </c>
      <c r="FB654" s="4">
        <v>230</v>
      </c>
      <c r="FC654" s="4">
        <v>222</v>
      </c>
      <c r="FD654" s="4">
        <v>214</v>
      </c>
      <c r="FE654" s="4">
        <v>206</v>
      </c>
      <c r="FF654" s="4">
        <v>198</v>
      </c>
      <c r="FG654" s="4">
        <v>190</v>
      </c>
      <c r="FH654" s="4">
        <v>182</v>
      </c>
      <c r="FI654" s="4">
        <v>173</v>
      </c>
      <c r="FJ654" s="4">
        <v>165</v>
      </c>
      <c r="FK654" s="4">
        <v>157</v>
      </c>
      <c r="FL654" s="4">
        <v>149</v>
      </c>
      <c r="FM654" s="4">
        <v>141</v>
      </c>
      <c r="FN654" s="4">
        <v>132</v>
      </c>
      <c r="FO654" s="4">
        <v>124</v>
      </c>
      <c r="FP654" s="4">
        <v>115</v>
      </c>
      <c r="FQ654" s="4">
        <v>107</v>
      </c>
      <c r="FR654" s="4">
        <v>99</v>
      </c>
      <c r="FS654" s="4">
        <v>91</v>
      </c>
      <c r="FT654" s="19">
        <v>56</v>
      </c>
      <c r="FU654" s="19">
        <v>67.8</v>
      </c>
      <c r="FV654" s="19">
        <v>53.4</v>
      </c>
      <c r="FW654" s="19">
        <v>43.8</v>
      </c>
      <c r="FX654" s="19">
        <v>37</v>
      </c>
      <c r="FY654" s="19">
        <v>31.9</v>
      </c>
      <c r="FZ654" s="19">
        <v>30.9</v>
      </c>
      <c r="GA654" s="19">
        <v>29.9</v>
      </c>
      <c r="GB654" s="19">
        <v>28.8</v>
      </c>
      <c r="GC654" s="19">
        <v>27.8</v>
      </c>
      <c r="GD654" s="19">
        <v>26.8</v>
      </c>
      <c r="GE654" s="19">
        <v>25.8</v>
      </c>
      <c r="GF654" s="19">
        <v>24.8</v>
      </c>
      <c r="GG654" s="19">
        <v>23.8</v>
      </c>
      <c r="GH654" s="19">
        <v>22.8</v>
      </c>
      <c r="GI654" s="19">
        <v>21.6</v>
      </c>
      <c r="GJ654" s="19">
        <v>20.6</v>
      </c>
      <c r="GK654" s="19">
        <v>19.6</v>
      </c>
      <c r="GL654" s="19">
        <v>18.6</v>
      </c>
      <c r="GM654" s="19">
        <v>17.6</v>
      </c>
      <c r="GN654" s="19">
        <v>16.5</v>
      </c>
      <c r="GO654" s="19">
        <v>15.5</v>
      </c>
      <c r="GP654" s="19">
        <v>14.4</v>
      </c>
      <c r="GQ654" s="19">
        <v>13.4</v>
      </c>
      <c r="GR654" s="19">
        <v>12.4</v>
      </c>
      <c r="GS654" s="19">
        <v>11.4</v>
      </c>
    </row>
    <row r="655">
      <c r="A655" s="2" t="s">
        <v>3572</v>
      </c>
      <c r="B655" s="2" t="s">
        <v>672</v>
      </c>
      <c r="C655" s="2" t="s">
        <v>246</v>
      </c>
      <c r="D655" s="2" t="s">
        <v>673</v>
      </c>
      <c r="E655" s="2" t="s">
        <v>674</v>
      </c>
      <c r="F655" s="2" t="s">
        <v>3563</v>
      </c>
      <c r="G655" s="2" t="s">
        <v>3564</v>
      </c>
      <c r="H655" s="2" t="s">
        <v>3565</v>
      </c>
      <c r="I655" s="2" t="s">
        <v>3566</v>
      </c>
      <c r="J655" s="2" t="s">
        <v>679</v>
      </c>
      <c r="K655" s="2" t="s">
        <v>865</v>
      </c>
      <c r="L655" s="3">
        <v>16.45</v>
      </c>
      <c r="M655" s="3">
        <v>17.27</v>
      </c>
      <c r="N655" s="3">
        <v>34.99</v>
      </c>
      <c r="O655" s="2" t="s">
        <v>196</v>
      </c>
      <c r="P655" s="2" t="s">
        <v>197</v>
      </c>
      <c r="Q655" s="2" t="s">
        <v>198</v>
      </c>
      <c r="R655" s="2" t="s">
        <v>199</v>
      </c>
      <c r="S655" s="2" t="s">
        <v>3573</v>
      </c>
      <c r="T655" s="2" t="s">
        <v>199</v>
      </c>
      <c r="U655" s="2" t="s">
        <v>199</v>
      </c>
      <c r="V655" s="2" t="s">
        <v>3568</v>
      </c>
      <c r="W655" s="2" t="s">
        <v>529</v>
      </c>
      <c r="X655" s="2" t="s">
        <v>682</v>
      </c>
      <c r="Y655" s="2" t="s">
        <v>204</v>
      </c>
      <c r="Z655" s="4">
        <v>929</v>
      </c>
      <c r="AA655" s="4">
        <f>=ROUNDDOWN(48.8947368421053,0)</f>
      </c>
      <c r="AB655" s="5">
        <v>19</v>
      </c>
      <c r="AC655" s="2" t="s">
        <v>199</v>
      </c>
      <c r="AD655" s="4"/>
      <c r="AE655" s="4"/>
      <c r="AF655" s="6">
        <v>64</v>
      </c>
      <c r="AG655" s="6"/>
      <c r="AH655" s="7">
        <v>1</v>
      </c>
      <c r="AI655" s="4"/>
      <c r="AJ655" s="4">
        <f>=ROUNDDOWN({0},0)</f>
      </c>
      <c r="AK655" s="5"/>
      <c r="AL655" s="2" t="s">
        <v>199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199</v>
      </c>
      <c r="AW655" s="8" t="s">
        <v>199</v>
      </c>
      <c r="AX655" s="4" t="s">
        <v>199</v>
      </c>
      <c r="AY655" s="8" t="s">
        <v>199</v>
      </c>
      <c r="AZ655" s="7" t="s">
        <v>199</v>
      </c>
      <c r="BA655" s="7" t="s">
        <v>199</v>
      </c>
      <c r="BB655" s="7"/>
      <c r="BC655" s="4" t="s">
        <v>199</v>
      </c>
      <c r="BD655" s="8" t="s">
        <v>199</v>
      </c>
      <c r="BE655" s="4" t="s">
        <v>199</v>
      </c>
      <c r="BF655" s="8" t="s">
        <v>199</v>
      </c>
      <c r="BG655" s="7" t="s">
        <v>199</v>
      </c>
      <c r="BH655" s="7" t="s">
        <v>199</v>
      </c>
      <c r="BI655" s="7"/>
      <c r="BJ655" s="4">
        <v>23</v>
      </c>
      <c r="BK655" s="8">
        <v>382.31</v>
      </c>
      <c r="BL655" s="2" t="s">
        <v>3574</v>
      </c>
      <c r="BM655" s="7"/>
      <c r="BN655" s="7"/>
      <c r="BO655" s="4"/>
      <c r="BP655" s="8"/>
      <c r="BQ655" s="4"/>
      <c r="BR655" s="8"/>
      <c r="BS655" s="7"/>
      <c r="BT655" s="7"/>
      <c r="BU655" s="2" t="s">
        <v>3570</v>
      </c>
      <c r="BV655" s="2" t="s">
        <v>199</v>
      </c>
      <c r="BW655" s="2" t="s">
        <v>199</v>
      </c>
      <c r="BX655" s="2" t="s">
        <v>208</v>
      </c>
      <c r="BY655" s="2" t="s">
        <v>209</v>
      </c>
      <c r="BZ655" s="2" t="s">
        <v>196</v>
      </c>
      <c r="CA655" s="2" t="s">
        <v>210</v>
      </c>
      <c r="CB655" s="2" t="s">
        <v>3575</v>
      </c>
      <c r="CC655" s="2" t="s">
        <v>212</v>
      </c>
      <c r="CD655" s="2" t="s">
        <v>199</v>
      </c>
      <c r="CE655" s="4">
        <v>929</v>
      </c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>
        <v>935</v>
      </c>
      <c r="EU655" s="4">
        <v>922</v>
      </c>
      <c r="EV655" s="4">
        <v>913</v>
      </c>
      <c r="EW655" s="4">
        <v>894</v>
      </c>
      <c r="EX655" s="4">
        <v>875</v>
      </c>
      <c r="EY655" s="4">
        <v>856</v>
      </c>
      <c r="EZ655" s="4">
        <v>837</v>
      </c>
      <c r="FA655" s="4">
        <v>818</v>
      </c>
      <c r="FB655" s="4">
        <v>798</v>
      </c>
      <c r="FC655" s="4">
        <v>779</v>
      </c>
      <c r="FD655" s="4">
        <v>760</v>
      </c>
      <c r="FE655" s="4">
        <v>741</v>
      </c>
      <c r="FF655" s="4">
        <v>722</v>
      </c>
      <c r="FG655" s="4">
        <v>703</v>
      </c>
      <c r="FH655" s="4">
        <v>684</v>
      </c>
      <c r="FI655" s="4">
        <v>663</v>
      </c>
      <c r="FJ655" s="4">
        <v>644</v>
      </c>
      <c r="FK655" s="4">
        <v>625</v>
      </c>
      <c r="FL655" s="4">
        <v>606</v>
      </c>
      <c r="FM655" s="4">
        <v>587</v>
      </c>
      <c r="FN655" s="4">
        <v>566</v>
      </c>
      <c r="FO655" s="4">
        <v>547</v>
      </c>
      <c r="FP655" s="4">
        <v>527</v>
      </c>
      <c r="FQ655" s="4">
        <v>508</v>
      </c>
      <c r="FR655" s="4">
        <v>489</v>
      </c>
      <c r="FS655" s="4">
        <v>470</v>
      </c>
      <c r="FT655" s="19">
        <v>62.3</v>
      </c>
      <c r="FU655" s="19">
        <v>57.6</v>
      </c>
      <c r="FV655" s="19">
        <v>48.1</v>
      </c>
      <c r="FW655" s="19">
        <v>47.1</v>
      </c>
      <c r="FX655" s="19">
        <v>46.1</v>
      </c>
      <c r="FY655" s="19">
        <v>45.1</v>
      </c>
      <c r="FZ655" s="19">
        <v>44.1</v>
      </c>
      <c r="GA655" s="19">
        <v>43.1</v>
      </c>
      <c r="GB655" s="19">
        <v>42</v>
      </c>
      <c r="GC655" s="19">
        <v>41</v>
      </c>
      <c r="GD655" s="19">
        <v>40</v>
      </c>
      <c r="GE655" s="19">
        <v>37.1</v>
      </c>
      <c r="GF655" s="19">
        <v>36.1</v>
      </c>
      <c r="GG655" s="19">
        <v>35.2</v>
      </c>
      <c r="GH655" s="19">
        <v>34.2</v>
      </c>
      <c r="GI655" s="19">
        <v>34.9</v>
      </c>
      <c r="GJ655" s="19">
        <v>32.2</v>
      </c>
      <c r="GK655" s="19">
        <v>31.3</v>
      </c>
      <c r="GL655" s="19">
        <v>30.3</v>
      </c>
      <c r="GM655" s="19">
        <v>29.4</v>
      </c>
      <c r="GN655" s="19">
        <v>29.8</v>
      </c>
      <c r="GO655" s="19">
        <v>28.8</v>
      </c>
      <c r="GP655" s="19">
        <v>27.7</v>
      </c>
      <c r="GQ655" s="19">
        <v>26.7</v>
      </c>
      <c r="GR655" s="19">
        <v>25.7</v>
      </c>
      <c r="GS655" s="19">
        <v>23.5</v>
      </c>
    </row>
    <row r="656">
      <c r="A656" s="2" t="s">
        <v>3576</v>
      </c>
      <c r="B656" s="2" t="s">
        <v>672</v>
      </c>
      <c r="C656" s="2" t="s">
        <v>246</v>
      </c>
      <c r="D656" s="2" t="s">
        <v>782</v>
      </c>
      <c r="E656" s="2" t="s">
        <v>783</v>
      </c>
      <c r="F656" s="2" t="s">
        <v>3563</v>
      </c>
      <c r="G656" s="2" t="s">
        <v>3564</v>
      </c>
      <c r="H656" s="2" t="s">
        <v>3565</v>
      </c>
      <c r="I656" s="2" t="s">
        <v>3577</v>
      </c>
      <c r="J656" s="2" t="s">
        <v>788</v>
      </c>
      <c r="K656" s="2" t="s">
        <v>865</v>
      </c>
      <c r="L656" s="3">
        <v>11.25</v>
      </c>
      <c r="M656" s="3">
        <v>11.81</v>
      </c>
      <c r="N656" s="3">
        <v>24.99</v>
      </c>
      <c r="O656" s="2" t="s">
        <v>196</v>
      </c>
      <c r="P656" s="2" t="s">
        <v>197</v>
      </c>
      <c r="Q656" s="2" t="s">
        <v>198</v>
      </c>
      <c r="R656" s="2" t="s">
        <v>199</v>
      </c>
      <c r="S656" s="2" t="s">
        <v>3573</v>
      </c>
      <c r="T656" s="2" t="s">
        <v>199</v>
      </c>
      <c r="U656" s="2" t="s">
        <v>199</v>
      </c>
      <c r="V656" s="2" t="s">
        <v>3568</v>
      </c>
      <c r="W656" s="2" t="s">
        <v>529</v>
      </c>
      <c r="X656" s="2" t="s">
        <v>199</v>
      </c>
      <c r="Y656" s="2" t="s">
        <v>204</v>
      </c>
      <c r="Z656" s="4">
        <v>390</v>
      </c>
      <c r="AA656" s="4">
        <f>=ROUNDDOWN(30,0)</f>
      </c>
      <c r="AB656" s="5">
        <v>13</v>
      </c>
      <c r="AC656" s="2" t="s">
        <v>199</v>
      </c>
      <c r="AD656" s="4"/>
      <c r="AE656" s="4"/>
      <c r="AF656" s="6">
        <v>64</v>
      </c>
      <c r="AG656" s="6"/>
      <c r="AH656" s="7">
        <v>1</v>
      </c>
      <c r="AI656" s="4"/>
      <c r="AJ656" s="4">
        <f>=ROUNDDOWN({0},0)</f>
      </c>
      <c r="AK656" s="5"/>
      <c r="AL656" s="2" t="s">
        <v>199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199</v>
      </c>
      <c r="AW656" s="8" t="s">
        <v>199</v>
      </c>
      <c r="AX656" s="4" t="s">
        <v>199</v>
      </c>
      <c r="AY656" s="8" t="s">
        <v>199</v>
      </c>
      <c r="AZ656" s="7" t="s">
        <v>199</v>
      </c>
      <c r="BA656" s="7" t="s">
        <v>199</v>
      </c>
      <c r="BB656" s="7"/>
      <c r="BC656" s="4" t="s">
        <v>199</v>
      </c>
      <c r="BD656" s="8" t="s">
        <v>199</v>
      </c>
      <c r="BE656" s="4" t="s">
        <v>199</v>
      </c>
      <c r="BF656" s="8" t="s">
        <v>199</v>
      </c>
      <c r="BG656" s="7" t="s">
        <v>199</v>
      </c>
      <c r="BH656" s="7" t="s">
        <v>199</v>
      </c>
      <c r="BI656" s="7"/>
      <c r="BJ656" s="4">
        <v>27</v>
      </c>
      <c r="BK656" s="8">
        <v>360.29</v>
      </c>
      <c r="BL656" s="2" t="s">
        <v>3578</v>
      </c>
      <c r="BM656" s="7"/>
      <c r="BN656" s="7"/>
      <c r="BO656" s="4"/>
      <c r="BP656" s="8"/>
      <c r="BQ656" s="4"/>
      <c r="BR656" s="8"/>
      <c r="BS656" s="7"/>
      <c r="BT656" s="7"/>
      <c r="BU656" s="2" t="s">
        <v>3579</v>
      </c>
      <c r="BV656" s="2" t="s">
        <v>199</v>
      </c>
      <c r="BW656" s="2" t="s">
        <v>199</v>
      </c>
      <c r="BX656" s="2" t="s">
        <v>208</v>
      </c>
      <c r="BY656" s="2" t="s">
        <v>209</v>
      </c>
      <c r="BZ656" s="2" t="s">
        <v>196</v>
      </c>
      <c r="CA656" s="2" t="s">
        <v>210</v>
      </c>
      <c r="CB656" s="2" t="s">
        <v>3580</v>
      </c>
      <c r="CC656" s="2" t="s">
        <v>212</v>
      </c>
      <c r="CD656" s="2" t="s">
        <v>199</v>
      </c>
      <c r="CE656" s="4">
        <v>390</v>
      </c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>
        <v>393</v>
      </c>
      <c r="EU656" s="4">
        <v>385</v>
      </c>
      <c r="EV656" s="4">
        <v>380</v>
      </c>
      <c r="EW656" s="4">
        <v>375</v>
      </c>
      <c r="EX656" s="4">
        <v>368</v>
      </c>
      <c r="EY656" s="4">
        <v>355</v>
      </c>
      <c r="EZ656" s="4">
        <v>342</v>
      </c>
      <c r="FA656" s="4">
        <v>329</v>
      </c>
      <c r="FB656" s="4">
        <v>315</v>
      </c>
      <c r="FC656" s="4">
        <v>302</v>
      </c>
      <c r="FD656" s="4">
        <v>289</v>
      </c>
      <c r="FE656" s="4">
        <v>276</v>
      </c>
      <c r="FF656" s="4">
        <v>263</v>
      </c>
      <c r="FG656" s="4">
        <v>250</v>
      </c>
      <c r="FH656" s="4">
        <v>237</v>
      </c>
      <c r="FI656" s="4">
        <v>222</v>
      </c>
      <c r="FJ656" s="4">
        <v>209</v>
      </c>
      <c r="FK656" s="4">
        <v>196</v>
      </c>
      <c r="FL656" s="4">
        <v>183</v>
      </c>
      <c r="FM656" s="4">
        <v>170</v>
      </c>
      <c r="FN656" s="4">
        <v>155</v>
      </c>
      <c r="FO656" s="4">
        <v>142</v>
      </c>
      <c r="FP656" s="4">
        <v>128</v>
      </c>
      <c r="FQ656" s="4">
        <v>115</v>
      </c>
      <c r="FR656" s="4">
        <v>102</v>
      </c>
      <c r="FS656" s="4">
        <v>89</v>
      </c>
      <c r="FT656" s="19">
        <v>65.5</v>
      </c>
      <c r="FU656" s="19">
        <v>48.1</v>
      </c>
      <c r="FV656" s="19">
        <v>38</v>
      </c>
      <c r="FW656" s="19">
        <v>31.3</v>
      </c>
      <c r="FX656" s="19">
        <v>28.3</v>
      </c>
      <c r="FY656" s="19">
        <v>27.3</v>
      </c>
      <c r="FZ656" s="19">
        <v>26.3</v>
      </c>
      <c r="GA656" s="19">
        <v>25.3</v>
      </c>
      <c r="GB656" s="19">
        <v>24.2</v>
      </c>
      <c r="GC656" s="19">
        <v>23.2</v>
      </c>
      <c r="GD656" s="19">
        <v>22.2</v>
      </c>
      <c r="GE656" s="19">
        <v>19.7</v>
      </c>
      <c r="GF656" s="19">
        <v>18.8</v>
      </c>
      <c r="GG656" s="19">
        <v>17.9</v>
      </c>
      <c r="GH656" s="19">
        <v>16.9</v>
      </c>
      <c r="GI656" s="19">
        <v>17.1</v>
      </c>
      <c r="GJ656" s="19">
        <v>14.9</v>
      </c>
      <c r="GK656" s="19">
        <v>14</v>
      </c>
      <c r="GL656" s="19">
        <v>13.1</v>
      </c>
      <c r="GM656" s="19">
        <v>12.1</v>
      </c>
      <c r="GN656" s="19">
        <v>11.9</v>
      </c>
      <c r="GO656" s="19">
        <v>10.9</v>
      </c>
      <c r="GP656" s="19">
        <v>9.8</v>
      </c>
      <c r="GQ656" s="19">
        <v>8.8</v>
      </c>
      <c r="GR656" s="19">
        <v>7.8</v>
      </c>
      <c r="GS656" s="19">
        <v>6.4</v>
      </c>
    </row>
    <row r="657">
      <c r="A657" s="2" t="s">
        <v>3581</v>
      </c>
      <c r="B657" s="2" t="s">
        <v>591</v>
      </c>
      <c r="C657" s="2" t="s">
        <v>604</v>
      </c>
      <c r="D657" s="2" t="s">
        <v>1257</v>
      </c>
      <c r="E657" s="2" t="s">
        <v>1258</v>
      </c>
      <c r="F657" s="2" t="s">
        <v>3582</v>
      </c>
      <c r="G657" s="2" t="s">
        <v>3582</v>
      </c>
      <c r="H657" s="2" t="s">
        <v>3582</v>
      </c>
      <c r="I657" s="2" t="s">
        <v>3583</v>
      </c>
      <c r="J657" s="2" t="s">
        <v>559</v>
      </c>
      <c r="K657" s="2" t="s">
        <v>3584</v>
      </c>
      <c r="L657" s="3">
        <v>132</v>
      </c>
      <c r="M657" s="3">
        <v>138.6</v>
      </c>
      <c r="N657" s="3">
        <v>279.99</v>
      </c>
      <c r="O657" s="2" t="s">
        <v>196</v>
      </c>
      <c r="P657" s="2" t="s">
        <v>841</v>
      </c>
      <c r="Q657" s="2" t="s">
        <v>198</v>
      </c>
      <c r="R657" s="2" t="s">
        <v>199</v>
      </c>
      <c r="S657" s="2" t="s">
        <v>199</v>
      </c>
      <c r="T657" s="2" t="s">
        <v>199</v>
      </c>
      <c r="U657" s="2" t="s">
        <v>280</v>
      </c>
      <c r="V657" s="2" t="s">
        <v>493</v>
      </c>
      <c r="W657" s="2" t="s">
        <v>817</v>
      </c>
      <c r="X657" s="2" t="s">
        <v>203</v>
      </c>
      <c r="Y657" s="2" t="s">
        <v>2630</v>
      </c>
      <c r="Z657" s="4">
        <v>83</v>
      </c>
      <c r="AA657" s="4">
        <f>=ROUNDDOWN(83,0)</f>
      </c>
      <c r="AB657" s="5">
        <v>1</v>
      </c>
      <c r="AC657" s="2" t="s">
        <v>199</v>
      </c>
      <c r="AD657" s="4"/>
      <c r="AE657" s="4"/>
      <c r="AF657" s="6">
        <v>63</v>
      </c>
      <c r="AG657" s="6"/>
      <c r="AH657" s="7">
        <v>1</v>
      </c>
      <c r="AI657" s="4"/>
      <c r="AJ657" s="4">
        <f>=ROUNDDOWN({0},0)</f>
      </c>
      <c r="AK657" s="5"/>
      <c r="AL657" s="2" t="s">
        <v>199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/>
      <c r="BK657" s="8"/>
      <c r="BL657" s="2" t="s">
        <v>2552</v>
      </c>
      <c r="BM657" s="7"/>
      <c r="BN657" s="7"/>
      <c r="BO657" s="4"/>
      <c r="BP657" s="8"/>
      <c r="BQ657" s="4"/>
      <c r="BR657" s="8"/>
      <c r="BS657" s="7"/>
      <c r="BT657" s="7"/>
      <c r="BU657" s="2" t="s">
        <v>3585</v>
      </c>
      <c r="BV657" s="2" t="s">
        <v>199</v>
      </c>
      <c r="BW657" s="2" t="s">
        <v>199</v>
      </c>
      <c r="BX657" s="2" t="s">
        <v>208</v>
      </c>
      <c r="BY657" s="2" t="s">
        <v>209</v>
      </c>
      <c r="BZ657" s="2" t="s">
        <v>196</v>
      </c>
      <c r="CA657" s="2" t="s">
        <v>3586</v>
      </c>
      <c r="CB657" s="2" t="s">
        <v>827</v>
      </c>
      <c r="CC657" s="2" t="s">
        <v>212</v>
      </c>
      <c r="CD657" s="2" t="s">
        <v>199</v>
      </c>
      <c r="CE657" s="4"/>
      <c r="CF657" s="4">
        <v>83</v>
      </c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>
        <v>83</v>
      </c>
      <c r="EU657" s="4">
        <v>82</v>
      </c>
      <c r="EV657" s="4">
        <v>81</v>
      </c>
      <c r="EW657" s="4">
        <v>80</v>
      </c>
      <c r="EX657" s="4">
        <v>79</v>
      </c>
      <c r="EY657" s="4">
        <v>78</v>
      </c>
      <c r="EZ657" s="4">
        <v>77</v>
      </c>
      <c r="FA657" s="4">
        <v>76</v>
      </c>
      <c r="FB657" s="4">
        <v>75</v>
      </c>
      <c r="FC657" s="4">
        <v>74</v>
      </c>
      <c r="FD657" s="4">
        <v>73</v>
      </c>
      <c r="FE657" s="4">
        <v>72</v>
      </c>
      <c r="FF657" s="4">
        <v>71</v>
      </c>
      <c r="FG657" s="4">
        <v>70</v>
      </c>
      <c r="FH657" s="4">
        <v>69</v>
      </c>
      <c r="FI657" s="4">
        <v>68</v>
      </c>
      <c r="FJ657" s="4">
        <v>67</v>
      </c>
      <c r="FK657" s="4">
        <v>66</v>
      </c>
      <c r="FL657" s="4">
        <v>65</v>
      </c>
      <c r="FM657" s="4">
        <v>64</v>
      </c>
      <c r="FN657" s="4">
        <v>63</v>
      </c>
      <c r="FO657" s="4">
        <v>62</v>
      </c>
      <c r="FP657" s="4">
        <v>61</v>
      </c>
      <c r="FQ657" s="4">
        <v>60</v>
      </c>
      <c r="FR657" s="4">
        <v>59</v>
      </c>
      <c r="FS657" s="4">
        <v>58</v>
      </c>
      <c r="FT657" s="19">
        <v>83</v>
      </c>
      <c r="FU657" s="19">
        <v>82</v>
      </c>
      <c r="FV657" s="19">
        <v>81</v>
      </c>
      <c r="FW657" s="19">
        <v>80</v>
      </c>
      <c r="FX657" s="19">
        <v>79</v>
      </c>
      <c r="FY657" s="19">
        <v>78</v>
      </c>
      <c r="FZ657" s="19">
        <v>77</v>
      </c>
      <c r="GA657" s="19">
        <v>76</v>
      </c>
      <c r="GB657" s="19">
        <v>75</v>
      </c>
      <c r="GC657" s="19">
        <v>74</v>
      </c>
      <c r="GD657" s="19">
        <v>73</v>
      </c>
      <c r="GE657" s="19">
        <v>72</v>
      </c>
      <c r="GF657" s="19">
        <v>71</v>
      </c>
      <c r="GG657" s="19">
        <v>70</v>
      </c>
      <c r="GH657" s="19">
        <v>69</v>
      </c>
      <c r="GI657" s="19">
        <v>68</v>
      </c>
      <c r="GJ657" s="19">
        <v>67</v>
      </c>
      <c r="GK657" s="19">
        <v>66</v>
      </c>
      <c r="GL657" s="19">
        <v>65</v>
      </c>
      <c r="GM657" s="19">
        <v>64</v>
      </c>
      <c r="GN657" s="19">
        <v>63</v>
      </c>
      <c r="GO657" s="19">
        <v>62</v>
      </c>
      <c r="GP657" s="19">
        <v>61</v>
      </c>
      <c r="GQ657" s="19">
        <v>60</v>
      </c>
      <c r="GR657" s="19">
        <v>59</v>
      </c>
      <c r="GS657" s="19">
        <v>58</v>
      </c>
    </row>
    <row r="658">
      <c r="A658" s="2" t="s">
        <v>3587</v>
      </c>
      <c r="B658" s="2" t="s">
        <v>613</v>
      </c>
      <c r="C658" s="2" t="s">
        <v>604</v>
      </c>
      <c r="D658" s="2" t="s">
        <v>1077</v>
      </c>
      <c r="E658" s="2" t="s">
        <v>1078</v>
      </c>
      <c r="F658" s="2" t="s">
        <v>3588</v>
      </c>
      <c r="G658" s="2" t="s">
        <v>3588</v>
      </c>
      <c r="H658" s="2" t="s">
        <v>3588</v>
      </c>
      <c r="I658" s="2" t="s">
        <v>1082</v>
      </c>
      <c r="J658" s="2" t="s">
        <v>559</v>
      </c>
      <c r="K658" s="2" t="s">
        <v>1104</v>
      </c>
      <c r="L658" s="3">
        <v>226.1</v>
      </c>
      <c r="M658" s="3">
        <v>237.4</v>
      </c>
      <c r="N658" s="3">
        <v>479</v>
      </c>
      <c r="O658" s="2" t="s">
        <v>196</v>
      </c>
      <c r="P658" s="2" t="s">
        <v>197</v>
      </c>
      <c r="Q658" s="2" t="s">
        <v>198</v>
      </c>
      <c r="R658" s="2" t="s">
        <v>199</v>
      </c>
      <c r="S658" s="2" t="s">
        <v>3589</v>
      </c>
      <c r="T658" s="2" t="s">
        <v>199</v>
      </c>
      <c r="U658" s="2" t="s">
        <v>199</v>
      </c>
      <c r="V658" s="2" t="s">
        <v>202</v>
      </c>
      <c r="W658" s="2" t="s">
        <v>3590</v>
      </c>
      <c r="X658" s="2" t="s">
        <v>199</v>
      </c>
      <c r="Y658" s="2" t="s">
        <v>3591</v>
      </c>
      <c r="Z658" s="4">
        <v>176</v>
      </c>
      <c r="AA658" s="4">
        <f>=ROUNDDOWN(35.2,0)</f>
      </c>
      <c r="AB658" s="5">
        <v>5</v>
      </c>
      <c r="AC658" s="2" t="s">
        <v>236</v>
      </c>
      <c r="AD658" s="4">
        <v>110</v>
      </c>
      <c r="AE658" s="4">
        <v>110</v>
      </c>
      <c r="AF658" s="6">
        <v>66</v>
      </c>
      <c r="AG658" s="6"/>
      <c r="AH658" s="7">
        <v>0.1935</v>
      </c>
      <c r="AI658" s="4"/>
      <c r="AJ658" s="4">
        <f>=ROUNDDOWN({0},0)</f>
      </c>
      <c r="AK658" s="5"/>
      <c r="AL658" s="2" t="s">
        <v>199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3</v>
      </c>
      <c r="BK658" s="8">
        <v>743.06</v>
      </c>
      <c r="BL658" s="2" t="s">
        <v>3592</v>
      </c>
      <c r="BM658" s="7"/>
      <c r="BN658" s="7"/>
      <c r="BO658" s="4"/>
      <c r="BP658" s="8"/>
      <c r="BQ658" s="4"/>
      <c r="BR658" s="8"/>
      <c r="BS658" s="7"/>
      <c r="BT658" s="7"/>
      <c r="BU658" s="2" t="s">
        <v>3593</v>
      </c>
      <c r="BV658" s="2" t="s">
        <v>199</v>
      </c>
      <c r="BW658" s="2" t="s">
        <v>199</v>
      </c>
      <c r="BX658" s="2" t="s">
        <v>208</v>
      </c>
      <c r="BY658" s="2" t="s">
        <v>209</v>
      </c>
      <c r="BZ658" s="2" t="s">
        <v>196</v>
      </c>
      <c r="CA658" s="2" t="s">
        <v>3594</v>
      </c>
      <c r="CB658" s="2" t="s">
        <v>3595</v>
      </c>
      <c r="CC658" s="2" t="s">
        <v>212</v>
      </c>
      <c r="CD658" s="2" t="s">
        <v>199</v>
      </c>
      <c r="CE658" s="4"/>
      <c r="CF658" s="4">
        <v>90</v>
      </c>
      <c r="CG658" s="4"/>
      <c r="CH658" s="4"/>
      <c r="CI658" s="4"/>
      <c r="CJ658" s="4"/>
      <c r="CK658" s="4"/>
      <c r="CL658" s="4"/>
      <c r="CM658" s="4">
        <v>86</v>
      </c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>
        <v>110</v>
      </c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>
        <v>190</v>
      </c>
      <c r="EU658" s="4">
        <v>180</v>
      </c>
      <c r="EV658" s="4">
        <v>169</v>
      </c>
      <c r="EW658" s="4">
        <v>165</v>
      </c>
      <c r="EX658" s="4">
        <v>161</v>
      </c>
      <c r="EY658" s="4">
        <v>155</v>
      </c>
      <c r="EZ658" s="4">
        <v>149</v>
      </c>
      <c r="FA658" s="4">
        <v>143</v>
      </c>
      <c r="FB658" s="4">
        <v>137</v>
      </c>
      <c r="FC658" s="4">
        <v>133</v>
      </c>
      <c r="FD658" s="4">
        <v>238</v>
      </c>
      <c r="FE658" s="4">
        <v>233</v>
      </c>
      <c r="FF658" s="4">
        <v>228</v>
      </c>
      <c r="FG658" s="4">
        <v>223</v>
      </c>
      <c r="FH658" s="4">
        <v>217</v>
      </c>
      <c r="FI658" s="4">
        <v>211</v>
      </c>
      <c r="FJ658" s="4">
        <v>205</v>
      </c>
      <c r="FK658" s="4">
        <v>199</v>
      </c>
      <c r="FL658" s="4">
        <v>194</v>
      </c>
      <c r="FM658" s="4">
        <v>189</v>
      </c>
      <c r="FN658" s="4">
        <v>184</v>
      </c>
      <c r="FO658" s="4">
        <v>86</v>
      </c>
      <c r="FP658" s="4">
        <v>80</v>
      </c>
      <c r="FQ658" s="4">
        <v>75</v>
      </c>
      <c r="FR658" s="4">
        <v>70</v>
      </c>
      <c r="FS658" s="4">
        <v>65</v>
      </c>
      <c r="FT658" s="19">
        <v>27.1</v>
      </c>
      <c r="FU658" s="19">
        <v>30</v>
      </c>
      <c r="FV658" s="19">
        <v>33.8</v>
      </c>
      <c r="FW658" s="19">
        <v>27.5</v>
      </c>
      <c r="FX658" s="19">
        <v>26.8</v>
      </c>
      <c r="FY658" s="19">
        <v>25.8</v>
      </c>
      <c r="FZ658" s="19">
        <v>29.8</v>
      </c>
      <c r="GA658" s="19">
        <v>28.6</v>
      </c>
      <c r="GB658" s="19">
        <v>27.4</v>
      </c>
      <c r="GC658" s="19">
        <v>26.6</v>
      </c>
      <c r="GD658" s="19">
        <v>47.6</v>
      </c>
      <c r="GE658" s="19">
        <v>38.8</v>
      </c>
      <c r="GF658" s="19">
        <v>38</v>
      </c>
      <c r="GG658" s="19">
        <v>37.2</v>
      </c>
      <c r="GH658" s="19">
        <v>36.2</v>
      </c>
      <c r="GI658" s="19">
        <v>35.2</v>
      </c>
      <c r="GJ658" s="19">
        <v>41</v>
      </c>
      <c r="GK658" s="19">
        <v>7.1</v>
      </c>
      <c r="GL658" s="19">
        <v>6.9</v>
      </c>
      <c r="GM658" s="19">
        <v>6.8</v>
      </c>
      <c r="GN658" s="19">
        <v>6.6</v>
      </c>
      <c r="GO658" s="19">
        <v>17.2</v>
      </c>
      <c r="GP658" s="19">
        <v>16</v>
      </c>
      <c r="GQ658" s="19">
        <v>15</v>
      </c>
      <c r="GR658" s="19">
        <v>14</v>
      </c>
      <c r="GS658" s="19">
        <v>13</v>
      </c>
    </row>
    <row r="659">
      <c r="A659" s="2" t="s">
        <v>3596</v>
      </c>
      <c r="B659" s="2" t="s">
        <v>630</v>
      </c>
      <c r="C659" s="2" t="s">
        <v>604</v>
      </c>
      <c r="D659" s="2" t="s">
        <v>228</v>
      </c>
      <c r="E659" s="2" t="s">
        <v>988</v>
      </c>
      <c r="F659" s="2" t="s">
        <v>3597</v>
      </c>
      <c r="G659" s="2" t="s">
        <v>3597</v>
      </c>
      <c r="H659" s="2" t="s">
        <v>3597</v>
      </c>
      <c r="I659" s="2" t="s">
        <v>3598</v>
      </c>
      <c r="J659" s="2" t="s">
        <v>232</v>
      </c>
      <c r="K659" s="2" t="s">
        <v>3279</v>
      </c>
      <c r="L659" s="3">
        <v>54.85</v>
      </c>
      <c r="M659" s="3">
        <v>57.59</v>
      </c>
      <c r="N659" s="3">
        <v>119.99</v>
      </c>
      <c r="O659" s="2" t="s">
        <v>196</v>
      </c>
      <c r="P659" s="2" t="s">
        <v>197</v>
      </c>
      <c r="Q659" s="2" t="s">
        <v>198</v>
      </c>
      <c r="R659" s="2" t="s">
        <v>199</v>
      </c>
      <c r="S659" s="2" t="s">
        <v>3599</v>
      </c>
      <c r="T659" s="2" t="s">
        <v>726</v>
      </c>
      <c r="U659" s="2" t="s">
        <v>637</v>
      </c>
      <c r="V659" s="2" t="s">
        <v>301</v>
      </c>
      <c r="W659" s="2" t="s">
        <v>1394</v>
      </c>
      <c r="X659" s="2" t="s">
        <v>203</v>
      </c>
      <c r="Y659" s="2" t="s">
        <v>3272</v>
      </c>
      <c r="Z659" s="4">
        <v>160</v>
      </c>
      <c r="AA659" s="4">
        <f>=ROUNDDOWN(20,0)</f>
      </c>
      <c r="AB659" s="5">
        <v>8</v>
      </c>
      <c r="AC659" s="2" t="s">
        <v>236</v>
      </c>
      <c r="AD659" s="4">
        <v>120</v>
      </c>
      <c r="AE659" s="4">
        <v>120</v>
      </c>
      <c r="AF659" s="6">
        <v>65</v>
      </c>
      <c r="AG659" s="6"/>
      <c r="AH659" s="7">
        <v>0.9677</v>
      </c>
      <c r="AI659" s="4"/>
      <c r="AJ659" s="4">
        <f>=ROUNDDOWN({0},0)</f>
      </c>
      <c r="AK659" s="5"/>
      <c r="AL659" s="2" t="s">
        <v>199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199</v>
      </c>
      <c r="AW659" s="8" t="s">
        <v>199</v>
      </c>
      <c r="AX659" s="4" t="s">
        <v>199</v>
      </c>
      <c r="AY659" s="8" t="s">
        <v>199</v>
      </c>
      <c r="AZ659" s="7" t="s">
        <v>199</v>
      </c>
      <c r="BA659" s="7" t="s">
        <v>199</v>
      </c>
      <c r="BB659" s="7" t="s">
        <v>199</v>
      </c>
      <c r="BC659" s="4" t="s">
        <v>199</v>
      </c>
      <c r="BD659" s="8" t="s">
        <v>199</v>
      </c>
      <c r="BE659" s="4" t="s">
        <v>199</v>
      </c>
      <c r="BF659" s="8" t="s">
        <v>199</v>
      </c>
      <c r="BG659" s="7" t="s">
        <v>199</v>
      </c>
      <c r="BH659" s="7" t="s">
        <v>199</v>
      </c>
      <c r="BI659" s="7"/>
      <c r="BJ659" s="4">
        <v>65</v>
      </c>
      <c r="BK659" s="8">
        <v>4112.21</v>
      </c>
      <c r="BL659" s="2" t="s">
        <v>482</v>
      </c>
      <c r="BM659" s="7"/>
      <c r="BN659" s="7"/>
      <c r="BO659" s="4"/>
      <c r="BP659" s="8"/>
      <c r="BQ659" s="4"/>
      <c r="BR659" s="8"/>
      <c r="BS659" s="7"/>
      <c r="BT659" s="7"/>
      <c r="BU659" s="2" t="s">
        <v>3600</v>
      </c>
      <c r="BV659" s="2" t="s">
        <v>199</v>
      </c>
      <c r="BW659" s="2" t="s">
        <v>199</v>
      </c>
      <c r="BX659" s="2" t="s">
        <v>208</v>
      </c>
      <c r="BY659" s="2" t="s">
        <v>209</v>
      </c>
      <c r="BZ659" s="2" t="s">
        <v>196</v>
      </c>
      <c r="CA659" s="2" t="s">
        <v>1341</v>
      </c>
      <c r="CB659" s="2" t="s">
        <v>3601</v>
      </c>
      <c r="CC659" s="2" t="s">
        <v>212</v>
      </c>
      <c r="CD659" s="2" t="s">
        <v>199</v>
      </c>
      <c r="CE659" s="4">
        <v>157</v>
      </c>
      <c r="CF659" s="4"/>
      <c r="CG659" s="4"/>
      <c r="CH659" s="4">
        <v>3</v>
      </c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>
        <v>120</v>
      </c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>
        <v>162</v>
      </c>
      <c r="EU659" s="4">
        <v>152</v>
      </c>
      <c r="EV659" s="4">
        <v>144</v>
      </c>
      <c r="EW659" s="4">
        <v>136</v>
      </c>
      <c r="EX659" s="4">
        <v>128</v>
      </c>
      <c r="EY659" s="4">
        <v>120</v>
      </c>
      <c r="EZ659" s="4">
        <v>112</v>
      </c>
      <c r="FA659" s="4">
        <v>104</v>
      </c>
      <c r="FB659" s="4">
        <v>95</v>
      </c>
      <c r="FC659" s="4">
        <v>87</v>
      </c>
      <c r="FD659" s="4">
        <v>199</v>
      </c>
      <c r="FE659" s="4">
        <v>191</v>
      </c>
      <c r="FF659" s="4">
        <v>183</v>
      </c>
      <c r="FG659" s="4">
        <v>175</v>
      </c>
      <c r="FH659" s="4">
        <v>167</v>
      </c>
      <c r="FI659" s="4">
        <v>159</v>
      </c>
      <c r="FJ659" s="4">
        <v>151</v>
      </c>
      <c r="FK659" s="4">
        <v>143</v>
      </c>
      <c r="FL659" s="4">
        <v>135</v>
      </c>
      <c r="FM659" s="4">
        <v>127</v>
      </c>
      <c r="FN659" s="4">
        <v>119</v>
      </c>
      <c r="FO659" s="4">
        <v>111</v>
      </c>
      <c r="FP659" s="4">
        <v>102</v>
      </c>
      <c r="FQ659" s="4">
        <v>94</v>
      </c>
      <c r="FR659" s="4">
        <v>86</v>
      </c>
      <c r="FS659" s="4">
        <v>78</v>
      </c>
      <c r="FT659" s="19">
        <v>20.3</v>
      </c>
      <c r="FU659" s="19">
        <v>19</v>
      </c>
      <c r="FV659" s="19">
        <v>18</v>
      </c>
      <c r="FW659" s="19">
        <v>17</v>
      </c>
      <c r="FX659" s="19">
        <v>16</v>
      </c>
      <c r="FY659" s="19">
        <v>15</v>
      </c>
      <c r="FZ659" s="19">
        <v>14</v>
      </c>
      <c r="GA659" s="19">
        <v>13</v>
      </c>
      <c r="GB659" s="19">
        <v>11.9</v>
      </c>
      <c r="GC659" s="19">
        <v>10.9</v>
      </c>
      <c r="GD659" s="19">
        <v>24.9</v>
      </c>
      <c r="GE659" s="19">
        <v>23.9</v>
      </c>
      <c r="GF659" s="19">
        <v>22.9</v>
      </c>
      <c r="GG659" s="19">
        <v>21.9</v>
      </c>
      <c r="GH659" s="19">
        <v>20.9</v>
      </c>
      <c r="GI659" s="19">
        <v>19.9</v>
      </c>
      <c r="GJ659" s="19">
        <v>18.9</v>
      </c>
      <c r="GK659" s="19">
        <v>17.9</v>
      </c>
      <c r="GL659" s="19">
        <v>16.9</v>
      </c>
      <c r="GM659" s="19">
        <v>15.9</v>
      </c>
      <c r="GN659" s="19">
        <v>14.9</v>
      </c>
      <c r="GO659" s="19">
        <v>13.9</v>
      </c>
      <c r="GP659" s="19">
        <v>12.8</v>
      </c>
      <c r="GQ659" s="19">
        <v>11.8</v>
      </c>
      <c r="GR659" s="19">
        <v>10.8</v>
      </c>
      <c r="GS659" s="19">
        <v>9.8</v>
      </c>
    </row>
    <row r="660">
      <c r="A660" s="2" t="s">
        <v>3602</v>
      </c>
      <c r="B660" s="2" t="s">
        <v>630</v>
      </c>
      <c r="C660" s="2" t="s">
        <v>604</v>
      </c>
      <c r="D660" s="2" t="s">
        <v>631</v>
      </c>
      <c r="E660" s="2" t="s">
        <v>632</v>
      </c>
      <c r="F660" s="2" t="s">
        <v>3597</v>
      </c>
      <c r="G660" s="2" t="s">
        <v>3597</v>
      </c>
      <c r="H660" s="2" t="s">
        <v>3597</v>
      </c>
      <c r="I660" s="2" t="s">
        <v>3603</v>
      </c>
      <c r="J660" s="2" t="s">
        <v>232</v>
      </c>
      <c r="K660" s="2" t="s">
        <v>3279</v>
      </c>
      <c r="L660" s="3">
        <v>45.71</v>
      </c>
      <c r="M660" s="3">
        <v>48</v>
      </c>
      <c r="N660" s="3">
        <v>99.99</v>
      </c>
      <c r="O660" s="2" t="s">
        <v>196</v>
      </c>
      <c r="P660" s="2" t="s">
        <v>197</v>
      </c>
      <c r="Q660" s="2" t="s">
        <v>198</v>
      </c>
      <c r="R660" s="2" t="s">
        <v>199</v>
      </c>
      <c r="S660" s="2" t="s">
        <v>3599</v>
      </c>
      <c r="T660" s="2" t="s">
        <v>726</v>
      </c>
      <c r="U660" s="2" t="s">
        <v>637</v>
      </c>
      <c r="V660" s="2" t="s">
        <v>301</v>
      </c>
      <c r="W660" s="2" t="s">
        <v>1394</v>
      </c>
      <c r="X660" s="2" t="s">
        <v>203</v>
      </c>
      <c r="Y660" s="2" t="s">
        <v>3272</v>
      </c>
      <c r="Z660" s="4">
        <v>137</v>
      </c>
      <c r="AA660" s="4">
        <f>=ROUNDDOWN(27.4,0)</f>
      </c>
      <c r="AB660" s="5">
        <v>5</v>
      </c>
      <c r="AC660" s="2" t="s">
        <v>199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199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199</v>
      </c>
      <c r="AW660" s="8" t="s">
        <v>199</v>
      </c>
      <c r="AX660" s="4" t="s">
        <v>199</v>
      </c>
      <c r="AY660" s="8" t="s">
        <v>199</v>
      </c>
      <c r="AZ660" s="7" t="s">
        <v>199</v>
      </c>
      <c r="BA660" s="7" t="s">
        <v>199</v>
      </c>
      <c r="BB660" s="7" t="s">
        <v>199</v>
      </c>
      <c r="BC660" s="4" t="s">
        <v>199</v>
      </c>
      <c r="BD660" s="8" t="s">
        <v>199</v>
      </c>
      <c r="BE660" s="4" t="s">
        <v>199</v>
      </c>
      <c r="BF660" s="8" t="s">
        <v>199</v>
      </c>
      <c r="BG660" s="7" t="s">
        <v>199</v>
      </c>
      <c r="BH660" s="7" t="s">
        <v>199</v>
      </c>
      <c r="BI660" s="7"/>
      <c r="BJ660" s="4">
        <v>23</v>
      </c>
      <c r="BK660" s="8">
        <v>1210.45</v>
      </c>
      <c r="BL660" s="2" t="s">
        <v>535</v>
      </c>
      <c r="BM660" s="7"/>
      <c r="BN660" s="7"/>
      <c r="BO660" s="4"/>
      <c r="BP660" s="8"/>
      <c r="BQ660" s="4"/>
      <c r="BR660" s="8"/>
      <c r="BS660" s="7"/>
      <c r="BT660" s="7"/>
      <c r="BU660" s="2" t="s">
        <v>3604</v>
      </c>
      <c r="BV660" s="2" t="s">
        <v>199</v>
      </c>
      <c r="BW660" s="2" t="s">
        <v>199</v>
      </c>
      <c r="BX660" s="2" t="s">
        <v>208</v>
      </c>
      <c r="BY660" s="2" t="s">
        <v>209</v>
      </c>
      <c r="BZ660" s="2" t="s">
        <v>196</v>
      </c>
      <c r="CA660" s="2" t="s">
        <v>1341</v>
      </c>
      <c r="CB660" s="2" t="s">
        <v>199</v>
      </c>
      <c r="CC660" s="2" t="s">
        <v>212</v>
      </c>
      <c r="CD660" s="2" t="s">
        <v>199</v>
      </c>
      <c r="CE660" s="4">
        <v>106</v>
      </c>
      <c r="CF660" s="4"/>
      <c r="CG660" s="4"/>
      <c r="CH660" s="4">
        <v>31</v>
      </c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>
        <v>138</v>
      </c>
      <c r="EU660" s="4">
        <v>133</v>
      </c>
      <c r="EV660" s="4">
        <v>129</v>
      </c>
      <c r="EW660" s="4">
        <v>125</v>
      </c>
      <c r="EX660" s="4">
        <v>121</v>
      </c>
      <c r="EY660" s="4">
        <v>117</v>
      </c>
      <c r="EZ660" s="4">
        <v>113</v>
      </c>
      <c r="FA660" s="4">
        <v>109</v>
      </c>
      <c r="FB660" s="4">
        <v>105</v>
      </c>
      <c r="FC660" s="4">
        <v>101</v>
      </c>
      <c r="FD660" s="4">
        <v>97</v>
      </c>
      <c r="FE660" s="4">
        <v>93</v>
      </c>
      <c r="FF660" s="4">
        <v>89</v>
      </c>
      <c r="FG660" s="4">
        <v>85</v>
      </c>
      <c r="FH660" s="4">
        <v>81</v>
      </c>
      <c r="FI660" s="4">
        <v>77</v>
      </c>
      <c r="FJ660" s="4">
        <v>73</v>
      </c>
      <c r="FK660" s="4">
        <v>69</v>
      </c>
      <c r="FL660" s="4">
        <v>65</v>
      </c>
      <c r="FM660" s="4">
        <v>61</v>
      </c>
      <c r="FN660" s="4">
        <v>57</v>
      </c>
      <c r="FO660" s="4">
        <v>52</v>
      </c>
      <c r="FP660" s="4">
        <v>47</v>
      </c>
      <c r="FQ660" s="4">
        <v>42</v>
      </c>
      <c r="FR660" s="4">
        <v>37</v>
      </c>
      <c r="FS660" s="4">
        <v>32</v>
      </c>
      <c r="FT660" s="19">
        <v>34.5</v>
      </c>
      <c r="FU660" s="19">
        <v>33.3</v>
      </c>
      <c r="FV660" s="19">
        <v>32.3</v>
      </c>
      <c r="FW660" s="19">
        <v>31.3</v>
      </c>
      <c r="FX660" s="19">
        <v>30.3</v>
      </c>
      <c r="FY660" s="19">
        <v>29.3</v>
      </c>
      <c r="FZ660" s="19">
        <v>28.3</v>
      </c>
      <c r="GA660" s="19">
        <v>27.3</v>
      </c>
      <c r="GB660" s="19">
        <v>26.3</v>
      </c>
      <c r="GC660" s="19">
        <v>25.3</v>
      </c>
      <c r="GD660" s="19">
        <v>24.3</v>
      </c>
      <c r="GE660" s="19">
        <v>23.3</v>
      </c>
      <c r="GF660" s="19">
        <v>22.3</v>
      </c>
      <c r="GG660" s="19">
        <v>21.3</v>
      </c>
      <c r="GH660" s="19">
        <v>20.3</v>
      </c>
      <c r="GI660" s="19">
        <v>19.3</v>
      </c>
      <c r="GJ660" s="19">
        <v>18.3</v>
      </c>
      <c r="GK660" s="19">
        <v>17.3</v>
      </c>
      <c r="GL660" s="19">
        <v>16.3</v>
      </c>
      <c r="GM660" s="19">
        <v>12.2</v>
      </c>
      <c r="GN660" s="19">
        <v>11.4</v>
      </c>
      <c r="GO660" s="19">
        <v>10.4</v>
      </c>
      <c r="GP660" s="19">
        <v>9.4</v>
      </c>
      <c r="GQ660" s="19">
        <v>8.4</v>
      </c>
      <c r="GR660" s="19">
        <v>7.4</v>
      </c>
      <c r="GS660" s="19">
        <v>6.4</v>
      </c>
    </row>
    <row r="661">
      <c r="A661" s="2" t="s">
        <v>3605</v>
      </c>
      <c r="B661" s="2" t="s">
        <v>630</v>
      </c>
      <c r="C661" s="2" t="s">
        <v>604</v>
      </c>
      <c r="D661" s="2" t="s">
        <v>631</v>
      </c>
      <c r="E661" s="2" t="s">
        <v>632</v>
      </c>
      <c r="F661" s="2" t="s">
        <v>3597</v>
      </c>
      <c r="G661" s="2" t="s">
        <v>3597</v>
      </c>
      <c r="H661" s="2" t="s">
        <v>3597</v>
      </c>
      <c r="I661" s="2" t="s">
        <v>3603</v>
      </c>
      <c r="J661" s="2" t="s">
        <v>241</v>
      </c>
      <c r="K661" s="2" t="s">
        <v>3279</v>
      </c>
      <c r="L661" s="3">
        <v>54.85</v>
      </c>
      <c r="M661" s="3">
        <v>57.59</v>
      </c>
      <c r="N661" s="3">
        <v>119.99</v>
      </c>
      <c r="O661" s="2" t="s">
        <v>196</v>
      </c>
      <c r="P661" s="2" t="s">
        <v>197</v>
      </c>
      <c r="Q661" s="2" t="s">
        <v>198</v>
      </c>
      <c r="R661" s="2" t="s">
        <v>199</v>
      </c>
      <c r="S661" s="2" t="s">
        <v>3599</v>
      </c>
      <c r="T661" s="2" t="s">
        <v>726</v>
      </c>
      <c r="U661" s="2" t="s">
        <v>637</v>
      </c>
      <c r="V661" s="2" t="s">
        <v>301</v>
      </c>
      <c r="W661" s="2" t="s">
        <v>1394</v>
      </c>
      <c r="X661" s="2" t="s">
        <v>203</v>
      </c>
      <c r="Y661" s="2" t="s">
        <v>3272</v>
      </c>
      <c r="Z661" s="4">
        <v>166</v>
      </c>
      <c r="AA661" s="4">
        <f>=ROUNDDOWN(33.2,0)</f>
      </c>
      <c r="AB661" s="5">
        <v>5</v>
      </c>
      <c r="AC661" s="2" t="s">
        <v>199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199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199</v>
      </c>
      <c r="AW661" s="8" t="s">
        <v>199</v>
      </c>
      <c r="AX661" s="4" t="s">
        <v>199</v>
      </c>
      <c r="AY661" s="8" t="s">
        <v>199</v>
      </c>
      <c r="AZ661" s="7" t="s">
        <v>199</v>
      </c>
      <c r="BA661" s="7" t="s">
        <v>199</v>
      </c>
      <c r="BB661" s="7"/>
      <c r="BC661" s="4" t="s">
        <v>199</v>
      </c>
      <c r="BD661" s="8" t="s">
        <v>199</v>
      </c>
      <c r="BE661" s="4" t="s">
        <v>199</v>
      </c>
      <c r="BF661" s="8" t="s">
        <v>199</v>
      </c>
      <c r="BG661" s="7" t="s">
        <v>199</v>
      </c>
      <c r="BH661" s="7" t="s">
        <v>199</v>
      </c>
      <c r="BI661" s="7"/>
      <c r="BJ661" s="4">
        <v>12</v>
      </c>
      <c r="BK661" s="8">
        <v>755.89</v>
      </c>
      <c r="BL661" s="2" t="s">
        <v>1333</v>
      </c>
      <c r="BM661" s="7"/>
      <c r="BN661" s="7"/>
      <c r="BO661" s="4"/>
      <c r="BP661" s="8"/>
      <c r="BQ661" s="4"/>
      <c r="BR661" s="8"/>
      <c r="BS661" s="7"/>
      <c r="BT661" s="7"/>
      <c r="BU661" s="2" t="s">
        <v>3604</v>
      </c>
      <c r="BV661" s="2" t="s">
        <v>199</v>
      </c>
      <c r="BW661" s="2" t="s">
        <v>199</v>
      </c>
      <c r="BX661" s="2" t="s">
        <v>208</v>
      </c>
      <c r="BY661" s="2" t="s">
        <v>209</v>
      </c>
      <c r="BZ661" s="2" t="s">
        <v>196</v>
      </c>
      <c r="CA661" s="2" t="s">
        <v>1341</v>
      </c>
      <c r="CB661" s="2" t="s">
        <v>1284</v>
      </c>
      <c r="CC661" s="2" t="s">
        <v>212</v>
      </c>
      <c r="CD661" s="2" t="s">
        <v>199</v>
      </c>
      <c r="CE661" s="4">
        <v>119</v>
      </c>
      <c r="CF661" s="4"/>
      <c r="CG661" s="4"/>
      <c r="CH661" s="4">
        <v>47</v>
      </c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>
        <v>166</v>
      </c>
      <c r="EU661" s="4">
        <v>161</v>
      </c>
      <c r="EV661" s="4">
        <v>158</v>
      </c>
      <c r="EW661" s="4">
        <v>155</v>
      </c>
      <c r="EX661" s="4">
        <v>152</v>
      </c>
      <c r="EY661" s="4">
        <v>149</v>
      </c>
      <c r="EZ661" s="4">
        <v>146</v>
      </c>
      <c r="FA661" s="4">
        <v>142</v>
      </c>
      <c r="FB661" s="4">
        <v>137</v>
      </c>
      <c r="FC661" s="4">
        <v>132</v>
      </c>
      <c r="FD661" s="4">
        <v>127</v>
      </c>
      <c r="FE661" s="4">
        <v>122</v>
      </c>
      <c r="FF661" s="4">
        <v>117</v>
      </c>
      <c r="FG661" s="4">
        <v>112</v>
      </c>
      <c r="FH661" s="4">
        <v>107</v>
      </c>
      <c r="FI661" s="4">
        <v>102</v>
      </c>
      <c r="FJ661" s="4">
        <v>97</v>
      </c>
      <c r="FK661" s="4">
        <v>92</v>
      </c>
      <c r="FL661" s="4">
        <v>87</v>
      </c>
      <c r="FM661" s="4">
        <v>82</v>
      </c>
      <c r="FN661" s="4">
        <v>77</v>
      </c>
      <c r="FO661" s="4">
        <v>72</v>
      </c>
      <c r="FP661" s="4">
        <v>67</v>
      </c>
      <c r="FQ661" s="4">
        <v>62</v>
      </c>
      <c r="FR661" s="4">
        <v>57</v>
      </c>
      <c r="FS661" s="4">
        <v>52</v>
      </c>
      <c r="FT661" s="19">
        <v>41.5</v>
      </c>
      <c r="FU661" s="19">
        <v>53.7</v>
      </c>
      <c r="FV661" s="19">
        <v>52.7</v>
      </c>
      <c r="FW661" s="19">
        <v>51.7</v>
      </c>
      <c r="FX661" s="19">
        <v>38</v>
      </c>
      <c r="FY661" s="19">
        <v>37.3</v>
      </c>
      <c r="FZ661" s="19">
        <v>29.2</v>
      </c>
      <c r="GA661" s="19">
        <v>28.4</v>
      </c>
      <c r="GB661" s="19">
        <v>27.4</v>
      </c>
      <c r="GC661" s="19">
        <v>26.4</v>
      </c>
      <c r="GD661" s="19">
        <v>25.4</v>
      </c>
      <c r="GE661" s="19">
        <v>24.4</v>
      </c>
      <c r="GF661" s="19">
        <v>23.4</v>
      </c>
      <c r="GG661" s="19">
        <v>22.4</v>
      </c>
      <c r="GH661" s="19">
        <v>21.4</v>
      </c>
      <c r="GI661" s="19">
        <v>20.4</v>
      </c>
      <c r="GJ661" s="19">
        <v>19.4</v>
      </c>
      <c r="GK661" s="19">
        <v>18.4</v>
      </c>
      <c r="GL661" s="19">
        <v>17.4</v>
      </c>
      <c r="GM661" s="19">
        <v>16.4</v>
      </c>
      <c r="GN661" s="19">
        <v>15.4</v>
      </c>
      <c r="GO661" s="19">
        <v>14.4</v>
      </c>
      <c r="GP661" s="19">
        <v>13.4</v>
      </c>
      <c r="GQ661" s="19">
        <v>12.4</v>
      </c>
      <c r="GR661" s="19">
        <v>11.4</v>
      </c>
      <c r="GS661" s="19">
        <v>10.4</v>
      </c>
    </row>
    <row r="662">
      <c r="A662" s="2" t="s">
        <v>3606</v>
      </c>
      <c r="B662" s="2" t="s">
        <v>630</v>
      </c>
      <c r="C662" s="2" t="s">
        <v>604</v>
      </c>
      <c r="D662" s="2" t="s">
        <v>228</v>
      </c>
      <c r="E662" s="2" t="s">
        <v>988</v>
      </c>
      <c r="F662" s="2" t="s">
        <v>3597</v>
      </c>
      <c r="G662" s="2" t="s">
        <v>3597</v>
      </c>
      <c r="H662" s="2" t="s">
        <v>3597</v>
      </c>
      <c r="I662" s="2" t="s">
        <v>3598</v>
      </c>
      <c r="J662" s="2" t="s">
        <v>232</v>
      </c>
      <c r="K662" s="2" t="s">
        <v>723</v>
      </c>
      <c r="L662" s="3">
        <v>54.85</v>
      </c>
      <c r="M662" s="3">
        <v>57.59</v>
      </c>
      <c r="N662" s="3">
        <v>119.99</v>
      </c>
      <c r="O662" s="2" t="s">
        <v>196</v>
      </c>
      <c r="P662" s="2" t="s">
        <v>197</v>
      </c>
      <c r="Q662" s="2" t="s">
        <v>198</v>
      </c>
      <c r="R662" s="2" t="s">
        <v>199</v>
      </c>
      <c r="S662" s="2" t="s">
        <v>3607</v>
      </c>
      <c r="T662" s="2" t="s">
        <v>726</v>
      </c>
      <c r="U662" s="2" t="s">
        <v>637</v>
      </c>
      <c r="V662" s="2" t="s">
        <v>301</v>
      </c>
      <c r="W662" s="2" t="s">
        <v>1394</v>
      </c>
      <c r="X662" s="2" t="s">
        <v>203</v>
      </c>
      <c r="Y662" s="2" t="s">
        <v>3272</v>
      </c>
      <c r="Z662" s="4">
        <v>129</v>
      </c>
      <c r="AA662" s="4">
        <f>=ROUNDDOWN(21.5,0)</f>
      </c>
      <c r="AB662" s="5">
        <v>6</v>
      </c>
      <c r="AC662" s="2" t="s">
        <v>3608</v>
      </c>
      <c r="AD662" s="4">
        <v>100</v>
      </c>
      <c r="AE662" s="4">
        <v>190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199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199</v>
      </c>
      <c r="AW662" s="8" t="s">
        <v>199</v>
      </c>
      <c r="AX662" s="4" t="s">
        <v>199</v>
      </c>
      <c r="AY662" s="8" t="s">
        <v>199</v>
      </c>
      <c r="AZ662" s="7" t="s">
        <v>199</v>
      </c>
      <c r="BA662" s="7" t="s">
        <v>199</v>
      </c>
      <c r="BB662" s="7" t="s">
        <v>199</v>
      </c>
      <c r="BC662" s="4" t="s">
        <v>199</v>
      </c>
      <c r="BD662" s="8" t="s">
        <v>199</v>
      </c>
      <c r="BE662" s="4" t="s">
        <v>199</v>
      </c>
      <c r="BF662" s="8" t="s">
        <v>199</v>
      </c>
      <c r="BG662" s="7" t="s">
        <v>199</v>
      </c>
      <c r="BH662" s="7" t="s">
        <v>199</v>
      </c>
      <c r="BI662" s="7"/>
      <c r="BJ662" s="4">
        <v>22</v>
      </c>
      <c r="BK662" s="8">
        <v>1401.74</v>
      </c>
      <c r="BL662" s="2" t="s">
        <v>282</v>
      </c>
      <c r="BM662" s="7"/>
      <c r="BN662" s="7"/>
      <c r="BO662" s="4"/>
      <c r="BP662" s="8"/>
      <c r="BQ662" s="4"/>
      <c r="BR662" s="8"/>
      <c r="BS662" s="7"/>
      <c r="BT662" s="7"/>
      <c r="BU662" s="2" t="s">
        <v>3600</v>
      </c>
      <c r="BV662" s="2" t="s">
        <v>199</v>
      </c>
      <c r="BW662" s="2" t="s">
        <v>199</v>
      </c>
      <c r="BX662" s="2" t="s">
        <v>208</v>
      </c>
      <c r="BY662" s="2" t="s">
        <v>209</v>
      </c>
      <c r="BZ662" s="2" t="s">
        <v>196</v>
      </c>
      <c r="CA662" s="2" t="s">
        <v>1341</v>
      </c>
      <c r="CB662" s="2" t="s">
        <v>199</v>
      </c>
      <c r="CC662" s="2" t="s">
        <v>212</v>
      </c>
      <c r="CD662" s="2" t="s">
        <v>199</v>
      </c>
      <c r="CE662" s="4">
        <v>36</v>
      </c>
      <c r="CF662" s="4"/>
      <c r="CG662" s="4"/>
      <c r="CH662" s="4">
        <v>93</v>
      </c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>
        <v>100</v>
      </c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>
        <v>90</v>
      </c>
      <c r="EP662" s="4"/>
      <c r="EQ662" s="4"/>
      <c r="ER662" s="4"/>
      <c r="ES662" s="4"/>
      <c r="ET662" s="4">
        <v>129</v>
      </c>
      <c r="EU662" s="4">
        <v>121</v>
      </c>
      <c r="EV662" s="4">
        <v>215</v>
      </c>
      <c r="EW662" s="4">
        <v>209</v>
      </c>
      <c r="EX662" s="4">
        <v>203</v>
      </c>
      <c r="EY662" s="4">
        <v>197</v>
      </c>
      <c r="EZ662" s="4">
        <v>191</v>
      </c>
      <c r="FA662" s="4">
        <v>185</v>
      </c>
      <c r="FB662" s="4">
        <v>178</v>
      </c>
      <c r="FC662" s="4">
        <v>172</v>
      </c>
      <c r="FD662" s="4">
        <v>166</v>
      </c>
      <c r="FE662" s="4">
        <v>160</v>
      </c>
      <c r="FF662" s="4">
        <v>154</v>
      </c>
      <c r="FG662" s="4">
        <v>148</v>
      </c>
      <c r="FH662" s="4">
        <v>142</v>
      </c>
      <c r="FI662" s="4">
        <v>136</v>
      </c>
      <c r="FJ662" s="4">
        <v>130</v>
      </c>
      <c r="FK662" s="4">
        <v>214</v>
      </c>
      <c r="FL662" s="4">
        <v>208</v>
      </c>
      <c r="FM662" s="4">
        <v>202</v>
      </c>
      <c r="FN662" s="4">
        <v>196</v>
      </c>
      <c r="FO662" s="4">
        <v>190</v>
      </c>
      <c r="FP662" s="4">
        <v>183</v>
      </c>
      <c r="FQ662" s="4">
        <v>177</v>
      </c>
      <c r="FR662" s="4">
        <v>171</v>
      </c>
      <c r="FS662" s="4">
        <v>165</v>
      </c>
      <c r="FT662" s="19">
        <v>21.5</v>
      </c>
      <c r="FU662" s="19">
        <v>20.2</v>
      </c>
      <c r="FV662" s="19">
        <v>35.8</v>
      </c>
      <c r="FW662" s="19">
        <v>34.8</v>
      </c>
      <c r="FX662" s="19">
        <v>33.8</v>
      </c>
      <c r="FY662" s="19">
        <v>32.8</v>
      </c>
      <c r="FZ662" s="19">
        <v>31.8</v>
      </c>
      <c r="GA662" s="19">
        <v>30.8</v>
      </c>
      <c r="GB662" s="19">
        <v>29.7</v>
      </c>
      <c r="GC662" s="19">
        <v>28.7</v>
      </c>
      <c r="GD662" s="19">
        <v>27.7</v>
      </c>
      <c r="GE662" s="19">
        <v>26.7</v>
      </c>
      <c r="GF662" s="19">
        <v>25.7</v>
      </c>
      <c r="GG662" s="19">
        <v>24.7</v>
      </c>
      <c r="GH662" s="19">
        <v>23.7</v>
      </c>
      <c r="GI662" s="19">
        <v>22.7</v>
      </c>
      <c r="GJ662" s="19">
        <v>21.7</v>
      </c>
      <c r="GK662" s="19">
        <v>35.7</v>
      </c>
      <c r="GL662" s="19">
        <v>34.7</v>
      </c>
      <c r="GM662" s="19">
        <v>33.7</v>
      </c>
      <c r="GN662" s="19">
        <v>32.7</v>
      </c>
      <c r="GO662" s="19">
        <v>31.7</v>
      </c>
      <c r="GP662" s="19">
        <v>30.5</v>
      </c>
      <c r="GQ662" s="19">
        <v>29.5</v>
      </c>
      <c r="GR662" s="19">
        <v>28.5</v>
      </c>
      <c r="GS662" s="19">
        <v>27.5</v>
      </c>
    </row>
    <row r="663">
      <c r="A663" s="2" t="s">
        <v>3609</v>
      </c>
      <c r="B663" s="2" t="s">
        <v>630</v>
      </c>
      <c r="C663" s="2" t="s">
        <v>604</v>
      </c>
      <c r="D663" s="2" t="s">
        <v>631</v>
      </c>
      <c r="E663" s="2" t="s">
        <v>632</v>
      </c>
      <c r="F663" s="2" t="s">
        <v>3597</v>
      </c>
      <c r="G663" s="2" t="s">
        <v>3597</v>
      </c>
      <c r="H663" s="2" t="s">
        <v>3597</v>
      </c>
      <c r="I663" s="2" t="s">
        <v>3603</v>
      </c>
      <c r="J663" s="2" t="s">
        <v>232</v>
      </c>
      <c r="K663" s="2" t="s">
        <v>723</v>
      </c>
      <c r="L663" s="3">
        <v>45.71</v>
      </c>
      <c r="M663" s="3">
        <v>48</v>
      </c>
      <c r="N663" s="3">
        <v>99.99</v>
      </c>
      <c r="O663" s="2" t="s">
        <v>196</v>
      </c>
      <c r="P663" s="2" t="s">
        <v>197</v>
      </c>
      <c r="Q663" s="2" t="s">
        <v>198</v>
      </c>
      <c r="R663" s="2" t="s">
        <v>199</v>
      </c>
      <c r="S663" s="2" t="s">
        <v>3607</v>
      </c>
      <c r="T663" s="2" t="s">
        <v>726</v>
      </c>
      <c r="U663" s="2" t="s">
        <v>637</v>
      </c>
      <c r="V663" s="2" t="s">
        <v>301</v>
      </c>
      <c r="W663" s="2" t="s">
        <v>1394</v>
      </c>
      <c r="X663" s="2" t="s">
        <v>203</v>
      </c>
      <c r="Y663" s="2" t="s">
        <v>3272</v>
      </c>
      <c r="Z663" s="4">
        <v>143</v>
      </c>
      <c r="AA663" s="4">
        <f>=ROUNDDOWN(35.75,0)</f>
      </c>
      <c r="AB663" s="5">
        <v>4</v>
      </c>
      <c r="AC663" s="2" t="s">
        <v>3608</v>
      </c>
      <c r="AD663" s="4">
        <v>80</v>
      </c>
      <c r="AE663" s="4">
        <v>150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199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199</v>
      </c>
      <c r="AW663" s="8" t="s">
        <v>199</v>
      </c>
      <c r="AX663" s="4" t="s">
        <v>199</v>
      </c>
      <c r="AY663" s="8" t="s">
        <v>199</v>
      </c>
      <c r="AZ663" s="7" t="s">
        <v>199</v>
      </c>
      <c r="BA663" s="7" t="s">
        <v>199</v>
      </c>
      <c r="BB663" s="7" t="s">
        <v>199</v>
      </c>
      <c r="BC663" s="4" t="s">
        <v>199</v>
      </c>
      <c r="BD663" s="8" t="s">
        <v>199</v>
      </c>
      <c r="BE663" s="4" t="s">
        <v>199</v>
      </c>
      <c r="BF663" s="8" t="s">
        <v>199</v>
      </c>
      <c r="BG663" s="7" t="s">
        <v>199</v>
      </c>
      <c r="BH663" s="7" t="s">
        <v>199</v>
      </c>
      <c r="BI663" s="7"/>
      <c r="BJ663" s="4">
        <v>8</v>
      </c>
      <c r="BK663" s="8">
        <v>425.23</v>
      </c>
      <c r="BL663" s="2" t="s">
        <v>3610</v>
      </c>
      <c r="BM663" s="7"/>
      <c r="BN663" s="7"/>
      <c r="BO663" s="4"/>
      <c r="BP663" s="8"/>
      <c r="BQ663" s="4"/>
      <c r="BR663" s="8"/>
      <c r="BS663" s="7"/>
      <c r="BT663" s="7"/>
      <c r="BU663" s="2" t="s">
        <v>3604</v>
      </c>
      <c r="BV663" s="2" t="s">
        <v>199</v>
      </c>
      <c r="BW663" s="2" t="s">
        <v>199</v>
      </c>
      <c r="BX663" s="2" t="s">
        <v>208</v>
      </c>
      <c r="BY663" s="2" t="s">
        <v>209</v>
      </c>
      <c r="BZ663" s="2" t="s">
        <v>196</v>
      </c>
      <c r="CA663" s="2" t="s">
        <v>1341</v>
      </c>
      <c r="CB663" s="2" t="s">
        <v>199</v>
      </c>
      <c r="CC663" s="2" t="s">
        <v>212</v>
      </c>
      <c r="CD663" s="2" t="s">
        <v>199</v>
      </c>
      <c r="CE663" s="4">
        <v>70</v>
      </c>
      <c r="CF663" s="4"/>
      <c r="CG663" s="4"/>
      <c r="CH663" s="4">
        <v>73</v>
      </c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>
        <v>80</v>
      </c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>
        <v>70</v>
      </c>
      <c r="EP663" s="4"/>
      <c r="EQ663" s="4"/>
      <c r="ER663" s="4"/>
      <c r="ES663" s="4"/>
      <c r="ET663" s="4">
        <v>143</v>
      </c>
      <c r="EU663" s="4">
        <v>139</v>
      </c>
      <c r="EV663" s="4">
        <v>215</v>
      </c>
      <c r="EW663" s="4">
        <v>211</v>
      </c>
      <c r="EX663" s="4">
        <v>207</v>
      </c>
      <c r="EY663" s="4">
        <v>203</v>
      </c>
      <c r="EZ663" s="4">
        <v>199</v>
      </c>
      <c r="FA663" s="4">
        <v>195</v>
      </c>
      <c r="FB663" s="4">
        <v>191</v>
      </c>
      <c r="FC663" s="4">
        <v>187</v>
      </c>
      <c r="FD663" s="4">
        <v>183</v>
      </c>
      <c r="FE663" s="4">
        <v>179</v>
      </c>
      <c r="FF663" s="4">
        <v>175</v>
      </c>
      <c r="FG663" s="4">
        <v>171</v>
      </c>
      <c r="FH663" s="4">
        <v>167</v>
      </c>
      <c r="FI663" s="4">
        <v>163</v>
      </c>
      <c r="FJ663" s="4">
        <v>159</v>
      </c>
      <c r="FK663" s="4">
        <v>225</v>
      </c>
      <c r="FL663" s="4">
        <v>221</v>
      </c>
      <c r="FM663" s="4">
        <v>217</v>
      </c>
      <c r="FN663" s="4">
        <v>213</v>
      </c>
      <c r="FO663" s="4">
        <v>209</v>
      </c>
      <c r="FP663" s="4">
        <v>205</v>
      </c>
      <c r="FQ663" s="4">
        <v>201</v>
      </c>
      <c r="FR663" s="4">
        <v>197</v>
      </c>
      <c r="FS663" s="4">
        <v>193</v>
      </c>
      <c r="FT663" s="19">
        <v>35.8</v>
      </c>
      <c r="FU663" s="19">
        <v>34.8</v>
      </c>
      <c r="FV663" s="19">
        <v>53.8</v>
      </c>
      <c r="FW663" s="19">
        <v>52.8</v>
      </c>
      <c r="FX663" s="19">
        <v>51.8</v>
      </c>
      <c r="FY663" s="19">
        <v>50.8</v>
      </c>
      <c r="FZ663" s="19">
        <v>49.8</v>
      </c>
      <c r="GA663" s="19">
        <v>48.8</v>
      </c>
      <c r="GB663" s="19">
        <v>47.8</v>
      </c>
      <c r="GC663" s="19">
        <v>46.8</v>
      </c>
      <c r="GD663" s="19">
        <v>45.8</v>
      </c>
      <c r="GE663" s="19">
        <v>44.8</v>
      </c>
      <c r="GF663" s="19">
        <v>43.8</v>
      </c>
      <c r="GG663" s="19">
        <v>42.8</v>
      </c>
      <c r="GH663" s="19">
        <v>41.8</v>
      </c>
      <c r="GI663" s="19">
        <v>40.8</v>
      </c>
      <c r="GJ663" s="19">
        <v>39.8</v>
      </c>
      <c r="GK663" s="19">
        <v>56.3</v>
      </c>
      <c r="GL663" s="19">
        <v>55.3</v>
      </c>
      <c r="GM663" s="19">
        <v>54.3</v>
      </c>
      <c r="GN663" s="19">
        <v>53.3</v>
      </c>
      <c r="GO663" s="19">
        <v>52.3</v>
      </c>
      <c r="GP663" s="19">
        <v>51.3</v>
      </c>
      <c r="GQ663" s="19">
        <v>50.3</v>
      </c>
      <c r="GR663" s="19">
        <v>49.3</v>
      </c>
      <c r="GS663" s="19">
        <v>48.3</v>
      </c>
    </row>
    <row r="664">
      <c r="A664" s="2" t="s">
        <v>3611</v>
      </c>
      <c r="B664" s="2" t="s">
        <v>630</v>
      </c>
      <c r="C664" s="2" t="s">
        <v>604</v>
      </c>
      <c r="D664" s="2" t="s">
        <v>631</v>
      </c>
      <c r="E664" s="2" t="s">
        <v>632</v>
      </c>
      <c r="F664" s="2" t="s">
        <v>3597</v>
      </c>
      <c r="G664" s="2" t="s">
        <v>3597</v>
      </c>
      <c r="H664" s="2" t="s">
        <v>3597</v>
      </c>
      <c r="I664" s="2" t="s">
        <v>3603</v>
      </c>
      <c r="J664" s="2" t="s">
        <v>241</v>
      </c>
      <c r="K664" s="2" t="s">
        <v>723</v>
      </c>
      <c r="L664" s="3">
        <v>54.85</v>
      </c>
      <c r="M664" s="3">
        <v>57.59</v>
      </c>
      <c r="N664" s="3">
        <v>119.99</v>
      </c>
      <c r="O664" s="2" t="s">
        <v>196</v>
      </c>
      <c r="P664" s="2" t="s">
        <v>197</v>
      </c>
      <c r="Q664" s="2" t="s">
        <v>198</v>
      </c>
      <c r="R664" s="2" t="s">
        <v>199</v>
      </c>
      <c r="S664" s="2" t="s">
        <v>3607</v>
      </c>
      <c r="T664" s="2" t="s">
        <v>726</v>
      </c>
      <c r="U664" s="2" t="s">
        <v>637</v>
      </c>
      <c r="V664" s="2" t="s">
        <v>301</v>
      </c>
      <c r="W664" s="2" t="s">
        <v>1394</v>
      </c>
      <c r="X664" s="2" t="s">
        <v>203</v>
      </c>
      <c r="Y664" s="2" t="s">
        <v>3272</v>
      </c>
      <c r="Z664" s="4">
        <v>58</v>
      </c>
      <c r="AA664" s="4">
        <f>=ROUNDDOWN(14.5,0)</f>
      </c>
      <c r="AB664" s="5">
        <v>4</v>
      </c>
      <c r="AC664" s="2" t="s">
        <v>3608</v>
      </c>
      <c r="AD664" s="4">
        <v>130</v>
      </c>
      <c r="AE664" s="4">
        <v>220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199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199</v>
      </c>
      <c r="AW664" s="8" t="s">
        <v>199</v>
      </c>
      <c r="AX664" s="4" t="s">
        <v>199</v>
      </c>
      <c r="AY664" s="8" t="s">
        <v>199</v>
      </c>
      <c r="AZ664" s="7" t="s">
        <v>199</v>
      </c>
      <c r="BA664" s="7" t="s">
        <v>199</v>
      </c>
      <c r="BB664" s="7"/>
      <c r="BC664" s="4" t="s">
        <v>199</v>
      </c>
      <c r="BD664" s="8" t="s">
        <v>199</v>
      </c>
      <c r="BE664" s="4" t="s">
        <v>199</v>
      </c>
      <c r="BF664" s="8" t="s">
        <v>199</v>
      </c>
      <c r="BG664" s="7" t="s">
        <v>199</v>
      </c>
      <c r="BH664" s="7" t="s">
        <v>199</v>
      </c>
      <c r="BI664" s="7"/>
      <c r="BJ664" s="4">
        <v>14</v>
      </c>
      <c r="BK664" s="8">
        <v>894.14</v>
      </c>
      <c r="BL664" s="2" t="s">
        <v>3612</v>
      </c>
      <c r="BM664" s="7"/>
      <c r="BN664" s="7"/>
      <c r="BO664" s="4"/>
      <c r="BP664" s="8"/>
      <c r="BQ664" s="4"/>
      <c r="BR664" s="8"/>
      <c r="BS664" s="7"/>
      <c r="BT664" s="7"/>
      <c r="BU664" s="2" t="s">
        <v>3604</v>
      </c>
      <c r="BV664" s="2" t="s">
        <v>199</v>
      </c>
      <c r="BW664" s="2" t="s">
        <v>199</v>
      </c>
      <c r="BX664" s="2" t="s">
        <v>208</v>
      </c>
      <c r="BY664" s="2" t="s">
        <v>209</v>
      </c>
      <c r="BZ664" s="2" t="s">
        <v>196</v>
      </c>
      <c r="CA664" s="2" t="s">
        <v>1341</v>
      </c>
      <c r="CB664" s="2" t="s">
        <v>199</v>
      </c>
      <c r="CC664" s="2" t="s">
        <v>212</v>
      </c>
      <c r="CD664" s="2" t="s">
        <v>199</v>
      </c>
      <c r="CE664" s="4">
        <v>11</v>
      </c>
      <c r="CF664" s="4"/>
      <c r="CG664" s="4"/>
      <c r="CH664" s="4">
        <v>47</v>
      </c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>
        <v>130</v>
      </c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>
        <v>90</v>
      </c>
      <c r="EP664" s="4"/>
      <c r="EQ664" s="4"/>
      <c r="ER664" s="4"/>
      <c r="ES664" s="4"/>
      <c r="ET664" s="4">
        <v>60</v>
      </c>
      <c r="EU664" s="4">
        <v>57</v>
      </c>
      <c r="EV664" s="4">
        <v>185</v>
      </c>
      <c r="EW664" s="4">
        <v>183</v>
      </c>
      <c r="EX664" s="4">
        <v>181</v>
      </c>
      <c r="EY664" s="4">
        <v>179</v>
      </c>
      <c r="EZ664" s="4">
        <v>177</v>
      </c>
      <c r="FA664" s="4">
        <v>175</v>
      </c>
      <c r="FB664" s="4">
        <v>173</v>
      </c>
      <c r="FC664" s="4">
        <v>171</v>
      </c>
      <c r="FD664" s="4">
        <v>169</v>
      </c>
      <c r="FE664" s="4">
        <v>167</v>
      </c>
      <c r="FF664" s="4">
        <v>165</v>
      </c>
      <c r="FG664" s="4">
        <v>163</v>
      </c>
      <c r="FH664" s="4">
        <v>161</v>
      </c>
      <c r="FI664" s="4">
        <v>159</v>
      </c>
      <c r="FJ664" s="4">
        <v>157</v>
      </c>
      <c r="FK664" s="4">
        <v>245</v>
      </c>
      <c r="FL664" s="4">
        <v>243</v>
      </c>
      <c r="FM664" s="4">
        <v>241</v>
      </c>
      <c r="FN664" s="4">
        <v>237</v>
      </c>
      <c r="FO664" s="4">
        <v>233</v>
      </c>
      <c r="FP664" s="4">
        <v>229</v>
      </c>
      <c r="FQ664" s="4">
        <v>225</v>
      </c>
      <c r="FR664" s="4">
        <v>221</v>
      </c>
      <c r="FS664" s="4">
        <v>217</v>
      </c>
      <c r="FT664" s="19">
        <v>30</v>
      </c>
      <c r="FU664" s="19">
        <v>28.5</v>
      </c>
      <c r="FV664" s="19">
        <v>92.5</v>
      </c>
      <c r="FW664" s="19">
        <v>91.5</v>
      </c>
      <c r="FX664" s="19">
        <v>90.5</v>
      </c>
      <c r="FY664" s="19">
        <v>89.5</v>
      </c>
      <c r="FZ664" s="19">
        <v>88.5</v>
      </c>
      <c r="GA664" s="19">
        <v>87.5</v>
      </c>
      <c r="GB664" s="19">
        <v>86.5</v>
      </c>
      <c r="GC664" s="19">
        <v>85.5</v>
      </c>
      <c r="GD664" s="19">
        <v>84.5</v>
      </c>
      <c r="GE664" s="19">
        <v>83.5</v>
      </c>
      <c r="GF664" s="19">
        <v>82.5</v>
      </c>
      <c r="GG664" s="19">
        <v>81.5</v>
      </c>
      <c r="GH664" s="19">
        <v>80.5</v>
      </c>
      <c r="GI664" s="19">
        <v>79.5</v>
      </c>
      <c r="GJ664" s="19">
        <v>78.5</v>
      </c>
      <c r="GK664" s="19">
        <v>81.7</v>
      </c>
      <c r="GL664" s="19">
        <v>60.8</v>
      </c>
      <c r="GM664" s="19">
        <v>60.3</v>
      </c>
      <c r="GN664" s="19">
        <v>59.3</v>
      </c>
      <c r="GO664" s="19">
        <v>58.3</v>
      </c>
      <c r="GP664" s="19">
        <v>57.3</v>
      </c>
      <c r="GQ664" s="19">
        <v>56.3</v>
      </c>
      <c r="GR664" s="19">
        <v>55.3</v>
      </c>
      <c r="GS664" s="19">
        <v>54.3</v>
      </c>
    </row>
    <row r="665">
      <c r="A665" s="2" t="s">
        <v>3613</v>
      </c>
      <c r="B665" s="2" t="s">
        <v>1019</v>
      </c>
      <c r="C665" s="2" t="s">
        <v>1625</v>
      </c>
      <c r="D665" s="2" t="s">
        <v>1973</v>
      </c>
      <c r="E665" s="2" t="s">
        <v>1974</v>
      </c>
      <c r="F665" s="2" t="s">
        <v>3614</v>
      </c>
      <c r="G665" s="2" t="s">
        <v>3614</v>
      </c>
      <c r="H665" s="2" t="s">
        <v>3614</v>
      </c>
      <c r="I665" s="2" t="s">
        <v>1976</v>
      </c>
      <c r="J665" s="2" t="s">
        <v>194</v>
      </c>
      <c r="K665" s="2" t="s">
        <v>195</v>
      </c>
      <c r="L665" s="3">
        <v>45.23</v>
      </c>
      <c r="M665" s="3">
        <v>47.49</v>
      </c>
      <c r="N665" s="3">
        <v>94.99</v>
      </c>
      <c r="O665" s="2" t="s">
        <v>196</v>
      </c>
      <c r="P665" s="2" t="s">
        <v>197</v>
      </c>
      <c r="Q665" s="2" t="s">
        <v>198</v>
      </c>
      <c r="R665" s="2" t="s">
        <v>199</v>
      </c>
      <c r="S665" s="2" t="s">
        <v>3615</v>
      </c>
      <c r="T665" s="2" t="s">
        <v>1027</v>
      </c>
      <c r="U665" s="2" t="s">
        <v>280</v>
      </c>
      <c r="V665" s="2" t="s">
        <v>202</v>
      </c>
      <c r="W665" s="2" t="s">
        <v>203</v>
      </c>
      <c r="X665" s="2" t="s">
        <v>1014</v>
      </c>
      <c r="Y665" s="2" t="s">
        <v>1059</v>
      </c>
      <c r="Z665" s="4">
        <v>334</v>
      </c>
      <c r="AA665" s="4">
        <f>=ROUNDDOWN(37.1111111111111,0)</f>
      </c>
      <c r="AB665" s="5">
        <v>9</v>
      </c>
      <c r="AC665" s="2" t="s">
        <v>199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199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199</v>
      </c>
      <c r="BD665" s="8" t="s">
        <v>199</v>
      </c>
      <c r="BE665" s="4" t="s">
        <v>199</v>
      </c>
      <c r="BF665" s="8" t="s">
        <v>199</v>
      </c>
      <c r="BG665" s="7" t="s">
        <v>199</v>
      </c>
      <c r="BH665" s="7" t="s">
        <v>199</v>
      </c>
      <c r="BI665" s="7"/>
      <c r="BJ665" s="4">
        <v>78</v>
      </c>
      <c r="BK665" s="8">
        <v>3983.6</v>
      </c>
      <c r="BL665" s="2" t="s">
        <v>1553</v>
      </c>
      <c r="BM665" s="7"/>
      <c r="BN665" s="7"/>
      <c r="BO665" s="4"/>
      <c r="BP665" s="8"/>
      <c r="BQ665" s="4"/>
      <c r="BR665" s="8"/>
      <c r="BS665" s="7"/>
      <c r="BT665" s="7"/>
      <c r="BU665" s="2" t="s">
        <v>3616</v>
      </c>
      <c r="BV665" s="2" t="s">
        <v>199</v>
      </c>
      <c r="BW665" s="2" t="s">
        <v>199</v>
      </c>
      <c r="BX665" s="2" t="s">
        <v>208</v>
      </c>
      <c r="BY665" s="2" t="s">
        <v>209</v>
      </c>
      <c r="BZ665" s="2" t="s">
        <v>196</v>
      </c>
      <c r="CA665" s="2" t="s">
        <v>365</v>
      </c>
      <c r="CB665" s="2" t="s">
        <v>3617</v>
      </c>
      <c r="CC665" s="2" t="s">
        <v>212</v>
      </c>
      <c r="CD665" s="2" t="s">
        <v>199</v>
      </c>
      <c r="CE665" s="4">
        <v>334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>
        <v>334</v>
      </c>
      <c r="EU665" s="4">
        <v>323</v>
      </c>
      <c r="EV665" s="4">
        <v>316</v>
      </c>
      <c r="EW665" s="4">
        <v>311</v>
      </c>
      <c r="EX665" s="4">
        <v>306</v>
      </c>
      <c r="EY665" s="4">
        <v>300</v>
      </c>
      <c r="EZ665" s="4">
        <v>295</v>
      </c>
      <c r="FA665" s="4">
        <v>289</v>
      </c>
      <c r="FB665" s="4">
        <v>284</v>
      </c>
      <c r="FC665" s="4">
        <v>281</v>
      </c>
      <c r="FD665" s="4">
        <v>277</v>
      </c>
      <c r="FE665" s="4">
        <v>272</v>
      </c>
      <c r="FF665" s="4">
        <v>268</v>
      </c>
      <c r="FG665" s="4">
        <v>266</v>
      </c>
      <c r="FH665" s="4">
        <v>264</v>
      </c>
      <c r="FI665" s="4">
        <v>263</v>
      </c>
      <c r="FJ665" s="4">
        <v>261</v>
      </c>
      <c r="FK665" s="4">
        <v>260</v>
      </c>
      <c r="FL665" s="4">
        <v>258</v>
      </c>
      <c r="FM665" s="4">
        <v>255</v>
      </c>
      <c r="FN665" s="4">
        <v>253</v>
      </c>
      <c r="FO665" s="4">
        <v>251</v>
      </c>
      <c r="FP665" s="4">
        <v>249</v>
      </c>
      <c r="FQ665" s="4">
        <v>248</v>
      </c>
      <c r="FR665" s="4">
        <v>246</v>
      </c>
      <c r="FS665" s="4">
        <v>245</v>
      </c>
      <c r="FT665" s="19">
        <v>47.7</v>
      </c>
      <c r="FU665" s="19">
        <v>53.8</v>
      </c>
      <c r="FV665" s="19">
        <v>63.2</v>
      </c>
      <c r="FW665" s="19">
        <v>51.8</v>
      </c>
      <c r="FX665" s="19">
        <v>51</v>
      </c>
      <c r="FY665" s="19">
        <v>60</v>
      </c>
      <c r="FZ665" s="19">
        <v>73.8</v>
      </c>
      <c r="GA665" s="19">
        <v>72.3</v>
      </c>
      <c r="GB665" s="19">
        <v>71</v>
      </c>
      <c r="GC665" s="19">
        <v>70.3</v>
      </c>
      <c r="GD665" s="19">
        <v>92.3</v>
      </c>
      <c r="GE665" s="19">
        <v>136</v>
      </c>
      <c r="GF665" s="19">
        <v>134</v>
      </c>
      <c r="GG665" s="19">
        <v>133</v>
      </c>
      <c r="GH665" s="19">
        <v>132</v>
      </c>
      <c r="GI665" s="19">
        <v>131.5</v>
      </c>
      <c r="GJ665" s="19">
        <v>130.5</v>
      </c>
      <c r="GK665" s="19">
        <v>130</v>
      </c>
      <c r="GL665" s="19">
        <v>129</v>
      </c>
      <c r="GM665" s="19">
        <v>127.5</v>
      </c>
      <c r="GN665" s="19">
        <v>126.5</v>
      </c>
      <c r="GO665" s="19">
        <v>125.5</v>
      </c>
      <c r="GP665" s="19">
        <v>249</v>
      </c>
      <c r="GQ665" s="19">
        <v>248</v>
      </c>
      <c r="GR665" s="19">
        <v>123</v>
      </c>
      <c r="GS665" s="19">
        <v>122.5</v>
      </c>
    </row>
    <row r="666">
      <c r="A666" s="2" t="s">
        <v>3618</v>
      </c>
      <c r="B666" s="2" t="s">
        <v>1019</v>
      </c>
      <c r="C666" s="2" t="s">
        <v>1625</v>
      </c>
      <c r="D666" s="2" t="s">
        <v>1973</v>
      </c>
      <c r="E666" s="2" t="s">
        <v>1974</v>
      </c>
      <c r="F666" s="2" t="s">
        <v>3614</v>
      </c>
      <c r="G666" s="2" t="s">
        <v>3614</v>
      </c>
      <c r="H666" s="2" t="s">
        <v>3614</v>
      </c>
      <c r="I666" s="2" t="s">
        <v>1976</v>
      </c>
      <c r="J666" s="2" t="s">
        <v>285</v>
      </c>
      <c r="K666" s="2" t="s">
        <v>1104</v>
      </c>
      <c r="L666" s="3">
        <v>50</v>
      </c>
      <c r="M666" s="3">
        <v>52.5</v>
      </c>
      <c r="N666" s="3">
        <v>104.99</v>
      </c>
      <c r="O666" s="2" t="s">
        <v>196</v>
      </c>
      <c r="P666" s="2" t="s">
        <v>197</v>
      </c>
      <c r="Q666" s="2" t="s">
        <v>198</v>
      </c>
      <c r="R666" s="2" t="s">
        <v>199</v>
      </c>
      <c r="S666" s="2" t="s">
        <v>3619</v>
      </c>
      <c r="T666" s="2" t="s">
        <v>1027</v>
      </c>
      <c r="U666" s="2" t="s">
        <v>280</v>
      </c>
      <c r="V666" s="2" t="s">
        <v>202</v>
      </c>
      <c r="W666" s="2" t="s">
        <v>203</v>
      </c>
      <c r="X666" s="2" t="s">
        <v>1014</v>
      </c>
      <c r="Y666" s="2" t="s">
        <v>3620</v>
      </c>
      <c r="Z666" s="4">
        <v>383</v>
      </c>
      <c r="AA666" s="4">
        <f>=ROUNDDOWN(54.7142857142857,0)</f>
      </c>
      <c r="AB666" s="5">
        <v>7</v>
      </c>
      <c r="AC666" s="2" t="s">
        <v>199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199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199</v>
      </c>
      <c r="AW666" s="8" t="s">
        <v>199</v>
      </c>
      <c r="AX666" s="4" t="s">
        <v>199</v>
      </c>
      <c r="AY666" s="8" t="s">
        <v>199</v>
      </c>
      <c r="AZ666" s="7" t="s">
        <v>199</v>
      </c>
      <c r="BA666" s="7" t="s">
        <v>199</v>
      </c>
      <c r="BB666" s="7"/>
      <c r="BC666" s="4" t="s">
        <v>199</v>
      </c>
      <c r="BD666" s="8" t="s">
        <v>199</v>
      </c>
      <c r="BE666" s="4" t="s">
        <v>199</v>
      </c>
      <c r="BF666" s="8" t="s">
        <v>199</v>
      </c>
      <c r="BG666" s="7" t="s">
        <v>199</v>
      </c>
      <c r="BH666" s="7" t="s">
        <v>199</v>
      </c>
      <c r="BI666" s="7"/>
      <c r="BJ666" s="4">
        <v>59</v>
      </c>
      <c r="BK666" s="8">
        <v>3333.46</v>
      </c>
      <c r="BL666" s="2" t="s">
        <v>3621</v>
      </c>
      <c r="BM666" s="7"/>
      <c r="BN666" s="7"/>
      <c r="BO666" s="4"/>
      <c r="BP666" s="8"/>
      <c r="BQ666" s="4"/>
      <c r="BR666" s="8"/>
      <c r="BS666" s="7"/>
      <c r="BT666" s="7"/>
      <c r="BU666" s="2" t="s">
        <v>3616</v>
      </c>
      <c r="BV666" s="2" t="s">
        <v>199</v>
      </c>
      <c r="BW666" s="2" t="s">
        <v>199</v>
      </c>
      <c r="BX666" s="2" t="s">
        <v>208</v>
      </c>
      <c r="BY666" s="2" t="s">
        <v>209</v>
      </c>
      <c r="BZ666" s="2" t="s">
        <v>196</v>
      </c>
      <c r="CA666" s="2" t="s">
        <v>365</v>
      </c>
      <c r="CB666" s="2" t="s">
        <v>2508</v>
      </c>
      <c r="CC666" s="2" t="s">
        <v>212</v>
      </c>
      <c r="CD666" s="2" t="s">
        <v>199</v>
      </c>
      <c r="CE666" s="4">
        <v>383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>
        <v>383</v>
      </c>
      <c r="EU666" s="4">
        <v>370</v>
      </c>
      <c r="EV666" s="4">
        <v>362</v>
      </c>
      <c r="EW666" s="4">
        <v>356</v>
      </c>
      <c r="EX666" s="4">
        <v>351</v>
      </c>
      <c r="EY666" s="4">
        <v>345</v>
      </c>
      <c r="EZ666" s="4">
        <v>340</v>
      </c>
      <c r="FA666" s="4">
        <v>336</v>
      </c>
      <c r="FB666" s="4">
        <v>329</v>
      </c>
      <c r="FC666" s="4">
        <v>327</v>
      </c>
      <c r="FD666" s="4">
        <v>323</v>
      </c>
      <c r="FE666" s="4">
        <v>319</v>
      </c>
      <c r="FF666" s="4">
        <v>317</v>
      </c>
      <c r="FG666" s="4">
        <v>315</v>
      </c>
      <c r="FH666" s="4">
        <v>313</v>
      </c>
      <c r="FI666" s="4">
        <v>312</v>
      </c>
      <c r="FJ666" s="4">
        <v>311</v>
      </c>
      <c r="FK666" s="4">
        <v>309</v>
      </c>
      <c r="FL666" s="4">
        <v>308</v>
      </c>
      <c r="FM666" s="4">
        <v>307</v>
      </c>
      <c r="FN666" s="4">
        <v>306</v>
      </c>
      <c r="FO666" s="4">
        <v>305</v>
      </c>
      <c r="FP666" s="4">
        <v>304</v>
      </c>
      <c r="FQ666" s="4">
        <v>303</v>
      </c>
      <c r="FR666" s="4">
        <v>301</v>
      </c>
      <c r="FS666" s="4">
        <v>299</v>
      </c>
      <c r="FT666" s="19">
        <v>47.9</v>
      </c>
      <c r="FU666" s="19">
        <v>61.7</v>
      </c>
      <c r="FV666" s="19">
        <v>60.3</v>
      </c>
      <c r="FW666" s="19">
        <v>71.2</v>
      </c>
      <c r="FX666" s="19">
        <v>58.5</v>
      </c>
      <c r="FY666" s="19">
        <v>86.3</v>
      </c>
      <c r="FZ666" s="19">
        <v>85</v>
      </c>
      <c r="GA666" s="19">
        <v>84</v>
      </c>
      <c r="GB666" s="19">
        <v>109.7</v>
      </c>
      <c r="GC666" s="19">
        <v>109</v>
      </c>
      <c r="GD666" s="19">
        <v>161.5</v>
      </c>
      <c r="GE666" s="19">
        <v>159.5</v>
      </c>
      <c r="GF666" s="19">
        <v>158.5</v>
      </c>
      <c r="GG666" s="19">
        <v>157.5</v>
      </c>
      <c r="GH666" s="19">
        <v>313</v>
      </c>
      <c r="GI666" s="19">
        <v>312</v>
      </c>
      <c r="GJ666" s="19">
        <v>311</v>
      </c>
      <c r="GK666" s="19">
        <v>309</v>
      </c>
      <c r="GL666" s="19">
        <v>308</v>
      </c>
      <c r="GM666" s="19">
        <v>307</v>
      </c>
      <c r="GN666" s="19">
        <v>306</v>
      </c>
      <c r="GO666" s="19">
        <v>152.5</v>
      </c>
      <c r="GP666" s="19">
        <v>152</v>
      </c>
      <c r="GQ666" s="19">
        <v>151.5</v>
      </c>
      <c r="GR666" s="19">
        <v>301</v>
      </c>
      <c r="GS666" s="19">
        <v>299</v>
      </c>
    </row>
    <row r="667">
      <c r="A667" s="2" t="s">
        <v>3622</v>
      </c>
      <c r="B667" s="2" t="s">
        <v>1019</v>
      </c>
      <c r="C667" s="2" t="s">
        <v>1625</v>
      </c>
      <c r="D667" s="2" t="s">
        <v>1973</v>
      </c>
      <c r="E667" s="2" t="s">
        <v>1974</v>
      </c>
      <c r="F667" s="2" t="s">
        <v>3614</v>
      </c>
      <c r="G667" s="2" t="s">
        <v>3614</v>
      </c>
      <c r="H667" s="2" t="s">
        <v>3614</v>
      </c>
      <c r="I667" s="2" t="s">
        <v>1976</v>
      </c>
      <c r="J667" s="2" t="s">
        <v>219</v>
      </c>
      <c r="K667" s="2" t="s">
        <v>1104</v>
      </c>
      <c r="L667" s="3">
        <v>69.04</v>
      </c>
      <c r="M667" s="3">
        <v>72.49</v>
      </c>
      <c r="N667" s="3">
        <v>144.99</v>
      </c>
      <c r="O667" s="2" t="s">
        <v>196</v>
      </c>
      <c r="P667" s="2" t="s">
        <v>197</v>
      </c>
      <c r="Q667" s="2" t="s">
        <v>198</v>
      </c>
      <c r="R667" s="2" t="s">
        <v>199</v>
      </c>
      <c r="S667" s="2" t="s">
        <v>3619</v>
      </c>
      <c r="T667" s="2" t="s">
        <v>1027</v>
      </c>
      <c r="U667" s="2" t="s">
        <v>280</v>
      </c>
      <c r="V667" s="2" t="s">
        <v>202</v>
      </c>
      <c r="W667" s="2" t="s">
        <v>203</v>
      </c>
      <c r="X667" s="2" t="s">
        <v>1014</v>
      </c>
      <c r="Y667" s="2" t="s">
        <v>3620</v>
      </c>
      <c r="Z667" s="4">
        <v>360</v>
      </c>
      <c r="AA667" s="4">
        <f>=ROUNDDOWN(51.4285714285714,0)</f>
      </c>
      <c r="AB667" s="5">
        <v>7</v>
      </c>
      <c r="AC667" s="2" t="s">
        <v>199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199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199</v>
      </c>
      <c r="AW667" s="8" t="s">
        <v>199</v>
      </c>
      <c r="AX667" s="4" t="s">
        <v>199</v>
      </c>
      <c r="AY667" s="8" t="s">
        <v>199</v>
      </c>
      <c r="AZ667" s="7" t="s">
        <v>199</v>
      </c>
      <c r="BA667" s="7" t="s">
        <v>199</v>
      </c>
      <c r="BB667" s="7"/>
      <c r="BC667" s="4" t="s">
        <v>199</v>
      </c>
      <c r="BD667" s="8" t="s">
        <v>199</v>
      </c>
      <c r="BE667" s="4" t="s">
        <v>199</v>
      </c>
      <c r="BF667" s="8" t="s">
        <v>199</v>
      </c>
      <c r="BG667" s="7" t="s">
        <v>199</v>
      </c>
      <c r="BH667" s="7" t="s">
        <v>199</v>
      </c>
      <c r="BI667" s="7"/>
      <c r="BJ667" s="4">
        <v>59</v>
      </c>
      <c r="BK667" s="8">
        <v>4600.69</v>
      </c>
      <c r="BL667" s="2" t="s">
        <v>3623</v>
      </c>
      <c r="BM667" s="7"/>
      <c r="BN667" s="7"/>
      <c r="BO667" s="4"/>
      <c r="BP667" s="8"/>
      <c r="BQ667" s="4"/>
      <c r="BR667" s="8"/>
      <c r="BS667" s="7"/>
      <c r="BT667" s="7"/>
      <c r="BU667" s="2" t="s">
        <v>3616</v>
      </c>
      <c r="BV667" s="2" t="s">
        <v>199</v>
      </c>
      <c r="BW667" s="2" t="s">
        <v>199</v>
      </c>
      <c r="BX667" s="2" t="s">
        <v>208</v>
      </c>
      <c r="BY667" s="2" t="s">
        <v>209</v>
      </c>
      <c r="BZ667" s="2" t="s">
        <v>196</v>
      </c>
      <c r="CA667" s="2" t="s">
        <v>365</v>
      </c>
      <c r="CB667" s="2" t="s">
        <v>199</v>
      </c>
      <c r="CC667" s="2" t="s">
        <v>212</v>
      </c>
      <c r="CD667" s="2" t="s">
        <v>199</v>
      </c>
      <c r="CE667" s="4">
        <v>360</v>
      </c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>
        <v>361</v>
      </c>
      <c r="EU667" s="4">
        <v>351</v>
      </c>
      <c r="EV667" s="4">
        <v>344</v>
      </c>
      <c r="EW667" s="4">
        <v>340</v>
      </c>
      <c r="EX667" s="4">
        <v>336</v>
      </c>
      <c r="EY667" s="4">
        <v>334</v>
      </c>
      <c r="EZ667" s="4">
        <v>332</v>
      </c>
      <c r="FA667" s="4">
        <v>329</v>
      </c>
      <c r="FB667" s="4">
        <v>327</v>
      </c>
      <c r="FC667" s="4">
        <v>325</v>
      </c>
      <c r="FD667" s="4">
        <v>323</v>
      </c>
      <c r="FE667" s="4">
        <v>321</v>
      </c>
      <c r="FF667" s="4">
        <v>319</v>
      </c>
      <c r="FG667" s="4">
        <v>318</v>
      </c>
      <c r="FH667" s="4">
        <v>317</v>
      </c>
      <c r="FI667" s="4">
        <v>316</v>
      </c>
      <c r="FJ667" s="4">
        <v>315</v>
      </c>
      <c r="FK667" s="4">
        <v>314</v>
      </c>
      <c r="FL667" s="4">
        <v>313</v>
      </c>
      <c r="FM667" s="4">
        <v>312</v>
      </c>
      <c r="FN667" s="4">
        <v>311</v>
      </c>
      <c r="FO667" s="4">
        <v>310</v>
      </c>
      <c r="FP667" s="4">
        <v>309</v>
      </c>
      <c r="FQ667" s="4">
        <v>308</v>
      </c>
      <c r="FR667" s="4">
        <v>307</v>
      </c>
      <c r="FS667" s="4">
        <v>306</v>
      </c>
      <c r="FT667" s="19">
        <v>60.2</v>
      </c>
      <c r="FU667" s="19">
        <v>87.8</v>
      </c>
      <c r="FV667" s="19">
        <v>114.7</v>
      </c>
      <c r="FW667" s="19">
        <v>113.3</v>
      </c>
      <c r="FX667" s="19">
        <v>168</v>
      </c>
      <c r="FY667" s="19">
        <v>167</v>
      </c>
      <c r="FZ667" s="19">
        <v>166</v>
      </c>
      <c r="GA667" s="19">
        <v>164.5</v>
      </c>
      <c r="GB667" s="19">
        <v>163.5</v>
      </c>
      <c r="GC667" s="19">
        <v>162.5</v>
      </c>
      <c r="GD667" s="19">
        <v>161.5</v>
      </c>
      <c r="GE667" s="19">
        <v>321</v>
      </c>
      <c r="GF667" s="19">
        <v>319</v>
      </c>
      <c r="GG667" s="19">
        <v>318</v>
      </c>
      <c r="GH667" s="19">
        <v>317</v>
      </c>
      <c r="GI667" s="19">
        <v>316</v>
      </c>
      <c r="GJ667" s="19">
        <v>315</v>
      </c>
      <c r="GK667" s="19">
        <v>314</v>
      </c>
      <c r="GL667" s="19">
        <v>313</v>
      </c>
      <c r="GM667" s="19">
        <v>312</v>
      </c>
      <c r="GN667" s="19">
        <v>311</v>
      </c>
      <c r="GO667" s="19">
        <v>310</v>
      </c>
      <c r="GP667" s="19">
        <v>309</v>
      </c>
      <c r="GQ667" s="19">
        <v>308</v>
      </c>
      <c r="GR667" s="19">
        <v>307</v>
      </c>
      <c r="GS667" s="19">
        <v>306</v>
      </c>
    </row>
    <row r="668">
      <c r="A668" s="2" t="s">
        <v>3624</v>
      </c>
      <c r="B668" s="2" t="s">
        <v>1019</v>
      </c>
      <c r="C668" s="2" t="s">
        <v>1625</v>
      </c>
      <c r="D668" s="2" t="s">
        <v>1973</v>
      </c>
      <c r="E668" s="2" t="s">
        <v>1974</v>
      </c>
      <c r="F668" s="2" t="s">
        <v>3614</v>
      </c>
      <c r="G668" s="2" t="s">
        <v>3614</v>
      </c>
      <c r="H668" s="2" t="s">
        <v>3614</v>
      </c>
      <c r="I668" s="2" t="s">
        <v>1976</v>
      </c>
      <c r="J668" s="2" t="s">
        <v>223</v>
      </c>
      <c r="K668" s="2" t="s">
        <v>1104</v>
      </c>
      <c r="L668" s="3">
        <v>78.57</v>
      </c>
      <c r="M668" s="3">
        <v>82.5</v>
      </c>
      <c r="N668" s="3">
        <v>164.99</v>
      </c>
      <c r="O668" s="2" t="s">
        <v>196</v>
      </c>
      <c r="P668" s="2" t="s">
        <v>197</v>
      </c>
      <c r="Q668" s="2" t="s">
        <v>198</v>
      </c>
      <c r="R668" s="2" t="s">
        <v>199</v>
      </c>
      <c r="S668" s="2" t="s">
        <v>3619</v>
      </c>
      <c r="T668" s="2" t="s">
        <v>1027</v>
      </c>
      <c r="U668" s="2" t="s">
        <v>280</v>
      </c>
      <c r="V668" s="2" t="s">
        <v>202</v>
      </c>
      <c r="W668" s="2" t="s">
        <v>203</v>
      </c>
      <c r="X668" s="2" t="s">
        <v>1014</v>
      </c>
      <c r="Y668" s="2" t="s">
        <v>3620</v>
      </c>
      <c r="Z668" s="4">
        <v>138</v>
      </c>
      <c r="AA668" s="4">
        <f>=ROUNDDOWN(19.7142857142857,0)</f>
      </c>
      <c r="AB668" s="5">
        <v>7</v>
      </c>
      <c r="AC668" s="2" t="s">
        <v>199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199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199</v>
      </c>
      <c r="AW668" s="8" t="s">
        <v>199</v>
      </c>
      <c r="AX668" s="4" t="s">
        <v>199</v>
      </c>
      <c r="AY668" s="8" t="s">
        <v>199</v>
      </c>
      <c r="AZ668" s="7" t="s">
        <v>199</v>
      </c>
      <c r="BA668" s="7" t="s">
        <v>199</v>
      </c>
      <c r="BB668" s="7"/>
      <c r="BC668" s="4" t="s">
        <v>199</v>
      </c>
      <c r="BD668" s="8" t="s">
        <v>199</v>
      </c>
      <c r="BE668" s="4" t="s">
        <v>199</v>
      </c>
      <c r="BF668" s="8" t="s">
        <v>199</v>
      </c>
      <c r="BG668" s="7" t="s">
        <v>199</v>
      </c>
      <c r="BH668" s="7" t="s">
        <v>199</v>
      </c>
      <c r="BI668" s="7"/>
      <c r="BJ668" s="4">
        <v>35</v>
      </c>
      <c r="BK668" s="8">
        <v>3086.26</v>
      </c>
      <c r="BL668" s="2" t="s">
        <v>2351</v>
      </c>
      <c r="BM668" s="7"/>
      <c r="BN668" s="7"/>
      <c r="BO668" s="4"/>
      <c r="BP668" s="8"/>
      <c r="BQ668" s="4"/>
      <c r="BR668" s="8"/>
      <c r="BS668" s="7"/>
      <c r="BT668" s="7"/>
      <c r="BU668" s="2" t="s">
        <v>3616</v>
      </c>
      <c r="BV668" s="2" t="s">
        <v>199</v>
      </c>
      <c r="BW668" s="2" t="s">
        <v>199</v>
      </c>
      <c r="BX668" s="2" t="s">
        <v>208</v>
      </c>
      <c r="BY668" s="2" t="s">
        <v>209</v>
      </c>
      <c r="BZ668" s="2" t="s">
        <v>196</v>
      </c>
      <c r="CA668" s="2" t="s">
        <v>365</v>
      </c>
      <c r="CB668" s="2" t="s">
        <v>3625</v>
      </c>
      <c r="CC668" s="2" t="s">
        <v>212</v>
      </c>
      <c r="CD668" s="2" t="s">
        <v>199</v>
      </c>
      <c r="CE668" s="4">
        <v>138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>
        <v>138</v>
      </c>
      <c r="EU668" s="4">
        <v>134</v>
      </c>
      <c r="EV668" s="4">
        <v>129</v>
      </c>
      <c r="EW668" s="4">
        <v>125</v>
      </c>
      <c r="EX668" s="4">
        <v>121</v>
      </c>
      <c r="EY668" s="4">
        <v>117</v>
      </c>
      <c r="EZ668" s="4">
        <v>114</v>
      </c>
      <c r="FA668" s="4">
        <v>109</v>
      </c>
      <c r="FB668" s="4">
        <v>105</v>
      </c>
      <c r="FC668" s="4">
        <v>104</v>
      </c>
      <c r="FD668" s="4">
        <v>102</v>
      </c>
      <c r="FE668" s="4">
        <v>99</v>
      </c>
      <c r="FF668" s="4">
        <v>97</v>
      </c>
      <c r="FG668" s="4">
        <v>95</v>
      </c>
      <c r="FH668" s="4">
        <v>94</v>
      </c>
      <c r="FI668" s="4">
        <v>91</v>
      </c>
      <c r="FJ668" s="4">
        <v>90</v>
      </c>
      <c r="FK668" s="4">
        <v>89</v>
      </c>
      <c r="FL668" s="4">
        <v>88</v>
      </c>
      <c r="FM668" s="4">
        <v>87</v>
      </c>
      <c r="FN668" s="4">
        <v>86</v>
      </c>
      <c r="FO668" s="4">
        <v>85</v>
      </c>
      <c r="FP668" s="4">
        <v>84</v>
      </c>
      <c r="FQ668" s="4">
        <v>83</v>
      </c>
      <c r="FR668" s="4">
        <v>82</v>
      </c>
      <c r="FS668" s="4">
        <v>81</v>
      </c>
      <c r="FT668" s="19">
        <v>34.5</v>
      </c>
      <c r="FU668" s="19">
        <v>33.5</v>
      </c>
      <c r="FV668" s="19">
        <v>32.3</v>
      </c>
      <c r="FW668" s="19">
        <v>31.3</v>
      </c>
      <c r="FX668" s="19">
        <v>30.3</v>
      </c>
      <c r="FY668" s="19">
        <v>39</v>
      </c>
      <c r="FZ668" s="19">
        <v>38</v>
      </c>
      <c r="GA668" s="19">
        <v>54.5</v>
      </c>
      <c r="GB668" s="19">
        <v>52.5</v>
      </c>
      <c r="GC668" s="19">
        <v>52</v>
      </c>
      <c r="GD668" s="19">
        <v>51</v>
      </c>
      <c r="GE668" s="19">
        <v>49.5</v>
      </c>
      <c r="GF668" s="19">
        <v>48.5</v>
      </c>
      <c r="GG668" s="19">
        <v>47.5</v>
      </c>
      <c r="GH668" s="19">
        <v>47</v>
      </c>
      <c r="GI668" s="19">
        <v>91</v>
      </c>
      <c r="GJ668" s="19">
        <v>90</v>
      </c>
      <c r="GK668" s="19">
        <v>89</v>
      </c>
      <c r="GL668" s="19">
        <v>88</v>
      </c>
      <c r="GM668" s="19">
        <v>87</v>
      </c>
      <c r="GN668" s="19">
        <v>86</v>
      </c>
      <c r="GO668" s="19">
        <v>85</v>
      </c>
      <c r="GP668" s="19">
        <v>84</v>
      </c>
      <c r="GQ668" s="19">
        <v>83</v>
      </c>
      <c r="GR668" s="19">
        <v>82</v>
      </c>
      <c r="GS668" s="19">
        <v>81</v>
      </c>
    </row>
    <row r="669">
      <c r="A669" s="2" t="s">
        <v>3626</v>
      </c>
      <c r="B669" s="2" t="s">
        <v>1019</v>
      </c>
      <c r="C669" s="2" t="s">
        <v>1625</v>
      </c>
      <c r="D669" s="2" t="s">
        <v>1973</v>
      </c>
      <c r="E669" s="2" t="s">
        <v>1974</v>
      </c>
      <c r="F669" s="2" t="s">
        <v>3614</v>
      </c>
      <c r="G669" s="2" t="s">
        <v>3614</v>
      </c>
      <c r="H669" s="2" t="s">
        <v>3614</v>
      </c>
      <c r="I669" s="2" t="s">
        <v>1976</v>
      </c>
      <c r="J669" s="2" t="s">
        <v>194</v>
      </c>
      <c r="K669" s="2" t="s">
        <v>371</v>
      </c>
      <c r="L669" s="3">
        <v>45.23</v>
      </c>
      <c r="M669" s="3">
        <v>47.49</v>
      </c>
      <c r="N669" s="3">
        <v>94.99</v>
      </c>
      <c r="O669" s="2" t="s">
        <v>196</v>
      </c>
      <c r="P669" s="2" t="s">
        <v>197</v>
      </c>
      <c r="Q669" s="2" t="s">
        <v>198</v>
      </c>
      <c r="R669" s="2" t="s">
        <v>199</v>
      </c>
      <c r="S669" s="2" t="s">
        <v>3627</v>
      </c>
      <c r="T669" s="2" t="s">
        <v>1027</v>
      </c>
      <c r="U669" s="2" t="s">
        <v>280</v>
      </c>
      <c r="V669" s="2" t="s">
        <v>202</v>
      </c>
      <c r="W669" s="2" t="s">
        <v>203</v>
      </c>
      <c r="X669" s="2" t="s">
        <v>1014</v>
      </c>
      <c r="Y669" s="2" t="s">
        <v>3620</v>
      </c>
      <c r="Z669" s="4">
        <v>302</v>
      </c>
      <c r="AA669" s="4">
        <f>=ROUNDDOWN(30.2,0)</f>
      </c>
      <c r="AB669" s="5">
        <v>10</v>
      </c>
      <c r="AC669" s="2" t="s">
        <v>199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199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199</v>
      </c>
      <c r="BD669" s="8" t="s">
        <v>199</v>
      </c>
      <c r="BE669" s="4" t="s">
        <v>199</v>
      </c>
      <c r="BF669" s="8" t="s">
        <v>199</v>
      </c>
      <c r="BG669" s="7" t="s">
        <v>199</v>
      </c>
      <c r="BH669" s="7" t="s">
        <v>199</v>
      </c>
      <c r="BI669" s="7"/>
      <c r="BJ669" s="4">
        <v>94</v>
      </c>
      <c r="BK669" s="8">
        <v>4812.04</v>
      </c>
      <c r="BL669" s="2" t="s">
        <v>3628</v>
      </c>
      <c r="BM669" s="7"/>
      <c r="BN669" s="7"/>
      <c r="BO669" s="4"/>
      <c r="BP669" s="8"/>
      <c r="BQ669" s="4"/>
      <c r="BR669" s="8"/>
      <c r="BS669" s="7"/>
      <c r="BT669" s="7"/>
      <c r="BU669" s="2" t="s">
        <v>3616</v>
      </c>
      <c r="BV669" s="2" t="s">
        <v>199</v>
      </c>
      <c r="BW669" s="2" t="s">
        <v>199</v>
      </c>
      <c r="BX669" s="2" t="s">
        <v>208</v>
      </c>
      <c r="BY669" s="2" t="s">
        <v>209</v>
      </c>
      <c r="BZ669" s="2" t="s">
        <v>196</v>
      </c>
      <c r="CA669" s="2" t="s">
        <v>365</v>
      </c>
      <c r="CB669" s="2" t="s">
        <v>1005</v>
      </c>
      <c r="CC669" s="2" t="s">
        <v>212</v>
      </c>
      <c r="CD669" s="2" t="s">
        <v>199</v>
      </c>
      <c r="CE669" s="4">
        <v>225</v>
      </c>
      <c r="CF669" s="4">
        <v>77</v>
      </c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>
        <v>225</v>
      </c>
      <c r="EU669" s="4">
        <v>210</v>
      </c>
      <c r="EV669" s="4">
        <v>202</v>
      </c>
      <c r="EW669" s="4">
        <v>195</v>
      </c>
      <c r="EX669" s="4">
        <v>189</v>
      </c>
      <c r="EY669" s="4">
        <v>183</v>
      </c>
      <c r="EZ669" s="4">
        <v>177</v>
      </c>
      <c r="FA669" s="4">
        <v>171</v>
      </c>
      <c r="FB669" s="4">
        <v>164</v>
      </c>
      <c r="FC669" s="4">
        <v>161</v>
      </c>
      <c r="FD669" s="4">
        <v>156</v>
      </c>
      <c r="FE669" s="4">
        <v>151</v>
      </c>
      <c r="FF669" s="4">
        <v>147</v>
      </c>
      <c r="FG669" s="4">
        <v>144</v>
      </c>
      <c r="FH669" s="4">
        <v>142</v>
      </c>
      <c r="FI669" s="4">
        <v>140</v>
      </c>
      <c r="FJ669" s="4">
        <v>138</v>
      </c>
      <c r="FK669" s="4">
        <v>136</v>
      </c>
      <c r="FL669" s="4">
        <v>133</v>
      </c>
      <c r="FM669" s="4">
        <v>129</v>
      </c>
      <c r="FN669" s="4">
        <v>126</v>
      </c>
      <c r="FO669" s="4">
        <v>124</v>
      </c>
      <c r="FP669" s="4">
        <v>121</v>
      </c>
      <c r="FQ669" s="4">
        <v>183</v>
      </c>
      <c r="FR669" s="4">
        <v>181</v>
      </c>
      <c r="FS669" s="4">
        <v>179</v>
      </c>
      <c r="FT669" s="19">
        <v>25</v>
      </c>
      <c r="FU669" s="19">
        <v>30</v>
      </c>
      <c r="FV669" s="19">
        <v>33.7</v>
      </c>
      <c r="FW669" s="19">
        <v>32.5</v>
      </c>
      <c r="FX669" s="19">
        <v>31.5</v>
      </c>
      <c r="FY669" s="19">
        <v>30.5</v>
      </c>
      <c r="FZ669" s="19">
        <v>35.4</v>
      </c>
      <c r="GA669" s="19">
        <v>34.2</v>
      </c>
      <c r="GB669" s="19">
        <v>41</v>
      </c>
      <c r="GC669" s="19">
        <v>40.3</v>
      </c>
      <c r="GD669" s="19">
        <v>39</v>
      </c>
      <c r="GE669" s="19">
        <v>50.3</v>
      </c>
      <c r="GF669" s="19">
        <v>73.5</v>
      </c>
      <c r="GG669" s="19">
        <v>72</v>
      </c>
      <c r="GH669" s="19">
        <v>71</v>
      </c>
      <c r="GI669" s="19">
        <v>46.7</v>
      </c>
      <c r="GJ669" s="19">
        <v>46</v>
      </c>
      <c r="GK669" s="19">
        <v>45.3</v>
      </c>
      <c r="GL669" s="19">
        <v>44.3</v>
      </c>
      <c r="GM669" s="19">
        <v>64.5</v>
      </c>
      <c r="GN669" s="19">
        <v>63</v>
      </c>
      <c r="GO669" s="19">
        <v>62</v>
      </c>
      <c r="GP669" s="19">
        <v>60.5</v>
      </c>
      <c r="GQ669" s="19">
        <v>91.5</v>
      </c>
      <c r="GR669" s="19">
        <v>90.5</v>
      </c>
      <c r="GS669" s="19">
        <v>89.5</v>
      </c>
    </row>
    <row r="670">
      <c r="A670" s="2" t="s">
        <v>3629</v>
      </c>
      <c r="B670" s="2" t="s">
        <v>1019</v>
      </c>
      <c r="C670" s="2" t="s">
        <v>1625</v>
      </c>
      <c r="D670" s="2" t="s">
        <v>1973</v>
      </c>
      <c r="E670" s="2" t="s">
        <v>1974</v>
      </c>
      <c r="F670" s="2" t="s">
        <v>3614</v>
      </c>
      <c r="G670" s="2" t="s">
        <v>3614</v>
      </c>
      <c r="H670" s="2" t="s">
        <v>3614</v>
      </c>
      <c r="I670" s="2" t="s">
        <v>1976</v>
      </c>
      <c r="J670" s="2" t="s">
        <v>285</v>
      </c>
      <c r="K670" s="2" t="s">
        <v>252</v>
      </c>
      <c r="L670" s="3">
        <v>50</v>
      </c>
      <c r="M670" s="3">
        <v>52.5</v>
      </c>
      <c r="N670" s="3">
        <v>104.99</v>
      </c>
      <c r="O670" s="2" t="s">
        <v>196</v>
      </c>
      <c r="P670" s="2" t="s">
        <v>197</v>
      </c>
      <c r="Q670" s="2" t="s">
        <v>198</v>
      </c>
      <c r="R670" s="2" t="s">
        <v>199</v>
      </c>
      <c r="S670" s="2" t="s">
        <v>3630</v>
      </c>
      <c r="T670" s="2" t="s">
        <v>1027</v>
      </c>
      <c r="U670" s="2" t="s">
        <v>280</v>
      </c>
      <c r="V670" s="2" t="s">
        <v>202</v>
      </c>
      <c r="W670" s="2" t="s">
        <v>203</v>
      </c>
      <c r="X670" s="2" t="s">
        <v>1014</v>
      </c>
      <c r="Y670" s="2" t="s">
        <v>1059</v>
      </c>
      <c r="Z670" s="4">
        <v>258</v>
      </c>
      <c r="AA670" s="4">
        <f>=ROUNDDOWN(25.8,0)</f>
      </c>
      <c r="AB670" s="5">
        <v>10</v>
      </c>
      <c r="AC670" s="2" t="s">
        <v>199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199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199</v>
      </c>
      <c r="AW670" s="8" t="s">
        <v>199</v>
      </c>
      <c r="AX670" s="4" t="s">
        <v>199</v>
      </c>
      <c r="AY670" s="8" t="s">
        <v>199</v>
      </c>
      <c r="AZ670" s="7" t="s">
        <v>199</v>
      </c>
      <c r="BA670" s="7" t="s">
        <v>199</v>
      </c>
      <c r="BB670" s="7"/>
      <c r="BC670" s="4" t="s">
        <v>199</v>
      </c>
      <c r="BD670" s="8" t="s">
        <v>199</v>
      </c>
      <c r="BE670" s="4" t="s">
        <v>199</v>
      </c>
      <c r="BF670" s="8" t="s">
        <v>199</v>
      </c>
      <c r="BG670" s="7" t="s">
        <v>199</v>
      </c>
      <c r="BH670" s="7" t="s">
        <v>199</v>
      </c>
      <c r="BI670" s="7"/>
      <c r="BJ670" s="4">
        <v>95</v>
      </c>
      <c r="BK670" s="8">
        <v>5352.54</v>
      </c>
      <c r="BL670" s="2" t="s">
        <v>3030</v>
      </c>
      <c r="BM670" s="7"/>
      <c r="BN670" s="7"/>
      <c r="BO670" s="4"/>
      <c r="BP670" s="8"/>
      <c r="BQ670" s="4"/>
      <c r="BR670" s="8"/>
      <c r="BS670" s="7"/>
      <c r="BT670" s="7"/>
      <c r="BU670" s="2" t="s">
        <v>3616</v>
      </c>
      <c r="BV670" s="2" t="s">
        <v>199</v>
      </c>
      <c r="BW670" s="2" t="s">
        <v>199</v>
      </c>
      <c r="BX670" s="2" t="s">
        <v>208</v>
      </c>
      <c r="BY670" s="2" t="s">
        <v>209</v>
      </c>
      <c r="BZ670" s="2" t="s">
        <v>196</v>
      </c>
      <c r="CA670" s="2" t="s">
        <v>365</v>
      </c>
      <c r="CB670" s="2" t="s">
        <v>1032</v>
      </c>
      <c r="CC670" s="2" t="s">
        <v>212</v>
      </c>
      <c r="CD670" s="2" t="s">
        <v>199</v>
      </c>
      <c r="CE670" s="4">
        <v>258</v>
      </c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>
        <v>261</v>
      </c>
      <c r="EU670" s="4">
        <v>243</v>
      </c>
      <c r="EV670" s="4">
        <v>231</v>
      </c>
      <c r="EW670" s="4">
        <v>222</v>
      </c>
      <c r="EX670" s="4">
        <v>214</v>
      </c>
      <c r="EY670" s="4">
        <v>206</v>
      </c>
      <c r="EZ670" s="4">
        <v>199</v>
      </c>
      <c r="FA670" s="4">
        <v>193</v>
      </c>
      <c r="FB670" s="4">
        <v>182</v>
      </c>
      <c r="FC670" s="4">
        <v>178</v>
      </c>
      <c r="FD670" s="4">
        <v>173</v>
      </c>
      <c r="FE670" s="4">
        <v>167</v>
      </c>
      <c r="FF670" s="4">
        <v>164</v>
      </c>
      <c r="FG670" s="4">
        <v>161</v>
      </c>
      <c r="FH670" s="4">
        <v>158</v>
      </c>
      <c r="FI670" s="4">
        <v>156</v>
      </c>
      <c r="FJ670" s="4">
        <v>154</v>
      </c>
      <c r="FK670" s="4">
        <v>151</v>
      </c>
      <c r="FL670" s="4">
        <v>149</v>
      </c>
      <c r="FM670" s="4">
        <v>147</v>
      </c>
      <c r="FN670" s="4">
        <v>145</v>
      </c>
      <c r="FO670" s="4">
        <v>143</v>
      </c>
      <c r="FP670" s="4">
        <v>141</v>
      </c>
      <c r="FQ670" s="4">
        <v>139</v>
      </c>
      <c r="FR670" s="4">
        <v>136</v>
      </c>
      <c r="FS670" s="4">
        <v>133</v>
      </c>
      <c r="FT670" s="19">
        <v>21.8</v>
      </c>
      <c r="FU670" s="19">
        <v>27</v>
      </c>
      <c r="FV670" s="19">
        <v>28.9</v>
      </c>
      <c r="FW670" s="19">
        <v>31.7</v>
      </c>
      <c r="FX670" s="19">
        <v>26.8</v>
      </c>
      <c r="FY670" s="19">
        <v>29.4</v>
      </c>
      <c r="FZ670" s="19">
        <v>33.2</v>
      </c>
      <c r="GA670" s="19">
        <v>32.2</v>
      </c>
      <c r="GB670" s="19">
        <v>45.5</v>
      </c>
      <c r="GC670" s="19">
        <v>44.5</v>
      </c>
      <c r="GD670" s="19">
        <v>43.3</v>
      </c>
      <c r="GE670" s="19">
        <v>55.7</v>
      </c>
      <c r="GF670" s="19">
        <v>82</v>
      </c>
      <c r="GG670" s="19">
        <v>80.5</v>
      </c>
      <c r="GH670" s="19">
        <v>79</v>
      </c>
      <c r="GI670" s="19">
        <v>78</v>
      </c>
      <c r="GJ670" s="19">
        <v>77</v>
      </c>
      <c r="GK670" s="19">
        <v>75.5</v>
      </c>
      <c r="GL670" s="19">
        <v>74.5</v>
      </c>
      <c r="GM670" s="19">
        <v>73.5</v>
      </c>
      <c r="GN670" s="19">
        <v>72.5</v>
      </c>
      <c r="GO670" s="19">
        <v>71.5</v>
      </c>
      <c r="GP670" s="19">
        <v>70.5</v>
      </c>
      <c r="GQ670" s="19">
        <v>69.5</v>
      </c>
      <c r="GR670" s="19">
        <v>68</v>
      </c>
      <c r="GS670" s="19">
        <v>66.5</v>
      </c>
    </row>
    <row r="671">
      <c r="A671" s="2" t="s">
        <v>3631</v>
      </c>
      <c r="B671" s="2" t="s">
        <v>1019</v>
      </c>
      <c r="C671" s="2" t="s">
        <v>1625</v>
      </c>
      <c r="D671" s="2" t="s">
        <v>1973</v>
      </c>
      <c r="E671" s="2" t="s">
        <v>1974</v>
      </c>
      <c r="F671" s="2" t="s">
        <v>3614</v>
      </c>
      <c r="G671" s="2" t="s">
        <v>3614</v>
      </c>
      <c r="H671" s="2" t="s">
        <v>3614</v>
      </c>
      <c r="I671" s="2" t="s">
        <v>1976</v>
      </c>
      <c r="J671" s="2" t="s">
        <v>219</v>
      </c>
      <c r="K671" s="2" t="s">
        <v>252</v>
      </c>
      <c r="L671" s="3">
        <v>69.04</v>
      </c>
      <c r="M671" s="3">
        <v>72.49</v>
      </c>
      <c r="N671" s="3">
        <v>144.99</v>
      </c>
      <c r="O671" s="2" t="s">
        <v>196</v>
      </c>
      <c r="P671" s="2" t="s">
        <v>197</v>
      </c>
      <c r="Q671" s="2" t="s">
        <v>198</v>
      </c>
      <c r="R671" s="2" t="s">
        <v>199</v>
      </c>
      <c r="S671" s="2" t="s">
        <v>3630</v>
      </c>
      <c r="T671" s="2" t="s">
        <v>1027</v>
      </c>
      <c r="U671" s="2" t="s">
        <v>280</v>
      </c>
      <c r="V671" s="2" t="s">
        <v>202</v>
      </c>
      <c r="W671" s="2" t="s">
        <v>203</v>
      </c>
      <c r="X671" s="2" t="s">
        <v>1014</v>
      </c>
      <c r="Y671" s="2" t="s">
        <v>3620</v>
      </c>
      <c r="Z671" s="4">
        <v>174</v>
      </c>
      <c r="AA671" s="4">
        <f>=ROUNDDOWN(17.4,0)</f>
      </c>
      <c r="AB671" s="5">
        <v>10</v>
      </c>
      <c r="AC671" s="2" t="s">
        <v>199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199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199</v>
      </c>
      <c r="AW671" s="8" t="s">
        <v>199</v>
      </c>
      <c r="AX671" s="4" t="s">
        <v>199</v>
      </c>
      <c r="AY671" s="8" t="s">
        <v>199</v>
      </c>
      <c r="AZ671" s="7" t="s">
        <v>199</v>
      </c>
      <c r="BA671" s="7" t="s">
        <v>199</v>
      </c>
      <c r="BB671" s="7"/>
      <c r="BC671" s="4" t="s">
        <v>199</v>
      </c>
      <c r="BD671" s="8" t="s">
        <v>199</v>
      </c>
      <c r="BE671" s="4" t="s">
        <v>199</v>
      </c>
      <c r="BF671" s="8" t="s">
        <v>199</v>
      </c>
      <c r="BG671" s="7" t="s">
        <v>199</v>
      </c>
      <c r="BH671" s="7" t="s">
        <v>199</v>
      </c>
      <c r="BI671" s="7"/>
      <c r="BJ671" s="4">
        <v>111</v>
      </c>
      <c r="BK671" s="8">
        <v>8632.71</v>
      </c>
      <c r="BL671" s="2" t="s">
        <v>779</v>
      </c>
      <c r="BM671" s="7"/>
      <c r="BN671" s="7"/>
      <c r="BO671" s="4"/>
      <c r="BP671" s="8"/>
      <c r="BQ671" s="4"/>
      <c r="BR671" s="8"/>
      <c r="BS671" s="7"/>
      <c r="BT671" s="7"/>
      <c r="BU671" s="2" t="s">
        <v>3616</v>
      </c>
      <c r="BV671" s="2" t="s">
        <v>199</v>
      </c>
      <c r="BW671" s="2" t="s">
        <v>199</v>
      </c>
      <c r="BX671" s="2" t="s">
        <v>208</v>
      </c>
      <c r="BY671" s="2" t="s">
        <v>209</v>
      </c>
      <c r="BZ671" s="2" t="s">
        <v>196</v>
      </c>
      <c r="CA671" s="2" t="s">
        <v>365</v>
      </c>
      <c r="CB671" s="2" t="s">
        <v>2532</v>
      </c>
      <c r="CC671" s="2" t="s">
        <v>212</v>
      </c>
      <c r="CD671" s="2" t="s">
        <v>199</v>
      </c>
      <c r="CE671" s="4">
        <v>120</v>
      </c>
      <c r="CF671" s="4">
        <v>54</v>
      </c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>
        <v>126</v>
      </c>
      <c r="EU671" s="4">
        <v>110</v>
      </c>
      <c r="EV671" s="4">
        <v>99</v>
      </c>
      <c r="EW671" s="4">
        <v>92</v>
      </c>
      <c r="EX671" s="4">
        <v>86</v>
      </c>
      <c r="EY671" s="4">
        <v>82</v>
      </c>
      <c r="EZ671" s="4">
        <v>78</v>
      </c>
      <c r="FA671" s="4">
        <v>73</v>
      </c>
      <c r="FB671" s="4">
        <v>69</v>
      </c>
      <c r="FC671" s="4">
        <v>66</v>
      </c>
      <c r="FD671" s="4">
        <v>62</v>
      </c>
      <c r="FE671" s="4">
        <v>59</v>
      </c>
      <c r="FF671" s="4">
        <v>56</v>
      </c>
      <c r="FG671" s="4">
        <v>54</v>
      </c>
      <c r="FH671" s="4">
        <v>52</v>
      </c>
      <c r="FI671" s="4">
        <v>50</v>
      </c>
      <c r="FJ671" s="4">
        <v>49</v>
      </c>
      <c r="FK671" s="4">
        <v>47</v>
      </c>
      <c r="FL671" s="4">
        <v>46</v>
      </c>
      <c r="FM671" s="4">
        <v>44</v>
      </c>
      <c r="FN671" s="4">
        <v>42</v>
      </c>
      <c r="FO671" s="4">
        <v>41</v>
      </c>
      <c r="FP671" s="4">
        <v>40</v>
      </c>
      <c r="FQ671" s="4">
        <v>38</v>
      </c>
      <c r="FR671" s="4">
        <v>36</v>
      </c>
      <c r="FS671" s="4">
        <v>34</v>
      </c>
      <c r="FT671" s="19">
        <v>12.6</v>
      </c>
      <c r="FU671" s="19">
        <v>15.7</v>
      </c>
      <c r="FV671" s="19">
        <v>19.8</v>
      </c>
      <c r="FW671" s="19">
        <v>18.4</v>
      </c>
      <c r="FX671" s="19">
        <v>21.5</v>
      </c>
      <c r="FY671" s="19">
        <v>20.5</v>
      </c>
      <c r="FZ671" s="19">
        <v>19.5</v>
      </c>
      <c r="GA671" s="19">
        <v>18.3</v>
      </c>
      <c r="GB671" s="19">
        <v>23</v>
      </c>
      <c r="GC671" s="19">
        <v>22</v>
      </c>
      <c r="GD671" s="19">
        <v>31</v>
      </c>
      <c r="GE671" s="19">
        <v>29.5</v>
      </c>
      <c r="GF671" s="19">
        <v>28</v>
      </c>
      <c r="GG671" s="19">
        <v>27</v>
      </c>
      <c r="GH671" s="19">
        <v>26</v>
      </c>
      <c r="GI671" s="19">
        <v>25</v>
      </c>
      <c r="GJ671" s="19">
        <v>24.5</v>
      </c>
      <c r="GK671" s="19">
        <v>23.5</v>
      </c>
      <c r="GL671" s="19">
        <v>23</v>
      </c>
      <c r="GM671" s="19">
        <v>22</v>
      </c>
      <c r="GN671" s="19">
        <v>21</v>
      </c>
      <c r="GO671" s="19">
        <v>20.5</v>
      </c>
      <c r="GP671" s="19">
        <v>20</v>
      </c>
      <c r="GQ671" s="19">
        <v>19</v>
      </c>
      <c r="GR671" s="19">
        <v>18</v>
      </c>
      <c r="GS671" s="19">
        <v>17</v>
      </c>
    </row>
    <row r="672">
      <c r="A672" s="2" t="s">
        <v>3632</v>
      </c>
      <c r="B672" s="2" t="s">
        <v>188</v>
      </c>
      <c r="C672" s="2" t="s">
        <v>2672</v>
      </c>
      <c r="D672" s="2" t="s">
        <v>228</v>
      </c>
      <c r="E672" s="2" t="s">
        <v>229</v>
      </c>
      <c r="F672" s="2" t="s">
        <v>3633</v>
      </c>
      <c r="G672" s="2" t="s">
        <v>3633</v>
      </c>
      <c r="H672" s="2" t="s">
        <v>3633</v>
      </c>
      <c r="I672" s="2" t="s">
        <v>3634</v>
      </c>
      <c r="J672" s="2" t="s">
        <v>232</v>
      </c>
      <c r="K672" s="2" t="s">
        <v>233</v>
      </c>
      <c r="L672" s="3">
        <v>51.99</v>
      </c>
      <c r="M672" s="3">
        <v>54.59</v>
      </c>
      <c r="N672" s="3">
        <v>139.99</v>
      </c>
      <c r="O672" s="2" t="s">
        <v>196</v>
      </c>
      <c r="P672" s="2" t="s">
        <v>197</v>
      </c>
      <c r="Q672" s="2" t="s">
        <v>198</v>
      </c>
      <c r="R672" s="2" t="s">
        <v>199</v>
      </c>
      <c r="S672" s="2" t="s">
        <v>199</v>
      </c>
      <c r="T672" s="2" t="s">
        <v>199</v>
      </c>
      <c r="U672" s="2" t="s">
        <v>280</v>
      </c>
      <c r="V672" s="2" t="s">
        <v>202</v>
      </c>
      <c r="W672" s="2" t="s">
        <v>510</v>
      </c>
      <c r="X672" s="2" t="s">
        <v>199</v>
      </c>
      <c r="Y672" s="2" t="s">
        <v>3635</v>
      </c>
      <c r="Z672" s="4">
        <v>242</v>
      </c>
      <c r="AA672" s="4">
        <f>=ROUNDDOWN(26.8888888888889,0)</f>
      </c>
      <c r="AB672" s="5">
        <v>9</v>
      </c>
      <c r="AC672" s="2" t="s">
        <v>1936</v>
      </c>
      <c r="AD672" s="4">
        <v>80</v>
      </c>
      <c r="AE672" s="4">
        <v>80</v>
      </c>
      <c r="AF672" s="6">
        <v>67</v>
      </c>
      <c r="AG672" s="6"/>
      <c r="AH672" s="7">
        <v>1</v>
      </c>
      <c r="AI672" s="4"/>
      <c r="AJ672" s="4">
        <f>=ROUNDDOWN({0},0)</f>
      </c>
      <c r="AK672" s="5"/>
      <c r="AL672" s="2" t="s">
        <v>199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199</v>
      </c>
      <c r="AW672" s="8" t="s">
        <v>199</v>
      </c>
      <c r="AX672" s="4" t="s">
        <v>199</v>
      </c>
      <c r="AY672" s="8" t="s">
        <v>199</v>
      </c>
      <c r="AZ672" s="7" t="s">
        <v>199</v>
      </c>
      <c r="BA672" s="7" t="s">
        <v>199</v>
      </c>
      <c r="BB672" s="7"/>
      <c r="BC672" s="4" t="s">
        <v>199</v>
      </c>
      <c r="BD672" s="8" t="s">
        <v>199</v>
      </c>
      <c r="BE672" s="4" t="s">
        <v>199</v>
      </c>
      <c r="BF672" s="8" t="s">
        <v>199</v>
      </c>
      <c r="BG672" s="7" t="s">
        <v>199</v>
      </c>
      <c r="BH672" s="7" t="s">
        <v>199</v>
      </c>
      <c r="BI672" s="7"/>
      <c r="BJ672" s="4">
        <v>53</v>
      </c>
      <c r="BK672" s="8">
        <v>3209.15</v>
      </c>
      <c r="BL672" s="2" t="s">
        <v>3636</v>
      </c>
      <c r="BM672" s="7"/>
      <c r="BN672" s="7"/>
      <c r="BO672" s="4"/>
      <c r="BP672" s="8"/>
      <c r="BQ672" s="4"/>
      <c r="BR672" s="8"/>
      <c r="BS672" s="7"/>
      <c r="BT672" s="7"/>
      <c r="BU672" s="2" t="s">
        <v>3637</v>
      </c>
      <c r="BV672" s="2" t="s">
        <v>199</v>
      </c>
      <c r="BW672" s="2" t="s">
        <v>199</v>
      </c>
      <c r="BX672" s="2" t="s">
        <v>208</v>
      </c>
      <c r="BY672" s="2" t="s">
        <v>209</v>
      </c>
      <c r="BZ672" s="2" t="s">
        <v>196</v>
      </c>
      <c r="CA672" s="2" t="s">
        <v>3332</v>
      </c>
      <c r="CB672" s="2" t="s">
        <v>3638</v>
      </c>
      <c r="CC672" s="2" t="s">
        <v>212</v>
      </c>
      <c r="CD672" s="2" t="s">
        <v>199</v>
      </c>
      <c r="CE672" s="4">
        <v>242</v>
      </c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>
        <v>80</v>
      </c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>
        <v>247</v>
      </c>
      <c r="EU672" s="4">
        <v>234</v>
      </c>
      <c r="EV672" s="4">
        <v>228</v>
      </c>
      <c r="EW672" s="4">
        <v>222</v>
      </c>
      <c r="EX672" s="4">
        <v>216</v>
      </c>
      <c r="EY672" s="4">
        <v>211</v>
      </c>
      <c r="EZ672" s="4">
        <v>282</v>
      </c>
      <c r="FA672" s="4">
        <v>273</v>
      </c>
      <c r="FB672" s="4">
        <v>263</v>
      </c>
      <c r="FC672" s="4">
        <v>254</v>
      </c>
      <c r="FD672" s="4">
        <v>243</v>
      </c>
      <c r="FE672" s="4">
        <v>232</v>
      </c>
      <c r="FF672" s="4">
        <v>221</v>
      </c>
      <c r="FG672" s="4">
        <v>210</v>
      </c>
      <c r="FH672" s="4">
        <v>200</v>
      </c>
      <c r="FI672" s="4">
        <v>190</v>
      </c>
      <c r="FJ672" s="4">
        <v>180</v>
      </c>
      <c r="FK672" s="4">
        <v>170</v>
      </c>
      <c r="FL672" s="4">
        <v>160</v>
      </c>
      <c r="FM672" s="4">
        <v>153</v>
      </c>
      <c r="FN672" s="4">
        <v>146</v>
      </c>
      <c r="FO672" s="4">
        <v>139</v>
      </c>
      <c r="FP672" s="4">
        <v>132</v>
      </c>
      <c r="FQ672" s="4">
        <v>123</v>
      </c>
      <c r="FR672" s="4">
        <v>114</v>
      </c>
      <c r="FS672" s="4">
        <v>105</v>
      </c>
      <c r="FT672" s="19">
        <v>30.9</v>
      </c>
      <c r="FU672" s="19">
        <v>39</v>
      </c>
      <c r="FV672" s="19">
        <v>38</v>
      </c>
      <c r="FW672" s="19">
        <v>31.7</v>
      </c>
      <c r="FX672" s="19">
        <v>27</v>
      </c>
      <c r="FY672" s="19">
        <v>23.4</v>
      </c>
      <c r="FZ672" s="19">
        <v>28.2</v>
      </c>
      <c r="GA672" s="19">
        <v>27.3</v>
      </c>
      <c r="GB672" s="19">
        <v>26.3</v>
      </c>
      <c r="GC672" s="19">
        <v>23.1</v>
      </c>
      <c r="GD672" s="19">
        <v>22.1</v>
      </c>
      <c r="GE672" s="19">
        <v>23.2</v>
      </c>
      <c r="GF672" s="19">
        <v>22.1</v>
      </c>
      <c r="GG672" s="19">
        <v>21</v>
      </c>
      <c r="GH672" s="19">
        <v>20</v>
      </c>
      <c r="GI672" s="19">
        <v>21.1</v>
      </c>
      <c r="GJ672" s="19">
        <v>22.5</v>
      </c>
      <c r="GK672" s="19">
        <v>21.3</v>
      </c>
      <c r="GL672" s="19">
        <v>22.9</v>
      </c>
      <c r="GM672" s="19">
        <v>19.1</v>
      </c>
      <c r="GN672" s="19">
        <v>18.3</v>
      </c>
      <c r="GO672" s="19">
        <v>17.4</v>
      </c>
      <c r="GP672" s="19">
        <v>14.7</v>
      </c>
      <c r="GQ672" s="19">
        <v>15.4</v>
      </c>
      <c r="GR672" s="19">
        <v>14.3</v>
      </c>
      <c r="GS672" s="19">
        <v>13.1</v>
      </c>
    </row>
    <row r="673">
      <c r="A673" s="2" t="s">
        <v>3639</v>
      </c>
      <c r="B673" s="2" t="s">
        <v>188</v>
      </c>
      <c r="C673" s="2" t="s">
        <v>2672</v>
      </c>
      <c r="D673" s="2" t="s">
        <v>190</v>
      </c>
      <c r="E673" s="2" t="s">
        <v>2265</v>
      </c>
      <c r="F673" s="2" t="s">
        <v>3633</v>
      </c>
      <c r="G673" s="2" t="s">
        <v>3633</v>
      </c>
      <c r="H673" s="2" t="s">
        <v>3633</v>
      </c>
      <c r="I673" s="2" t="s">
        <v>3640</v>
      </c>
      <c r="J673" s="2" t="s">
        <v>223</v>
      </c>
      <c r="K673" s="2" t="s">
        <v>233</v>
      </c>
      <c r="L673" s="3">
        <v>33.42</v>
      </c>
      <c r="M673" s="3">
        <v>35.09</v>
      </c>
      <c r="N673" s="3">
        <v>89.99</v>
      </c>
      <c r="O673" s="2" t="s">
        <v>196</v>
      </c>
      <c r="P673" s="2" t="s">
        <v>197</v>
      </c>
      <c r="Q673" s="2" t="s">
        <v>198</v>
      </c>
      <c r="R673" s="2" t="s">
        <v>199</v>
      </c>
      <c r="S673" s="2" t="s">
        <v>199</v>
      </c>
      <c r="T673" s="2" t="s">
        <v>199</v>
      </c>
      <c r="U673" s="2" t="s">
        <v>280</v>
      </c>
      <c r="V673" s="2" t="s">
        <v>202</v>
      </c>
      <c r="W673" s="2" t="s">
        <v>510</v>
      </c>
      <c r="X673" s="2" t="s">
        <v>199</v>
      </c>
      <c r="Y673" s="2" t="s">
        <v>3641</v>
      </c>
      <c r="Z673" s="4">
        <v>207</v>
      </c>
      <c r="AA673" s="4">
        <f>=ROUNDDOWN(18.8181818181818,0)</f>
      </c>
      <c r="AB673" s="5">
        <v>11</v>
      </c>
      <c r="AC673" s="2" t="s">
        <v>1936</v>
      </c>
      <c r="AD673" s="4">
        <v>110</v>
      </c>
      <c r="AE673" s="4">
        <v>110</v>
      </c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199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199</v>
      </c>
      <c r="AW673" s="8" t="s">
        <v>199</v>
      </c>
      <c r="AX673" s="4" t="s">
        <v>199</v>
      </c>
      <c r="AY673" s="8" t="s">
        <v>199</v>
      </c>
      <c r="AZ673" s="7" t="s">
        <v>199</v>
      </c>
      <c r="BA673" s="7" t="s">
        <v>199</v>
      </c>
      <c r="BB673" s="7"/>
      <c r="BC673" s="4" t="s">
        <v>199</v>
      </c>
      <c r="BD673" s="8" t="s">
        <v>199</v>
      </c>
      <c r="BE673" s="4" t="s">
        <v>199</v>
      </c>
      <c r="BF673" s="8" t="s">
        <v>199</v>
      </c>
      <c r="BG673" s="7" t="s">
        <v>199</v>
      </c>
      <c r="BH673" s="7" t="s">
        <v>199</v>
      </c>
      <c r="BI673" s="7"/>
      <c r="BJ673" s="4">
        <v>66</v>
      </c>
      <c r="BK673" s="8">
        <v>2528.02</v>
      </c>
      <c r="BL673" s="2" t="s">
        <v>3642</v>
      </c>
      <c r="BM673" s="7"/>
      <c r="BN673" s="7"/>
      <c r="BO673" s="4"/>
      <c r="BP673" s="8"/>
      <c r="BQ673" s="4"/>
      <c r="BR673" s="8"/>
      <c r="BS673" s="7"/>
      <c r="BT673" s="7"/>
      <c r="BU673" s="2" t="s">
        <v>3643</v>
      </c>
      <c r="BV673" s="2" t="s">
        <v>199</v>
      </c>
      <c r="BW673" s="2" t="s">
        <v>199</v>
      </c>
      <c r="BX673" s="2" t="s">
        <v>208</v>
      </c>
      <c r="BY673" s="2" t="s">
        <v>209</v>
      </c>
      <c r="BZ673" s="2" t="s">
        <v>196</v>
      </c>
      <c r="CA673" s="2" t="s">
        <v>3644</v>
      </c>
      <c r="CB673" s="2" t="s">
        <v>3645</v>
      </c>
      <c r="CC673" s="2" t="s">
        <v>212</v>
      </c>
      <c r="CD673" s="2" t="s">
        <v>199</v>
      </c>
      <c r="CE673" s="4">
        <v>207</v>
      </c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>
        <v>110</v>
      </c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>
        <v>217</v>
      </c>
      <c r="EU673" s="4">
        <v>198</v>
      </c>
      <c r="EV673" s="4">
        <v>188</v>
      </c>
      <c r="EW673" s="4">
        <v>178</v>
      </c>
      <c r="EX673" s="4">
        <v>168</v>
      </c>
      <c r="EY673" s="4">
        <v>158</v>
      </c>
      <c r="EZ673" s="4">
        <v>258</v>
      </c>
      <c r="FA673" s="4">
        <v>247</v>
      </c>
      <c r="FB673" s="4">
        <v>235</v>
      </c>
      <c r="FC673" s="4">
        <v>224</v>
      </c>
      <c r="FD673" s="4">
        <v>213</v>
      </c>
      <c r="FE673" s="4">
        <v>202</v>
      </c>
      <c r="FF673" s="4">
        <v>191</v>
      </c>
      <c r="FG673" s="4">
        <v>180</v>
      </c>
      <c r="FH673" s="4">
        <v>169</v>
      </c>
      <c r="FI673" s="4">
        <v>158</v>
      </c>
      <c r="FJ673" s="4">
        <v>147</v>
      </c>
      <c r="FK673" s="4">
        <v>136</v>
      </c>
      <c r="FL673" s="4">
        <v>125</v>
      </c>
      <c r="FM673" s="4">
        <v>114</v>
      </c>
      <c r="FN673" s="4">
        <v>103</v>
      </c>
      <c r="FO673" s="4">
        <v>92</v>
      </c>
      <c r="FP673" s="4">
        <v>80</v>
      </c>
      <c r="FQ673" s="4">
        <v>69</v>
      </c>
      <c r="FR673" s="4">
        <v>58</v>
      </c>
      <c r="FS673" s="4">
        <v>189</v>
      </c>
      <c r="FT673" s="19">
        <v>18.1</v>
      </c>
      <c r="FU673" s="19">
        <v>19.8</v>
      </c>
      <c r="FV673" s="19">
        <v>18.8</v>
      </c>
      <c r="FW673" s="19">
        <v>17.8</v>
      </c>
      <c r="FX673" s="19">
        <v>15.3</v>
      </c>
      <c r="FY673" s="19">
        <v>14.4</v>
      </c>
      <c r="FZ673" s="19">
        <v>23.5</v>
      </c>
      <c r="GA673" s="19">
        <v>22.5</v>
      </c>
      <c r="GB673" s="19">
        <v>21.4</v>
      </c>
      <c r="GC673" s="19">
        <v>20.4</v>
      </c>
      <c r="GD673" s="19">
        <v>19.4</v>
      </c>
      <c r="GE673" s="19">
        <v>18.4</v>
      </c>
      <c r="GF673" s="19">
        <v>17.4</v>
      </c>
      <c r="GG673" s="19">
        <v>16.4</v>
      </c>
      <c r="GH673" s="19">
        <v>15.4</v>
      </c>
      <c r="GI673" s="19">
        <v>14.4</v>
      </c>
      <c r="GJ673" s="19">
        <v>13.4</v>
      </c>
      <c r="GK673" s="19">
        <v>12.4</v>
      </c>
      <c r="GL673" s="19">
        <v>11.4</v>
      </c>
      <c r="GM673" s="19">
        <v>10.4</v>
      </c>
      <c r="GN673" s="19">
        <v>9.4</v>
      </c>
      <c r="GO673" s="19">
        <v>8.4</v>
      </c>
      <c r="GP673" s="19">
        <v>7.3</v>
      </c>
      <c r="GQ673" s="19">
        <v>6.3</v>
      </c>
      <c r="GR673" s="19">
        <v>5.3</v>
      </c>
      <c r="GS673" s="19">
        <v>17.2</v>
      </c>
    </row>
    <row r="674">
      <c r="A674" s="2" t="s">
        <v>3646</v>
      </c>
      <c r="B674" s="2" t="s">
        <v>245</v>
      </c>
      <c r="C674" s="2" t="s">
        <v>246</v>
      </c>
      <c r="D674" s="2" t="s">
        <v>264</v>
      </c>
      <c r="E674" s="2" t="s">
        <v>265</v>
      </c>
      <c r="F674" s="2" t="s">
        <v>3647</v>
      </c>
      <c r="G674" s="2" t="s">
        <v>3647</v>
      </c>
      <c r="H674" s="2" t="s">
        <v>3647</v>
      </c>
      <c r="I674" s="2" t="s">
        <v>3648</v>
      </c>
      <c r="J674" s="2" t="s">
        <v>223</v>
      </c>
      <c r="K674" s="2" t="s">
        <v>656</v>
      </c>
      <c r="L674" s="3">
        <v>28.56</v>
      </c>
      <c r="M674" s="3">
        <v>29.99</v>
      </c>
      <c r="N674" s="3">
        <v>67.99</v>
      </c>
      <c r="O674" s="2" t="s">
        <v>196</v>
      </c>
      <c r="P674" s="2" t="s">
        <v>197</v>
      </c>
      <c r="Q674" s="2" t="s">
        <v>198</v>
      </c>
      <c r="R674" s="2" t="s">
        <v>199</v>
      </c>
      <c r="S674" s="2" t="s">
        <v>3649</v>
      </c>
      <c r="T674" s="2" t="s">
        <v>3647</v>
      </c>
      <c r="U674" s="2" t="s">
        <v>280</v>
      </c>
      <c r="V674" s="2" t="s">
        <v>202</v>
      </c>
      <c r="W674" s="2" t="s">
        <v>255</v>
      </c>
      <c r="X674" s="2" t="s">
        <v>203</v>
      </c>
      <c r="Y674" s="2" t="s">
        <v>3650</v>
      </c>
      <c r="Z674" s="4">
        <v>354</v>
      </c>
      <c r="AA674" s="4">
        <f>=ROUNDDOWN(39.3333333333333,0)</f>
      </c>
      <c r="AB674" s="5">
        <v>9</v>
      </c>
      <c r="AC674" s="2" t="s">
        <v>199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199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199</v>
      </c>
      <c r="AW674" s="8" t="s">
        <v>199</v>
      </c>
      <c r="AX674" s="4" t="s">
        <v>199</v>
      </c>
      <c r="AY674" s="8" t="s">
        <v>199</v>
      </c>
      <c r="AZ674" s="7" t="s">
        <v>199</v>
      </c>
      <c r="BA674" s="7" t="s">
        <v>199</v>
      </c>
      <c r="BB674" s="7"/>
      <c r="BC674" s="4" t="s">
        <v>199</v>
      </c>
      <c r="BD674" s="8" t="s">
        <v>199</v>
      </c>
      <c r="BE674" s="4" t="s">
        <v>199</v>
      </c>
      <c r="BF674" s="8" t="s">
        <v>199</v>
      </c>
      <c r="BG674" s="7" t="s">
        <v>199</v>
      </c>
      <c r="BH674" s="7" t="s">
        <v>199</v>
      </c>
      <c r="BI674" s="7"/>
      <c r="BJ674" s="4">
        <v>56</v>
      </c>
      <c r="BK674" s="8">
        <v>1786.4</v>
      </c>
      <c r="BL674" s="2" t="s">
        <v>268</v>
      </c>
      <c r="BM674" s="7"/>
      <c r="BN674" s="7"/>
      <c r="BO674" s="4"/>
      <c r="BP674" s="8"/>
      <c r="BQ674" s="4"/>
      <c r="BR674" s="8"/>
      <c r="BS674" s="7"/>
      <c r="BT674" s="7"/>
      <c r="BU674" s="2" t="s">
        <v>3651</v>
      </c>
      <c r="BV674" s="2" t="s">
        <v>199</v>
      </c>
      <c r="BW674" s="2" t="s">
        <v>199</v>
      </c>
      <c r="BX674" s="2" t="s">
        <v>208</v>
      </c>
      <c r="BY674" s="2" t="s">
        <v>209</v>
      </c>
      <c r="BZ674" s="2" t="s">
        <v>196</v>
      </c>
      <c r="CA674" s="2" t="s">
        <v>1431</v>
      </c>
      <c r="CB674" s="2" t="s">
        <v>3652</v>
      </c>
      <c r="CC674" s="2" t="s">
        <v>212</v>
      </c>
      <c r="CD674" s="2" t="s">
        <v>199</v>
      </c>
      <c r="CE674" s="4">
        <v>354</v>
      </c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>
        <v>357</v>
      </c>
      <c r="EU674" s="4">
        <v>346</v>
      </c>
      <c r="EV674" s="4">
        <v>337</v>
      </c>
      <c r="EW674" s="4">
        <v>328</v>
      </c>
      <c r="EX674" s="4">
        <v>319</v>
      </c>
      <c r="EY674" s="4">
        <v>310</v>
      </c>
      <c r="EZ674" s="4">
        <v>301</v>
      </c>
      <c r="FA674" s="4">
        <v>292</v>
      </c>
      <c r="FB674" s="4">
        <v>281</v>
      </c>
      <c r="FC674" s="4">
        <v>272</v>
      </c>
      <c r="FD674" s="4">
        <v>263</v>
      </c>
      <c r="FE674" s="4">
        <v>254</v>
      </c>
      <c r="FF674" s="4">
        <v>245</v>
      </c>
      <c r="FG674" s="4">
        <v>236</v>
      </c>
      <c r="FH674" s="4">
        <v>227</v>
      </c>
      <c r="FI674" s="4">
        <v>218</v>
      </c>
      <c r="FJ674" s="4">
        <v>209</v>
      </c>
      <c r="FK674" s="4">
        <v>200</v>
      </c>
      <c r="FL674" s="4">
        <v>191</v>
      </c>
      <c r="FM674" s="4">
        <v>182</v>
      </c>
      <c r="FN674" s="4">
        <v>173</v>
      </c>
      <c r="FO674" s="4">
        <v>164</v>
      </c>
      <c r="FP674" s="4">
        <v>153</v>
      </c>
      <c r="FQ674" s="4">
        <v>144</v>
      </c>
      <c r="FR674" s="4">
        <v>135</v>
      </c>
      <c r="FS674" s="4">
        <v>126</v>
      </c>
      <c r="FT674" s="19">
        <v>35.7</v>
      </c>
      <c r="FU674" s="19">
        <v>38.4</v>
      </c>
      <c r="FV674" s="19">
        <v>37.4</v>
      </c>
      <c r="FW674" s="19">
        <v>36.4</v>
      </c>
      <c r="FX674" s="19">
        <v>31.9</v>
      </c>
      <c r="FY674" s="19">
        <v>31</v>
      </c>
      <c r="FZ674" s="19">
        <v>30.1</v>
      </c>
      <c r="GA674" s="19">
        <v>29.2</v>
      </c>
      <c r="GB674" s="19">
        <v>31.2</v>
      </c>
      <c r="GC674" s="19">
        <v>30.2</v>
      </c>
      <c r="GD674" s="19">
        <v>29.2</v>
      </c>
      <c r="GE674" s="19">
        <v>28.2</v>
      </c>
      <c r="GF674" s="19">
        <v>27.2</v>
      </c>
      <c r="GG674" s="19">
        <v>26.2</v>
      </c>
      <c r="GH674" s="19">
        <v>25.2</v>
      </c>
      <c r="GI674" s="19">
        <v>24.2</v>
      </c>
      <c r="GJ674" s="19">
        <v>23.2</v>
      </c>
      <c r="GK674" s="19">
        <v>22.2</v>
      </c>
      <c r="GL674" s="19">
        <v>19.1</v>
      </c>
      <c r="GM674" s="19">
        <v>18.2</v>
      </c>
      <c r="GN674" s="19">
        <v>17.3</v>
      </c>
      <c r="GO674" s="19">
        <v>16.4</v>
      </c>
      <c r="GP674" s="19">
        <v>17</v>
      </c>
      <c r="GQ674" s="19">
        <v>16</v>
      </c>
      <c r="GR674" s="19">
        <v>15</v>
      </c>
      <c r="GS674" s="19">
        <v>14</v>
      </c>
    </row>
    <row r="675">
      <c r="A675" s="2" t="s">
        <v>3653</v>
      </c>
      <c r="B675" s="2" t="s">
        <v>245</v>
      </c>
      <c r="C675" s="2" t="s">
        <v>246</v>
      </c>
      <c r="D675" s="2" t="s">
        <v>264</v>
      </c>
      <c r="E675" s="2" t="s">
        <v>265</v>
      </c>
      <c r="F675" s="2" t="s">
        <v>3647</v>
      </c>
      <c r="G675" s="2" t="s">
        <v>3647</v>
      </c>
      <c r="H675" s="2" t="s">
        <v>3647</v>
      </c>
      <c r="I675" s="2" t="s">
        <v>3648</v>
      </c>
      <c r="J675" s="2" t="s">
        <v>2681</v>
      </c>
      <c r="K675" s="2" t="s">
        <v>656</v>
      </c>
      <c r="L675" s="3">
        <v>22.26</v>
      </c>
      <c r="M675" s="3">
        <v>23.37</v>
      </c>
      <c r="N675" s="3">
        <v>52.99</v>
      </c>
      <c r="O675" s="2" t="s">
        <v>196</v>
      </c>
      <c r="P675" s="2" t="s">
        <v>197</v>
      </c>
      <c r="Q675" s="2" t="s">
        <v>198</v>
      </c>
      <c r="R675" s="2" t="s">
        <v>199</v>
      </c>
      <c r="S675" s="2" t="s">
        <v>3649</v>
      </c>
      <c r="T675" s="2" t="s">
        <v>3647</v>
      </c>
      <c r="U675" s="2" t="s">
        <v>280</v>
      </c>
      <c r="V675" s="2" t="s">
        <v>202</v>
      </c>
      <c r="W675" s="2" t="s">
        <v>255</v>
      </c>
      <c r="X675" s="2" t="s">
        <v>203</v>
      </c>
      <c r="Y675" s="2" t="s">
        <v>3654</v>
      </c>
      <c r="Z675" s="4">
        <v>511</v>
      </c>
      <c r="AA675" s="4">
        <f>=ROUNDDOWN(51.6161616161616,0)</f>
      </c>
      <c r="AB675" s="5">
        <v>9.9</v>
      </c>
      <c r="AC675" s="2" t="s">
        <v>199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199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 t="s">
        <v>199</v>
      </c>
      <c r="AW675" s="8" t="s">
        <v>199</v>
      </c>
      <c r="AX675" s="4" t="s">
        <v>199</v>
      </c>
      <c r="AY675" s="8" t="s">
        <v>199</v>
      </c>
      <c r="AZ675" s="7" t="s">
        <v>199</v>
      </c>
      <c r="BA675" s="7" t="s">
        <v>199</v>
      </c>
      <c r="BB675" s="7"/>
      <c r="BC675" s="4" t="s">
        <v>199</v>
      </c>
      <c r="BD675" s="8" t="s">
        <v>199</v>
      </c>
      <c r="BE675" s="4" t="s">
        <v>199</v>
      </c>
      <c r="BF675" s="8" t="s">
        <v>199</v>
      </c>
      <c r="BG675" s="7" t="s">
        <v>199</v>
      </c>
      <c r="BH675" s="7" t="s">
        <v>199</v>
      </c>
      <c r="BI675" s="7"/>
      <c r="BJ675" s="4">
        <v>170</v>
      </c>
      <c r="BK675" s="8">
        <v>4161.08</v>
      </c>
      <c r="BL675" s="2" t="s">
        <v>1600</v>
      </c>
      <c r="BM675" s="7"/>
      <c r="BN675" s="7"/>
      <c r="BO675" s="4"/>
      <c r="BP675" s="8"/>
      <c r="BQ675" s="4"/>
      <c r="BR675" s="8"/>
      <c r="BS675" s="7"/>
      <c r="BT675" s="7"/>
      <c r="BU675" s="2" t="s">
        <v>3651</v>
      </c>
      <c r="BV675" s="2" t="s">
        <v>199</v>
      </c>
      <c r="BW675" s="2" t="s">
        <v>199</v>
      </c>
      <c r="BX675" s="2" t="s">
        <v>208</v>
      </c>
      <c r="BY675" s="2" t="s">
        <v>209</v>
      </c>
      <c r="BZ675" s="2" t="s">
        <v>196</v>
      </c>
      <c r="CA675" s="2" t="s">
        <v>1431</v>
      </c>
      <c r="CB675" s="2" t="s">
        <v>3655</v>
      </c>
      <c r="CC675" s="2" t="s">
        <v>212</v>
      </c>
      <c r="CD675" s="2" t="s">
        <v>199</v>
      </c>
      <c r="CE675" s="4">
        <v>508</v>
      </c>
      <c r="CF675" s="4">
        <v>3</v>
      </c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>
        <v>514</v>
      </c>
      <c r="EU675" s="4">
        <v>500</v>
      </c>
      <c r="EV675" s="4">
        <v>490</v>
      </c>
      <c r="EW675" s="4">
        <v>480</v>
      </c>
      <c r="EX675" s="4">
        <v>470</v>
      </c>
      <c r="EY675" s="4">
        <v>460</v>
      </c>
      <c r="EZ675" s="4">
        <v>450</v>
      </c>
      <c r="FA675" s="4">
        <v>440</v>
      </c>
      <c r="FB675" s="4">
        <v>428</v>
      </c>
      <c r="FC675" s="4">
        <v>418</v>
      </c>
      <c r="FD675" s="4">
        <v>408</v>
      </c>
      <c r="FE675" s="4">
        <v>398</v>
      </c>
      <c r="FF675" s="4">
        <v>388</v>
      </c>
      <c r="FG675" s="4">
        <v>378</v>
      </c>
      <c r="FH675" s="4">
        <v>368</v>
      </c>
      <c r="FI675" s="4">
        <v>358</v>
      </c>
      <c r="FJ675" s="4">
        <v>348</v>
      </c>
      <c r="FK675" s="4">
        <v>338</v>
      </c>
      <c r="FL675" s="4">
        <v>328</v>
      </c>
      <c r="FM675" s="4">
        <v>318</v>
      </c>
      <c r="FN675" s="4">
        <v>308</v>
      </c>
      <c r="FO675" s="4">
        <v>298</v>
      </c>
      <c r="FP675" s="4">
        <v>286</v>
      </c>
      <c r="FQ675" s="4">
        <v>276</v>
      </c>
      <c r="FR675" s="4">
        <v>266</v>
      </c>
      <c r="FS675" s="4">
        <v>256</v>
      </c>
      <c r="FT675" s="19">
        <v>46.7</v>
      </c>
      <c r="FU675" s="19">
        <v>50</v>
      </c>
      <c r="FV675" s="19">
        <v>49</v>
      </c>
      <c r="FW675" s="19">
        <v>48</v>
      </c>
      <c r="FX675" s="19">
        <v>47</v>
      </c>
      <c r="FY675" s="19">
        <v>46</v>
      </c>
      <c r="FZ675" s="19">
        <v>45</v>
      </c>
      <c r="GA675" s="19">
        <v>44</v>
      </c>
      <c r="GB675" s="19">
        <v>42.8</v>
      </c>
      <c r="GC675" s="19">
        <v>41.8</v>
      </c>
      <c r="GD675" s="19">
        <v>40.8</v>
      </c>
      <c r="GE675" s="19">
        <v>39.8</v>
      </c>
      <c r="GF675" s="19">
        <v>38.8</v>
      </c>
      <c r="GG675" s="19">
        <v>37.8</v>
      </c>
      <c r="GH675" s="19">
        <v>36.8</v>
      </c>
      <c r="GI675" s="19">
        <v>35.8</v>
      </c>
      <c r="GJ675" s="19">
        <v>34.8</v>
      </c>
      <c r="GK675" s="19">
        <v>33.8</v>
      </c>
      <c r="GL675" s="19">
        <v>32.8</v>
      </c>
      <c r="GM675" s="19">
        <v>31.8</v>
      </c>
      <c r="GN675" s="19">
        <v>30.8</v>
      </c>
      <c r="GO675" s="19">
        <v>29.8</v>
      </c>
      <c r="GP675" s="19">
        <v>28.6</v>
      </c>
      <c r="GQ675" s="19">
        <v>27.6</v>
      </c>
      <c r="GR675" s="19">
        <v>26.6</v>
      </c>
      <c r="GS675" s="19">
        <v>25.6</v>
      </c>
    </row>
    <row r="676">
      <c r="A676" s="2" t="s">
        <v>3656</v>
      </c>
      <c r="B676" s="2" t="s">
        <v>245</v>
      </c>
      <c r="C676" s="2" t="s">
        <v>189</v>
      </c>
      <c r="D676" s="2" t="s">
        <v>247</v>
      </c>
      <c r="E676" s="2" t="s">
        <v>248</v>
      </c>
      <c r="F676" s="2" t="s">
        <v>3657</v>
      </c>
      <c r="G676" s="2" t="s">
        <v>3657</v>
      </c>
      <c r="H676" s="2" t="s">
        <v>3657</v>
      </c>
      <c r="I676" s="2" t="s">
        <v>297</v>
      </c>
      <c r="J676" s="2" t="s">
        <v>194</v>
      </c>
      <c r="K676" s="2" t="s">
        <v>360</v>
      </c>
      <c r="L676" s="3">
        <v>16.5</v>
      </c>
      <c r="M676" s="3">
        <v>17.32</v>
      </c>
      <c r="N676" s="3">
        <v>32.99</v>
      </c>
      <c r="O676" s="2" t="s">
        <v>196</v>
      </c>
      <c r="P676" s="2" t="s">
        <v>197</v>
      </c>
      <c r="Q676" s="2" t="s">
        <v>198</v>
      </c>
      <c r="R676" s="2" t="s">
        <v>199</v>
      </c>
      <c r="S676" s="2" t="s">
        <v>3658</v>
      </c>
      <c r="T676" s="2" t="s">
        <v>3659</v>
      </c>
      <c r="U676" s="2" t="s">
        <v>199</v>
      </c>
      <c r="V676" s="2" t="s">
        <v>202</v>
      </c>
      <c r="W676" s="2" t="s">
        <v>203</v>
      </c>
      <c r="X676" s="2" t="s">
        <v>199</v>
      </c>
      <c r="Y676" s="2" t="s">
        <v>3571</v>
      </c>
      <c r="Z676" s="4">
        <v>124</v>
      </c>
      <c r="AA676" s="4">
        <f>=ROUNDDOWN(41.3333333333333,0)</f>
      </c>
      <c r="AB676" s="5"/>
      <c r="AC676" s="2" t="s">
        <v>398</v>
      </c>
      <c r="AD676" s="4">
        <v>40</v>
      </c>
      <c r="AE676" s="4">
        <v>40</v>
      </c>
      <c r="AF676" s="6">
        <v>66</v>
      </c>
      <c r="AG676" s="6"/>
      <c r="AH676" s="7">
        <v>1</v>
      </c>
      <c r="AI676" s="4"/>
      <c r="AJ676" s="4">
        <f>=ROUNDDOWN({0},0)</f>
      </c>
      <c r="AK676" s="5"/>
      <c r="AL676" s="2" t="s">
        <v>199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 t="s">
        <v>199</v>
      </c>
      <c r="AW676" s="8" t="s">
        <v>199</v>
      </c>
      <c r="AX676" s="4" t="s">
        <v>199</v>
      </c>
      <c r="AY676" s="8" t="s">
        <v>199</v>
      </c>
      <c r="AZ676" s="7" t="s">
        <v>199</v>
      </c>
      <c r="BA676" s="7" t="s">
        <v>199</v>
      </c>
      <c r="BB676" s="7"/>
      <c r="BC676" s="4" t="s">
        <v>199</v>
      </c>
      <c r="BD676" s="8" t="s">
        <v>199</v>
      </c>
      <c r="BE676" s="4" t="s">
        <v>199</v>
      </c>
      <c r="BF676" s="8" t="s">
        <v>199</v>
      </c>
      <c r="BG676" s="7" t="s">
        <v>199</v>
      </c>
      <c r="BH676" s="7" t="s">
        <v>199</v>
      </c>
      <c r="BI676" s="7"/>
      <c r="BJ676" s="4">
        <v>11</v>
      </c>
      <c r="BK676" s="8">
        <v>186.18</v>
      </c>
      <c r="BL676" s="2" t="s">
        <v>3660</v>
      </c>
      <c r="BM676" s="7"/>
      <c r="BN676" s="7"/>
      <c r="BO676" s="4"/>
      <c r="BP676" s="8"/>
      <c r="BQ676" s="4"/>
      <c r="BR676" s="8"/>
      <c r="BS676" s="7"/>
      <c r="BT676" s="7"/>
      <c r="BU676" s="2" t="s">
        <v>3661</v>
      </c>
      <c r="BV676" s="2" t="s">
        <v>199</v>
      </c>
      <c r="BW676" s="2" t="s">
        <v>199</v>
      </c>
      <c r="BX676" s="2" t="s">
        <v>208</v>
      </c>
      <c r="BY676" s="2" t="s">
        <v>209</v>
      </c>
      <c r="BZ676" s="2" t="s">
        <v>196</v>
      </c>
      <c r="CA676" s="2" t="s">
        <v>3662</v>
      </c>
      <c r="CB676" s="2" t="s">
        <v>3515</v>
      </c>
      <c r="CC676" s="2" t="s">
        <v>212</v>
      </c>
      <c r="CD676" s="2" t="s">
        <v>199</v>
      </c>
      <c r="CE676" s="4">
        <v>124</v>
      </c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>
        <v>40</v>
      </c>
      <c r="ER676" s="4"/>
      <c r="ES676" s="4"/>
      <c r="ET676" s="4">
        <v>124</v>
      </c>
      <c r="EU676" s="4">
        <v>121</v>
      </c>
      <c r="EV676" s="4">
        <v>118</v>
      </c>
      <c r="EW676" s="4">
        <v>115</v>
      </c>
      <c r="EX676" s="4">
        <v>112</v>
      </c>
      <c r="EY676" s="4">
        <v>109</v>
      </c>
      <c r="EZ676" s="4">
        <v>106</v>
      </c>
      <c r="FA676" s="4">
        <v>103</v>
      </c>
      <c r="FB676" s="4">
        <v>99</v>
      </c>
      <c r="FC676" s="4">
        <v>96</v>
      </c>
      <c r="FD676" s="4">
        <v>93</v>
      </c>
      <c r="FE676" s="4">
        <v>90</v>
      </c>
      <c r="FF676" s="4">
        <v>87</v>
      </c>
      <c r="FG676" s="4">
        <v>84</v>
      </c>
      <c r="FH676" s="4">
        <v>81</v>
      </c>
      <c r="FI676" s="4">
        <v>78</v>
      </c>
      <c r="FJ676" s="4">
        <v>75</v>
      </c>
      <c r="FK676" s="4">
        <v>72</v>
      </c>
      <c r="FL676" s="4">
        <v>69</v>
      </c>
      <c r="FM676" s="4">
        <v>106</v>
      </c>
      <c r="FN676" s="4">
        <v>103</v>
      </c>
      <c r="FO676" s="4">
        <v>99</v>
      </c>
      <c r="FP676" s="4">
        <v>95</v>
      </c>
      <c r="FQ676" s="4">
        <v>91</v>
      </c>
      <c r="FR676" s="4">
        <v>87</v>
      </c>
      <c r="FS676" s="4">
        <v>83</v>
      </c>
      <c r="FT676" s="19">
        <v>41.3</v>
      </c>
      <c r="FU676" s="19">
        <v>40.3</v>
      </c>
      <c r="FV676" s="19">
        <v>39.3</v>
      </c>
      <c r="FW676" s="19">
        <v>38.3</v>
      </c>
      <c r="FX676" s="19">
        <v>37.3</v>
      </c>
      <c r="FY676" s="19">
        <v>36.3</v>
      </c>
      <c r="FZ676" s="19">
        <v>35.3</v>
      </c>
      <c r="GA676" s="19">
        <v>34.3</v>
      </c>
      <c r="GB676" s="19">
        <v>33</v>
      </c>
      <c r="GC676" s="19">
        <v>32</v>
      </c>
      <c r="GD676" s="19">
        <v>31</v>
      </c>
      <c r="GE676" s="19">
        <v>30</v>
      </c>
      <c r="GF676" s="19">
        <v>29</v>
      </c>
      <c r="GG676" s="19">
        <v>28</v>
      </c>
      <c r="GH676" s="19">
        <v>27</v>
      </c>
      <c r="GI676" s="19">
        <v>26</v>
      </c>
      <c r="GJ676" s="19">
        <v>25</v>
      </c>
      <c r="GK676" s="19">
        <v>24</v>
      </c>
      <c r="GL676" s="19">
        <v>17.3</v>
      </c>
      <c r="GM676" s="19">
        <v>26.5</v>
      </c>
      <c r="GN676" s="19">
        <v>25.8</v>
      </c>
      <c r="GO676" s="19">
        <v>24.8</v>
      </c>
      <c r="GP676" s="19">
        <v>23.8</v>
      </c>
      <c r="GQ676" s="19">
        <v>22.8</v>
      </c>
      <c r="GR676" s="19">
        <v>21.8</v>
      </c>
      <c r="GS676" s="19">
        <v>20.8</v>
      </c>
    </row>
    <row r="677">
      <c r="A677" s="2" t="s">
        <v>3663</v>
      </c>
      <c r="B677" s="2" t="s">
        <v>245</v>
      </c>
      <c r="C677" s="2" t="s">
        <v>189</v>
      </c>
      <c r="D677" s="2" t="s">
        <v>247</v>
      </c>
      <c r="E677" s="2" t="s">
        <v>248</v>
      </c>
      <c r="F677" s="2" t="s">
        <v>3657</v>
      </c>
      <c r="G677" s="2" t="s">
        <v>3657</v>
      </c>
      <c r="H677" s="2" t="s">
        <v>3657</v>
      </c>
      <c r="I677" s="2" t="s">
        <v>297</v>
      </c>
      <c r="J677" s="2" t="s">
        <v>285</v>
      </c>
      <c r="K677" s="2" t="s">
        <v>360</v>
      </c>
      <c r="L677" s="3">
        <v>16.5</v>
      </c>
      <c r="M677" s="3">
        <v>17.32</v>
      </c>
      <c r="N677" s="3">
        <v>32.99</v>
      </c>
      <c r="O677" s="2" t="s">
        <v>196</v>
      </c>
      <c r="P677" s="2" t="s">
        <v>841</v>
      </c>
      <c r="Q677" s="2" t="s">
        <v>198</v>
      </c>
      <c r="R677" s="2" t="s">
        <v>199</v>
      </c>
      <c r="S677" s="2" t="s">
        <v>3658</v>
      </c>
      <c r="T677" s="2" t="s">
        <v>3659</v>
      </c>
      <c r="U677" s="2" t="s">
        <v>199</v>
      </c>
      <c r="V677" s="2" t="s">
        <v>202</v>
      </c>
      <c r="W677" s="2" t="s">
        <v>203</v>
      </c>
      <c r="X677" s="2" t="s">
        <v>199</v>
      </c>
      <c r="Y677" s="2" t="s">
        <v>3571</v>
      </c>
      <c r="Z677" s="4">
        <v>334</v>
      </c>
      <c r="AA677" s="4">
        <f>=ROUNDDOWN(66.8,0)</f>
      </c>
      <c r="AB677" s="5">
        <v>5</v>
      </c>
      <c r="AC677" s="2" t="s">
        <v>199</v>
      </c>
      <c r="AD677" s="4"/>
      <c r="AE677" s="4"/>
      <c r="AF677" s="6">
        <v>66</v>
      </c>
      <c r="AG677" s="6"/>
      <c r="AH677" s="7">
        <v>1</v>
      </c>
      <c r="AI677" s="4"/>
      <c r="AJ677" s="4">
        <f>=ROUNDDOWN({0},0)</f>
      </c>
      <c r="AK677" s="5"/>
      <c r="AL677" s="2" t="s">
        <v>199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199</v>
      </c>
      <c r="AW677" s="8" t="s">
        <v>199</v>
      </c>
      <c r="AX677" s="4" t="s">
        <v>199</v>
      </c>
      <c r="AY677" s="8" t="s">
        <v>199</v>
      </c>
      <c r="AZ677" s="7" t="s">
        <v>199</v>
      </c>
      <c r="BA677" s="7" t="s">
        <v>199</v>
      </c>
      <c r="BB677" s="7"/>
      <c r="BC677" s="4" t="s">
        <v>199</v>
      </c>
      <c r="BD677" s="8" t="s">
        <v>199</v>
      </c>
      <c r="BE677" s="4" t="s">
        <v>199</v>
      </c>
      <c r="BF677" s="8" t="s">
        <v>199</v>
      </c>
      <c r="BG677" s="7" t="s">
        <v>199</v>
      </c>
      <c r="BH677" s="7" t="s">
        <v>199</v>
      </c>
      <c r="BI677" s="7"/>
      <c r="BJ677" s="4">
        <v>10</v>
      </c>
      <c r="BK677" s="8">
        <v>170.89</v>
      </c>
      <c r="BL677" s="2" t="s">
        <v>1937</v>
      </c>
      <c r="BM677" s="7"/>
      <c r="BN677" s="7"/>
      <c r="BO677" s="4"/>
      <c r="BP677" s="8"/>
      <c r="BQ677" s="4"/>
      <c r="BR677" s="8"/>
      <c r="BS677" s="7"/>
      <c r="BT677" s="7"/>
      <c r="BU677" s="2" t="s">
        <v>3661</v>
      </c>
      <c r="BV677" s="2" t="s">
        <v>199</v>
      </c>
      <c r="BW677" s="2" t="s">
        <v>199</v>
      </c>
      <c r="BX677" s="2" t="s">
        <v>208</v>
      </c>
      <c r="BY677" s="2" t="s">
        <v>209</v>
      </c>
      <c r="BZ677" s="2" t="s">
        <v>196</v>
      </c>
      <c r="CA677" s="2" t="s">
        <v>3662</v>
      </c>
      <c r="CB677" s="2" t="s">
        <v>3664</v>
      </c>
      <c r="CC677" s="2" t="s">
        <v>212</v>
      </c>
      <c r="CD677" s="2" t="s">
        <v>199</v>
      </c>
      <c r="CE677" s="4">
        <v>334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>
        <v>334</v>
      </c>
      <c r="EU677" s="4">
        <v>329</v>
      </c>
      <c r="EV677" s="4">
        <v>324</v>
      </c>
      <c r="EW677" s="4">
        <v>319</v>
      </c>
      <c r="EX677" s="4">
        <v>314</v>
      </c>
      <c r="EY677" s="4">
        <v>309</v>
      </c>
      <c r="EZ677" s="4">
        <v>304</v>
      </c>
      <c r="FA677" s="4">
        <v>299</v>
      </c>
      <c r="FB677" s="4">
        <v>293</v>
      </c>
      <c r="FC677" s="4">
        <v>288</v>
      </c>
      <c r="FD677" s="4">
        <v>283</v>
      </c>
      <c r="FE677" s="4">
        <v>278</v>
      </c>
      <c r="FF677" s="4">
        <v>273</v>
      </c>
      <c r="FG677" s="4">
        <v>268</v>
      </c>
      <c r="FH677" s="4">
        <v>263</v>
      </c>
      <c r="FI677" s="4">
        <v>258</v>
      </c>
      <c r="FJ677" s="4">
        <v>253</v>
      </c>
      <c r="FK677" s="4">
        <v>248</v>
      </c>
      <c r="FL677" s="4">
        <v>243</v>
      </c>
      <c r="FM677" s="4">
        <v>238</v>
      </c>
      <c r="FN677" s="4">
        <v>233</v>
      </c>
      <c r="FO677" s="4">
        <v>228</v>
      </c>
      <c r="FP677" s="4">
        <v>222</v>
      </c>
      <c r="FQ677" s="4">
        <v>217</v>
      </c>
      <c r="FR677" s="4">
        <v>212</v>
      </c>
      <c r="FS677" s="4">
        <v>207</v>
      </c>
      <c r="FT677" s="19">
        <v>66.8</v>
      </c>
      <c r="FU677" s="19">
        <v>65.8</v>
      </c>
      <c r="FV677" s="19">
        <v>64.8</v>
      </c>
      <c r="FW677" s="19">
        <v>63.8</v>
      </c>
      <c r="FX677" s="19">
        <v>62.8</v>
      </c>
      <c r="FY677" s="19">
        <v>61.8</v>
      </c>
      <c r="FZ677" s="19">
        <v>60.8</v>
      </c>
      <c r="GA677" s="19">
        <v>59.8</v>
      </c>
      <c r="GB677" s="19">
        <v>58.6</v>
      </c>
      <c r="GC677" s="19">
        <v>57.6</v>
      </c>
      <c r="GD677" s="19">
        <v>56.6</v>
      </c>
      <c r="GE677" s="19">
        <v>55.6</v>
      </c>
      <c r="GF677" s="19">
        <v>54.6</v>
      </c>
      <c r="GG677" s="19">
        <v>53.6</v>
      </c>
      <c r="GH677" s="19">
        <v>52.6</v>
      </c>
      <c r="GI677" s="19">
        <v>51.6</v>
      </c>
      <c r="GJ677" s="19">
        <v>50.6</v>
      </c>
      <c r="GK677" s="19">
        <v>49.6</v>
      </c>
      <c r="GL677" s="19">
        <v>48.6</v>
      </c>
      <c r="GM677" s="19">
        <v>47.6</v>
      </c>
      <c r="GN677" s="19">
        <v>46.6</v>
      </c>
      <c r="GO677" s="19">
        <v>45.6</v>
      </c>
      <c r="GP677" s="19">
        <v>37</v>
      </c>
      <c r="GQ677" s="19">
        <v>36.2</v>
      </c>
      <c r="GR677" s="19">
        <v>35.3</v>
      </c>
      <c r="GS677" s="19">
        <v>29.6</v>
      </c>
    </row>
    <row r="678">
      <c r="A678" s="2" t="s">
        <v>3665</v>
      </c>
      <c r="B678" s="2" t="s">
        <v>245</v>
      </c>
      <c r="C678" s="2" t="s">
        <v>189</v>
      </c>
      <c r="D678" s="2" t="s">
        <v>247</v>
      </c>
      <c r="E678" s="2" t="s">
        <v>248</v>
      </c>
      <c r="F678" s="2" t="s">
        <v>3657</v>
      </c>
      <c r="G678" s="2" t="s">
        <v>3657</v>
      </c>
      <c r="H678" s="2" t="s">
        <v>3657</v>
      </c>
      <c r="I678" s="2" t="s">
        <v>297</v>
      </c>
      <c r="J678" s="2" t="s">
        <v>219</v>
      </c>
      <c r="K678" s="2" t="s">
        <v>360</v>
      </c>
      <c r="L678" s="3">
        <v>19</v>
      </c>
      <c r="M678" s="3">
        <v>19.95</v>
      </c>
      <c r="N678" s="3">
        <v>37.99</v>
      </c>
      <c r="O678" s="2" t="s">
        <v>196</v>
      </c>
      <c r="P678" s="2" t="s">
        <v>197</v>
      </c>
      <c r="Q678" s="2" t="s">
        <v>198</v>
      </c>
      <c r="R678" s="2" t="s">
        <v>199</v>
      </c>
      <c r="S678" s="2" t="s">
        <v>3658</v>
      </c>
      <c r="T678" s="2" t="s">
        <v>3659</v>
      </c>
      <c r="U678" s="2" t="s">
        <v>199</v>
      </c>
      <c r="V678" s="2" t="s">
        <v>202</v>
      </c>
      <c r="W678" s="2" t="s">
        <v>203</v>
      </c>
      <c r="X678" s="2" t="s">
        <v>199</v>
      </c>
      <c r="Y678" s="2" t="s">
        <v>3571</v>
      </c>
      <c r="Z678" s="4">
        <v>301</v>
      </c>
      <c r="AA678" s="4">
        <f>=ROUNDDOWN(25.0833333333333,0)</f>
      </c>
      <c r="AB678" s="5">
        <v>12</v>
      </c>
      <c r="AC678" s="2" t="s">
        <v>398</v>
      </c>
      <c r="AD678" s="4">
        <v>240</v>
      </c>
      <c r="AE678" s="4">
        <v>240</v>
      </c>
      <c r="AF678" s="6">
        <v>66</v>
      </c>
      <c r="AG678" s="6"/>
      <c r="AH678" s="7">
        <v>1</v>
      </c>
      <c r="AI678" s="4"/>
      <c r="AJ678" s="4">
        <f>=ROUNDDOWN({0},0)</f>
      </c>
      <c r="AK678" s="5"/>
      <c r="AL678" s="2" t="s">
        <v>199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199</v>
      </c>
      <c r="AW678" s="8" t="s">
        <v>199</v>
      </c>
      <c r="AX678" s="4" t="s">
        <v>199</v>
      </c>
      <c r="AY678" s="8" t="s">
        <v>199</v>
      </c>
      <c r="AZ678" s="7" t="s">
        <v>199</v>
      </c>
      <c r="BA678" s="7" t="s">
        <v>199</v>
      </c>
      <c r="BB678" s="7"/>
      <c r="BC678" s="4" t="s">
        <v>199</v>
      </c>
      <c r="BD678" s="8" t="s">
        <v>199</v>
      </c>
      <c r="BE678" s="4" t="s">
        <v>199</v>
      </c>
      <c r="BF678" s="8" t="s">
        <v>199</v>
      </c>
      <c r="BG678" s="7" t="s">
        <v>199</v>
      </c>
      <c r="BH678" s="7" t="s">
        <v>199</v>
      </c>
      <c r="BI678" s="7"/>
      <c r="BJ678" s="4">
        <v>58</v>
      </c>
      <c r="BK678" s="8">
        <v>1193.14</v>
      </c>
      <c r="BL678" s="2" t="s">
        <v>3666</v>
      </c>
      <c r="BM678" s="7"/>
      <c r="BN678" s="7"/>
      <c r="BO678" s="4"/>
      <c r="BP678" s="8"/>
      <c r="BQ678" s="4"/>
      <c r="BR678" s="8"/>
      <c r="BS678" s="7"/>
      <c r="BT678" s="7"/>
      <c r="BU678" s="2" t="s">
        <v>3661</v>
      </c>
      <c r="BV678" s="2" t="s">
        <v>199</v>
      </c>
      <c r="BW678" s="2" t="s">
        <v>199</v>
      </c>
      <c r="BX678" s="2" t="s">
        <v>208</v>
      </c>
      <c r="BY678" s="2" t="s">
        <v>209</v>
      </c>
      <c r="BZ678" s="2" t="s">
        <v>196</v>
      </c>
      <c r="CA678" s="2" t="s">
        <v>3662</v>
      </c>
      <c r="CB678" s="2" t="s">
        <v>643</v>
      </c>
      <c r="CC678" s="2" t="s">
        <v>212</v>
      </c>
      <c r="CD678" s="2" t="s">
        <v>199</v>
      </c>
      <c r="CE678" s="4">
        <v>301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>
        <v>240</v>
      </c>
      <c r="ER678" s="4"/>
      <c r="ES678" s="4"/>
      <c r="ET678" s="4">
        <v>304</v>
      </c>
      <c r="EU678" s="4">
        <v>289</v>
      </c>
      <c r="EV678" s="4">
        <v>277</v>
      </c>
      <c r="EW678" s="4">
        <v>265</v>
      </c>
      <c r="EX678" s="4">
        <v>253</v>
      </c>
      <c r="EY678" s="4">
        <v>241</v>
      </c>
      <c r="EZ678" s="4">
        <v>229</v>
      </c>
      <c r="FA678" s="4">
        <v>217</v>
      </c>
      <c r="FB678" s="4">
        <v>203</v>
      </c>
      <c r="FC678" s="4">
        <v>191</v>
      </c>
      <c r="FD678" s="4">
        <v>179</v>
      </c>
      <c r="FE678" s="4">
        <v>167</v>
      </c>
      <c r="FF678" s="4">
        <v>155</v>
      </c>
      <c r="FG678" s="4">
        <v>143</v>
      </c>
      <c r="FH678" s="4">
        <v>131</v>
      </c>
      <c r="FI678" s="4">
        <v>119</v>
      </c>
      <c r="FJ678" s="4">
        <v>107</v>
      </c>
      <c r="FK678" s="4">
        <v>95</v>
      </c>
      <c r="FL678" s="4">
        <v>83</v>
      </c>
      <c r="FM678" s="4">
        <v>311</v>
      </c>
      <c r="FN678" s="4">
        <v>299</v>
      </c>
      <c r="FO678" s="4">
        <v>287</v>
      </c>
      <c r="FP678" s="4">
        <v>273</v>
      </c>
      <c r="FQ678" s="4">
        <v>261</v>
      </c>
      <c r="FR678" s="4">
        <v>249</v>
      </c>
      <c r="FS678" s="4">
        <v>237</v>
      </c>
      <c r="FT678" s="19">
        <v>23.4</v>
      </c>
      <c r="FU678" s="19">
        <v>24.1</v>
      </c>
      <c r="FV678" s="19">
        <v>23.1</v>
      </c>
      <c r="FW678" s="19">
        <v>22.1</v>
      </c>
      <c r="FX678" s="19">
        <v>21.1</v>
      </c>
      <c r="FY678" s="19">
        <v>20.1</v>
      </c>
      <c r="FZ678" s="19">
        <v>19.1</v>
      </c>
      <c r="GA678" s="19">
        <v>18.1</v>
      </c>
      <c r="GB678" s="19">
        <v>16.9</v>
      </c>
      <c r="GC678" s="19">
        <v>15.9</v>
      </c>
      <c r="GD678" s="19">
        <v>14.9</v>
      </c>
      <c r="GE678" s="19">
        <v>13.9</v>
      </c>
      <c r="GF678" s="19">
        <v>12.9</v>
      </c>
      <c r="GG678" s="19">
        <v>11.9</v>
      </c>
      <c r="GH678" s="19">
        <v>10.9</v>
      </c>
      <c r="GI678" s="19">
        <v>9.9</v>
      </c>
      <c r="GJ678" s="19">
        <v>8.9</v>
      </c>
      <c r="GK678" s="19">
        <v>7.9</v>
      </c>
      <c r="GL678" s="19">
        <v>6.9</v>
      </c>
      <c r="GM678" s="19">
        <v>25.9</v>
      </c>
      <c r="GN678" s="19">
        <v>24.9</v>
      </c>
      <c r="GO678" s="19">
        <v>23.9</v>
      </c>
      <c r="GP678" s="19">
        <v>21</v>
      </c>
      <c r="GQ678" s="19">
        <v>18.6</v>
      </c>
      <c r="GR678" s="19">
        <v>16.6</v>
      </c>
      <c r="GS678" s="19">
        <v>14.8</v>
      </c>
    </row>
    <row r="679">
      <c r="A679" s="2" t="s">
        <v>3667</v>
      </c>
      <c r="B679" s="2" t="s">
        <v>245</v>
      </c>
      <c r="C679" s="2" t="s">
        <v>189</v>
      </c>
      <c r="D679" s="2" t="s">
        <v>247</v>
      </c>
      <c r="E679" s="2" t="s">
        <v>248</v>
      </c>
      <c r="F679" s="2" t="s">
        <v>3657</v>
      </c>
      <c r="G679" s="2" t="s">
        <v>3657</v>
      </c>
      <c r="H679" s="2" t="s">
        <v>3657</v>
      </c>
      <c r="I679" s="2" t="s">
        <v>297</v>
      </c>
      <c r="J679" s="2" t="s">
        <v>223</v>
      </c>
      <c r="K679" s="2" t="s">
        <v>360</v>
      </c>
      <c r="L679" s="3">
        <v>21.5</v>
      </c>
      <c r="M679" s="3">
        <v>22.58</v>
      </c>
      <c r="N679" s="3">
        <v>42.99</v>
      </c>
      <c r="O679" s="2" t="s">
        <v>196</v>
      </c>
      <c r="P679" s="2" t="s">
        <v>197</v>
      </c>
      <c r="Q679" s="2" t="s">
        <v>198</v>
      </c>
      <c r="R679" s="2" t="s">
        <v>199</v>
      </c>
      <c r="S679" s="2" t="s">
        <v>3658</v>
      </c>
      <c r="T679" s="2" t="s">
        <v>3659</v>
      </c>
      <c r="U679" s="2" t="s">
        <v>199</v>
      </c>
      <c r="V679" s="2" t="s">
        <v>202</v>
      </c>
      <c r="W679" s="2" t="s">
        <v>203</v>
      </c>
      <c r="X679" s="2" t="s">
        <v>199</v>
      </c>
      <c r="Y679" s="2" t="s">
        <v>3571</v>
      </c>
      <c r="Z679" s="4">
        <v>163</v>
      </c>
      <c r="AA679" s="4">
        <f>=ROUNDDOWN(20.375,0)</f>
      </c>
      <c r="AB679" s="5">
        <v>8</v>
      </c>
      <c r="AC679" s="2" t="s">
        <v>398</v>
      </c>
      <c r="AD679" s="4">
        <v>220</v>
      </c>
      <c r="AE679" s="4">
        <v>220</v>
      </c>
      <c r="AF679" s="6">
        <v>66</v>
      </c>
      <c r="AG679" s="6"/>
      <c r="AH679" s="7">
        <v>1</v>
      </c>
      <c r="AI679" s="4"/>
      <c r="AJ679" s="4">
        <f>=ROUNDDOWN({0},0)</f>
      </c>
      <c r="AK679" s="5"/>
      <c r="AL679" s="2" t="s">
        <v>199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199</v>
      </c>
      <c r="AW679" s="8" t="s">
        <v>199</v>
      </c>
      <c r="AX679" s="4" t="s">
        <v>199</v>
      </c>
      <c r="AY679" s="8" t="s">
        <v>199</v>
      </c>
      <c r="AZ679" s="7" t="s">
        <v>199</v>
      </c>
      <c r="BA679" s="7" t="s">
        <v>199</v>
      </c>
      <c r="BB679" s="7"/>
      <c r="BC679" s="4" t="s">
        <v>199</v>
      </c>
      <c r="BD679" s="8" t="s">
        <v>199</v>
      </c>
      <c r="BE679" s="4" t="s">
        <v>199</v>
      </c>
      <c r="BF679" s="8" t="s">
        <v>199</v>
      </c>
      <c r="BG679" s="7" t="s">
        <v>199</v>
      </c>
      <c r="BH679" s="7" t="s">
        <v>199</v>
      </c>
      <c r="BI679" s="7"/>
      <c r="BJ679" s="4">
        <v>42</v>
      </c>
      <c r="BK679" s="8">
        <v>950.6</v>
      </c>
      <c r="BL679" s="2" t="s">
        <v>3668</v>
      </c>
      <c r="BM679" s="7"/>
      <c r="BN679" s="7"/>
      <c r="BO679" s="4"/>
      <c r="BP679" s="8"/>
      <c r="BQ679" s="4"/>
      <c r="BR679" s="8"/>
      <c r="BS679" s="7"/>
      <c r="BT679" s="7"/>
      <c r="BU679" s="2" t="s">
        <v>3661</v>
      </c>
      <c r="BV679" s="2" t="s">
        <v>199</v>
      </c>
      <c r="BW679" s="2" t="s">
        <v>199</v>
      </c>
      <c r="BX679" s="2" t="s">
        <v>208</v>
      </c>
      <c r="BY679" s="2" t="s">
        <v>209</v>
      </c>
      <c r="BZ679" s="2" t="s">
        <v>196</v>
      </c>
      <c r="CA679" s="2" t="s">
        <v>3662</v>
      </c>
      <c r="CB679" s="2" t="s">
        <v>2117</v>
      </c>
      <c r="CC679" s="2" t="s">
        <v>212</v>
      </c>
      <c r="CD679" s="2" t="s">
        <v>199</v>
      </c>
      <c r="CE679" s="4">
        <v>163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>
        <v>220</v>
      </c>
      <c r="ER679" s="4"/>
      <c r="ES679" s="4"/>
      <c r="ET679" s="4">
        <v>164</v>
      </c>
      <c r="EU679" s="4">
        <v>155</v>
      </c>
      <c r="EV679" s="4">
        <v>147</v>
      </c>
      <c r="EW679" s="4">
        <v>139</v>
      </c>
      <c r="EX679" s="4">
        <v>131</v>
      </c>
      <c r="EY679" s="4">
        <v>123</v>
      </c>
      <c r="EZ679" s="4">
        <v>115</v>
      </c>
      <c r="FA679" s="4">
        <v>107</v>
      </c>
      <c r="FB679" s="4">
        <v>97</v>
      </c>
      <c r="FC679" s="4">
        <v>89</v>
      </c>
      <c r="FD679" s="4">
        <v>81</v>
      </c>
      <c r="FE679" s="4">
        <v>73</v>
      </c>
      <c r="FF679" s="4">
        <v>65</v>
      </c>
      <c r="FG679" s="4">
        <v>57</v>
      </c>
      <c r="FH679" s="4">
        <v>49</v>
      </c>
      <c r="FI679" s="4">
        <v>41</v>
      </c>
      <c r="FJ679" s="4">
        <v>33</v>
      </c>
      <c r="FK679" s="4">
        <v>25</v>
      </c>
      <c r="FL679" s="4">
        <v>17</v>
      </c>
      <c r="FM679" s="4">
        <v>229</v>
      </c>
      <c r="FN679" s="4">
        <v>221</v>
      </c>
      <c r="FO679" s="4">
        <v>213</v>
      </c>
      <c r="FP679" s="4">
        <v>203</v>
      </c>
      <c r="FQ679" s="4">
        <v>195</v>
      </c>
      <c r="FR679" s="4">
        <v>187</v>
      </c>
      <c r="FS679" s="4">
        <v>179</v>
      </c>
      <c r="FT679" s="19">
        <v>20.5</v>
      </c>
      <c r="FU679" s="19">
        <v>19.4</v>
      </c>
      <c r="FV679" s="19">
        <v>18.4</v>
      </c>
      <c r="FW679" s="19">
        <v>17.4</v>
      </c>
      <c r="FX679" s="19">
        <v>16.4</v>
      </c>
      <c r="FY679" s="19">
        <v>15.4</v>
      </c>
      <c r="FZ679" s="19">
        <v>14.4</v>
      </c>
      <c r="GA679" s="19">
        <v>13.4</v>
      </c>
      <c r="GB679" s="19">
        <v>12.1</v>
      </c>
      <c r="GC679" s="19">
        <v>11.1</v>
      </c>
      <c r="GD679" s="19">
        <v>10.1</v>
      </c>
      <c r="GE679" s="19">
        <v>9.1</v>
      </c>
      <c r="GF679" s="19">
        <v>8.1</v>
      </c>
      <c r="GG679" s="19">
        <v>7.1</v>
      </c>
      <c r="GH679" s="19">
        <v>6.1</v>
      </c>
      <c r="GI679" s="19">
        <v>5.1</v>
      </c>
      <c r="GJ679" s="19">
        <v>4.1</v>
      </c>
      <c r="GK679" s="19">
        <v>3.1</v>
      </c>
      <c r="GL679" s="19">
        <v>2.1</v>
      </c>
      <c r="GM679" s="19">
        <v>28.6</v>
      </c>
      <c r="GN679" s="19">
        <v>27.6</v>
      </c>
      <c r="GO679" s="19">
        <v>26.6</v>
      </c>
      <c r="GP679" s="19">
        <v>25.4</v>
      </c>
      <c r="GQ679" s="19">
        <v>21.7</v>
      </c>
      <c r="GR679" s="19">
        <v>18.7</v>
      </c>
      <c r="GS679" s="19">
        <v>17.9</v>
      </c>
    </row>
    <row r="680">
      <c r="A680" s="2" t="s">
        <v>3669</v>
      </c>
      <c r="B680" s="2" t="s">
        <v>245</v>
      </c>
      <c r="C680" s="2" t="s">
        <v>189</v>
      </c>
      <c r="D680" s="2" t="s">
        <v>247</v>
      </c>
      <c r="E680" s="2" t="s">
        <v>248</v>
      </c>
      <c r="F680" s="2" t="s">
        <v>3657</v>
      </c>
      <c r="G680" s="2" t="s">
        <v>3657</v>
      </c>
      <c r="H680" s="2" t="s">
        <v>3657</v>
      </c>
      <c r="I680" s="2" t="s">
        <v>297</v>
      </c>
      <c r="J680" s="2" t="s">
        <v>194</v>
      </c>
      <c r="K680" s="2" t="s">
        <v>371</v>
      </c>
      <c r="L680" s="3">
        <v>16.5</v>
      </c>
      <c r="M680" s="3">
        <v>17.32</v>
      </c>
      <c r="N680" s="3">
        <v>32.99</v>
      </c>
      <c r="O680" s="2" t="s">
        <v>196</v>
      </c>
      <c r="P680" s="2" t="s">
        <v>197</v>
      </c>
      <c r="Q680" s="2" t="s">
        <v>198</v>
      </c>
      <c r="R680" s="2" t="s">
        <v>199</v>
      </c>
      <c r="S680" s="2" t="s">
        <v>3670</v>
      </c>
      <c r="T680" s="2" t="s">
        <v>3659</v>
      </c>
      <c r="U680" s="2" t="s">
        <v>199</v>
      </c>
      <c r="V680" s="2" t="s">
        <v>202</v>
      </c>
      <c r="W680" s="2" t="s">
        <v>203</v>
      </c>
      <c r="X680" s="2" t="s">
        <v>199</v>
      </c>
      <c r="Y680" s="2" t="s">
        <v>204</v>
      </c>
      <c r="Z680" s="4">
        <v>369</v>
      </c>
      <c r="AA680" s="4">
        <f>=ROUNDDOWN(92.25,0)</f>
      </c>
      <c r="AB680" s="5">
        <v>4</v>
      </c>
      <c r="AC680" s="2" t="s">
        <v>199</v>
      </c>
      <c r="AD680" s="4"/>
      <c r="AE680" s="4"/>
      <c r="AF680" s="6">
        <v>66</v>
      </c>
      <c r="AG680" s="6"/>
      <c r="AH680" s="7">
        <v>1</v>
      </c>
      <c r="AI680" s="4"/>
      <c r="AJ680" s="4">
        <f>=ROUNDDOWN({0},0)</f>
      </c>
      <c r="AK680" s="5"/>
      <c r="AL680" s="2" t="s">
        <v>199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199</v>
      </c>
      <c r="AW680" s="8" t="s">
        <v>199</v>
      </c>
      <c r="AX680" s="4" t="s">
        <v>199</v>
      </c>
      <c r="AY680" s="8" t="s">
        <v>199</v>
      </c>
      <c r="AZ680" s="7" t="s">
        <v>199</v>
      </c>
      <c r="BA680" s="7" t="s">
        <v>199</v>
      </c>
      <c r="BB680" s="7"/>
      <c r="BC680" s="4" t="s">
        <v>199</v>
      </c>
      <c r="BD680" s="8" t="s">
        <v>199</v>
      </c>
      <c r="BE680" s="4" t="s">
        <v>199</v>
      </c>
      <c r="BF680" s="8" t="s">
        <v>199</v>
      </c>
      <c r="BG680" s="7" t="s">
        <v>199</v>
      </c>
      <c r="BH680" s="7" t="s">
        <v>199</v>
      </c>
      <c r="BI680" s="7"/>
      <c r="BJ680" s="4">
        <v>10</v>
      </c>
      <c r="BK680" s="8">
        <v>169.19</v>
      </c>
      <c r="BL680" s="2" t="s">
        <v>3671</v>
      </c>
      <c r="BM680" s="7"/>
      <c r="BN680" s="7"/>
      <c r="BO680" s="4"/>
      <c r="BP680" s="8"/>
      <c r="BQ680" s="4"/>
      <c r="BR680" s="8"/>
      <c r="BS680" s="7"/>
      <c r="BT680" s="7"/>
      <c r="BU680" s="2" t="s">
        <v>3661</v>
      </c>
      <c r="BV680" s="2" t="s">
        <v>199</v>
      </c>
      <c r="BW680" s="2" t="s">
        <v>199</v>
      </c>
      <c r="BX680" s="2" t="s">
        <v>208</v>
      </c>
      <c r="BY680" s="2" t="s">
        <v>209</v>
      </c>
      <c r="BZ680" s="2" t="s">
        <v>196</v>
      </c>
      <c r="CA680" s="2" t="s">
        <v>3662</v>
      </c>
      <c r="CB680" s="2" t="s">
        <v>3672</v>
      </c>
      <c r="CC680" s="2" t="s">
        <v>212</v>
      </c>
      <c r="CD680" s="2" t="s">
        <v>199</v>
      </c>
      <c r="CE680" s="4">
        <v>369</v>
      </c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>
        <v>371</v>
      </c>
      <c r="EU680" s="4">
        <v>366</v>
      </c>
      <c r="EV680" s="4">
        <v>363</v>
      </c>
      <c r="EW680" s="4">
        <v>360</v>
      </c>
      <c r="EX680" s="4">
        <v>357</v>
      </c>
      <c r="EY680" s="4">
        <v>354</v>
      </c>
      <c r="EZ680" s="4">
        <v>351</v>
      </c>
      <c r="FA680" s="4">
        <v>348</v>
      </c>
      <c r="FB680" s="4">
        <v>343</v>
      </c>
      <c r="FC680" s="4">
        <v>339</v>
      </c>
      <c r="FD680" s="4">
        <v>335</v>
      </c>
      <c r="FE680" s="4">
        <v>331</v>
      </c>
      <c r="FF680" s="4">
        <v>327</v>
      </c>
      <c r="FG680" s="4">
        <v>323</v>
      </c>
      <c r="FH680" s="4">
        <v>319</v>
      </c>
      <c r="FI680" s="4">
        <v>315</v>
      </c>
      <c r="FJ680" s="4">
        <v>311</v>
      </c>
      <c r="FK680" s="4">
        <v>307</v>
      </c>
      <c r="FL680" s="4">
        <v>303</v>
      </c>
      <c r="FM680" s="4">
        <v>299</v>
      </c>
      <c r="FN680" s="4">
        <v>295</v>
      </c>
      <c r="FO680" s="4">
        <v>290</v>
      </c>
      <c r="FP680" s="4">
        <v>285</v>
      </c>
      <c r="FQ680" s="4">
        <v>280</v>
      </c>
      <c r="FR680" s="4">
        <v>275</v>
      </c>
      <c r="FS680" s="4">
        <v>270</v>
      </c>
      <c r="FT680" s="19">
        <v>92.8</v>
      </c>
      <c r="FU680" s="19">
        <v>122</v>
      </c>
      <c r="FV680" s="19">
        <v>121</v>
      </c>
      <c r="FW680" s="19">
        <v>120</v>
      </c>
      <c r="FX680" s="19">
        <v>89.3</v>
      </c>
      <c r="FY680" s="19">
        <v>88.5</v>
      </c>
      <c r="FZ680" s="19">
        <v>87.8</v>
      </c>
      <c r="GA680" s="19">
        <v>87</v>
      </c>
      <c r="GB680" s="19">
        <v>85.8</v>
      </c>
      <c r="GC680" s="19">
        <v>84.8</v>
      </c>
      <c r="GD680" s="19">
        <v>83.8</v>
      </c>
      <c r="GE680" s="19">
        <v>82.8</v>
      </c>
      <c r="GF680" s="19">
        <v>81.8</v>
      </c>
      <c r="GG680" s="19">
        <v>80.8</v>
      </c>
      <c r="GH680" s="19">
        <v>79.8</v>
      </c>
      <c r="GI680" s="19">
        <v>78.8</v>
      </c>
      <c r="GJ680" s="19">
        <v>77.8</v>
      </c>
      <c r="GK680" s="19">
        <v>76.8</v>
      </c>
      <c r="GL680" s="19">
        <v>75.8</v>
      </c>
      <c r="GM680" s="19">
        <v>59.8</v>
      </c>
      <c r="GN680" s="19">
        <v>59</v>
      </c>
      <c r="GO680" s="19">
        <v>58</v>
      </c>
      <c r="GP680" s="19">
        <v>57</v>
      </c>
      <c r="GQ680" s="19">
        <v>56</v>
      </c>
      <c r="GR680" s="19">
        <v>55</v>
      </c>
      <c r="GS680" s="19">
        <v>54</v>
      </c>
    </row>
    <row r="681">
      <c r="A681" s="2" t="s">
        <v>3673</v>
      </c>
      <c r="B681" s="2" t="s">
        <v>245</v>
      </c>
      <c r="C681" s="2" t="s">
        <v>189</v>
      </c>
      <c r="D681" s="2" t="s">
        <v>247</v>
      </c>
      <c r="E681" s="2" t="s">
        <v>248</v>
      </c>
      <c r="F681" s="2" t="s">
        <v>3657</v>
      </c>
      <c r="G681" s="2" t="s">
        <v>3657</v>
      </c>
      <c r="H681" s="2" t="s">
        <v>3657</v>
      </c>
      <c r="I681" s="2" t="s">
        <v>297</v>
      </c>
      <c r="J681" s="2" t="s">
        <v>219</v>
      </c>
      <c r="K681" s="2" t="s">
        <v>371</v>
      </c>
      <c r="L681" s="3">
        <v>19</v>
      </c>
      <c r="M681" s="3">
        <v>19.95</v>
      </c>
      <c r="N681" s="3">
        <v>37.99</v>
      </c>
      <c r="O681" s="2" t="s">
        <v>196</v>
      </c>
      <c r="P681" s="2" t="s">
        <v>197</v>
      </c>
      <c r="Q681" s="2" t="s">
        <v>198</v>
      </c>
      <c r="R681" s="2" t="s">
        <v>199</v>
      </c>
      <c r="S681" s="2" t="s">
        <v>3670</v>
      </c>
      <c r="T681" s="2" t="s">
        <v>3659</v>
      </c>
      <c r="U681" s="2" t="s">
        <v>199</v>
      </c>
      <c r="V681" s="2" t="s">
        <v>202</v>
      </c>
      <c r="W681" s="2" t="s">
        <v>203</v>
      </c>
      <c r="X681" s="2" t="s">
        <v>199</v>
      </c>
      <c r="Y681" s="2" t="s">
        <v>3571</v>
      </c>
      <c r="Z681" s="4">
        <v>358</v>
      </c>
      <c r="AA681" s="4">
        <f>=ROUNDDOWN(24.6896551724138,0)</f>
      </c>
      <c r="AB681" s="5">
        <v>14.5</v>
      </c>
      <c r="AC681" s="2" t="s">
        <v>398</v>
      </c>
      <c r="AD681" s="4">
        <v>300</v>
      </c>
      <c r="AE681" s="4">
        <v>300</v>
      </c>
      <c r="AF681" s="6">
        <v>66</v>
      </c>
      <c r="AG681" s="6"/>
      <c r="AH681" s="7">
        <v>1</v>
      </c>
      <c r="AI681" s="4"/>
      <c r="AJ681" s="4">
        <f>=ROUNDDOWN({0},0)</f>
      </c>
      <c r="AK681" s="5"/>
      <c r="AL681" s="2" t="s">
        <v>199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199</v>
      </c>
      <c r="AW681" s="8" t="s">
        <v>199</v>
      </c>
      <c r="AX681" s="4" t="s">
        <v>199</v>
      </c>
      <c r="AY681" s="8" t="s">
        <v>199</v>
      </c>
      <c r="AZ681" s="7" t="s">
        <v>199</v>
      </c>
      <c r="BA681" s="7" t="s">
        <v>199</v>
      </c>
      <c r="BB681" s="7"/>
      <c r="BC681" s="4" t="s">
        <v>199</v>
      </c>
      <c r="BD681" s="8" t="s">
        <v>199</v>
      </c>
      <c r="BE681" s="4" t="s">
        <v>199</v>
      </c>
      <c r="BF681" s="8" t="s">
        <v>199</v>
      </c>
      <c r="BG681" s="7" t="s">
        <v>199</v>
      </c>
      <c r="BH681" s="7" t="s">
        <v>199</v>
      </c>
      <c r="BI681" s="7"/>
      <c r="BJ681" s="4">
        <v>101</v>
      </c>
      <c r="BK681" s="8">
        <v>2049.28</v>
      </c>
      <c r="BL681" s="2" t="s">
        <v>3674</v>
      </c>
      <c r="BM681" s="7"/>
      <c r="BN681" s="7"/>
      <c r="BO681" s="4"/>
      <c r="BP681" s="8"/>
      <c r="BQ681" s="4"/>
      <c r="BR681" s="8"/>
      <c r="BS681" s="7"/>
      <c r="BT681" s="7"/>
      <c r="BU681" s="2" t="s">
        <v>3661</v>
      </c>
      <c r="BV681" s="2" t="s">
        <v>199</v>
      </c>
      <c r="BW681" s="2" t="s">
        <v>199</v>
      </c>
      <c r="BX681" s="2" t="s">
        <v>208</v>
      </c>
      <c r="BY681" s="2" t="s">
        <v>209</v>
      </c>
      <c r="BZ681" s="2" t="s">
        <v>196</v>
      </c>
      <c r="CA681" s="2" t="s">
        <v>3662</v>
      </c>
      <c r="CB681" s="2" t="s">
        <v>3675</v>
      </c>
      <c r="CC681" s="2" t="s">
        <v>212</v>
      </c>
      <c r="CD681" s="2" t="s">
        <v>199</v>
      </c>
      <c r="CE681" s="4">
        <v>358</v>
      </c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>
        <v>300</v>
      </c>
      <c r="ER681" s="4"/>
      <c r="ES681" s="4"/>
      <c r="ET681" s="4">
        <v>361</v>
      </c>
      <c r="EU681" s="4">
        <v>345</v>
      </c>
      <c r="EV681" s="4">
        <v>332</v>
      </c>
      <c r="EW681" s="4">
        <v>319</v>
      </c>
      <c r="EX681" s="4">
        <v>306</v>
      </c>
      <c r="EY681" s="4">
        <v>293</v>
      </c>
      <c r="EZ681" s="4">
        <v>280</v>
      </c>
      <c r="FA681" s="4">
        <v>267</v>
      </c>
      <c r="FB681" s="4">
        <v>251</v>
      </c>
      <c r="FC681" s="4">
        <v>238</v>
      </c>
      <c r="FD681" s="4">
        <v>223</v>
      </c>
      <c r="FE681" s="4">
        <v>208</v>
      </c>
      <c r="FF681" s="4">
        <v>193</v>
      </c>
      <c r="FG681" s="4">
        <v>178</v>
      </c>
      <c r="FH681" s="4">
        <v>163</v>
      </c>
      <c r="FI681" s="4">
        <v>148</v>
      </c>
      <c r="FJ681" s="4">
        <v>133</v>
      </c>
      <c r="FK681" s="4">
        <v>118</v>
      </c>
      <c r="FL681" s="4">
        <v>103</v>
      </c>
      <c r="FM681" s="4">
        <v>387</v>
      </c>
      <c r="FN681" s="4">
        <v>371</v>
      </c>
      <c r="FO681" s="4">
        <v>355</v>
      </c>
      <c r="FP681" s="4">
        <v>336</v>
      </c>
      <c r="FQ681" s="4">
        <v>320</v>
      </c>
      <c r="FR681" s="4">
        <v>304</v>
      </c>
      <c r="FS681" s="4">
        <v>288</v>
      </c>
      <c r="FT681" s="19">
        <v>25.8</v>
      </c>
      <c r="FU681" s="19">
        <v>26.5</v>
      </c>
      <c r="FV681" s="19">
        <v>25.5</v>
      </c>
      <c r="FW681" s="19">
        <v>24.5</v>
      </c>
      <c r="FX681" s="19">
        <v>21.9</v>
      </c>
      <c r="FY681" s="19">
        <v>20.9</v>
      </c>
      <c r="FZ681" s="19">
        <v>20</v>
      </c>
      <c r="GA681" s="19">
        <v>17.8</v>
      </c>
      <c r="GB681" s="19">
        <v>17.9</v>
      </c>
      <c r="GC681" s="19">
        <v>15.9</v>
      </c>
      <c r="GD681" s="19">
        <v>14.9</v>
      </c>
      <c r="GE681" s="19">
        <v>13.9</v>
      </c>
      <c r="GF681" s="19">
        <v>12.9</v>
      </c>
      <c r="GG681" s="19">
        <v>11.9</v>
      </c>
      <c r="GH681" s="19">
        <v>10.9</v>
      </c>
      <c r="GI681" s="19">
        <v>9.9</v>
      </c>
      <c r="GJ681" s="19">
        <v>8.3</v>
      </c>
      <c r="GK681" s="19">
        <v>7.4</v>
      </c>
      <c r="GL681" s="19">
        <v>6.1</v>
      </c>
      <c r="GM681" s="19">
        <v>22.8</v>
      </c>
      <c r="GN681" s="19">
        <v>21.8</v>
      </c>
      <c r="GO681" s="19">
        <v>20.9</v>
      </c>
      <c r="GP681" s="19">
        <v>19.8</v>
      </c>
      <c r="GQ681" s="19">
        <v>17.8</v>
      </c>
      <c r="GR681" s="19">
        <v>16</v>
      </c>
      <c r="GS681" s="19">
        <v>14.4</v>
      </c>
    </row>
    <row r="682">
      <c r="A682" s="2" t="s">
        <v>3676</v>
      </c>
      <c r="B682" s="2" t="s">
        <v>245</v>
      </c>
      <c r="C682" s="2" t="s">
        <v>189</v>
      </c>
      <c r="D682" s="2" t="s">
        <v>247</v>
      </c>
      <c r="E682" s="2" t="s">
        <v>248</v>
      </c>
      <c r="F682" s="2" t="s">
        <v>3657</v>
      </c>
      <c r="G682" s="2" t="s">
        <v>3657</v>
      </c>
      <c r="H682" s="2" t="s">
        <v>3657</v>
      </c>
      <c r="I682" s="2" t="s">
        <v>297</v>
      </c>
      <c r="J682" s="2" t="s">
        <v>223</v>
      </c>
      <c r="K682" s="2" t="s">
        <v>371</v>
      </c>
      <c r="L682" s="3">
        <v>21.5</v>
      </c>
      <c r="M682" s="3">
        <v>22.58</v>
      </c>
      <c r="N682" s="3">
        <v>42.99</v>
      </c>
      <c r="O682" s="2" t="s">
        <v>196</v>
      </c>
      <c r="P682" s="2" t="s">
        <v>197</v>
      </c>
      <c r="Q682" s="2" t="s">
        <v>198</v>
      </c>
      <c r="R682" s="2" t="s">
        <v>199</v>
      </c>
      <c r="S682" s="2" t="s">
        <v>3670</v>
      </c>
      <c r="T682" s="2" t="s">
        <v>3659</v>
      </c>
      <c r="U682" s="2" t="s">
        <v>199</v>
      </c>
      <c r="V682" s="2" t="s">
        <v>202</v>
      </c>
      <c r="W682" s="2" t="s">
        <v>203</v>
      </c>
      <c r="X682" s="2" t="s">
        <v>199</v>
      </c>
      <c r="Y682" s="2" t="s">
        <v>3571</v>
      </c>
      <c r="Z682" s="4">
        <v>338</v>
      </c>
      <c r="AA682" s="4">
        <f>=ROUNDDOWN(24.1428571428571,0)</f>
      </c>
      <c r="AB682" s="5">
        <v>14</v>
      </c>
      <c r="AC682" s="2" t="s">
        <v>398</v>
      </c>
      <c r="AD682" s="4">
        <v>200</v>
      </c>
      <c r="AE682" s="4">
        <v>200</v>
      </c>
      <c r="AF682" s="6">
        <v>66</v>
      </c>
      <c r="AG682" s="6"/>
      <c r="AH682" s="7">
        <v>1</v>
      </c>
      <c r="AI682" s="4"/>
      <c r="AJ682" s="4">
        <f>=ROUNDDOWN({0},0)</f>
      </c>
      <c r="AK682" s="5"/>
      <c r="AL682" s="2" t="s">
        <v>199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 t="s">
        <v>199</v>
      </c>
      <c r="AW682" s="8" t="s">
        <v>199</v>
      </c>
      <c r="AX682" s="4" t="s">
        <v>199</v>
      </c>
      <c r="AY682" s="8" t="s">
        <v>199</v>
      </c>
      <c r="AZ682" s="7" t="s">
        <v>199</v>
      </c>
      <c r="BA682" s="7" t="s">
        <v>199</v>
      </c>
      <c r="BB682" s="7"/>
      <c r="BC682" s="4" t="s">
        <v>199</v>
      </c>
      <c r="BD682" s="8" t="s">
        <v>199</v>
      </c>
      <c r="BE682" s="4" t="s">
        <v>199</v>
      </c>
      <c r="BF682" s="8" t="s">
        <v>199</v>
      </c>
      <c r="BG682" s="7" t="s">
        <v>199</v>
      </c>
      <c r="BH682" s="7" t="s">
        <v>199</v>
      </c>
      <c r="BI682" s="7"/>
      <c r="BJ682" s="4">
        <v>69</v>
      </c>
      <c r="BK682" s="8">
        <v>1532.08</v>
      </c>
      <c r="BL682" s="2" t="s">
        <v>3677</v>
      </c>
      <c r="BM682" s="7"/>
      <c r="BN682" s="7"/>
      <c r="BO682" s="4"/>
      <c r="BP682" s="8"/>
      <c r="BQ682" s="4"/>
      <c r="BR682" s="8"/>
      <c r="BS682" s="7"/>
      <c r="BT682" s="7"/>
      <c r="BU682" s="2" t="s">
        <v>3661</v>
      </c>
      <c r="BV682" s="2" t="s">
        <v>199</v>
      </c>
      <c r="BW682" s="2" t="s">
        <v>199</v>
      </c>
      <c r="BX682" s="2" t="s">
        <v>208</v>
      </c>
      <c r="BY682" s="2" t="s">
        <v>209</v>
      </c>
      <c r="BZ682" s="2" t="s">
        <v>196</v>
      </c>
      <c r="CA682" s="2" t="s">
        <v>3662</v>
      </c>
      <c r="CB682" s="2" t="s">
        <v>3678</v>
      </c>
      <c r="CC682" s="2" t="s">
        <v>212</v>
      </c>
      <c r="CD682" s="2" t="s">
        <v>199</v>
      </c>
      <c r="CE682" s="4">
        <v>338</v>
      </c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>
        <v>200</v>
      </c>
      <c r="ER682" s="4"/>
      <c r="ES682" s="4"/>
      <c r="ET682" s="4">
        <v>348</v>
      </c>
      <c r="EU682" s="4">
        <v>331</v>
      </c>
      <c r="EV682" s="4">
        <v>320</v>
      </c>
      <c r="EW682" s="4">
        <v>307</v>
      </c>
      <c r="EX682" s="4">
        <v>293</v>
      </c>
      <c r="EY682" s="4">
        <v>279</v>
      </c>
      <c r="EZ682" s="4">
        <v>265</v>
      </c>
      <c r="FA682" s="4">
        <v>251</v>
      </c>
      <c r="FB682" s="4">
        <v>235</v>
      </c>
      <c r="FC682" s="4">
        <v>221</v>
      </c>
      <c r="FD682" s="4">
        <v>207</v>
      </c>
      <c r="FE682" s="4">
        <v>193</v>
      </c>
      <c r="FF682" s="4">
        <v>179</v>
      </c>
      <c r="FG682" s="4">
        <v>165</v>
      </c>
      <c r="FH682" s="4">
        <v>151</v>
      </c>
      <c r="FI682" s="4">
        <v>136</v>
      </c>
      <c r="FJ682" s="4">
        <v>122</v>
      </c>
      <c r="FK682" s="4">
        <v>108</v>
      </c>
      <c r="FL682" s="4">
        <v>94</v>
      </c>
      <c r="FM682" s="4">
        <v>279</v>
      </c>
      <c r="FN682" s="4">
        <v>264</v>
      </c>
      <c r="FO682" s="4">
        <v>249</v>
      </c>
      <c r="FP682" s="4">
        <v>232</v>
      </c>
      <c r="FQ682" s="4">
        <v>217</v>
      </c>
      <c r="FR682" s="4">
        <v>202</v>
      </c>
      <c r="FS682" s="4">
        <v>187</v>
      </c>
      <c r="FT682" s="19">
        <v>24.9</v>
      </c>
      <c r="FU682" s="19">
        <v>25.5</v>
      </c>
      <c r="FV682" s="19">
        <v>22.9</v>
      </c>
      <c r="FW682" s="19">
        <v>21.9</v>
      </c>
      <c r="FX682" s="19">
        <v>20.9</v>
      </c>
      <c r="FY682" s="19">
        <v>19.9</v>
      </c>
      <c r="FZ682" s="19">
        <v>18.9</v>
      </c>
      <c r="GA682" s="19">
        <v>17.9</v>
      </c>
      <c r="GB682" s="19">
        <v>16.8</v>
      </c>
      <c r="GC682" s="19">
        <v>15.8</v>
      </c>
      <c r="GD682" s="19">
        <v>14.8</v>
      </c>
      <c r="GE682" s="19">
        <v>13.8</v>
      </c>
      <c r="GF682" s="19">
        <v>12.8</v>
      </c>
      <c r="GG682" s="19">
        <v>11.8</v>
      </c>
      <c r="GH682" s="19">
        <v>10.8</v>
      </c>
      <c r="GI682" s="19">
        <v>9.7</v>
      </c>
      <c r="GJ682" s="19">
        <v>8.7</v>
      </c>
      <c r="GK682" s="19">
        <v>7.2</v>
      </c>
      <c r="GL682" s="19">
        <v>5.9</v>
      </c>
      <c r="GM682" s="19">
        <v>17.4</v>
      </c>
      <c r="GN682" s="19">
        <v>16.5</v>
      </c>
      <c r="GO682" s="19">
        <v>15.6</v>
      </c>
      <c r="GP682" s="19">
        <v>14.5</v>
      </c>
      <c r="GQ682" s="19">
        <v>13.6</v>
      </c>
      <c r="GR682" s="19">
        <v>12.6</v>
      </c>
      <c r="GS682" s="19">
        <v>11.7</v>
      </c>
    </row>
    <row r="683">
      <c r="A683" s="2" t="s">
        <v>3679</v>
      </c>
      <c r="B683" s="2" t="s">
        <v>245</v>
      </c>
      <c r="C683" s="2" t="s">
        <v>189</v>
      </c>
      <c r="D683" s="2" t="s">
        <v>247</v>
      </c>
      <c r="E683" s="2" t="s">
        <v>248</v>
      </c>
      <c r="F683" s="2" t="s">
        <v>3657</v>
      </c>
      <c r="G683" s="2" t="s">
        <v>3657</v>
      </c>
      <c r="H683" s="2" t="s">
        <v>3657</v>
      </c>
      <c r="I683" s="2" t="s">
        <v>297</v>
      </c>
      <c r="J683" s="2" t="s">
        <v>251</v>
      </c>
      <c r="K683" s="2" t="s">
        <v>371</v>
      </c>
      <c r="L683" s="3">
        <v>21.5</v>
      </c>
      <c r="M683" s="3">
        <v>22.58</v>
      </c>
      <c r="N683" s="3">
        <v>42.99</v>
      </c>
      <c r="O683" s="2" t="s">
        <v>196</v>
      </c>
      <c r="P683" s="2" t="s">
        <v>197</v>
      </c>
      <c r="Q683" s="2" t="s">
        <v>198</v>
      </c>
      <c r="R683" s="2" t="s">
        <v>199</v>
      </c>
      <c r="S683" s="2" t="s">
        <v>3670</v>
      </c>
      <c r="T683" s="2" t="s">
        <v>3659</v>
      </c>
      <c r="U683" s="2" t="s">
        <v>199</v>
      </c>
      <c r="V683" s="2" t="s">
        <v>202</v>
      </c>
      <c r="W683" s="2" t="s">
        <v>203</v>
      </c>
      <c r="X683" s="2" t="s">
        <v>199</v>
      </c>
      <c r="Y683" s="2" t="s">
        <v>3571</v>
      </c>
      <c r="Z683" s="4">
        <v>151</v>
      </c>
      <c r="AA683" s="4">
        <f>=ROUNDDOWN(53.9285714285714,0)</f>
      </c>
      <c r="AB683" s="5">
        <v>2.8</v>
      </c>
      <c r="AC683" s="2" t="s">
        <v>199</v>
      </c>
      <c r="AD683" s="4"/>
      <c r="AE683" s="4"/>
      <c r="AF683" s="6">
        <v>66</v>
      </c>
      <c r="AG683" s="6"/>
      <c r="AH683" s="7">
        <v>1</v>
      </c>
      <c r="AI683" s="4"/>
      <c r="AJ683" s="4">
        <f>=ROUNDDOWN({0},0)</f>
      </c>
      <c r="AK683" s="5"/>
      <c r="AL683" s="2" t="s">
        <v>199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199</v>
      </c>
      <c r="AW683" s="8" t="s">
        <v>199</v>
      </c>
      <c r="AX683" s="4" t="s">
        <v>199</v>
      </c>
      <c r="AY683" s="8" t="s">
        <v>199</v>
      </c>
      <c r="AZ683" s="7" t="s">
        <v>199</v>
      </c>
      <c r="BA683" s="7" t="s">
        <v>199</v>
      </c>
      <c r="BB683" s="7"/>
      <c r="BC683" s="4" t="s">
        <v>199</v>
      </c>
      <c r="BD683" s="8" t="s">
        <v>199</v>
      </c>
      <c r="BE683" s="4" t="s">
        <v>199</v>
      </c>
      <c r="BF683" s="8" t="s">
        <v>199</v>
      </c>
      <c r="BG683" s="7" t="s">
        <v>199</v>
      </c>
      <c r="BH683" s="7" t="s">
        <v>199</v>
      </c>
      <c r="BI683" s="7"/>
      <c r="BJ683" s="4">
        <v>10</v>
      </c>
      <c r="BK683" s="8">
        <v>224.2</v>
      </c>
      <c r="BL683" s="2" t="s">
        <v>3680</v>
      </c>
      <c r="BM683" s="7"/>
      <c r="BN683" s="7"/>
      <c r="BO683" s="4"/>
      <c r="BP683" s="8"/>
      <c r="BQ683" s="4"/>
      <c r="BR683" s="8"/>
      <c r="BS683" s="7"/>
      <c r="BT683" s="7"/>
      <c r="BU683" s="2" t="s">
        <v>3661</v>
      </c>
      <c r="BV683" s="2" t="s">
        <v>199</v>
      </c>
      <c r="BW683" s="2" t="s">
        <v>199</v>
      </c>
      <c r="BX683" s="2" t="s">
        <v>208</v>
      </c>
      <c r="BY683" s="2" t="s">
        <v>209</v>
      </c>
      <c r="BZ683" s="2" t="s">
        <v>196</v>
      </c>
      <c r="CA683" s="2" t="s">
        <v>3662</v>
      </c>
      <c r="CB683" s="2" t="s">
        <v>3681</v>
      </c>
      <c r="CC683" s="2" t="s">
        <v>212</v>
      </c>
      <c r="CD683" s="2" t="s">
        <v>199</v>
      </c>
      <c r="CE683" s="4">
        <v>151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>
        <v>152</v>
      </c>
      <c r="EU683" s="4">
        <v>149</v>
      </c>
      <c r="EV683" s="4">
        <v>147</v>
      </c>
      <c r="EW683" s="4">
        <v>145</v>
      </c>
      <c r="EX683" s="4">
        <v>143</v>
      </c>
      <c r="EY683" s="4">
        <v>141</v>
      </c>
      <c r="EZ683" s="4">
        <v>139</v>
      </c>
      <c r="FA683" s="4">
        <v>137</v>
      </c>
      <c r="FB683" s="4">
        <v>135</v>
      </c>
      <c r="FC683" s="4">
        <v>133</v>
      </c>
      <c r="FD683" s="4">
        <v>131</v>
      </c>
      <c r="FE683" s="4">
        <v>129</v>
      </c>
      <c r="FF683" s="4">
        <v>127</v>
      </c>
      <c r="FG683" s="4">
        <v>125</v>
      </c>
      <c r="FH683" s="4">
        <v>123</v>
      </c>
      <c r="FI683" s="4">
        <v>121</v>
      </c>
      <c r="FJ683" s="4">
        <v>119</v>
      </c>
      <c r="FK683" s="4">
        <v>117</v>
      </c>
      <c r="FL683" s="4">
        <v>115</v>
      </c>
      <c r="FM683" s="4">
        <v>113</v>
      </c>
      <c r="FN683" s="4">
        <v>111</v>
      </c>
      <c r="FO683" s="4">
        <v>109</v>
      </c>
      <c r="FP683" s="4">
        <v>107</v>
      </c>
      <c r="FQ683" s="4">
        <v>105</v>
      </c>
      <c r="FR683" s="4">
        <v>103</v>
      </c>
      <c r="FS683" s="4">
        <v>101</v>
      </c>
      <c r="FT683" s="19">
        <v>76</v>
      </c>
      <c r="FU683" s="19">
        <v>74.5</v>
      </c>
      <c r="FV683" s="19">
        <v>73.5</v>
      </c>
      <c r="FW683" s="19">
        <v>72.5</v>
      </c>
      <c r="FX683" s="19">
        <v>71.5</v>
      </c>
      <c r="FY683" s="19">
        <v>70.5</v>
      </c>
      <c r="FZ683" s="19">
        <v>69.5</v>
      </c>
      <c r="GA683" s="19">
        <v>68.5</v>
      </c>
      <c r="GB683" s="19">
        <v>67.5</v>
      </c>
      <c r="GC683" s="19">
        <v>66.5</v>
      </c>
      <c r="GD683" s="19">
        <v>65.5</v>
      </c>
      <c r="GE683" s="19">
        <v>64.5</v>
      </c>
      <c r="GF683" s="19">
        <v>63.5</v>
      </c>
      <c r="GG683" s="19">
        <v>62.5</v>
      </c>
      <c r="GH683" s="19">
        <v>61.5</v>
      </c>
      <c r="GI683" s="19">
        <v>60.5</v>
      </c>
      <c r="GJ683" s="19">
        <v>59.5</v>
      </c>
      <c r="GK683" s="19">
        <v>58.5</v>
      </c>
      <c r="GL683" s="19">
        <v>57.5</v>
      </c>
      <c r="GM683" s="19">
        <v>56.5</v>
      </c>
      <c r="GN683" s="19">
        <v>55.5</v>
      </c>
      <c r="GO683" s="19">
        <v>54.5</v>
      </c>
      <c r="GP683" s="19">
        <v>53.5</v>
      </c>
      <c r="GQ683" s="19">
        <v>52.5</v>
      </c>
      <c r="GR683" s="19">
        <v>51.5</v>
      </c>
      <c r="GS683" s="19">
        <v>50.5</v>
      </c>
    </row>
    <row r="684">
      <c r="A684" s="2" t="s">
        <v>3682</v>
      </c>
      <c r="B684" s="2" t="s">
        <v>245</v>
      </c>
      <c r="C684" s="2" t="s">
        <v>189</v>
      </c>
      <c r="D684" s="2" t="s">
        <v>247</v>
      </c>
      <c r="E684" s="2" t="s">
        <v>248</v>
      </c>
      <c r="F684" s="2" t="s">
        <v>3657</v>
      </c>
      <c r="G684" s="2" t="s">
        <v>3657</v>
      </c>
      <c r="H684" s="2" t="s">
        <v>3657</v>
      </c>
      <c r="I684" s="2" t="s">
        <v>297</v>
      </c>
      <c r="J684" s="2" t="s">
        <v>194</v>
      </c>
      <c r="K684" s="2" t="s">
        <v>252</v>
      </c>
      <c r="L684" s="3">
        <v>16.5</v>
      </c>
      <c r="M684" s="3">
        <v>17.32</v>
      </c>
      <c r="N684" s="3">
        <v>32.99</v>
      </c>
      <c r="O684" s="2" t="s">
        <v>196</v>
      </c>
      <c r="P684" s="2" t="s">
        <v>841</v>
      </c>
      <c r="Q684" s="2" t="s">
        <v>198</v>
      </c>
      <c r="R684" s="2" t="s">
        <v>199</v>
      </c>
      <c r="S684" s="2" t="s">
        <v>3683</v>
      </c>
      <c r="T684" s="2" t="s">
        <v>3659</v>
      </c>
      <c r="U684" s="2" t="s">
        <v>199</v>
      </c>
      <c r="V684" s="2" t="s">
        <v>202</v>
      </c>
      <c r="W684" s="2" t="s">
        <v>203</v>
      </c>
      <c r="X684" s="2" t="s">
        <v>199</v>
      </c>
      <c r="Y684" s="2" t="s">
        <v>204</v>
      </c>
      <c r="Z684" s="4">
        <v>66</v>
      </c>
      <c r="AA684" s="4">
        <f>=ROUNDDOWN(66,0)</f>
      </c>
      <c r="AB684" s="5">
        <v>1</v>
      </c>
      <c r="AC684" s="2" t="s">
        <v>199</v>
      </c>
      <c r="AD684" s="4"/>
      <c r="AE684" s="4"/>
      <c r="AF684" s="6">
        <v>66</v>
      </c>
      <c r="AG684" s="6"/>
      <c r="AH684" s="7">
        <v>1</v>
      </c>
      <c r="AI684" s="4"/>
      <c r="AJ684" s="4">
        <f>=ROUNDDOWN({0},0)</f>
      </c>
      <c r="AK684" s="5"/>
      <c r="AL684" s="2" t="s">
        <v>199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199</v>
      </c>
      <c r="BD684" s="8" t="s">
        <v>199</v>
      </c>
      <c r="BE684" s="4" t="s">
        <v>199</v>
      </c>
      <c r="BF684" s="8" t="s">
        <v>199</v>
      </c>
      <c r="BG684" s="7" t="s">
        <v>199</v>
      </c>
      <c r="BH684" s="7" t="s">
        <v>199</v>
      </c>
      <c r="BI684" s="7"/>
      <c r="BJ684" s="4">
        <v>6</v>
      </c>
      <c r="BK684" s="8">
        <v>104.42</v>
      </c>
      <c r="BL684" s="2" t="s">
        <v>1340</v>
      </c>
      <c r="BM684" s="7"/>
      <c r="BN684" s="7"/>
      <c r="BO684" s="4"/>
      <c r="BP684" s="8"/>
      <c r="BQ684" s="4"/>
      <c r="BR684" s="8"/>
      <c r="BS684" s="7"/>
      <c r="BT684" s="7"/>
      <c r="BU684" s="2" t="s">
        <v>3661</v>
      </c>
      <c r="BV684" s="2" t="s">
        <v>199</v>
      </c>
      <c r="BW684" s="2" t="s">
        <v>199</v>
      </c>
      <c r="BX684" s="2" t="s">
        <v>208</v>
      </c>
      <c r="BY684" s="2" t="s">
        <v>209</v>
      </c>
      <c r="BZ684" s="2" t="s">
        <v>196</v>
      </c>
      <c r="CA684" s="2" t="s">
        <v>3662</v>
      </c>
      <c r="CB684" s="2" t="s">
        <v>2848</v>
      </c>
      <c r="CC684" s="2" t="s">
        <v>212</v>
      </c>
      <c r="CD684" s="2" t="s">
        <v>199</v>
      </c>
      <c r="CE684" s="4">
        <v>66</v>
      </c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>
        <v>66</v>
      </c>
      <c r="EU684" s="4">
        <v>65</v>
      </c>
      <c r="EV684" s="4">
        <v>64</v>
      </c>
      <c r="EW684" s="4">
        <v>63</v>
      </c>
      <c r="EX684" s="4">
        <v>62</v>
      </c>
      <c r="EY684" s="4">
        <v>61</v>
      </c>
      <c r="EZ684" s="4">
        <v>60</v>
      </c>
      <c r="FA684" s="4">
        <v>59</v>
      </c>
      <c r="FB684" s="4">
        <v>58</v>
      </c>
      <c r="FC684" s="4">
        <v>57</v>
      </c>
      <c r="FD684" s="4">
        <v>56</v>
      </c>
      <c r="FE684" s="4">
        <v>55</v>
      </c>
      <c r="FF684" s="4">
        <v>54</v>
      </c>
      <c r="FG684" s="4">
        <v>53</v>
      </c>
      <c r="FH684" s="4">
        <v>52</v>
      </c>
      <c r="FI684" s="4">
        <v>51</v>
      </c>
      <c r="FJ684" s="4">
        <v>50</v>
      </c>
      <c r="FK684" s="4">
        <v>49</v>
      </c>
      <c r="FL684" s="4">
        <v>48</v>
      </c>
      <c r="FM684" s="4">
        <v>47</v>
      </c>
      <c r="FN684" s="4">
        <v>46</v>
      </c>
      <c r="FO684" s="4">
        <v>45</v>
      </c>
      <c r="FP684" s="4">
        <v>44</v>
      </c>
      <c r="FQ684" s="4">
        <v>43</v>
      </c>
      <c r="FR684" s="4">
        <v>42</v>
      </c>
      <c r="FS684" s="4">
        <v>41</v>
      </c>
      <c r="FT684" s="19">
        <v>66</v>
      </c>
      <c r="FU684" s="19">
        <v>65</v>
      </c>
      <c r="FV684" s="19">
        <v>64</v>
      </c>
      <c r="FW684" s="19">
        <v>63</v>
      </c>
      <c r="FX684" s="19">
        <v>62</v>
      </c>
      <c r="FY684" s="19">
        <v>61</v>
      </c>
      <c r="FZ684" s="19">
        <v>60</v>
      </c>
      <c r="GA684" s="19">
        <v>59</v>
      </c>
      <c r="GB684" s="19">
        <v>58</v>
      </c>
      <c r="GC684" s="19">
        <v>57</v>
      </c>
      <c r="GD684" s="19">
        <v>56</v>
      </c>
      <c r="GE684" s="19">
        <v>55</v>
      </c>
      <c r="GF684" s="19">
        <v>54</v>
      </c>
      <c r="GG684" s="19">
        <v>53</v>
      </c>
      <c r="GH684" s="19">
        <v>52</v>
      </c>
      <c r="GI684" s="19">
        <v>51</v>
      </c>
      <c r="GJ684" s="19">
        <v>50</v>
      </c>
      <c r="GK684" s="19">
        <v>49</v>
      </c>
      <c r="GL684" s="19">
        <v>48</v>
      </c>
      <c r="GM684" s="19">
        <v>47</v>
      </c>
      <c r="GN684" s="19">
        <v>46</v>
      </c>
      <c r="GO684" s="19">
        <v>45</v>
      </c>
      <c r="GP684" s="19">
        <v>44</v>
      </c>
      <c r="GQ684" s="19">
        <v>43</v>
      </c>
      <c r="GR684" s="19">
        <v>42</v>
      </c>
      <c r="GS684" s="19">
        <v>41</v>
      </c>
    </row>
    <row r="685">
      <c r="A685" s="2" t="s">
        <v>3684</v>
      </c>
      <c r="B685" s="2" t="s">
        <v>245</v>
      </c>
      <c r="C685" s="2" t="s">
        <v>189</v>
      </c>
      <c r="D685" s="2" t="s">
        <v>247</v>
      </c>
      <c r="E685" s="2" t="s">
        <v>248</v>
      </c>
      <c r="F685" s="2" t="s">
        <v>3657</v>
      </c>
      <c r="G685" s="2" t="s">
        <v>3657</v>
      </c>
      <c r="H685" s="2" t="s">
        <v>3657</v>
      </c>
      <c r="I685" s="2" t="s">
        <v>297</v>
      </c>
      <c r="J685" s="2" t="s">
        <v>194</v>
      </c>
      <c r="K685" s="2" t="s">
        <v>516</v>
      </c>
      <c r="L685" s="3">
        <v>16.5</v>
      </c>
      <c r="M685" s="3">
        <v>17.32</v>
      </c>
      <c r="N685" s="3">
        <v>32.99</v>
      </c>
      <c r="O685" s="2" t="s">
        <v>196</v>
      </c>
      <c r="P685" s="2" t="s">
        <v>197</v>
      </c>
      <c r="Q685" s="2" t="s">
        <v>198</v>
      </c>
      <c r="R685" s="2" t="s">
        <v>199</v>
      </c>
      <c r="S685" s="2" t="s">
        <v>3685</v>
      </c>
      <c r="T685" s="2" t="s">
        <v>3659</v>
      </c>
      <c r="U685" s="2" t="s">
        <v>637</v>
      </c>
      <c r="V685" s="2" t="s">
        <v>202</v>
      </c>
      <c r="W685" s="2" t="s">
        <v>203</v>
      </c>
      <c r="X685" s="2" t="s">
        <v>510</v>
      </c>
      <c r="Y685" s="2" t="s">
        <v>3686</v>
      </c>
      <c r="Z685" s="4">
        <v>118</v>
      </c>
      <c r="AA685" s="4">
        <f>=ROUNDDOWN(53.6363636363636,0)</f>
      </c>
      <c r="AB685" s="5">
        <v>2.2</v>
      </c>
      <c r="AC685" s="2" t="s">
        <v>199</v>
      </c>
      <c r="AD685" s="4"/>
      <c r="AE685" s="4"/>
      <c r="AF685" s="6">
        <v>66</v>
      </c>
      <c r="AG685" s="6"/>
      <c r="AH685" s="7">
        <v>1</v>
      </c>
      <c r="AI685" s="4"/>
      <c r="AJ685" s="4">
        <f>=ROUNDDOWN({0},0)</f>
      </c>
      <c r="AK685" s="5"/>
      <c r="AL685" s="2" t="s">
        <v>199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199</v>
      </c>
      <c r="AW685" s="8" t="s">
        <v>199</v>
      </c>
      <c r="AX685" s="4" t="s">
        <v>199</v>
      </c>
      <c r="AY685" s="8" t="s">
        <v>199</v>
      </c>
      <c r="AZ685" s="7" t="s">
        <v>199</v>
      </c>
      <c r="BA685" s="7" t="s">
        <v>199</v>
      </c>
      <c r="BB685" s="7"/>
      <c r="BC685" s="4" t="s">
        <v>199</v>
      </c>
      <c r="BD685" s="8" t="s">
        <v>199</v>
      </c>
      <c r="BE685" s="4" t="s">
        <v>199</v>
      </c>
      <c r="BF685" s="8" t="s">
        <v>199</v>
      </c>
      <c r="BG685" s="7" t="s">
        <v>199</v>
      </c>
      <c r="BH685" s="7" t="s">
        <v>199</v>
      </c>
      <c r="BI685" s="7"/>
      <c r="BJ685" s="4">
        <v>8</v>
      </c>
      <c r="BK685" s="8">
        <v>144.21</v>
      </c>
      <c r="BL685" s="2" t="s">
        <v>3687</v>
      </c>
      <c r="BM685" s="7"/>
      <c r="BN685" s="7"/>
      <c r="BO685" s="4"/>
      <c r="BP685" s="8"/>
      <c r="BQ685" s="4"/>
      <c r="BR685" s="8"/>
      <c r="BS685" s="7"/>
      <c r="BT685" s="7"/>
      <c r="BU685" s="2" t="s">
        <v>3661</v>
      </c>
      <c r="BV685" s="2" t="s">
        <v>199</v>
      </c>
      <c r="BW685" s="2" t="s">
        <v>199</v>
      </c>
      <c r="BX685" s="2" t="s">
        <v>208</v>
      </c>
      <c r="BY685" s="2" t="s">
        <v>209</v>
      </c>
      <c r="BZ685" s="2" t="s">
        <v>196</v>
      </c>
      <c r="CA685" s="2" t="s">
        <v>3686</v>
      </c>
      <c r="CB685" s="2" t="s">
        <v>3688</v>
      </c>
      <c r="CC685" s="2" t="s">
        <v>212</v>
      </c>
      <c r="CD685" s="2" t="s">
        <v>199</v>
      </c>
      <c r="CE685" s="4">
        <v>118</v>
      </c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>
        <v>118</v>
      </c>
      <c r="EU685" s="4">
        <v>116</v>
      </c>
      <c r="EV685" s="4">
        <v>114</v>
      </c>
      <c r="EW685" s="4">
        <v>112</v>
      </c>
      <c r="EX685" s="4">
        <v>110</v>
      </c>
      <c r="EY685" s="4">
        <v>108</v>
      </c>
      <c r="EZ685" s="4">
        <v>106</v>
      </c>
      <c r="FA685" s="4">
        <v>104</v>
      </c>
      <c r="FB685" s="4">
        <v>102</v>
      </c>
      <c r="FC685" s="4">
        <v>100</v>
      </c>
      <c r="FD685" s="4">
        <v>98</v>
      </c>
      <c r="FE685" s="4">
        <v>96</v>
      </c>
      <c r="FF685" s="4">
        <v>94</v>
      </c>
      <c r="FG685" s="4">
        <v>92</v>
      </c>
      <c r="FH685" s="4">
        <v>90</v>
      </c>
      <c r="FI685" s="4">
        <v>88</v>
      </c>
      <c r="FJ685" s="4">
        <v>86</v>
      </c>
      <c r="FK685" s="4">
        <v>84</v>
      </c>
      <c r="FL685" s="4">
        <v>82</v>
      </c>
      <c r="FM685" s="4">
        <v>80</v>
      </c>
      <c r="FN685" s="4">
        <v>78</v>
      </c>
      <c r="FO685" s="4">
        <v>76</v>
      </c>
      <c r="FP685" s="4">
        <v>74</v>
      </c>
      <c r="FQ685" s="4">
        <v>72</v>
      </c>
      <c r="FR685" s="4">
        <v>70</v>
      </c>
      <c r="FS685" s="4">
        <v>68</v>
      </c>
      <c r="FT685" s="19">
        <v>59</v>
      </c>
      <c r="FU685" s="19">
        <v>58</v>
      </c>
      <c r="FV685" s="19">
        <v>57</v>
      </c>
      <c r="FW685" s="19">
        <v>56</v>
      </c>
      <c r="FX685" s="19">
        <v>55</v>
      </c>
      <c r="FY685" s="19">
        <v>54</v>
      </c>
      <c r="FZ685" s="19">
        <v>53</v>
      </c>
      <c r="GA685" s="19">
        <v>52</v>
      </c>
      <c r="GB685" s="19">
        <v>51</v>
      </c>
      <c r="GC685" s="19">
        <v>50</v>
      </c>
      <c r="GD685" s="19">
        <v>49</v>
      </c>
      <c r="GE685" s="19">
        <v>48</v>
      </c>
      <c r="GF685" s="19">
        <v>47</v>
      </c>
      <c r="GG685" s="19">
        <v>46</v>
      </c>
      <c r="GH685" s="19">
        <v>45</v>
      </c>
      <c r="GI685" s="19">
        <v>44</v>
      </c>
      <c r="GJ685" s="19">
        <v>43</v>
      </c>
      <c r="GK685" s="19">
        <v>42</v>
      </c>
      <c r="GL685" s="19">
        <v>41</v>
      </c>
      <c r="GM685" s="19">
        <v>40</v>
      </c>
      <c r="GN685" s="19">
        <v>39</v>
      </c>
      <c r="GO685" s="19">
        <v>38</v>
      </c>
      <c r="GP685" s="19">
        <v>37</v>
      </c>
      <c r="GQ685" s="19">
        <v>36</v>
      </c>
      <c r="GR685" s="19">
        <v>23.3</v>
      </c>
      <c r="GS685" s="19">
        <v>22.7</v>
      </c>
    </row>
    <row r="686">
      <c r="A686" s="2" t="s">
        <v>3689</v>
      </c>
      <c r="B686" s="2" t="s">
        <v>245</v>
      </c>
      <c r="C686" s="2" t="s">
        <v>189</v>
      </c>
      <c r="D686" s="2" t="s">
        <v>247</v>
      </c>
      <c r="E686" s="2" t="s">
        <v>248</v>
      </c>
      <c r="F686" s="2" t="s">
        <v>3657</v>
      </c>
      <c r="G686" s="2" t="s">
        <v>3657</v>
      </c>
      <c r="H686" s="2" t="s">
        <v>3657</v>
      </c>
      <c r="I686" s="2" t="s">
        <v>297</v>
      </c>
      <c r="J686" s="2" t="s">
        <v>219</v>
      </c>
      <c r="K686" s="2" t="s">
        <v>516</v>
      </c>
      <c r="L686" s="3">
        <v>19</v>
      </c>
      <c r="M686" s="3">
        <v>19.95</v>
      </c>
      <c r="N686" s="3">
        <v>37.99</v>
      </c>
      <c r="O686" s="2" t="s">
        <v>196</v>
      </c>
      <c r="P686" s="2" t="s">
        <v>197</v>
      </c>
      <c r="Q686" s="2" t="s">
        <v>198</v>
      </c>
      <c r="R686" s="2" t="s">
        <v>199</v>
      </c>
      <c r="S686" s="2" t="s">
        <v>3685</v>
      </c>
      <c r="T686" s="2" t="s">
        <v>3659</v>
      </c>
      <c r="U686" s="2" t="s">
        <v>254</v>
      </c>
      <c r="V686" s="2" t="s">
        <v>202</v>
      </c>
      <c r="W686" s="2" t="s">
        <v>203</v>
      </c>
      <c r="X686" s="2" t="s">
        <v>510</v>
      </c>
      <c r="Y686" s="2" t="s">
        <v>3686</v>
      </c>
      <c r="Z686" s="4">
        <v>309</v>
      </c>
      <c r="AA686" s="4">
        <f>=ROUNDDOWN(30.5940594059406,0)</f>
      </c>
      <c r="AB686" s="5">
        <v>10.1</v>
      </c>
      <c r="AC686" s="2" t="s">
        <v>398</v>
      </c>
      <c r="AD686" s="4">
        <v>210</v>
      </c>
      <c r="AE686" s="4">
        <v>210</v>
      </c>
      <c r="AF686" s="6">
        <v>66</v>
      </c>
      <c r="AG686" s="6"/>
      <c r="AH686" s="7">
        <v>1</v>
      </c>
      <c r="AI686" s="4"/>
      <c r="AJ686" s="4">
        <f>=ROUNDDOWN({0},0)</f>
      </c>
      <c r="AK686" s="5"/>
      <c r="AL686" s="2" t="s">
        <v>199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199</v>
      </c>
      <c r="AW686" s="8" t="s">
        <v>199</v>
      </c>
      <c r="AX686" s="4" t="s">
        <v>199</v>
      </c>
      <c r="AY686" s="8" t="s">
        <v>199</v>
      </c>
      <c r="AZ686" s="7" t="s">
        <v>199</v>
      </c>
      <c r="BA686" s="7" t="s">
        <v>199</v>
      </c>
      <c r="BB686" s="7"/>
      <c r="BC686" s="4" t="s">
        <v>199</v>
      </c>
      <c r="BD686" s="8" t="s">
        <v>199</v>
      </c>
      <c r="BE686" s="4" t="s">
        <v>199</v>
      </c>
      <c r="BF686" s="8" t="s">
        <v>199</v>
      </c>
      <c r="BG686" s="7" t="s">
        <v>199</v>
      </c>
      <c r="BH686" s="7" t="s">
        <v>199</v>
      </c>
      <c r="BI686" s="7"/>
      <c r="BJ686" s="4">
        <v>54</v>
      </c>
      <c r="BK686" s="8">
        <v>1083.9</v>
      </c>
      <c r="BL686" s="2" t="s">
        <v>268</v>
      </c>
      <c r="BM686" s="7"/>
      <c r="BN686" s="7"/>
      <c r="BO686" s="4"/>
      <c r="BP686" s="8"/>
      <c r="BQ686" s="4"/>
      <c r="BR686" s="8"/>
      <c r="BS686" s="7"/>
      <c r="BT686" s="7"/>
      <c r="BU686" s="2" t="s">
        <v>3661</v>
      </c>
      <c r="BV686" s="2" t="s">
        <v>199</v>
      </c>
      <c r="BW686" s="2" t="s">
        <v>199</v>
      </c>
      <c r="BX686" s="2" t="s">
        <v>208</v>
      </c>
      <c r="BY686" s="2" t="s">
        <v>209</v>
      </c>
      <c r="BZ686" s="2" t="s">
        <v>196</v>
      </c>
      <c r="CA686" s="2" t="s">
        <v>3686</v>
      </c>
      <c r="CB686" s="2" t="s">
        <v>3690</v>
      </c>
      <c r="CC686" s="2" t="s">
        <v>212</v>
      </c>
      <c r="CD686" s="2" t="s">
        <v>199</v>
      </c>
      <c r="CE686" s="4">
        <v>309</v>
      </c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>
        <v>210</v>
      </c>
      <c r="ER686" s="4"/>
      <c r="ES686" s="4"/>
      <c r="ET686" s="4">
        <v>310</v>
      </c>
      <c r="EU686" s="4">
        <v>299</v>
      </c>
      <c r="EV686" s="4">
        <v>289</v>
      </c>
      <c r="EW686" s="4">
        <v>279</v>
      </c>
      <c r="EX686" s="4">
        <v>269</v>
      </c>
      <c r="EY686" s="4">
        <v>259</v>
      </c>
      <c r="EZ686" s="4">
        <v>249</v>
      </c>
      <c r="FA686" s="4">
        <v>239</v>
      </c>
      <c r="FB686" s="4">
        <v>227</v>
      </c>
      <c r="FC686" s="4">
        <v>217</v>
      </c>
      <c r="FD686" s="4">
        <v>207</v>
      </c>
      <c r="FE686" s="4">
        <v>197</v>
      </c>
      <c r="FF686" s="4">
        <v>187</v>
      </c>
      <c r="FG686" s="4">
        <v>177</v>
      </c>
      <c r="FH686" s="4">
        <v>167</v>
      </c>
      <c r="FI686" s="4">
        <v>157</v>
      </c>
      <c r="FJ686" s="4">
        <v>147</v>
      </c>
      <c r="FK686" s="4">
        <v>137</v>
      </c>
      <c r="FL686" s="4">
        <v>127</v>
      </c>
      <c r="FM686" s="4">
        <v>327</v>
      </c>
      <c r="FN686" s="4">
        <v>317</v>
      </c>
      <c r="FO686" s="4">
        <v>307</v>
      </c>
      <c r="FP686" s="4">
        <v>295</v>
      </c>
      <c r="FQ686" s="4">
        <v>285</v>
      </c>
      <c r="FR686" s="4">
        <v>275</v>
      </c>
      <c r="FS686" s="4">
        <v>265</v>
      </c>
      <c r="FT686" s="19">
        <v>31</v>
      </c>
      <c r="FU686" s="19">
        <v>29.9</v>
      </c>
      <c r="FV686" s="19">
        <v>28.9</v>
      </c>
      <c r="FW686" s="19">
        <v>27.9</v>
      </c>
      <c r="FX686" s="19">
        <v>26.9</v>
      </c>
      <c r="FY686" s="19">
        <v>25.9</v>
      </c>
      <c r="FZ686" s="19">
        <v>24.9</v>
      </c>
      <c r="GA686" s="19">
        <v>23.9</v>
      </c>
      <c r="GB686" s="19">
        <v>22.7</v>
      </c>
      <c r="GC686" s="19">
        <v>21.7</v>
      </c>
      <c r="GD686" s="19">
        <v>20.7</v>
      </c>
      <c r="GE686" s="19">
        <v>19.7</v>
      </c>
      <c r="GF686" s="19">
        <v>18.7</v>
      </c>
      <c r="GG686" s="19">
        <v>17.7</v>
      </c>
      <c r="GH686" s="19">
        <v>16.7</v>
      </c>
      <c r="GI686" s="19">
        <v>15.7</v>
      </c>
      <c r="GJ686" s="19">
        <v>14.7</v>
      </c>
      <c r="GK686" s="19">
        <v>13.7</v>
      </c>
      <c r="GL686" s="19">
        <v>12.7</v>
      </c>
      <c r="GM686" s="19">
        <v>32.7</v>
      </c>
      <c r="GN686" s="19">
        <v>31.7</v>
      </c>
      <c r="GO686" s="19">
        <v>30.7</v>
      </c>
      <c r="GP686" s="19">
        <v>26.8</v>
      </c>
      <c r="GQ686" s="19">
        <v>23.8</v>
      </c>
      <c r="GR686" s="19">
        <v>22.9</v>
      </c>
      <c r="GS686" s="19">
        <v>20.4</v>
      </c>
    </row>
    <row r="687">
      <c r="A687" s="2" t="s">
        <v>3691</v>
      </c>
      <c r="B687" s="2" t="s">
        <v>245</v>
      </c>
      <c r="C687" s="2" t="s">
        <v>189</v>
      </c>
      <c r="D687" s="2" t="s">
        <v>247</v>
      </c>
      <c r="E687" s="2" t="s">
        <v>248</v>
      </c>
      <c r="F687" s="2" t="s">
        <v>3657</v>
      </c>
      <c r="G687" s="2" t="s">
        <v>3657</v>
      </c>
      <c r="H687" s="2" t="s">
        <v>3657</v>
      </c>
      <c r="I687" s="2" t="s">
        <v>297</v>
      </c>
      <c r="J687" s="2" t="s">
        <v>194</v>
      </c>
      <c r="K687" s="2" t="s">
        <v>233</v>
      </c>
      <c r="L687" s="3">
        <v>16.5</v>
      </c>
      <c r="M687" s="3">
        <v>17.32</v>
      </c>
      <c r="N687" s="3">
        <v>32.99</v>
      </c>
      <c r="O687" s="2" t="s">
        <v>196</v>
      </c>
      <c r="P687" s="2" t="s">
        <v>197</v>
      </c>
      <c r="Q687" s="2" t="s">
        <v>198</v>
      </c>
      <c r="R687" s="2" t="s">
        <v>199</v>
      </c>
      <c r="S687" s="2" t="s">
        <v>3692</v>
      </c>
      <c r="T687" s="2" t="s">
        <v>3659</v>
      </c>
      <c r="U687" s="2" t="s">
        <v>199</v>
      </c>
      <c r="V687" s="2" t="s">
        <v>202</v>
      </c>
      <c r="W687" s="2" t="s">
        <v>203</v>
      </c>
      <c r="X687" s="2" t="s">
        <v>199</v>
      </c>
      <c r="Y687" s="2" t="s">
        <v>3571</v>
      </c>
      <c r="Z687" s="4">
        <v>197</v>
      </c>
      <c r="AA687" s="4">
        <f>=ROUNDDOWN(75.7692307692308,0)</f>
      </c>
      <c r="AB687" s="5">
        <v>2.6</v>
      </c>
      <c r="AC687" s="2" t="s">
        <v>199</v>
      </c>
      <c r="AD687" s="4"/>
      <c r="AE687" s="4"/>
      <c r="AF687" s="6">
        <v>66</v>
      </c>
      <c r="AG687" s="6"/>
      <c r="AH687" s="7">
        <v>1</v>
      </c>
      <c r="AI687" s="4"/>
      <c r="AJ687" s="4">
        <f>=ROUNDDOWN({0},0)</f>
      </c>
      <c r="AK687" s="5"/>
      <c r="AL687" s="2" t="s">
        <v>199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199</v>
      </c>
      <c r="AW687" s="8" t="s">
        <v>199</v>
      </c>
      <c r="AX687" s="4" t="s">
        <v>199</v>
      </c>
      <c r="AY687" s="8" t="s">
        <v>199</v>
      </c>
      <c r="AZ687" s="7" t="s">
        <v>199</v>
      </c>
      <c r="BA687" s="7" t="s">
        <v>199</v>
      </c>
      <c r="BB687" s="7"/>
      <c r="BC687" s="4" t="s">
        <v>199</v>
      </c>
      <c r="BD687" s="8" t="s">
        <v>199</v>
      </c>
      <c r="BE687" s="4" t="s">
        <v>199</v>
      </c>
      <c r="BF687" s="8" t="s">
        <v>199</v>
      </c>
      <c r="BG687" s="7" t="s">
        <v>199</v>
      </c>
      <c r="BH687" s="7" t="s">
        <v>199</v>
      </c>
      <c r="BI687" s="7"/>
      <c r="BJ687" s="4">
        <v>1</v>
      </c>
      <c r="BK687" s="8">
        <v>17.32</v>
      </c>
      <c r="BL687" s="2" t="s">
        <v>3687</v>
      </c>
      <c r="BM687" s="7"/>
      <c r="BN687" s="7"/>
      <c r="BO687" s="4"/>
      <c r="BP687" s="8"/>
      <c r="BQ687" s="4"/>
      <c r="BR687" s="8"/>
      <c r="BS687" s="7"/>
      <c r="BT687" s="7"/>
      <c r="BU687" s="2" t="s">
        <v>3661</v>
      </c>
      <c r="BV687" s="2" t="s">
        <v>199</v>
      </c>
      <c r="BW687" s="2" t="s">
        <v>199</v>
      </c>
      <c r="BX687" s="2" t="s">
        <v>208</v>
      </c>
      <c r="BY687" s="2" t="s">
        <v>209</v>
      </c>
      <c r="BZ687" s="2" t="s">
        <v>196</v>
      </c>
      <c r="CA687" s="2" t="s">
        <v>3662</v>
      </c>
      <c r="CB687" s="2" t="s">
        <v>3693</v>
      </c>
      <c r="CC687" s="2" t="s">
        <v>212</v>
      </c>
      <c r="CD687" s="2" t="s">
        <v>199</v>
      </c>
      <c r="CE687" s="4">
        <v>197</v>
      </c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>
        <v>197</v>
      </c>
      <c r="EU687" s="4">
        <v>194</v>
      </c>
      <c r="EV687" s="4">
        <v>191</v>
      </c>
      <c r="EW687" s="4">
        <v>188</v>
      </c>
      <c r="EX687" s="4">
        <v>185</v>
      </c>
      <c r="EY687" s="4">
        <v>182</v>
      </c>
      <c r="EZ687" s="4">
        <v>179</v>
      </c>
      <c r="FA687" s="4">
        <v>176</v>
      </c>
      <c r="FB687" s="4">
        <v>172</v>
      </c>
      <c r="FC687" s="4">
        <v>169</v>
      </c>
      <c r="FD687" s="4">
        <v>166</v>
      </c>
      <c r="FE687" s="4">
        <v>163</v>
      </c>
      <c r="FF687" s="4">
        <v>160</v>
      </c>
      <c r="FG687" s="4">
        <v>157</v>
      </c>
      <c r="FH687" s="4">
        <v>154</v>
      </c>
      <c r="FI687" s="4">
        <v>151</v>
      </c>
      <c r="FJ687" s="4">
        <v>148</v>
      </c>
      <c r="FK687" s="4">
        <v>145</v>
      </c>
      <c r="FL687" s="4">
        <v>142</v>
      </c>
      <c r="FM687" s="4">
        <v>139</v>
      </c>
      <c r="FN687" s="4">
        <v>136</v>
      </c>
      <c r="FO687" s="4">
        <v>132</v>
      </c>
      <c r="FP687" s="4">
        <v>128</v>
      </c>
      <c r="FQ687" s="4">
        <v>124</v>
      </c>
      <c r="FR687" s="4">
        <v>120</v>
      </c>
      <c r="FS687" s="4">
        <v>116</v>
      </c>
      <c r="FT687" s="19">
        <v>65.7</v>
      </c>
      <c r="FU687" s="19">
        <v>64.7</v>
      </c>
      <c r="FV687" s="19">
        <v>63.7</v>
      </c>
      <c r="FW687" s="19">
        <v>62.7</v>
      </c>
      <c r="FX687" s="19">
        <v>61.7</v>
      </c>
      <c r="FY687" s="19">
        <v>60.7</v>
      </c>
      <c r="FZ687" s="19">
        <v>59.7</v>
      </c>
      <c r="GA687" s="19">
        <v>58.7</v>
      </c>
      <c r="GB687" s="19">
        <v>57.3</v>
      </c>
      <c r="GC687" s="19">
        <v>56.3</v>
      </c>
      <c r="GD687" s="19">
        <v>55.3</v>
      </c>
      <c r="GE687" s="19">
        <v>54.3</v>
      </c>
      <c r="GF687" s="19">
        <v>53.3</v>
      </c>
      <c r="GG687" s="19">
        <v>52.3</v>
      </c>
      <c r="GH687" s="19">
        <v>51.3</v>
      </c>
      <c r="GI687" s="19">
        <v>50.3</v>
      </c>
      <c r="GJ687" s="19">
        <v>49.3</v>
      </c>
      <c r="GK687" s="19">
        <v>48.3</v>
      </c>
      <c r="GL687" s="19">
        <v>35.5</v>
      </c>
      <c r="GM687" s="19">
        <v>34.8</v>
      </c>
      <c r="GN687" s="19">
        <v>34</v>
      </c>
      <c r="GO687" s="19">
        <v>33</v>
      </c>
      <c r="GP687" s="19">
        <v>32</v>
      </c>
      <c r="GQ687" s="19">
        <v>31</v>
      </c>
      <c r="GR687" s="19">
        <v>30</v>
      </c>
      <c r="GS687" s="19">
        <v>29</v>
      </c>
    </row>
    <row r="688">
      <c r="A688" s="2" t="s">
        <v>3694</v>
      </c>
      <c r="B688" s="2" t="s">
        <v>245</v>
      </c>
      <c r="C688" s="2" t="s">
        <v>189</v>
      </c>
      <c r="D688" s="2" t="s">
        <v>247</v>
      </c>
      <c r="E688" s="2" t="s">
        <v>248</v>
      </c>
      <c r="F688" s="2" t="s">
        <v>3657</v>
      </c>
      <c r="G688" s="2" t="s">
        <v>3657</v>
      </c>
      <c r="H688" s="2" t="s">
        <v>3657</v>
      </c>
      <c r="I688" s="2" t="s">
        <v>297</v>
      </c>
      <c r="J688" s="2" t="s">
        <v>285</v>
      </c>
      <c r="K688" s="2" t="s">
        <v>233</v>
      </c>
      <c r="L688" s="3">
        <v>16.5</v>
      </c>
      <c r="M688" s="3">
        <v>17.32</v>
      </c>
      <c r="N688" s="3">
        <v>32.99</v>
      </c>
      <c r="O688" s="2" t="s">
        <v>196</v>
      </c>
      <c r="P688" s="2" t="s">
        <v>197</v>
      </c>
      <c r="Q688" s="2" t="s">
        <v>198</v>
      </c>
      <c r="R688" s="2" t="s">
        <v>199</v>
      </c>
      <c r="S688" s="2" t="s">
        <v>3692</v>
      </c>
      <c r="T688" s="2" t="s">
        <v>3659</v>
      </c>
      <c r="U688" s="2" t="s">
        <v>199</v>
      </c>
      <c r="V688" s="2" t="s">
        <v>202</v>
      </c>
      <c r="W688" s="2" t="s">
        <v>203</v>
      </c>
      <c r="X688" s="2" t="s">
        <v>199</v>
      </c>
      <c r="Y688" s="2" t="s">
        <v>3571</v>
      </c>
      <c r="Z688" s="4">
        <v>275</v>
      </c>
      <c r="AA688" s="4">
        <f>=ROUNDDOWN(45.8333333333333,0)</f>
      </c>
      <c r="AB688" s="5">
        <v>6</v>
      </c>
      <c r="AC688" s="2" t="s">
        <v>199</v>
      </c>
      <c r="AD688" s="4"/>
      <c r="AE688" s="4"/>
      <c r="AF688" s="6">
        <v>66</v>
      </c>
      <c r="AG688" s="6"/>
      <c r="AH688" s="7">
        <v>1</v>
      </c>
      <c r="AI688" s="4"/>
      <c r="AJ688" s="4">
        <f>=ROUNDDOWN({0},0)</f>
      </c>
      <c r="AK688" s="5"/>
      <c r="AL688" s="2" t="s">
        <v>199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199</v>
      </c>
      <c r="AW688" s="8" t="s">
        <v>199</v>
      </c>
      <c r="AX688" s="4" t="s">
        <v>199</v>
      </c>
      <c r="AY688" s="8" t="s">
        <v>199</v>
      </c>
      <c r="AZ688" s="7" t="s">
        <v>199</v>
      </c>
      <c r="BA688" s="7" t="s">
        <v>199</v>
      </c>
      <c r="BB688" s="7"/>
      <c r="BC688" s="4" t="s">
        <v>199</v>
      </c>
      <c r="BD688" s="8" t="s">
        <v>199</v>
      </c>
      <c r="BE688" s="4" t="s">
        <v>199</v>
      </c>
      <c r="BF688" s="8" t="s">
        <v>199</v>
      </c>
      <c r="BG688" s="7" t="s">
        <v>199</v>
      </c>
      <c r="BH688" s="7" t="s">
        <v>199</v>
      </c>
      <c r="BI688" s="7"/>
      <c r="BJ688" s="4">
        <v>9</v>
      </c>
      <c r="BK688" s="8">
        <v>153.35</v>
      </c>
      <c r="BL688" s="2" t="s">
        <v>3687</v>
      </c>
      <c r="BM688" s="7"/>
      <c r="BN688" s="7"/>
      <c r="BO688" s="4"/>
      <c r="BP688" s="8"/>
      <c r="BQ688" s="4"/>
      <c r="BR688" s="8"/>
      <c r="BS688" s="7"/>
      <c r="BT688" s="7"/>
      <c r="BU688" s="2" t="s">
        <v>3661</v>
      </c>
      <c r="BV688" s="2" t="s">
        <v>199</v>
      </c>
      <c r="BW688" s="2" t="s">
        <v>199</v>
      </c>
      <c r="BX688" s="2" t="s">
        <v>208</v>
      </c>
      <c r="BY688" s="2" t="s">
        <v>209</v>
      </c>
      <c r="BZ688" s="2" t="s">
        <v>196</v>
      </c>
      <c r="CA688" s="2" t="s">
        <v>3662</v>
      </c>
      <c r="CB688" s="2" t="s">
        <v>2018</v>
      </c>
      <c r="CC688" s="2" t="s">
        <v>212</v>
      </c>
      <c r="CD688" s="2" t="s">
        <v>199</v>
      </c>
      <c r="CE688" s="4">
        <v>275</v>
      </c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>
        <v>275</v>
      </c>
      <c r="EU688" s="4">
        <v>269</v>
      </c>
      <c r="EV688" s="4">
        <v>263</v>
      </c>
      <c r="EW688" s="4">
        <v>257</v>
      </c>
      <c r="EX688" s="4">
        <v>251</v>
      </c>
      <c r="EY688" s="4">
        <v>245</v>
      </c>
      <c r="EZ688" s="4">
        <v>239</v>
      </c>
      <c r="FA688" s="4">
        <v>233</v>
      </c>
      <c r="FB688" s="4">
        <v>226</v>
      </c>
      <c r="FC688" s="4">
        <v>220</v>
      </c>
      <c r="FD688" s="4">
        <v>214</v>
      </c>
      <c r="FE688" s="4">
        <v>208</v>
      </c>
      <c r="FF688" s="4">
        <v>202</v>
      </c>
      <c r="FG688" s="4">
        <v>196</v>
      </c>
      <c r="FH688" s="4">
        <v>190</v>
      </c>
      <c r="FI688" s="4">
        <v>184</v>
      </c>
      <c r="FJ688" s="4">
        <v>178</v>
      </c>
      <c r="FK688" s="4">
        <v>172</v>
      </c>
      <c r="FL688" s="4">
        <v>166</v>
      </c>
      <c r="FM688" s="4">
        <v>160</v>
      </c>
      <c r="FN688" s="4">
        <v>154</v>
      </c>
      <c r="FO688" s="4">
        <v>148</v>
      </c>
      <c r="FP688" s="4">
        <v>141</v>
      </c>
      <c r="FQ688" s="4">
        <v>135</v>
      </c>
      <c r="FR688" s="4">
        <v>192</v>
      </c>
      <c r="FS688" s="4">
        <v>186</v>
      </c>
      <c r="FT688" s="19">
        <v>45.8</v>
      </c>
      <c r="FU688" s="19">
        <v>44.8</v>
      </c>
      <c r="FV688" s="19">
        <v>43.8</v>
      </c>
      <c r="FW688" s="19">
        <v>42.8</v>
      </c>
      <c r="FX688" s="19">
        <v>41.8</v>
      </c>
      <c r="FY688" s="19">
        <v>40.8</v>
      </c>
      <c r="FZ688" s="19">
        <v>39.8</v>
      </c>
      <c r="GA688" s="19">
        <v>38.8</v>
      </c>
      <c r="GB688" s="19">
        <v>37.7</v>
      </c>
      <c r="GC688" s="19">
        <v>36.7</v>
      </c>
      <c r="GD688" s="19">
        <v>35.7</v>
      </c>
      <c r="GE688" s="19">
        <v>34.7</v>
      </c>
      <c r="GF688" s="19">
        <v>33.7</v>
      </c>
      <c r="GG688" s="19">
        <v>32.7</v>
      </c>
      <c r="GH688" s="19">
        <v>31.7</v>
      </c>
      <c r="GI688" s="19">
        <v>30.7</v>
      </c>
      <c r="GJ688" s="19">
        <v>29.7</v>
      </c>
      <c r="GK688" s="19">
        <v>28.7</v>
      </c>
      <c r="GL688" s="19">
        <v>27.7</v>
      </c>
      <c r="GM688" s="19">
        <v>26.7</v>
      </c>
      <c r="GN688" s="19">
        <v>25.7</v>
      </c>
      <c r="GO688" s="19">
        <v>24.7</v>
      </c>
      <c r="GP688" s="19">
        <v>23.5</v>
      </c>
      <c r="GQ688" s="19">
        <v>19.3</v>
      </c>
      <c r="GR688" s="19">
        <v>24</v>
      </c>
      <c r="GS688" s="19">
        <v>23.3</v>
      </c>
    </row>
    <row r="689">
      <c r="A689" s="2" t="s">
        <v>3695</v>
      </c>
      <c r="B689" s="2" t="s">
        <v>245</v>
      </c>
      <c r="C689" s="2" t="s">
        <v>1625</v>
      </c>
      <c r="D689" s="2" t="s">
        <v>247</v>
      </c>
      <c r="E689" s="2" t="s">
        <v>248</v>
      </c>
      <c r="F689" s="2" t="s">
        <v>3696</v>
      </c>
      <c r="G689" s="2" t="s">
        <v>3696</v>
      </c>
      <c r="H689" s="2" t="s">
        <v>3696</v>
      </c>
      <c r="I689" s="2" t="s">
        <v>3697</v>
      </c>
      <c r="J689" s="2" t="s">
        <v>223</v>
      </c>
      <c r="K689" s="2" t="s">
        <v>1115</v>
      </c>
      <c r="L689" s="3">
        <v>34.5</v>
      </c>
      <c r="M689" s="3">
        <v>36.22</v>
      </c>
      <c r="N689" s="3">
        <v>74.99</v>
      </c>
      <c r="O689" s="2" t="s">
        <v>196</v>
      </c>
      <c r="P689" s="2" t="s">
        <v>197</v>
      </c>
      <c r="Q689" s="2" t="s">
        <v>198</v>
      </c>
      <c r="R689" s="2" t="s">
        <v>199</v>
      </c>
      <c r="S689" s="2" t="s">
        <v>3698</v>
      </c>
      <c r="T689" s="2" t="s">
        <v>1322</v>
      </c>
      <c r="U689" s="2" t="s">
        <v>254</v>
      </c>
      <c r="V689" s="2" t="s">
        <v>202</v>
      </c>
      <c r="W689" s="2" t="s">
        <v>203</v>
      </c>
      <c r="X689" s="2" t="s">
        <v>199</v>
      </c>
      <c r="Y689" s="2" t="s">
        <v>891</v>
      </c>
      <c r="Z689" s="4">
        <v>2</v>
      </c>
      <c r="AA689" s="4">
        <f>=ROUNDDOWN(0.142857142857143,0)</f>
      </c>
      <c r="AB689" s="5">
        <v>14</v>
      </c>
      <c r="AC689" s="2" t="s">
        <v>199</v>
      </c>
      <c r="AD689" s="4"/>
      <c r="AE689" s="4"/>
      <c r="AF689" s="6">
        <v>65</v>
      </c>
      <c r="AG689" s="6"/>
      <c r="AH689" s="7">
        <v>0.4839</v>
      </c>
      <c r="AI689" s="4"/>
      <c r="AJ689" s="4">
        <f>=ROUNDDOWN({0},0)</f>
      </c>
      <c r="AK689" s="5"/>
      <c r="AL689" s="2" t="s">
        <v>199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199</v>
      </c>
      <c r="BD689" s="8" t="s">
        <v>199</v>
      </c>
      <c r="BE689" s="4" t="s">
        <v>199</v>
      </c>
      <c r="BF689" s="8" t="s">
        <v>199</v>
      </c>
      <c r="BG689" s="7" t="s">
        <v>199</v>
      </c>
      <c r="BH689" s="7" t="s">
        <v>199</v>
      </c>
      <c r="BI689" s="7"/>
      <c r="BJ689" s="4">
        <v>144</v>
      </c>
      <c r="BK689" s="8">
        <v>5385.02</v>
      </c>
      <c r="BL689" s="2" t="s">
        <v>3699</v>
      </c>
      <c r="BM689" s="7"/>
      <c r="BN689" s="7"/>
      <c r="BO689" s="4"/>
      <c r="BP689" s="8"/>
      <c r="BQ689" s="4"/>
      <c r="BR689" s="8"/>
      <c r="BS689" s="7"/>
      <c r="BT689" s="7"/>
      <c r="BU689" s="2" t="s">
        <v>3700</v>
      </c>
      <c r="BV689" s="2" t="s">
        <v>199</v>
      </c>
      <c r="BW689" s="2" t="s">
        <v>199</v>
      </c>
      <c r="BX689" s="2" t="s">
        <v>260</v>
      </c>
      <c r="BY689" s="2" t="s">
        <v>209</v>
      </c>
      <c r="BZ689" s="2" t="s">
        <v>196</v>
      </c>
      <c r="CA689" s="2" t="s">
        <v>1981</v>
      </c>
      <c r="CB689" s="2" t="s">
        <v>1443</v>
      </c>
      <c r="CC689" s="2" t="s">
        <v>212</v>
      </c>
      <c r="CD689" s="2" t="s">
        <v>199</v>
      </c>
      <c r="CE689" s="4"/>
      <c r="CF689" s="4">
        <v>2</v>
      </c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>
        <v>4</v>
      </c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>
        <v>141</v>
      </c>
      <c r="FR689" s="4">
        <v>123</v>
      </c>
      <c r="FS689" s="4">
        <v>119</v>
      </c>
      <c r="FT689" s="19">
        <v>1</v>
      </c>
      <c r="FU689" s="20">
        <v>0</v>
      </c>
      <c r="FV689" s="20">
        <v>0</v>
      </c>
      <c r="FW689" s="20">
        <v>0</v>
      </c>
      <c r="FX689" s="20">
        <v>0</v>
      </c>
      <c r="FY689" s="20">
        <v>0</v>
      </c>
      <c r="FZ689" s="20">
        <v>0</v>
      </c>
      <c r="GA689" s="20">
        <v>0</v>
      </c>
      <c r="GB689" s="20">
        <v>0</v>
      </c>
      <c r="GC689" s="20">
        <v>0</v>
      </c>
      <c r="GD689" s="20">
        <v>0</v>
      </c>
      <c r="GE689" s="20">
        <v>0</v>
      </c>
      <c r="GF689" s="20">
        <v>0</v>
      </c>
      <c r="GG689" s="20">
        <v>0</v>
      </c>
      <c r="GH689" s="20">
        <v>0</v>
      </c>
      <c r="GI689" s="20">
        <v>0</v>
      </c>
      <c r="GJ689" s="20">
        <v>0</v>
      </c>
      <c r="GK689" s="20">
        <v>0</v>
      </c>
      <c r="GL689" s="20">
        <v>0</v>
      </c>
      <c r="GM689" s="20">
        <v>0</v>
      </c>
      <c r="GN689" s="20">
        <v>0</v>
      </c>
      <c r="GO689" s="20">
        <v>0</v>
      </c>
      <c r="GP689" s="20">
        <v>0</v>
      </c>
      <c r="GQ689" s="19">
        <v>17.6</v>
      </c>
      <c r="GR689" s="19">
        <v>30.8</v>
      </c>
      <c r="GS689" s="19">
        <v>29.8</v>
      </c>
    </row>
    <row r="690">
      <c r="A690" s="2" t="s">
        <v>3701</v>
      </c>
      <c r="B690" s="2" t="s">
        <v>245</v>
      </c>
      <c r="C690" s="2" t="s">
        <v>1625</v>
      </c>
      <c r="D690" s="2" t="s">
        <v>247</v>
      </c>
      <c r="E690" s="2" t="s">
        <v>248</v>
      </c>
      <c r="F690" s="2" t="s">
        <v>3696</v>
      </c>
      <c r="G690" s="2" t="s">
        <v>3696</v>
      </c>
      <c r="H690" s="2" t="s">
        <v>3696</v>
      </c>
      <c r="I690" s="2" t="s">
        <v>3697</v>
      </c>
      <c r="J690" s="2" t="s">
        <v>219</v>
      </c>
      <c r="K690" s="2" t="s">
        <v>371</v>
      </c>
      <c r="L690" s="3">
        <v>28.35</v>
      </c>
      <c r="M690" s="3">
        <v>29.77</v>
      </c>
      <c r="N690" s="3">
        <v>62.99</v>
      </c>
      <c r="O690" s="2" t="s">
        <v>196</v>
      </c>
      <c r="P690" s="2" t="s">
        <v>951</v>
      </c>
      <c r="Q690" s="2" t="s">
        <v>198</v>
      </c>
      <c r="R690" s="2" t="s">
        <v>199</v>
      </c>
      <c r="S690" s="2" t="s">
        <v>3702</v>
      </c>
      <c r="T690" s="2" t="s">
        <v>1322</v>
      </c>
      <c r="U690" s="2" t="s">
        <v>254</v>
      </c>
      <c r="V690" s="2" t="s">
        <v>202</v>
      </c>
      <c r="W690" s="2" t="s">
        <v>203</v>
      </c>
      <c r="X690" s="2" t="s">
        <v>199</v>
      </c>
      <c r="Y690" s="2" t="s">
        <v>204</v>
      </c>
      <c r="Z690" s="4">
        <v>3206</v>
      </c>
      <c r="AA690" s="4">
        <f>=ROUNDDOWN(41.1025641025641,0)</f>
      </c>
      <c r="AB690" s="5">
        <v>78</v>
      </c>
      <c r="AC690" s="2" t="s">
        <v>199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199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199</v>
      </c>
      <c r="BD690" s="8" t="s">
        <v>199</v>
      </c>
      <c r="BE690" s="4" t="s">
        <v>199</v>
      </c>
      <c r="BF690" s="8" t="s">
        <v>199</v>
      </c>
      <c r="BG690" s="7" t="s">
        <v>199</v>
      </c>
      <c r="BH690" s="7" t="s">
        <v>199</v>
      </c>
      <c r="BI690" s="7"/>
      <c r="BJ690" s="4">
        <v>233</v>
      </c>
      <c r="BK690" s="8">
        <v>7015.23</v>
      </c>
      <c r="BL690" s="2" t="s">
        <v>3703</v>
      </c>
      <c r="BM690" s="7"/>
      <c r="BN690" s="7"/>
      <c r="BO690" s="4"/>
      <c r="BP690" s="8"/>
      <c r="BQ690" s="4"/>
      <c r="BR690" s="8"/>
      <c r="BS690" s="7"/>
      <c r="BT690" s="7"/>
      <c r="BU690" s="2" t="s">
        <v>3700</v>
      </c>
      <c r="BV690" s="2" t="s">
        <v>199</v>
      </c>
      <c r="BW690" s="2" t="s">
        <v>199</v>
      </c>
      <c r="BX690" s="2" t="s">
        <v>260</v>
      </c>
      <c r="BY690" s="2" t="s">
        <v>209</v>
      </c>
      <c r="BZ690" s="2" t="s">
        <v>196</v>
      </c>
      <c r="CA690" s="2" t="s">
        <v>3127</v>
      </c>
      <c r="CB690" s="2" t="s">
        <v>3704</v>
      </c>
      <c r="CC690" s="2" t="s">
        <v>212</v>
      </c>
      <c r="CD690" s="2" t="s">
        <v>199</v>
      </c>
      <c r="CE690" s="4">
        <v>2137</v>
      </c>
      <c r="CF690" s="4">
        <v>1069</v>
      </c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>
        <v>3215</v>
      </c>
      <c r="EU690" s="4">
        <v>3193</v>
      </c>
      <c r="EV690" s="4">
        <v>3163</v>
      </c>
      <c r="EW690" s="4">
        <v>3151</v>
      </c>
      <c r="EX690" s="4">
        <v>3128</v>
      </c>
      <c r="EY690" s="4">
        <v>3119</v>
      </c>
      <c r="EZ690" s="4">
        <v>3103</v>
      </c>
      <c r="FA690" s="4">
        <v>3087</v>
      </c>
      <c r="FB690" s="4">
        <v>3071</v>
      </c>
      <c r="FC690" s="4">
        <v>3055</v>
      </c>
      <c r="FD690" s="4">
        <v>3041</v>
      </c>
      <c r="FE690" s="4">
        <v>3027</v>
      </c>
      <c r="FF690" s="4">
        <v>3013</v>
      </c>
      <c r="FG690" s="4">
        <v>2999</v>
      </c>
      <c r="FH690" s="4">
        <v>2992</v>
      </c>
      <c r="FI690" s="4">
        <v>2985</v>
      </c>
      <c r="FJ690" s="4">
        <v>2978</v>
      </c>
      <c r="FK690" s="4">
        <v>2971</v>
      </c>
      <c r="FL690" s="4">
        <v>2964</v>
      </c>
      <c r="FM690" s="4">
        <v>2957</v>
      </c>
      <c r="FN690" s="4">
        <v>2938</v>
      </c>
      <c r="FO690" s="4">
        <v>2914</v>
      </c>
      <c r="FP690" s="4">
        <v>2890</v>
      </c>
      <c r="FQ690" s="4">
        <v>2866</v>
      </c>
      <c r="FR690" s="4">
        <v>2842</v>
      </c>
      <c r="FS690" s="4">
        <v>2818</v>
      </c>
      <c r="FT690" s="19">
        <v>146.1</v>
      </c>
      <c r="FU690" s="19">
        <v>177.4</v>
      </c>
      <c r="FV690" s="19">
        <v>210.9</v>
      </c>
      <c r="FW690" s="19">
        <v>196.9</v>
      </c>
      <c r="FX690" s="19">
        <v>223.4</v>
      </c>
      <c r="FY690" s="19">
        <v>194.9</v>
      </c>
      <c r="FZ690" s="19">
        <v>193.9</v>
      </c>
      <c r="GA690" s="19">
        <v>205.8</v>
      </c>
      <c r="GB690" s="19">
        <v>219.4</v>
      </c>
      <c r="GC690" s="19">
        <v>218.2</v>
      </c>
      <c r="GD690" s="19">
        <v>253.4</v>
      </c>
      <c r="GE690" s="19">
        <v>302.7</v>
      </c>
      <c r="GF690" s="19">
        <v>334.8</v>
      </c>
      <c r="GG690" s="19">
        <v>428.4</v>
      </c>
      <c r="GH690" s="19">
        <v>427.4</v>
      </c>
      <c r="GI690" s="19">
        <v>426.4</v>
      </c>
      <c r="GJ690" s="19">
        <v>297.8</v>
      </c>
      <c r="GK690" s="19">
        <v>212.2</v>
      </c>
      <c r="GL690" s="19">
        <v>164.7</v>
      </c>
      <c r="GM690" s="19">
        <v>128.6</v>
      </c>
      <c r="GN690" s="19">
        <v>122.4</v>
      </c>
      <c r="GO690" s="19">
        <v>121.4</v>
      </c>
      <c r="GP690" s="19">
        <v>120.4</v>
      </c>
      <c r="GQ690" s="19">
        <v>119.4</v>
      </c>
      <c r="GR690" s="19">
        <v>118.4</v>
      </c>
      <c r="GS690" s="19">
        <v>104.4</v>
      </c>
    </row>
    <row r="691">
      <c r="A691" s="2" t="s">
        <v>3705</v>
      </c>
      <c r="B691" s="2" t="s">
        <v>736</v>
      </c>
      <c r="C691" s="2" t="s">
        <v>1007</v>
      </c>
      <c r="D691" s="2" t="s">
        <v>631</v>
      </c>
      <c r="E691" s="2" t="s">
        <v>720</v>
      </c>
      <c r="F691" s="2" t="s">
        <v>1903</v>
      </c>
      <c r="G691" s="2" t="s">
        <v>2656</v>
      </c>
      <c r="H691" s="2" t="s">
        <v>3706</v>
      </c>
      <c r="I691" s="2" t="s">
        <v>3707</v>
      </c>
      <c r="J691" s="2" t="s">
        <v>232</v>
      </c>
      <c r="K691" s="2" t="s">
        <v>665</v>
      </c>
      <c r="L691" s="3">
        <v>28.57</v>
      </c>
      <c r="M691" s="3">
        <v>30</v>
      </c>
      <c r="N691" s="3">
        <v>59.99</v>
      </c>
      <c r="O691" s="2" t="s">
        <v>1130</v>
      </c>
      <c r="P691" s="2" t="s">
        <v>197</v>
      </c>
      <c r="Q691" s="2" t="s">
        <v>198</v>
      </c>
      <c r="R691" s="2" t="s">
        <v>199</v>
      </c>
      <c r="S691" s="2" t="s">
        <v>3708</v>
      </c>
      <c r="T691" s="2" t="s">
        <v>386</v>
      </c>
      <c r="U691" s="2" t="s">
        <v>254</v>
      </c>
      <c r="V691" s="2" t="s">
        <v>622</v>
      </c>
      <c r="W691" s="2" t="s">
        <v>510</v>
      </c>
      <c r="X691" s="2" t="s">
        <v>3709</v>
      </c>
      <c r="Y691" s="2" t="s">
        <v>3710</v>
      </c>
      <c r="Z691" s="4">
        <v>49</v>
      </c>
      <c r="AA691" s="4">
        <f>=ROUNDDOWN(18.8461538461538,0)</f>
      </c>
      <c r="AB691" s="5">
        <v>2.6</v>
      </c>
      <c r="AC691" s="2" t="s">
        <v>199</v>
      </c>
      <c r="AD691" s="4"/>
      <c r="AE691" s="4"/>
      <c r="AF691" s="6">
        <v>64</v>
      </c>
      <c r="AG691" s="6"/>
      <c r="AH691" s="7">
        <v>1</v>
      </c>
      <c r="AI691" s="4"/>
      <c r="AJ691" s="4">
        <f>=ROUNDDOWN({0},0)</f>
      </c>
      <c r="AK691" s="5"/>
      <c r="AL691" s="2" t="s">
        <v>199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29</v>
      </c>
      <c r="BK691" s="8">
        <v>938.3</v>
      </c>
      <c r="BL691" s="2" t="s">
        <v>779</v>
      </c>
      <c r="BM691" s="7"/>
      <c r="BN691" s="7"/>
      <c r="BO691" s="4"/>
      <c r="BP691" s="8"/>
      <c r="BQ691" s="4"/>
      <c r="BR691" s="8"/>
      <c r="BS691" s="7"/>
      <c r="BT691" s="7"/>
      <c r="BU691" s="2" t="s">
        <v>3711</v>
      </c>
      <c r="BV691" s="2" t="s">
        <v>199</v>
      </c>
      <c r="BW691" s="2" t="s">
        <v>199</v>
      </c>
      <c r="BX691" s="2" t="s">
        <v>208</v>
      </c>
      <c r="BY691" s="2" t="s">
        <v>209</v>
      </c>
      <c r="BZ691" s="2" t="s">
        <v>196</v>
      </c>
      <c r="CA691" s="2" t="s">
        <v>3712</v>
      </c>
      <c r="CB691" s="2" t="s">
        <v>3713</v>
      </c>
      <c r="CC691" s="2" t="s">
        <v>212</v>
      </c>
      <c r="CD691" s="2" t="s">
        <v>199</v>
      </c>
      <c r="CE691" s="4">
        <v>49</v>
      </c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>
        <v>55</v>
      </c>
      <c r="EU691" s="4">
        <v>47</v>
      </c>
      <c r="EV691" s="4">
        <v>45</v>
      </c>
      <c r="EW691" s="4">
        <v>43</v>
      </c>
      <c r="EX691" s="4">
        <v>41</v>
      </c>
      <c r="EY691" s="4">
        <v>39</v>
      </c>
      <c r="EZ691" s="4">
        <v>37</v>
      </c>
      <c r="FA691" s="4">
        <v>35</v>
      </c>
      <c r="FB691" s="4">
        <v>33</v>
      </c>
      <c r="FC691" s="4">
        <v>31</v>
      </c>
      <c r="FD691" s="4">
        <v>28</v>
      </c>
      <c r="FE691" s="4">
        <v>25</v>
      </c>
      <c r="FF691" s="4">
        <v>22</v>
      </c>
      <c r="FG691" s="4">
        <v>19</v>
      </c>
      <c r="FH691" s="4">
        <v>16</v>
      </c>
      <c r="FI691" s="4">
        <v>13</v>
      </c>
      <c r="FJ691" s="4">
        <v>10</v>
      </c>
      <c r="FK691" s="4">
        <v>7</v>
      </c>
      <c r="FL691" s="4">
        <v>4</v>
      </c>
      <c r="FM691" s="4">
        <v>1</v>
      </c>
      <c r="FN691" s="4"/>
      <c r="FO691" s="4"/>
      <c r="FP691" s="4">
        <v>188</v>
      </c>
      <c r="FQ691" s="4">
        <v>178</v>
      </c>
      <c r="FR691" s="4">
        <v>174</v>
      </c>
      <c r="FS691" s="4">
        <v>170</v>
      </c>
      <c r="FT691" s="19">
        <v>13.8</v>
      </c>
      <c r="FU691" s="19">
        <v>23.5</v>
      </c>
      <c r="FV691" s="19">
        <v>22.5</v>
      </c>
      <c r="FW691" s="19">
        <v>21.5</v>
      </c>
      <c r="FX691" s="19">
        <v>20.5</v>
      </c>
      <c r="FY691" s="19">
        <v>19.5</v>
      </c>
      <c r="FZ691" s="19">
        <v>18.5</v>
      </c>
      <c r="GA691" s="19">
        <v>17.5</v>
      </c>
      <c r="GB691" s="19">
        <v>11</v>
      </c>
      <c r="GC691" s="19">
        <v>10.3</v>
      </c>
      <c r="GD691" s="19">
        <v>9.3</v>
      </c>
      <c r="GE691" s="19">
        <v>8.3</v>
      </c>
      <c r="GF691" s="19">
        <v>7.3</v>
      </c>
      <c r="GG691" s="19">
        <v>6.3</v>
      </c>
      <c r="GH691" s="19">
        <v>5.3</v>
      </c>
      <c r="GI691" s="19">
        <v>4.3</v>
      </c>
      <c r="GJ691" s="19">
        <v>3.3</v>
      </c>
      <c r="GK691" s="19">
        <v>3.5</v>
      </c>
      <c r="GL691" s="19">
        <v>2</v>
      </c>
      <c r="GM691" s="19">
        <v>0.3</v>
      </c>
      <c r="GN691" s="20">
        <v>0</v>
      </c>
      <c r="GO691" s="20">
        <v>0</v>
      </c>
      <c r="GP691" s="19">
        <v>31.3</v>
      </c>
      <c r="GQ691" s="19">
        <v>44.5</v>
      </c>
      <c r="GR691" s="19">
        <v>34.8</v>
      </c>
      <c r="GS691" s="19">
        <v>28.3</v>
      </c>
    </row>
    <row r="692">
      <c r="A692" s="2" t="s">
        <v>3714</v>
      </c>
      <c r="B692" s="2" t="s">
        <v>613</v>
      </c>
      <c r="C692" s="2" t="s">
        <v>246</v>
      </c>
      <c r="D692" s="2" t="s">
        <v>2702</v>
      </c>
      <c r="E692" s="2" t="s">
        <v>2703</v>
      </c>
      <c r="F692" s="2" t="s">
        <v>3715</v>
      </c>
      <c r="G692" s="2" t="s">
        <v>3716</v>
      </c>
      <c r="H692" s="2" t="s">
        <v>3717</v>
      </c>
      <c r="I692" s="2" t="s">
        <v>3718</v>
      </c>
      <c r="J692" s="2" t="s">
        <v>559</v>
      </c>
      <c r="K692" s="2" t="s">
        <v>1037</v>
      </c>
      <c r="L692" s="3">
        <v>171</v>
      </c>
      <c r="M692" s="3">
        <v>179.55</v>
      </c>
      <c r="N692" s="3">
        <v>359</v>
      </c>
      <c r="O692" s="2" t="s">
        <v>196</v>
      </c>
      <c r="P692" s="2" t="s">
        <v>841</v>
      </c>
      <c r="Q692" s="2" t="s">
        <v>198</v>
      </c>
      <c r="R692" s="2" t="s">
        <v>199</v>
      </c>
      <c r="S692" s="2" t="s">
        <v>199</v>
      </c>
      <c r="T692" s="2" t="s">
        <v>199</v>
      </c>
      <c r="U692" s="2" t="s">
        <v>280</v>
      </c>
      <c r="V692" s="2" t="s">
        <v>202</v>
      </c>
      <c r="W692" s="2" t="s">
        <v>623</v>
      </c>
      <c r="X692" s="2" t="s">
        <v>817</v>
      </c>
      <c r="Y692" s="2" t="s">
        <v>3719</v>
      </c>
      <c r="Z692" s="4">
        <v>26</v>
      </c>
      <c r="AA692" s="4">
        <f>=ROUNDDOWN(26,0)</f>
      </c>
      <c r="AB692" s="5">
        <v>1</v>
      </c>
      <c r="AC692" s="2" t="s">
        <v>3720</v>
      </c>
      <c r="AD692" s="4">
        <v>48</v>
      </c>
      <c r="AE692" s="4">
        <v>98</v>
      </c>
      <c r="AF692" s="6">
        <v>66</v>
      </c>
      <c r="AG692" s="6"/>
      <c r="AH692" s="7">
        <v>1</v>
      </c>
      <c r="AI692" s="4"/>
      <c r="AJ692" s="4">
        <f>=ROUNDDOWN({0},0)</f>
      </c>
      <c r="AK692" s="5"/>
      <c r="AL692" s="2" t="s">
        <v>199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5</v>
      </c>
      <c r="BK692" s="8">
        <v>969.55</v>
      </c>
      <c r="BL692" s="2" t="s">
        <v>3721</v>
      </c>
      <c r="BM692" s="7"/>
      <c r="BN692" s="7"/>
      <c r="BO692" s="4"/>
      <c r="BP692" s="8"/>
      <c r="BQ692" s="4"/>
      <c r="BR692" s="8"/>
      <c r="BS692" s="7"/>
      <c r="BT692" s="7"/>
      <c r="BU692" s="2" t="s">
        <v>3722</v>
      </c>
      <c r="BV692" s="2" t="s">
        <v>199</v>
      </c>
      <c r="BW692" s="2" t="s">
        <v>199</v>
      </c>
      <c r="BX692" s="2" t="s">
        <v>208</v>
      </c>
      <c r="BY692" s="2" t="s">
        <v>209</v>
      </c>
      <c r="BZ692" s="2" t="s">
        <v>196</v>
      </c>
      <c r="CA692" s="2" t="s">
        <v>3723</v>
      </c>
      <c r="CB692" s="2" t="s">
        <v>3269</v>
      </c>
      <c r="CC692" s="2" t="s">
        <v>212</v>
      </c>
      <c r="CD692" s="2" t="s">
        <v>199</v>
      </c>
      <c r="CE692" s="4"/>
      <c r="CF692" s="4">
        <v>26</v>
      </c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>
        <v>48</v>
      </c>
      <c r="DW692" s="4"/>
      <c r="DX692" s="4"/>
      <c r="DY692" s="4">
        <v>50</v>
      </c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>
        <v>26</v>
      </c>
      <c r="EU692" s="4">
        <v>25</v>
      </c>
      <c r="EV692" s="4">
        <v>24</v>
      </c>
      <c r="EW692" s="4">
        <v>23</v>
      </c>
      <c r="EX692" s="4">
        <v>22</v>
      </c>
      <c r="EY692" s="4">
        <v>21</v>
      </c>
      <c r="EZ692" s="4">
        <v>20</v>
      </c>
      <c r="FA692" s="4">
        <v>19</v>
      </c>
      <c r="FB692" s="4">
        <v>18</v>
      </c>
      <c r="FC692" s="4">
        <v>65</v>
      </c>
      <c r="FD692" s="4">
        <v>114</v>
      </c>
      <c r="FE692" s="4">
        <v>113</v>
      </c>
      <c r="FF692" s="4">
        <v>112</v>
      </c>
      <c r="FG692" s="4">
        <v>111</v>
      </c>
      <c r="FH692" s="4">
        <v>110</v>
      </c>
      <c r="FI692" s="4">
        <v>109</v>
      </c>
      <c r="FJ692" s="4">
        <v>108</v>
      </c>
      <c r="FK692" s="4">
        <v>107</v>
      </c>
      <c r="FL692" s="4">
        <v>106</v>
      </c>
      <c r="FM692" s="4">
        <v>105</v>
      </c>
      <c r="FN692" s="4">
        <v>104</v>
      </c>
      <c r="FO692" s="4">
        <v>103</v>
      </c>
      <c r="FP692" s="4">
        <v>102</v>
      </c>
      <c r="FQ692" s="4">
        <v>101</v>
      </c>
      <c r="FR692" s="4">
        <v>100</v>
      </c>
      <c r="FS692" s="4">
        <v>99</v>
      </c>
      <c r="FT692" s="19">
        <v>26</v>
      </c>
      <c r="FU692" s="19">
        <v>25</v>
      </c>
      <c r="FV692" s="19">
        <v>24</v>
      </c>
      <c r="FW692" s="19">
        <v>23</v>
      </c>
      <c r="FX692" s="19">
        <v>22</v>
      </c>
      <c r="FY692" s="19">
        <v>21</v>
      </c>
      <c r="FZ692" s="19">
        <v>20</v>
      </c>
      <c r="GA692" s="19">
        <v>19</v>
      </c>
      <c r="GB692" s="19">
        <v>18</v>
      </c>
      <c r="GC692" s="19">
        <v>65</v>
      </c>
      <c r="GD692" s="19">
        <v>114</v>
      </c>
      <c r="GE692" s="19">
        <v>113</v>
      </c>
      <c r="GF692" s="19">
        <v>112</v>
      </c>
      <c r="GG692" s="19">
        <v>111</v>
      </c>
      <c r="GH692" s="19">
        <v>110</v>
      </c>
      <c r="GI692" s="19">
        <v>109</v>
      </c>
      <c r="GJ692" s="19">
        <v>108</v>
      </c>
      <c r="GK692" s="19">
        <v>107</v>
      </c>
      <c r="GL692" s="19">
        <v>106</v>
      </c>
      <c r="GM692" s="19">
        <v>105</v>
      </c>
      <c r="GN692" s="19">
        <v>104</v>
      </c>
      <c r="GO692" s="19">
        <v>103</v>
      </c>
      <c r="GP692" s="19">
        <v>102</v>
      </c>
      <c r="GQ692" s="19">
        <v>101</v>
      </c>
      <c r="GR692" s="19">
        <v>100</v>
      </c>
      <c r="GS692" s="19">
        <v>99</v>
      </c>
    </row>
    <row r="693">
      <c r="A693" s="2" t="s">
        <v>3724</v>
      </c>
      <c r="B693" s="2" t="s">
        <v>554</v>
      </c>
      <c r="C693" s="2" t="s">
        <v>246</v>
      </c>
      <c r="D693" s="2" t="s">
        <v>861</v>
      </c>
      <c r="E693" s="2" t="s">
        <v>862</v>
      </c>
      <c r="F693" s="2" t="s">
        <v>3725</v>
      </c>
      <c r="G693" s="2" t="s">
        <v>3725</v>
      </c>
      <c r="H693" s="2" t="s">
        <v>3725</v>
      </c>
      <c r="I693" s="2" t="s">
        <v>3726</v>
      </c>
      <c r="J693" s="2" t="s">
        <v>559</v>
      </c>
      <c r="K693" s="2" t="s">
        <v>3727</v>
      </c>
      <c r="L693" s="3">
        <v>6.66</v>
      </c>
      <c r="M693" s="3">
        <v>6.99</v>
      </c>
      <c r="N693" s="3">
        <v>19.99</v>
      </c>
      <c r="O693" s="2" t="s">
        <v>196</v>
      </c>
      <c r="P693" s="2" t="s">
        <v>841</v>
      </c>
      <c r="Q693" s="2" t="s">
        <v>198</v>
      </c>
      <c r="R693" s="2" t="s">
        <v>199</v>
      </c>
      <c r="S693" s="2" t="s">
        <v>199</v>
      </c>
      <c r="T693" s="2" t="s">
        <v>199</v>
      </c>
      <c r="U693" s="2" t="s">
        <v>280</v>
      </c>
      <c r="V693" s="2" t="s">
        <v>900</v>
      </c>
      <c r="W693" s="2" t="s">
        <v>203</v>
      </c>
      <c r="X693" s="2" t="s">
        <v>712</v>
      </c>
      <c r="Y693" s="2" t="s">
        <v>909</v>
      </c>
      <c r="Z693" s="4">
        <v>183</v>
      </c>
      <c r="AA693" s="4">
        <f>=ROUNDDOWN(36.6,0)</f>
      </c>
      <c r="AB693" s="5">
        <v>5</v>
      </c>
      <c r="AC693" s="2" t="s">
        <v>199</v>
      </c>
      <c r="AD693" s="4"/>
      <c r="AE693" s="4"/>
      <c r="AF693" s="6">
        <v>61</v>
      </c>
      <c r="AG693" s="6"/>
      <c r="AH693" s="7">
        <v>1</v>
      </c>
      <c r="AI693" s="4"/>
      <c r="AJ693" s="4">
        <f>=ROUNDDOWN({0},0)</f>
      </c>
      <c r="AK693" s="5"/>
      <c r="AL693" s="2" t="s">
        <v>199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9</v>
      </c>
      <c r="BK693" s="8">
        <v>69</v>
      </c>
      <c r="BL693" s="2" t="s">
        <v>495</v>
      </c>
      <c r="BM693" s="7"/>
      <c r="BN693" s="7"/>
      <c r="BO693" s="4"/>
      <c r="BP693" s="8"/>
      <c r="BQ693" s="4"/>
      <c r="BR693" s="8"/>
      <c r="BS693" s="7"/>
      <c r="BT693" s="7"/>
      <c r="BU693" s="2" t="s">
        <v>3728</v>
      </c>
      <c r="BV693" s="2" t="s">
        <v>199</v>
      </c>
      <c r="BW693" s="2" t="s">
        <v>199</v>
      </c>
      <c r="BX693" s="2" t="s">
        <v>208</v>
      </c>
      <c r="BY693" s="2" t="s">
        <v>209</v>
      </c>
      <c r="BZ693" s="2" t="s">
        <v>196</v>
      </c>
      <c r="CA693" s="2" t="s">
        <v>1960</v>
      </c>
      <c r="CB693" s="2" t="s">
        <v>199</v>
      </c>
      <c r="CC693" s="2" t="s">
        <v>212</v>
      </c>
      <c r="CD693" s="2" t="s">
        <v>199</v>
      </c>
      <c r="CE693" s="4"/>
      <c r="CF693" s="4">
        <v>183</v>
      </c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>
        <v>190</v>
      </c>
      <c r="EU693" s="4">
        <v>188</v>
      </c>
      <c r="EV693" s="4">
        <v>187</v>
      </c>
      <c r="EW693" s="4">
        <v>186</v>
      </c>
      <c r="EX693" s="4">
        <v>185</v>
      </c>
      <c r="EY693" s="4">
        <v>184</v>
      </c>
      <c r="EZ693" s="4">
        <v>183</v>
      </c>
      <c r="FA693" s="4">
        <v>182</v>
      </c>
      <c r="FB693" s="4">
        <v>181</v>
      </c>
      <c r="FC693" s="4">
        <v>178</v>
      </c>
      <c r="FD693" s="4">
        <v>173</v>
      </c>
      <c r="FE693" s="4">
        <v>168</v>
      </c>
      <c r="FF693" s="4">
        <v>163</v>
      </c>
      <c r="FG693" s="4">
        <v>158</v>
      </c>
      <c r="FH693" s="4">
        <v>153</v>
      </c>
      <c r="FI693" s="4">
        <v>147</v>
      </c>
      <c r="FJ693" s="4">
        <v>142</v>
      </c>
      <c r="FK693" s="4">
        <v>137</v>
      </c>
      <c r="FL693" s="4">
        <v>132</v>
      </c>
      <c r="FM693" s="4">
        <v>127</v>
      </c>
      <c r="FN693" s="4">
        <v>121</v>
      </c>
      <c r="FO693" s="4">
        <v>116</v>
      </c>
      <c r="FP693" s="4">
        <v>111</v>
      </c>
      <c r="FQ693" s="4">
        <v>106</v>
      </c>
      <c r="FR693" s="4">
        <v>101</v>
      </c>
      <c r="FS693" s="4">
        <v>96</v>
      </c>
      <c r="FT693" s="19">
        <v>190</v>
      </c>
      <c r="FU693" s="19">
        <v>188</v>
      </c>
      <c r="FV693" s="19">
        <v>187</v>
      </c>
      <c r="FW693" s="19">
        <v>186</v>
      </c>
      <c r="FX693" s="19">
        <v>185</v>
      </c>
      <c r="FY693" s="19">
        <v>92</v>
      </c>
      <c r="FZ693" s="19">
        <v>91.5</v>
      </c>
      <c r="GA693" s="19">
        <v>45.5</v>
      </c>
      <c r="GB693" s="19">
        <v>45.3</v>
      </c>
      <c r="GC693" s="19">
        <v>35.6</v>
      </c>
      <c r="GD693" s="19">
        <v>34.6</v>
      </c>
      <c r="GE693" s="19">
        <v>33.6</v>
      </c>
      <c r="GF693" s="19">
        <v>32.6</v>
      </c>
      <c r="GG693" s="19">
        <v>31.6</v>
      </c>
      <c r="GH693" s="19">
        <v>30.6</v>
      </c>
      <c r="GI693" s="19">
        <v>29.4</v>
      </c>
      <c r="GJ693" s="19">
        <v>28.4</v>
      </c>
      <c r="GK693" s="19">
        <v>27.4</v>
      </c>
      <c r="GL693" s="19">
        <v>26.4</v>
      </c>
      <c r="GM693" s="19">
        <v>25.4</v>
      </c>
      <c r="GN693" s="19">
        <v>24.2</v>
      </c>
      <c r="GO693" s="19">
        <v>23.2</v>
      </c>
      <c r="GP693" s="19">
        <v>22.2</v>
      </c>
      <c r="GQ693" s="19">
        <v>21.2</v>
      </c>
      <c r="GR693" s="19">
        <v>20.2</v>
      </c>
      <c r="GS693" s="19">
        <v>19.2</v>
      </c>
    </row>
    <row r="694">
      <c r="A694" s="2" t="s">
        <v>3729</v>
      </c>
      <c r="B694" s="2" t="s">
        <v>630</v>
      </c>
      <c r="C694" s="2" t="s">
        <v>719</v>
      </c>
      <c r="D694" s="2" t="s">
        <v>228</v>
      </c>
      <c r="E694" s="2" t="s">
        <v>487</v>
      </c>
      <c r="F694" s="2" t="s">
        <v>3730</v>
      </c>
      <c r="G694" s="2" t="s">
        <v>199</v>
      </c>
      <c r="H694" s="2" t="s">
        <v>199</v>
      </c>
      <c r="I694" s="2" t="s">
        <v>3731</v>
      </c>
      <c r="J694" s="2" t="s">
        <v>232</v>
      </c>
      <c r="K694" s="2" t="s">
        <v>723</v>
      </c>
      <c r="L694" s="3">
        <v>125</v>
      </c>
      <c r="M694" s="3">
        <v>131.24</v>
      </c>
      <c r="N694" s="3">
        <v>259.99</v>
      </c>
      <c r="O694" s="2" t="s">
        <v>196</v>
      </c>
      <c r="P694" s="2" t="s">
        <v>197</v>
      </c>
      <c r="Q694" s="2" t="s">
        <v>198</v>
      </c>
      <c r="R694" s="2" t="s">
        <v>199</v>
      </c>
      <c r="S694" s="2" t="s">
        <v>3732</v>
      </c>
      <c r="T694" s="2" t="s">
        <v>1093</v>
      </c>
      <c r="U694" s="2" t="s">
        <v>199</v>
      </c>
      <c r="V694" s="2" t="s">
        <v>3367</v>
      </c>
      <c r="W694" s="2" t="s">
        <v>1908</v>
      </c>
      <c r="X694" s="2" t="s">
        <v>1171</v>
      </c>
      <c r="Y694" s="2" t="s">
        <v>3733</v>
      </c>
      <c r="Z694" s="4">
        <v>115</v>
      </c>
      <c r="AA694" s="4">
        <f>=ROUNDDOWN(32.8571428571429,0)</f>
      </c>
      <c r="AB694" s="5">
        <v>3.5</v>
      </c>
      <c r="AC694" s="2" t="s">
        <v>199</v>
      </c>
      <c r="AD694" s="4"/>
      <c r="AE694" s="4"/>
      <c r="AF694" s="6">
        <v>69</v>
      </c>
      <c r="AG694" s="6"/>
      <c r="AH694" s="7">
        <v>1</v>
      </c>
      <c r="AI694" s="4"/>
      <c r="AJ694" s="4">
        <f>=ROUNDDOWN({0},0)</f>
      </c>
      <c r="AK694" s="5"/>
      <c r="AL694" s="2" t="s">
        <v>199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199</v>
      </c>
      <c r="BD694" s="8" t="s">
        <v>199</v>
      </c>
      <c r="BE694" s="4" t="s">
        <v>199</v>
      </c>
      <c r="BF694" s="8" t="s">
        <v>199</v>
      </c>
      <c r="BG694" s="7" t="s">
        <v>199</v>
      </c>
      <c r="BH694" s="7" t="s">
        <v>199</v>
      </c>
      <c r="BI694" s="7"/>
      <c r="BJ694" s="4">
        <v>17</v>
      </c>
      <c r="BK694" s="8">
        <v>2394.6</v>
      </c>
      <c r="BL694" s="2" t="s">
        <v>3734</v>
      </c>
      <c r="BM694" s="7"/>
      <c r="BN694" s="7"/>
      <c r="BO694" s="4"/>
      <c r="BP694" s="8"/>
      <c r="BQ694" s="4"/>
      <c r="BR694" s="8"/>
      <c r="BS694" s="7"/>
      <c r="BT694" s="7"/>
      <c r="BU694" s="2" t="s">
        <v>3735</v>
      </c>
      <c r="BV694" s="2" t="s">
        <v>199</v>
      </c>
      <c r="BW694" s="2" t="s">
        <v>199</v>
      </c>
      <c r="BX694" s="2" t="s">
        <v>208</v>
      </c>
      <c r="BY694" s="2" t="s">
        <v>209</v>
      </c>
      <c r="BZ694" s="2" t="s">
        <v>196</v>
      </c>
      <c r="CA694" s="2" t="s">
        <v>3736</v>
      </c>
      <c r="CB694" s="2" t="s">
        <v>3737</v>
      </c>
      <c r="CC694" s="2" t="s">
        <v>212</v>
      </c>
      <c r="CD694" s="2" t="s">
        <v>199</v>
      </c>
      <c r="CE694" s="4">
        <v>100</v>
      </c>
      <c r="CF694" s="4">
        <v>15</v>
      </c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>
        <v>119</v>
      </c>
      <c r="EU694" s="4">
        <v>114</v>
      </c>
      <c r="EV694" s="4">
        <v>111</v>
      </c>
      <c r="EW694" s="4">
        <v>108</v>
      </c>
      <c r="EX694" s="4">
        <v>105</v>
      </c>
      <c r="EY694" s="4">
        <v>102</v>
      </c>
      <c r="EZ694" s="4">
        <v>99</v>
      </c>
      <c r="FA694" s="4">
        <v>96</v>
      </c>
      <c r="FB694" s="4">
        <v>93</v>
      </c>
      <c r="FC694" s="4">
        <v>90</v>
      </c>
      <c r="FD694" s="4">
        <v>87</v>
      </c>
      <c r="FE694" s="4">
        <v>84</v>
      </c>
      <c r="FF694" s="4">
        <v>81</v>
      </c>
      <c r="FG694" s="4">
        <v>78</v>
      </c>
      <c r="FH694" s="4">
        <v>75</v>
      </c>
      <c r="FI694" s="4">
        <v>72</v>
      </c>
      <c r="FJ694" s="4">
        <v>69</v>
      </c>
      <c r="FK694" s="4">
        <v>66</v>
      </c>
      <c r="FL694" s="4">
        <v>63</v>
      </c>
      <c r="FM694" s="4">
        <v>60</v>
      </c>
      <c r="FN694" s="4">
        <v>57</v>
      </c>
      <c r="FO694" s="4">
        <v>54</v>
      </c>
      <c r="FP694" s="4">
        <v>51</v>
      </c>
      <c r="FQ694" s="4">
        <v>66</v>
      </c>
      <c r="FR694" s="4">
        <v>63</v>
      </c>
      <c r="FS694" s="4">
        <v>60</v>
      </c>
      <c r="FT694" s="19">
        <v>29.8</v>
      </c>
      <c r="FU694" s="19">
        <v>38</v>
      </c>
      <c r="FV694" s="19">
        <v>37</v>
      </c>
      <c r="FW694" s="19">
        <v>36</v>
      </c>
      <c r="FX694" s="19">
        <v>35</v>
      </c>
      <c r="FY694" s="19">
        <v>34</v>
      </c>
      <c r="FZ694" s="19">
        <v>33</v>
      </c>
      <c r="GA694" s="19">
        <v>32</v>
      </c>
      <c r="GB694" s="19">
        <v>31</v>
      </c>
      <c r="GC694" s="19">
        <v>30</v>
      </c>
      <c r="GD694" s="19">
        <v>29</v>
      </c>
      <c r="GE694" s="19">
        <v>28</v>
      </c>
      <c r="GF694" s="19">
        <v>27</v>
      </c>
      <c r="GG694" s="19">
        <v>26</v>
      </c>
      <c r="GH694" s="19">
        <v>25</v>
      </c>
      <c r="GI694" s="19">
        <v>24</v>
      </c>
      <c r="GJ694" s="19">
        <v>23</v>
      </c>
      <c r="GK694" s="19">
        <v>22</v>
      </c>
      <c r="GL694" s="19">
        <v>21</v>
      </c>
      <c r="GM694" s="19">
        <v>20</v>
      </c>
      <c r="GN694" s="19">
        <v>19</v>
      </c>
      <c r="GO694" s="19">
        <v>18</v>
      </c>
      <c r="GP694" s="19">
        <v>17</v>
      </c>
      <c r="GQ694" s="19">
        <v>22</v>
      </c>
      <c r="GR694" s="19">
        <v>21</v>
      </c>
      <c r="GS694" s="19">
        <v>20</v>
      </c>
    </row>
    <row r="695">
      <c r="A695" s="2" t="s">
        <v>3738</v>
      </c>
      <c r="B695" s="2" t="s">
        <v>630</v>
      </c>
      <c r="C695" s="2" t="s">
        <v>719</v>
      </c>
      <c r="D695" s="2" t="s">
        <v>1963</v>
      </c>
      <c r="E695" s="2" t="s">
        <v>1964</v>
      </c>
      <c r="F695" s="2" t="s">
        <v>3730</v>
      </c>
      <c r="G695" s="2" t="s">
        <v>199</v>
      </c>
      <c r="H695" s="2" t="s">
        <v>199</v>
      </c>
      <c r="I695" s="2" t="s">
        <v>3739</v>
      </c>
      <c r="J695" s="2" t="s">
        <v>1103</v>
      </c>
      <c r="K695" s="2" t="s">
        <v>233</v>
      </c>
      <c r="L695" s="3">
        <v>16.8</v>
      </c>
      <c r="M695" s="3">
        <v>17.63</v>
      </c>
      <c r="N695" s="3">
        <v>49.99</v>
      </c>
      <c r="O695" s="2" t="s">
        <v>196</v>
      </c>
      <c r="P695" s="2" t="s">
        <v>197</v>
      </c>
      <c r="Q695" s="2" t="s">
        <v>198</v>
      </c>
      <c r="R695" s="2" t="s">
        <v>199</v>
      </c>
      <c r="S695" s="2" t="s">
        <v>3732</v>
      </c>
      <c r="T695" s="2" t="s">
        <v>199</v>
      </c>
      <c r="U695" s="2" t="s">
        <v>199</v>
      </c>
      <c r="V695" s="2" t="s">
        <v>3367</v>
      </c>
      <c r="W695" s="2" t="s">
        <v>712</v>
      </c>
      <c r="X695" s="2" t="s">
        <v>1171</v>
      </c>
      <c r="Y695" s="2" t="s">
        <v>1589</v>
      </c>
      <c r="Z695" s="4">
        <v>173</v>
      </c>
      <c r="AA695" s="4">
        <f>=ROUNDDOWN(43.25,0)</f>
      </c>
      <c r="AB695" s="5">
        <v>4</v>
      </c>
      <c r="AC695" s="2" t="s">
        <v>199</v>
      </c>
      <c r="AD695" s="4"/>
      <c r="AE695" s="4"/>
      <c r="AF695" s="6">
        <v>64</v>
      </c>
      <c r="AG695" s="6"/>
      <c r="AH695" s="7">
        <v>1</v>
      </c>
      <c r="AI695" s="4"/>
      <c r="AJ695" s="4">
        <f>=ROUNDDOWN({0},0)</f>
      </c>
      <c r="AK695" s="5"/>
      <c r="AL695" s="2" t="s">
        <v>199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199</v>
      </c>
      <c r="BD695" s="8" t="s">
        <v>199</v>
      </c>
      <c r="BE695" s="4" t="s">
        <v>199</v>
      </c>
      <c r="BF695" s="8" t="s">
        <v>199</v>
      </c>
      <c r="BG695" s="7" t="s">
        <v>199</v>
      </c>
      <c r="BH695" s="7" t="s">
        <v>199</v>
      </c>
      <c r="BI695" s="7"/>
      <c r="BJ695" s="4">
        <v>15</v>
      </c>
      <c r="BK695" s="8">
        <v>265.43</v>
      </c>
      <c r="BL695" s="2" t="s">
        <v>2580</v>
      </c>
      <c r="BM695" s="7"/>
      <c r="BN695" s="7"/>
      <c r="BO695" s="4"/>
      <c r="BP695" s="8"/>
      <c r="BQ695" s="4"/>
      <c r="BR695" s="8"/>
      <c r="BS695" s="7"/>
      <c r="BT695" s="7"/>
      <c r="BU695" s="2" t="s">
        <v>3740</v>
      </c>
      <c r="BV695" s="2" t="s">
        <v>199</v>
      </c>
      <c r="BW695" s="2" t="s">
        <v>199</v>
      </c>
      <c r="BX695" s="2" t="s">
        <v>208</v>
      </c>
      <c r="BY695" s="2" t="s">
        <v>209</v>
      </c>
      <c r="BZ695" s="2" t="s">
        <v>196</v>
      </c>
      <c r="CA695" s="2" t="s">
        <v>3736</v>
      </c>
      <c r="CB695" s="2" t="s">
        <v>3741</v>
      </c>
      <c r="CC695" s="2" t="s">
        <v>212</v>
      </c>
      <c r="CD695" s="2" t="s">
        <v>199</v>
      </c>
      <c r="CE695" s="4">
        <v>173</v>
      </c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>
        <v>178</v>
      </c>
      <c r="EU695" s="4">
        <v>173</v>
      </c>
      <c r="EV695" s="4">
        <v>170</v>
      </c>
      <c r="EW695" s="4">
        <v>168</v>
      </c>
      <c r="EX695" s="4">
        <v>166</v>
      </c>
      <c r="EY695" s="4">
        <v>163</v>
      </c>
      <c r="EZ695" s="4">
        <v>160</v>
      </c>
      <c r="FA695" s="4">
        <v>156</v>
      </c>
      <c r="FB695" s="4">
        <v>152</v>
      </c>
      <c r="FC695" s="4">
        <v>148</v>
      </c>
      <c r="FD695" s="4">
        <v>144</v>
      </c>
      <c r="FE695" s="4">
        <v>140</v>
      </c>
      <c r="FF695" s="4">
        <v>136</v>
      </c>
      <c r="FG695" s="4">
        <v>132</v>
      </c>
      <c r="FH695" s="4">
        <v>128</v>
      </c>
      <c r="FI695" s="4">
        <v>124</v>
      </c>
      <c r="FJ695" s="4">
        <v>120</v>
      </c>
      <c r="FK695" s="4">
        <v>116</v>
      </c>
      <c r="FL695" s="4">
        <v>112</v>
      </c>
      <c r="FM695" s="4">
        <v>108</v>
      </c>
      <c r="FN695" s="4">
        <v>104</v>
      </c>
      <c r="FO695" s="4">
        <v>100</v>
      </c>
      <c r="FP695" s="4">
        <v>96</v>
      </c>
      <c r="FQ695" s="4">
        <v>93</v>
      </c>
      <c r="FR695" s="4">
        <v>89</v>
      </c>
      <c r="FS695" s="4">
        <v>85</v>
      </c>
      <c r="FT695" s="19">
        <v>59.3</v>
      </c>
      <c r="FU695" s="19">
        <v>86.5</v>
      </c>
      <c r="FV695" s="19">
        <v>85</v>
      </c>
      <c r="FW695" s="19">
        <v>56</v>
      </c>
      <c r="FX695" s="19">
        <v>41.5</v>
      </c>
      <c r="FY695" s="19">
        <v>40.8</v>
      </c>
      <c r="FZ695" s="19">
        <v>40</v>
      </c>
      <c r="GA695" s="19">
        <v>39</v>
      </c>
      <c r="GB695" s="19">
        <v>38</v>
      </c>
      <c r="GC695" s="19">
        <v>37</v>
      </c>
      <c r="GD695" s="19">
        <v>36</v>
      </c>
      <c r="GE695" s="19">
        <v>35</v>
      </c>
      <c r="GF695" s="19">
        <v>34</v>
      </c>
      <c r="GG695" s="19">
        <v>33</v>
      </c>
      <c r="GH695" s="19">
        <v>32</v>
      </c>
      <c r="GI695" s="19">
        <v>31</v>
      </c>
      <c r="GJ695" s="19">
        <v>30</v>
      </c>
      <c r="GK695" s="19">
        <v>29</v>
      </c>
      <c r="GL695" s="19">
        <v>28</v>
      </c>
      <c r="GM695" s="19">
        <v>27</v>
      </c>
      <c r="GN695" s="19">
        <v>26</v>
      </c>
      <c r="GO695" s="19">
        <v>25</v>
      </c>
      <c r="GP695" s="19">
        <v>24</v>
      </c>
      <c r="GQ695" s="19">
        <v>23.3</v>
      </c>
      <c r="GR695" s="19">
        <v>22.3</v>
      </c>
      <c r="GS695" s="19">
        <v>21.3</v>
      </c>
    </row>
    <row r="696">
      <c r="A696" s="2" t="s">
        <v>3742</v>
      </c>
      <c r="B696" s="2" t="s">
        <v>883</v>
      </c>
      <c r="C696" s="2" t="s">
        <v>884</v>
      </c>
      <c r="D696" s="2" t="s">
        <v>885</v>
      </c>
      <c r="E696" s="2" t="s">
        <v>886</v>
      </c>
      <c r="F696" s="2" t="s">
        <v>3743</v>
      </c>
      <c r="G696" s="2" t="s">
        <v>3743</v>
      </c>
      <c r="H696" s="2" t="s">
        <v>3743</v>
      </c>
      <c r="I696" s="2" t="s">
        <v>3744</v>
      </c>
      <c r="J696" s="2" t="s">
        <v>3745</v>
      </c>
      <c r="K696" s="2" t="s">
        <v>3746</v>
      </c>
      <c r="L696" s="3">
        <v>23.5</v>
      </c>
      <c r="M696" s="3">
        <v>24.68</v>
      </c>
      <c r="N696" s="3">
        <v>49.99</v>
      </c>
      <c r="O696" s="2" t="s">
        <v>196</v>
      </c>
      <c r="P696" s="2" t="s">
        <v>841</v>
      </c>
      <c r="Q696" s="2" t="s">
        <v>198</v>
      </c>
      <c r="R696" s="2" t="s">
        <v>199</v>
      </c>
      <c r="S696" s="2" t="s">
        <v>199</v>
      </c>
      <c r="T696" s="2" t="s">
        <v>199</v>
      </c>
      <c r="U696" s="2" t="s">
        <v>280</v>
      </c>
      <c r="V696" s="2" t="s">
        <v>493</v>
      </c>
      <c r="W696" s="2" t="s">
        <v>199</v>
      </c>
      <c r="X696" s="2" t="s">
        <v>199</v>
      </c>
      <c r="Y696" s="2" t="s">
        <v>3747</v>
      </c>
      <c r="Z696" s="4">
        <v>721</v>
      </c>
      <c r="AA696" s="4">
        <f>=ROUNDDOWN(144.2,0)</f>
      </c>
      <c r="AB696" s="5">
        <v>5</v>
      </c>
      <c r="AC696" s="2" t="s">
        <v>199</v>
      </c>
      <c r="AD696" s="4"/>
      <c r="AE696" s="4"/>
      <c r="AF696" s="6">
        <v>64</v>
      </c>
      <c r="AG696" s="6"/>
      <c r="AH696" s="7">
        <v>1</v>
      </c>
      <c r="AI696" s="4"/>
      <c r="AJ696" s="4">
        <f>=ROUNDDOWN({0},0)</f>
      </c>
      <c r="AK696" s="5"/>
      <c r="AL696" s="2" t="s">
        <v>199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49</v>
      </c>
      <c r="BK696" s="8">
        <v>1114.86</v>
      </c>
      <c r="BL696" s="2" t="s">
        <v>2664</v>
      </c>
      <c r="BM696" s="7"/>
      <c r="BN696" s="7"/>
      <c r="BO696" s="4"/>
      <c r="BP696" s="8"/>
      <c r="BQ696" s="4"/>
      <c r="BR696" s="8"/>
      <c r="BS696" s="7"/>
      <c r="BT696" s="7"/>
      <c r="BU696" s="2" t="s">
        <v>3748</v>
      </c>
      <c r="BV696" s="2" t="s">
        <v>199</v>
      </c>
      <c r="BW696" s="2" t="s">
        <v>199</v>
      </c>
      <c r="BX696" s="2" t="s">
        <v>208</v>
      </c>
      <c r="BY696" s="2" t="s">
        <v>209</v>
      </c>
      <c r="BZ696" s="2" t="s">
        <v>196</v>
      </c>
      <c r="CA696" s="2" t="s">
        <v>2245</v>
      </c>
      <c r="CB696" s="2" t="s">
        <v>2661</v>
      </c>
      <c r="CC696" s="2" t="s">
        <v>212</v>
      </c>
      <c r="CD696" s="2" t="s">
        <v>199</v>
      </c>
      <c r="CE696" s="4"/>
      <c r="CF696" s="4">
        <v>721</v>
      </c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>
        <v>731</v>
      </c>
      <c r="EU696" s="4">
        <v>721</v>
      </c>
      <c r="EV696" s="4">
        <v>716</v>
      </c>
      <c r="EW696" s="4">
        <v>710</v>
      </c>
      <c r="EX696" s="4">
        <v>704</v>
      </c>
      <c r="EY696" s="4">
        <v>698</v>
      </c>
      <c r="EZ696" s="4">
        <v>693</v>
      </c>
      <c r="FA696" s="4">
        <v>688</v>
      </c>
      <c r="FB696" s="4">
        <v>683</v>
      </c>
      <c r="FC696" s="4">
        <v>678</v>
      </c>
      <c r="FD696" s="4">
        <v>673</v>
      </c>
      <c r="FE696" s="4">
        <v>668</v>
      </c>
      <c r="FF696" s="4">
        <v>663</v>
      </c>
      <c r="FG696" s="4">
        <v>658</v>
      </c>
      <c r="FH696" s="4">
        <v>653</v>
      </c>
      <c r="FI696" s="4">
        <v>648</v>
      </c>
      <c r="FJ696" s="4">
        <v>643</v>
      </c>
      <c r="FK696" s="4">
        <v>638</v>
      </c>
      <c r="FL696" s="4">
        <v>633</v>
      </c>
      <c r="FM696" s="4">
        <v>628</v>
      </c>
      <c r="FN696" s="4">
        <v>623</v>
      </c>
      <c r="FO696" s="4">
        <v>618</v>
      </c>
      <c r="FP696" s="4">
        <v>613</v>
      </c>
      <c r="FQ696" s="4">
        <v>608</v>
      </c>
      <c r="FR696" s="4">
        <v>603</v>
      </c>
      <c r="FS696" s="4">
        <v>598</v>
      </c>
      <c r="FT696" s="19">
        <v>104.4</v>
      </c>
      <c r="FU696" s="19">
        <v>120.2</v>
      </c>
      <c r="FV696" s="19">
        <v>119.3</v>
      </c>
      <c r="FW696" s="19">
        <v>118.3</v>
      </c>
      <c r="FX696" s="19">
        <v>140.8</v>
      </c>
      <c r="FY696" s="19">
        <v>139.6</v>
      </c>
      <c r="FZ696" s="19">
        <v>138.6</v>
      </c>
      <c r="GA696" s="19">
        <v>137.6</v>
      </c>
      <c r="GB696" s="19">
        <v>136.6</v>
      </c>
      <c r="GC696" s="19">
        <v>135.6</v>
      </c>
      <c r="GD696" s="19">
        <v>134.6</v>
      </c>
      <c r="GE696" s="19">
        <v>133.6</v>
      </c>
      <c r="GF696" s="19">
        <v>132.6</v>
      </c>
      <c r="GG696" s="19">
        <v>131.6</v>
      </c>
      <c r="GH696" s="19">
        <v>130.6</v>
      </c>
      <c r="GI696" s="19">
        <v>129.6</v>
      </c>
      <c r="GJ696" s="19">
        <v>128.6</v>
      </c>
      <c r="GK696" s="19">
        <v>127.6</v>
      </c>
      <c r="GL696" s="19">
        <v>126.6</v>
      </c>
      <c r="GM696" s="19">
        <v>125.6</v>
      </c>
      <c r="GN696" s="19">
        <v>124.6</v>
      </c>
      <c r="GO696" s="19">
        <v>123.6</v>
      </c>
      <c r="GP696" s="19">
        <v>122.6</v>
      </c>
      <c r="GQ696" s="19">
        <v>121.6</v>
      </c>
      <c r="GR696" s="19">
        <v>120.6</v>
      </c>
      <c r="GS696" s="19">
        <v>119.6</v>
      </c>
    </row>
    <row r="697">
      <c r="A697" s="2" t="s">
        <v>3749</v>
      </c>
      <c r="B697" s="2" t="s">
        <v>736</v>
      </c>
      <c r="C697" s="2" t="s">
        <v>3750</v>
      </c>
      <c r="D697" s="2" t="s">
        <v>228</v>
      </c>
      <c r="E697" s="2" t="s">
        <v>487</v>
      </c>
      <c r="F697" s="2" t="s">
        <v>3751</v>
      </c>
      <c r="G697" s="2" t="s">
        <v>3752</v>
      </c>
      <c r="H697" s="2" t="s">
        <v>3753</v>
      </c>
      <c r="I697" s="2" t="s">
        <v>3754</v>
      </c>
      <c r="J697" s="2" t="s">
        <v>232</v>
      </c>
      <c r="K697" s="2" t="s">
        <v>2800</v>
      </c>
      <c r="L697" s="3">
        <v>38.09</v>
      </c>
      <c r="M697" s="3">
        <v>39.99</v>
      </c>
      <c r="N697" s="3">
        <v>79.99</v>
      </c>
      <c r="O697" s="2" t="s">
        <v>196</v>
      </c>
      <c r="P697" s="2" t="s">
        <v>197</v>
      </c>
      <c r="Q697" s="2" t="s">
        <v>198</v>
      </c>
      <c r="R697" s="2" t="s">
        <v>199</v>
      </c>
      <c r="S697" s="2" t="s">
        <v>3755</v>
      </c>
      <c r="T697" s="2" t="s">
        <v>386</v>
      </c>
      <c r="U697" s="2" t="s">
        <v>254</v>
      </c>
      <c r="V697" s="2" t="s">
        <v>202</v>
      </c>
      <c r="W697" s="2" t="s">
        <v>203</v>
      </c>
      <c r="X697" s="2" t="s">
        <v>199</v>
      </c>
      <c r="Y697" s="2" t="s">
        <v>3756</v>
      </c>
      <c r="Z697" s="4">
        <v>166</v>
      </c>
      <c r="AA697" s="4">
        <f>=ROUNDDOWN(11.8571428571429,0)</f>
      </c>
      <c r="AB697" s="5">
        <v>14</v>
      </c>
      <c r="AC697" s="2" t="s">
        <v>776</v>
      </c>
      <c r="AD697" s="4">
        <v>100</v>
      </c>
      <c r="AE697" s="4">
        <v>360</v>
      </c>
      <c r="AF697" s="6">
        <v>65</v>
      </c>
      <c r="AG697" s="6"/>
      <c r="AH697" s="7">
        <v>0.1613</v>
      </c>
      <c r="AI697" s="4"/>
      <c r="AJ697" s="4">
        <f>=ROUNDDOWN({0},0)</f>
      </c>
      <c r="AK697" s="5"/>
      <c r="AL697" s="2" t="s">
        <v>199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20</v>
      </c>
      <c r="BK697" s="8">
        <v>876</v>
      </c>
      <c r="BL697" s="2" t="s">
        <v>684</v>
      </c>
      <c r="BM697" s="7"/>
      <c r="BN697" s="7"/>
      <c r="BO697" s="4"/>
      <c r="BP697" s="8"/>
      <c r="BQ697" s="4"/>
      <c r="BR697" s="8"/>
      <c r="BS697" s="7"/>
      <c r="BT697" s="7"/>
      <c r="BU697" s="2" t="s">
        <v>3757</v>
      </c>
      <c r="BV697" s="2" t="s">
        <v>199</v>
      </c>
      <c r="BW697" s="2" t="s">
        <v>199</v>
      </c>
      <c r="BX697" s="2" t="s">
        <v>260</v>
      </c>
      <c r="BY697" s="2" t="s">
        <v>209</v>
      </c>
      <c r="BZ697" s="2" t="s">
        <v>196</v>
      </c>
      <c r="CA697" s="2" t="s">
        <v>3758</v>
      </c>
      <c r="CB697" s="2" t="s">
        <v>3759</v>
      </c>
      <c r="CC697" s="2" t="s">
        <v>212</v>
      </c>
      <c r="CD697" s="2" t="s">
        <v>199</v>
      </c>
      <c r="CE697" s="4">
        <v>166</v>
      </c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>
        <v>100</v>
      </c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>
        <v>160</v>
      </c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>
        <v>100</v>
      </c>
      <c r="ET697" s="4">
        <v>200</v>
      </c>
      <c r="EU697" s="4">
        <v>157</v>
      </c>
      <c r="EV697" s="4">
        <v>146</v>
      </c>
      <c r="EW697" s="4">
        <v>135</v>
      </c>
      <c r="EX697" s="4">
        <v>224</v>
      </c>
      <c r="EY697" s="4">
        <v>213</v>
      </c>
      <c r="EZ697" s="4">
        <v>202</v>
      </c>
      <c r="FA697" s="4">
        <v>189</v>
      </c>
      <c r="FB697" s="4">
        <v>174</v>
      </c>
      <c r="FC697" s="4">
        <v>160</v>
      </c>
      <c r="FD697" s="4">
        <v>305</v>
      </c>
      <c r="FE697" s="4">
        <v>290</v>
      </c>
      <c r="FF697" s="4">
        <v>275</v>
      </c>
      <c r="FG697" s="4">
        <v>260</v>
      </c>
      <c r="FH697" s="4">
        <v>246</v>
      </c>
      <c r="FI697" s="4">
        <v>232</v>
      </c>
      <c r="FJ697" s="4">
        <v>218</v>
      </c>
      <c r="FK697" s="4">
        <v>204</v>
      </c>
      <c r="FL697" s="4">
        <v>191</v>
      </c>
      <c r="FM697" s="4">
        <v>178</v>
      </c>
      <c r="FN697" s="4">
        <v>264</v>
      </c>
      <c r="FO697" s="4">
        <v>250</v>
      </c>
      <c r="FP697" s="4">
        <v>235</v>
      </c>
      <c r="FQ697" s="4">
        <v>221</v>
      </c>
      <c r="FR697" s="4">
        <v>207</v>
      </c>
      <c r="FS697" s="4">
        <v>193</v>
      </c>
      <c r="FT697" s="19">
        <v>10.5</v>
      </c>
      <c r="FU697" s="19">
        <v>14.3</v>
      </c>
      <c r="FV697" s="19">
        <v>13.3</v>
      </c>
      <c r="FW697" s="19">
        <v>11.3</v>
      </c>
      <c r="FX697" s="19">
        <v>18.7</v>
      </c>
      <c r="FY697" s="19">
        <v>16.4</v>
      </c>
      <c r="FZ697" s="19">
        <v>14.4</v>
      </c>
      <c r="GA697" s="19">
        <v>12.6</v>
      </c>
      <c r="GB697" s="19">
        <v>11.6</v>
      </c>
      <c r="GC697" s="19">
        <v>10.7</v>
      </c>
      <c r="GD697" s="19">
        <v>20.3</v>
      </c>
      <c r="GE697" s="19">
        <v>20.7</v>
      </c>
      <c r="GF697" s="19">
        <v>19.6</v>
      </c>
      <c r="GG697" s="19">
        <v>18.6</v>
      </c>
      <c r="GH697" s="19">
        <v>17.6</v>
      </c>
      <c r="GI697" s="19">
        <v>16.6</v>
      </c>
      <c r="GJ697" s="19">
        <v>15.6</v>
      </c>
      <c r="GK697" s="19">
        <v>14.6</v>
      </c>
      <c r="GL697" s="19">
        <v>13.6</v>
      </c>
      <c r="GM697" s="19">
        <v>12.7</v>
      </c>
      <c r="GN697" s="19">
        <v>18.9</v>
      </c>
      <c r="GO697" s="19">
        <v>17.9</v>
      </c>
      <c r="GP697" s="19">
        <v>16.8</v>
      </c>
      <c r="GQ697" s="19">
        <v>14.7</v>
      </c>
      <c r="GR697" s="19">
        <v>12.9</v>
      </c>
      <c r="GS697" s="19">
        <v>11.4</v>
      </c>
    </row>
    <row r="698">
      <c r="A698" s="2" t="s">
        <v>3760</v>
      </c>
      <c r="B698" s="2" t="s">
        <v>630</v>
      </c>
      <c r="C698" s="2" t="s">
        <v>246</v>
      </c>
      <c r="D698" s="2" t="s">
        <v>759</v>
      </c>
      <c r="E698" s="2" t="s">
        <v>3023</v>
      </c>
      <c r="F698" s="2" t="s">
        <v>3761</v>
      </c>
      <c r="G698" s="2" t="s">
        <v>3762</v>
      </c>
      <c r="H698" s="2" t="s">
        <v>3763</v>
      </c>
      <c r="I698" s="2" t="s">
        <v>3764</v>
      </c>
      <c r="J698" s="2" t="s">
        <v>241</v>
      </c>
      <c r="K698" s="2" t="s">
        <v>3765</v>
      </c>
      <c r="L698" s="3">
        <v>42.3</v>
      </c>
      <c r="M698" s="3">
        <v>44.41</v>
      </c>
      <c r="N698" s="3">
        <v>89.99</v>
      </c>
      <c r="O698" s="2" t="s">
        <v>196</v>
      </c>
      <c r="P698" s="2" t="s">
        <v>197</v>
      </c>
      <c r="Q698" s="2" t="s">
        <v>198</v>
      </c>
      <c r="R698" s="2" t="s">
        <v>199</v>
      </c>
      <c r="S698" s="2" t="s">
        <v>3766</v>
      </c>
      <c r="T698" s="2" t="s">
        <v>386</v>
      </c>
      <c r="U698" s="2" t="s">
        <v>637</v>
      </c>
      <c r="V698" s="2" t="s">
        <v>681</v>
      </c>
      <c r="W698" s="2" t="s">
        <v>1094</v>
      </c>
      <c r="X698" s="2" t="s">
        <v>2568</v>
      </c>
      <c r="Y698" s="2" t="s">
        <v>3767</v>
      </c>
      <c r="Z698" s="4">
        <v>662</v>
      </c>
      <c r="AA698" s="4">
        <f>=ROUNDDOWN(38.4883720930233,0)</f>
      </c>
      <c r="AB698" s="5">
        <v>17.2</v>
      </c>
      <c r="AC698" s="2" t="s">
        <v>199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199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199</v>
      </c>
      <c r="BD698" s="8" t="s">
        <v>199</v>
      </c>
      <c r="BE698" s="4" t="s">
        <v>199</v>
      </c>
      <c r="BF698" s="8" t="s">
        <v>199</v>
      </c>
      <c r="BG698" s="7" t="s">
        <v>199</v>
      </c>
      <c r="BH698" s="7" t="s">
        <v>199</v>
      </c>
      <c r="BI698" s="7"/>
      <c r="BJ698" s="4">
        <v>303</v>
      </c>
      <c r="BK698" s="8">
        <v>12801.25</v>
      </c>
      <c r="BL698" s="2" t="s">
        <v>3768</v>
      </c>
      <c r="BM698" s="7"/>
      <c r="BN698" s="7"/>
      <c r="BO698" s="4"/>
      <c r="BP698" s="8"/>
      <c r="BQ698" s="4"/>
      <c r="BR698" s="8"/>
      <c r="BS698" s="7"/>
      <c r="BT698" s="7"/>
      <c r="BU698" s="2" t="s">
        <v>3769</v>
      </c>
      <c r="BV698" s="2" t="s">
        <v>199</v>
      </c>
      <c r="BW698" s="2" t="s">
        <v>199</v>
      </c>
      <c r="BX698" s="2" t="s">
        <v>208</v>
      </c>
      <c r="BY698" s="2" t="s">
        <v>209</v>
      </c>
      <c r="BZ698" s="2" t="s">
        <v>196</v>
      </c>
      <c r="CA698" s="2" t="s">
        <v>3235</v>
      </c>
      <c r="CB698" s="2" t="s">
        <v>3770</v>
      </c>
      <c r="CC698" s="2" t="s">
        <v>212</v>
      </c>
      <c r="CD698" s="2" t="s">
        <v>199</v>
      </c>
      <c r="CE698" s="4"/>
      <c r="CF698" s="4">
        <v>662</v>
      </c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>
        <v>708</v>
      </c>
      <c r="EU698" s="4">
        <v>612</v>
      </c>
      <c r="EV698" s="4">
        <v>573</v>
      </c>
      <c r="EW698" s="4">
        <v>534</v>
      </c>
      <c r="EX698" s="4">
        <v>495</v>
      </c>
      <c r="EY698" s="4">
        <v>456</v>
      </c>
      <c r="EZ698" s="4">
        <v>438</v>
      </c>
      <c r="FA698" s="4">
        <v>420</v>
      </c>
      <c r="FB698" s="4">
        <v>400</v>
      </c>
      <c r="FC698" s="4">
        <v>382</v>
      </c>
      <c r="FD698" s="4">
        <v>364</v>
      </c>
      <c r="FE698" s="4">
        <v>346</v>
      </c>
      <c r="FF698" s="4">
        <v>328</v>
      </c>
      <c r="FG698" s="4">
        <v>310</v>
      </c>
      <c r="FH698" s="4">
        <v>292</v>
      </c>
      <c r="FI698" s="4">
        <v>274</v>
      </c>
      <c r="FJ698" s="4">
        <v>256</v>
      </c>
      <c r="FK698" s="4">
        <v>238</v>
      </c>
      <c r="FL698" s="4">
        <v>220</v>
      </c>
      <c r="FM698" s="4">
        <v>202</v>
      </c>
      <c r="FN698" s="4">
        <v>184</v>
      </c>
      <c r="FO698" s="4">
        <v>166</v>
      </c>
      <c r="FP698" s="4">
        <v>146</v>
      </c>
      <c r="FQ698" s="4">
        <v>128</v>
      </c>
      <c r="FR698" s="4">
        <v>110</v>
      </c>
      <c r="FS698" s="4">
        <v>92</v>
      </c>
      <c r="FT698" s="19">
        <v>13.4</v>
      </c>
      <c r="FU698" s="19">
        <v>15.7</v>
      </c>
      <c r="FV698" s="19">
        <v>16.9</v>
      </c>
      <c r="FW698" s="19">
        <v>19.1</v>
      </c>
      <c r="FX698" s="19">
        <v>20.6</v>
      </c>
      <c r="FY698" s="19">
        <v>25.3</v>
      </c>
      <c r="FZ698" s="19">
        <v>24.3</v>
      </c>
      <c r="GA698" s="19">
        <v>23.3</v>
      </c>
      <c r="GB698" s="19">
        <v>22.2</v>
      </c>
      <c r="GC698" s="19">
        <v>21.2</v>
      </c>
      <c r="GD698" s="19">
        <v>20.2</v>
      </c>
      <c r="GE698" s="19">
        <v>19.2</v>
      </c>
      <c r="GF698" s="19">
        <v>18.2</v>
      </c>
      <c r="GG698" s="19">
        <v>17.2</v>
      </c>
      <c r="GH698" s="19">
        <v>16.2</v>
      </c>
      <c r="GI698" s="19">
        <v>15.2</v>
      </c>
      <c r="GJ698" s="19">
        <v>14.2</v>
      </c>
      <c r="GK698" s="19">
        <v>13.2</v>
      </c>
      <c r="GL698" s="19">
        <v>12.2</v>
      </c>
      <c r="GM698" s="19">
        <v>11.2</v>
      </c>
      <c r="GN698" s="19">
        <v>10.2</v>
      </c>
      <c r="GO698" s="19">
        <v>9.2</v>
      </c>
      <c r="GP698" s="19">
        <v>8.1</v>
      </c>
      <c r="GQ698" s="19">
        <v>7.1</v>
      </c>
      <c r="GR698" s="19">
        <v>6.1</v>
      </c>
      <c r="GS698" s="19">
        <v>4.8</v>
      </c>
    </row>
    <row r="699">
      <c r="A699" s="2" t="s">
        <v>3771</v>
      </c>
      <c r="B699" s="2" t="s">
        <v>630</v>
      </c>
      <c r="C699" s="2" t="s">
        <v>246</v>
      </c>
      <c r="D699" s="2" t="s">
        <v>759</v>
      </c>
      <c r="E699" s="2" t="s">
        <v>3023</v>
      </c>
      <c r="F699" s="2" t="s">
        <v>3761</v>
      </c>
      <c r="G699" s="2" t="s">
        <v>3762</v>
      </c>
      <c r="H699" s="2" t="s">
        <v>3763</v>
      </c>
      <c r="I699" s="2" t="s">
        <v>3764</v>
      </c>
      <c r="J699" s="2" t="s">
        <v>232</v>
      </c>
      <c r="K699" s="2" t="s">
        <v>3772</v>
      </c>
      <c r="L699" s="3">
        <v>36.8</v>
      </c>
      <c r="M699" s="3">
        <v>38.64</v>
      </c>
      <c r="N699" s="3">
        <v>79.99</v>
      </c>
      <c r="O699" s="2" t="s">
        <v>196</v>
      </c>
      <c r="P699" s="2" t="s">
        <v>197</v>
      </c>
      <c r="Q699" s="2" t="s">
        <v>198</v>
      </c>
      <c r="R699" s="2" t="s">
        <v>199</v>
      </c>
      <c r="S699" s="2" t="s">
        <v>3773</v>
      </c>
      <c r="T699" s="2" t="s">
        <v>386</v>
      </c>
      <c r="U699" s="2" t="s">
        <v>637</v>
      </c>
      <c r="V699" s="2" t="s">
        <v>681</v>
      </c>
      <c r="W699" s="2" t="s">
        <v>1094</v>
      </c>
      <c r="X699" s="2" t="s">
        <v>2568</v>
      </c>
      <c r="Y699" s="2" t="s">
        <v>3774</v>
      </c>
      <c r="Z699" s="4">
        <v>626</v>
      </c>
      <c r="AA699" s="4">
        <f>=ROUNDDOWN(36.8235294117647,0)</f>
      </c>
      <c r="AB699" s="5">
        <v>17</v>
      </c>
      <c r="AC699" s="2" t="s">
        <v>398</v>
      </c>
      <c r="AD699" s="4">
        <v>240</v>
      </c>
      <c r="AE699" s="4">
        <v>240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199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199</v>
      </c>
      <c r="BD699" s="8" t="s">
        <v>199</v>
      </c>
      <c r="BE699" s="4" t="s">
        <v>199</v>
      </c>
      <c r="BF699" s="8" t="s">
        <v>199</v>
      </c>
      <c r="BG699" s="7" t="s">
        <v>199</v>
      </c>
      <c r="BH699" s="7" t="s">
        <v>199</v>
      </c>
      <c r="BI699" s="7"/>
      <c r="BJ699" s="4">
        <v>296</v>
      </c>
      <c r="BK699" s="8">
        <v>10895.58</v>
      </c>
      <c r="BL699" s="2" t="s">
        <v>1643</v>
      </c>
      <c r="BM699" s="7"/>
      <c r="BN699" s="7"/>
      <c r="BO699" s="4"/>
      <c r="BP699" s="8"/>
      <c r="BQ699" s="4"/>
      <c r="BR699" s="8"/>
      <c r="BS699" s="7"/>
      <c r="BT699" s="7"/>
      <c r="BU699" s="2" t="s">
        <v>3769</v>
      </c>
      <c r="BV699" s="2" t="s">
        <v>199</v>
      </c>
      <c r="BW699" s="2" t="s">
        <v>199</v>
      </c>
      <c r="BX699" s="2" t="s">
        <v>208</v>
      </c>
      <c r="BY699" s="2" t="s">
        <v>209</v>
      </c>
      <c r="BZ699" s="2" t="s">
        <v>196</v>
      </c>
      <c r="CA699" s="2" t="s">
        <v>3775</v>
      </c>
      <c r="CB699" s="2" t="s">
        <v>3776</v>
      </c>
      <c r="CC699" s="2" t="s">
        <v>212</v>
      </c>
      <c r="CD699" s="2" t="s">
        <v>199</v>
      </c>
      <c r="CE699" s="4">
        <v>276</v>
      </c>
      <c r="CF699" s="4">
        <v>350</v>
      </c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>
        <v>240</v>
      </c>
      <c r="ER699" s="4"/>
      <c r="ES699" s="4"/>
      <c r="ET699" s="4">
        <v>672</v>
      </c>
      <c r="EU699" s="4">
        <v>630</v>
      </c>
      <c r="EV699" s="4">
        <v>610</v>
      </c>
      <c r="EW699" s="4">
        <v>586</v>
      </c>
      <c r="EX699" s="4">
        <v>562</v>
      </c>
      <c r="EY699" s="4">
        <v>538</v>
      </c>
      <c r="EZ699" s="4">
        <v>521</v>
      </c>
      <c r="FA699" s="4">
        <v>504</v>
      </c>
      <c r="FB699" s="4">
        <v>486</v>
      </c>
      <c r="FC699" s="4">
        <v>469</v>
      </c>
      <c r="FD699" s="4">
        <v>452</v>
      </c>
      <c r="FE699" s="4">
        <v>435</v>
      </c>
      <c r="FF699" s="4">
        <v>418</v>
      </c>
      <c r="FG699" s="4">
        <v>401</v>
      </c>
      <c r="FH699" s="4">
        <v>384</v>
      </c>
      <c r="FI699" s="4">
        <v>366</v>
      </c>
      <c r="FJ699" s="4">
        <v>349</v>
      </c>
      <c r="FK699" s="4">
        <v>332</v>
      </c>
      <c r="FL699" s="4">
        <v>315</v>
      </c>
      <c r="FM699" s="4">
        <v>538</v>
      </c>
      <c r="FN699" s="4">
        <v>520</v>
      </c>
      <c r="FO699" s="4">
        <v>503</v>
      </c>
      <c r="FP699" s="4">
        <v>485</v>
      </c>
      <c r="FQ699" s="4">
        <v>468</v>
      </c>
      <c r="FR699" s="4">
        <v>451</v>
      </c>
      <c r="FS699" s="4">
        <v>434</v>
      </c>
      <c r="FT699" s="19">
        <v>24</v>
      </c>
      <c r="FU699" s="19">
        <v>27.4</v>
      </c>
      <c r="FV699" s="19">
        <v>27.7</v>
      </c>
      <c r="FW699" s="19">
        <v>29.3</v>
      </c>
      <c r="FX699" s="19">
        <v>29.6</v>
      </c>
      <c r="FY699" s="19">
        <v>31.6</v>
      </c>
      <c r="FZ699" s="19">
        <v>30.6</v>
      </c>
      <c r="GA699" s="19">
        <v>29.6</v>
      </c>
      <c r="GB699" s="19">
        <v>28.6</v>
      </c>
      <c r="GC699" s="19">
        <v>27.6</v>
      </c>
      <c r="GD699" s="19">
        <v>26.6</v>
      </c>
      <c r="GE699" s="19">
        <v>25.6</v>
      </c>
      <c r="GF699" s="19">
        <v>24.6</v>
      </c>
      <c r="GG699" s="19">
        <v>23.6</v>
      </c>
      <c r="GH699" s="19">
        <v>22.6</v>
      </c>
      <c r="GI699" s="19">
        <v>21.5</v>
      </c>
      <c r="GJ699" s="19">
        <v>20.5</v>
      </c>
      <c r="GK699" s="19">
        <v>19.5</v>
      </c>
      <c r="GL699" s="19">
        <v>17.5</v>
      </c>
      <c r="GM699" s="19">
        <v>29.9</v>
      </c>
      <c r="GN699" s="19">
        <v>30.6</v>
      </c>
      <c r="GO699" s="19">
        <v>29.6</v>
      </c>
      <c r="GP699" s="19">
        <v>28.5</v>
      </c>
      <c r="GQ699" s="19">
        <v>27.5</v>
      </c>
      <c r="GR699" s="19">
        <v>26.5</v>
      </c>
      <c r="GS699" s="19">
        <v>24.1</v>
      </c>
    </row>
    <row r="700">
      <c r="A700" s="2" t="s">
        <v>3777</v>
      </c>
      <c r="B700" s="2" t="s">
        <v>883</v>
      </c>
      <c r="C700" s="2" t="s">
        <v>884</v>
      </c>
      <c r="D700" s="2" t="s">
        <v>885</v>
      </c>
      <c r="E700" s="2" t="s">
        <v>886</v>
      </c>
      <c r="F700" s="2" t="s">
        <v>3778</v>
      </c>
      <c r="G700" s="2" t="s">
        <v>3778</v>
      </c>
      <c r="H700" s="2" t="s">
        <v>3778</v>
      </c>
      <c r="I700" s="2" t="s">
        <v>3779</v>
      </c>
      <c r="J700" s="2" t="s">
        <v>2328</v>
      </c>
      <c r="K700" s="2" t="s">
        <v>3365</v>
      </c>
      <c r="L700" s="3">
        <v>14.04</v>
      </c>
      <c r="M700" s="3">
        <v>14.74</v>
      </c>
      <c r="N700" s="3">
        <v>29.99</v>
      </c>
      <c r="O700" s="2" t="s">
        <v>196</v>
      </c>
      <c r="P700" s="2" t="s">
        <v>621</v>
      </c>
      <c r="Q700" s="2" t="s">
        <v>198</v>
      </c>
      <c r="R700" s="2" t="s">
        <v>199</v>
      </c>
      <c r="S700" s="2" t="s">
        <v>199</v>
      </c>
      <c r="T700" s="2" t="s">
        <v>199</v>
      </c>
      <c r="U700" s="2" t="s">
        <v>280</v>
      </c>
      <c r="V700" s="2" t="s">
        <v>493</v>
      </c>
      <c r="W700" s="2" t="s">
        <v>203</v>
      </c>
      <c r="X700" s="2" t="s">
        <v>199</v>
      </c>
      <c r="Y700" s="2" t="s">
        <v>3064</v>
      </c>
      <c r="Z700" s="4">
        <v>6</v>
      </c>
      <c r="AA700" s="4">
        <f>=ROUNDDOWN(0.171428571428571,0)</f>
      </c>
      <c r="AB700" s="5">
        <v>35</v>
      </c>
      <c r="AC700" s="2" t="s">
        <v>1936</v>
      </c>
      <c r="AD700" s="4">
        <v>540</v>
      </c>
      <c r="AE700" s="4">
        <v>1230</v>
      </c>
      <c r="AF700" s="6">
        <v>65</v>
      </c>
      <c r="AG700" s="6">
        <v>48</v>
      </c>
      <c r="AH700" s="7">
        <v>0.0323</v>
      </c>
      <c r="AI700" s="4"/>
      <c r="AJ700" s="4">
        <f>=ROUNDDOWN({0},0)</f>
      </c>
      <c r="AK700" s="5"/>
      <c r="AL700" s="2" t="s">
        <v>199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199</v>
      </c>
      <c r="AW700" s="8" t="s">
        <v>199</v>
      </c>
      <c r="AX700" s="4" t="s">
        <v>199</v>
      </c>
      <c r="AY700" s="8" t="s">
        <v>199</v>
      </c>
      <c r="AZ700" s="7" t="s">
        <v>199</v>
      </c>
      <c r="BA700" s="7" t="s">
        <v>199</v>
      </c>
      <c r="BB700" s="7"/>
      <c r="BC700" s="4" t="s">
        <v>199</v>
      </c>
      <c r="BD700" s="8" t="s">
        <v>199</v>
      </c>
      <c r="BE700" s="4" t="s">
        <v>199</v>
      </c>
      <c r="BF700" s="8" t="s">
        <v>199</v>
      </c>
      <c r="BG700" s="7" t="s">
        <v>199</v>
      </c>
      <c r="BH700" s="7" t="s">
        <v>199</v>
      </c>
      <c r="BI700" s="7"/>
      <c r="BJ700" s="4"/>
      <c r="BK700" s="8"/>
      <c r="BL700" s="2" t="s">
        <v>1521</v>
      </c>
      <c r="BM700" s="7"/>
      <c r="BN700" s="7"/>
      <c r="BO700" s="4"/>
      <c r="BP700" s="8"/>
      <c r="BQ700" s="4"/>
      <c r="BR700" s="8"/>
      <c r="BS700" s="7"/>
      <c r="BT700" s="7"/>
      <c r="BU700" s="2" t="s">
        <v>3780</v>
      </c>
      <c r="BV700" s="2" t="s">
        <v>199</v>
      </c>
      <c r="BW700" s="2" t="s">
        <v>199</v>
      </c>
      <c r="BX700" s="2" t="s">
        <v>208</v>
      </c>
      <c r="BY700" s="2" t="s">
        <v>209</v>
      </c>
      <c r="BZ700" s="2" t="s">
        <v>196</v>
      </c>
      <c r="CA700" s="2" t="s">
        <v>3067</v>
      </c>
      <c r="CB700" s="2" t="s">
        <v>3781</v>
      </c>
      <c r="CC700" s="2" t="s">
        <v>212</v>
      </c>
      <c r="CD700" s="2" t="s">
        <v>199</v>
      </c>
      <c r="CE700" s="4">
        <v>3</v>
      </c>
      <c r="CF700" s="4"/>
      <c r="CG700" s="4"/>
      <c r="CH700" s="4">
        <v>3</v>
      </c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>
        <v>540</v>
      </c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>
        <v>540</v>
      </c>
      <c r="EA700" s="4"/>
      <c r="EB700" s="4"/>
      <c r="EC700" s="4"/>
      <c r="ED700" s="4"/>
      <c r="EE700" s="4"/>
      <c r="EF700" s="4"/>
      <c r="EG700" s="4">
        <v>150</v>
      </c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>
        <v>6</v>
      </c>
      <c r="EU700" s="4">
        <v>1</v>
      </c>
      <c r="EV700" s="4">
        <v>1</v>
      </c>
      <c r="EW700" s="4">
        <v>1</v>
      </c>
      <c r="EX700" s="4">
        <v>1</v>
      </c>
      <c r="EY700" s="4">
        <v>1</v>
      </c>
      <c r="EZ700" s="4">
        <v>541</v>
      </c>
      <c r="FA700" s="4">
        <v>265</v>
      </c>
      <c r="FB700" s="4">
        <v>232</v>
      </c>
      <c r="FC700" s="4">
        <v>199</v>
      </c>
      <c r="FD700" s="4">
        <v>166</v>
      </c>
      <c r="FE700" s="4">
        <v>673</v>
      </c>
      <c r="FF700" s="4">
        <v>640</v>
      </c>
      <c r="FG700" s="4">
        <v>607</v>
      </c>
      <c r="FH700" s="4">
        <v>724</v>
      </c>
      <c r="FI700" s="4">
        <v>685</v>
      </c>
      <c r="FJ700" s="4">
        <v>650</v>
      </c>
      <c r="FK700" s="4">
        <v>615</v>
      </c>
      <c r="FL700" s="4">
        <v>580</v>
      </c>
      <c r="FM700" s="4">
        <v>545</v>
      </c>
      <c r="FN700" s="4">
        <v>506</v>
      </c>
      <c r="FO700" s="4">
        <v>471</v>
      </c>
      <c r="FP700" s="4">
        <v>436</v>
      </c>
      <c r="FQ700" s="4">
        <v>401</v>
      </c>
      <c r="FR700" s="4">
        <v>366</v>
      </c>
      <c r="FS700" s="4">
        <v>331</v>
      </c>
      <c r="FT700" s="19">
        <v>1.5</v>
      </c>
      <c r="FU700" s="9"/>
      <c r="FV700" s="9"/>
      <c r="FW700" s="19">
        <v>0.2</v>
      </c>
      <c r="FX700" s="19">
        <v>0.1</v>
      </c>
      <c r="FY700" s="19">
        <v>0.1</v>
      </c>
      <c r="FZ700" s="19">
        <v>3</v>
      </c>
      <c r="GA700" s="19">
        <v>4</v>
      </c>
      <c r="GB700" s="19">
        <v>3.5</v>
      </c>
      <c r="GC700" s="19">
        <v>3</v>
      </c>
      <c r="GD700" s="19">
        <v>2.5</v>
      </c>
      <c r="GE700" s="19">
        <v>10.2</v>
      </c>
      <c r="GF700" s="19">
        <v>10</v>
      </c>
      <c r="GG700" s="19">
        <v>10.1</v>
      </c>
      <c r="GH700" s="19">
        <v>20.6</v>
      </c>
      <c r="GI700" s="19">
        <v>19.9</v>
      </c>
      <c r="GJ700" s="19">
        <v>18.6</v>
      </c>
      <c r="GK700" s="19">
        <v>17.6</v>
      </c>
      <c r="GL700" s="19">
        <v>16.6</v>
      </c>
      <c r="GM700" s="19">
        <v>15.6</v>
      </c>
      <c r="GN700" s="19">
        <v>14.8</v>
      </c>
      <c r="GO700" s="19">
        <v>13.8</v>
      </c>
      <c r="GP700" s="19">
        <v>12.8</v>
      </c>
      <c r="GQ700" s="19">
        <v>11.8</v>
      </c>
      <c r="GR700" s="19">
        <v>10.8</v>
      </c>
      <c r="GS700" s="19">
        <v>9.7</v>
      </c>
    </row>
    <row r="701">
      <c r="A701" s="2" t="s">
        <v>3782</v>
      </c>
      <c r="B701" s="2" t="s">
        <v>883</v>
      </c>
      <c r="C701" s="2" t="s">
        <v>884</v>
      </c>
      <c r="D701" s="2" t="s">
        <v>885</v>
      </c>
      <c r="E701" s="2" t="s">
        <v>886</v>
      </c>
      <c r="F701" s="2" t="s">
        <v>3778</v>
      </c>
      <c r="G701" s="2" t="s">
        <v>3778</v>
      </c>
      <c r="H701" s="2" t="s">
        <v>3778</v>
      </c>
      <c r="I701" s="2" t="s">
        <v>3779</v>
      </c>
      <c r="J701" s="2" t="s">
        <v>2317</v>
      </c>
      <c r="K701" s="2" t="s">
        <v>3365</v>
      </c>
      <c r="L701" s="3">
        <v>16.45</v>
      </c>
      <c r="M701" s="3">
        <v>17.27</v>
      </c>
      <c r="N701" s="3">
        <v>34.99</v>
      </c>
      <c r="O701" s="2" t="s">
        <v>196</v>
      </c>
      <c r="P701" s="2" t="s">
        <v>621</v>
      </c>
      <c r="Q701" s="2" t="s">
        <v>198</v>
      </c>
      <c r="R701" s="2" t="s">
        <v>199</v>
      </c>
      <c r="S701" s="2" t="s">
        <v>199</v>
      </c>
      <c r="T701" s="2" t="s">
        <v>199</v>
      </c>
      <c r="U701" s="2" t="s">
        <v>280</v>
      </c>
      <c r="V701" s="2" t="s">
        <v>493</v>
      </c>
      <c r="W701" s="2" t="s">
        <v>203</v>
      </c>
      <c r="X701" s="2" t="s">
        <v>199</v>
      </c>
      <c r="Y701" s="2" t="s">
        <v>3064</v>
      </c>
      <c r="Z701" s="4">
        <v>2</v>
      </c>
      <c r="AA701" s="4">
        <f>=ROUNDDOWN(0.0869565217391304,0)</f>
      </c>
      <c r="AB701" s="5">
        <v>23</v>
      </c>
      <c r="AC701" s="2" t="s">
        <v>2315</v>
      </c>
      <c r="AD701" s="4">
        <v>150</v>
      </c>
      <c r="AE701" s="4">
        <v>630</v>
      </c>
      <c r="AF701" s="6">
        <v>65</v>
      </c>
      <c r="AG701" s="6">
        <v>48</v>
      </c>
      <c r="AH701" s="7">
        <v>0.129</v>
      </c>
      <c r="AI701" s="4"/>
      <c r="AJ701" s="4">
        <f>=ROUNDDOWN({0},0)</f>
      </c>
      <c r="AK701" s="5"/>
      <c r="AL701" s="2" t="s">
        <v>199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199</v>
      </c>
      <c r="AW701" s="8" t="s">
        <v>199</v>
      </c>
      <c r="AX701" s="4" t="s">
        <v>199</v>
      </c>
      <c r="AY701" s="8" t="s">
        <v>199</v>
      </c>
      <c r="AZ701" s="7" t="s">
        <v>199</v>
      </c>
      <c r="BA701" s="7" t="s">
        <v>199</v>
      </c>
      <c r="BB701" s="7"/>
      <c r="BC701" s="4" t="s">
        <v>199</v>
      </c>
      <c r="BD701" s="8" t="s">
        <v>199</v>
      </c>
      <c r="BE701" s="4" t="s">
        <v>199</v>
      </c>
      <c r="BF701" s="8" t="s">
        <v>199</v>
      </c>
      <c r="BG701" s="7" t="s">
        <v>199</v>
      </c>
      <c r="BH701" s="7" t="s">
        <v>199</v>
      </c>
      <c r="BI701" s="7"/>
      <c r="BJ701" s="4">
        <v>240</v>
      </c>
      <c r="BK701" s="8">
        <v>4538.4</v>
      </c>
      <c r="BL701" s="2" t="s">
        <v>1521</v>
      </c>
      <c r="BM701" s="7"/>
      <c r="BN701" s="7"/>
      <c r="BO701" s="4"/>
      <c r="BP701" s="8"/>
      <c r="BQ701" s="4"/>
      <c r="BR701" s="8"/>
      <c r="BS701" s="7"/>
      <c r="BT701" s="7"/>
      <c r="BU701" s="2" t="s">
        <v>3780</v>
      </c>
      <c r="BV701" s="2" t="s">
        <v>199</v>
      </c>
      <c r="BW701" s="2" t="s">
        <v>199</v>
      </c>
      <c r="BX701" s="2" t="s">
        <v>208</v>
      </c>
      <c r="BY701" s="2" t="s">
        <v>209</v>
      </c>
      <c r="BZ701" s="2" t="s">
        <v>196</v>
      </c>
      <c r="CA701" s="2" t="s">
        <v>3067</v>
      </c>
      <c r="CB701" s="2" t="s">
        <v>3360</v>
      </c>
      <c r="CC701" s="2" t="s">
        <v>212</v>
      </c>
      <c r="CD701" s="2" t="s">
        <v>199</v>
      </c>
      <c r="CE701" s="4"/>
      <c r="CF701" s="4">
        <v>2</v>
      </c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>
        <v>150</v>
      </c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>
        <v>180</v>
      </c>
      <c r="EA701" s="4"/>
      <c r="EB701" s="4"/>
      <c r="EC701" s="4"/>
      <c r="ED701" s="4"/>
      <c r="EE701" s="4"/>
      <c r="EF701" s="4"/>
      <c r="EG701" s="4">
        <v>120</v>
      </c>
      <c r="EH701" s="4"/>
      <c r="EI701" s="4"/>
      <c r="EJ701" s="4"/>
      <c r="EK701" s="4"/>
      <c r="EL701" s="4"/>
      <c r="EM701" s="4">
        <v>180</v>
      </c>
      <c r="EN701" s="4"/>
      <c r="EO701" s="4"/>
      <c r="EP701" s="4"/>
      <c r="EQ701" s="4"/>
      <c r="ER701" s="4"/>
      <c r="ES701" s="4"/>
      <c r="ET701" s="4">
        <v>20</v>
      </c>
      <c r="EU701" s="4">
        <v>151</v>
      </c>
      <c r="EV701" s="4">
        <v>150</v>
      </c>
      <c r="EW701" s="4">
        <v>149</v>
      </c>
      <c r="EX701" s="4">
        <v>148</v>
      </c>
      <c r="EY701" s="4">
        <v>145</v>
      </c>
      <c r="EZ701" s="4">
        <v>122</v>
      </c>
      <c r="FA701" s="4">
        <v>99</v>
      </c>
      <c r="FB701" s="4">
        <v>76</v>
      </c>
      <c r="FC701" s="4">
        <v>53</v>
      </c>
      <c r="FD701" s="4">
        <v>30</v>
      </c>
      <c r="FE701" s="4">
        <v>187</v>
      </c>
      <c r="FF701" s="4">
        <v>164</v>
      </c>
      <c r="FG701" s="4">
        <v>141</v>
      </c>
      <c r="FH701" s="4">
        <v>238</v>
      </c>
      <c r="FI701" s="4">
        <v>213</v>
      </c>
      <c r="FJ701" s="4">
        <v>370</v>
      </c>
      <c r="FK701" s="4">
        <v>347</v>
      </c>
      <c r="FL701" s="4">
        <v>324</v>
      </c>
      <c r="FM701" s="4">
        <v>301</v>
      </c>
      <c r="FN701" s="4">
        <v>276</v>
      </c>
      <c r="FO701" s="4">
        <v>253</v>
      </c>
      <c r="FP701" s="4">
        <v>230</v>
      </c>
      <c r="FQ701" s="4">
        <v>207</v>
      </c>
      <c r="FR701" s="4">
        <v>184</v>
      </c>
      <c r="FS701" s="4">
        <v>161</v>
      </c>
      <c r="FT701" s="19">
        <v>1.7</v>
      </c>
      <c r="FU701" s="19">
        <v>37.8</v>
      </c>
      <c r="FV701" s="19">
        <v>10.7</v>
      </c>
      <c r="FW701" s="19">
        <v>6.2</v>
      </c>
      <c r="FX701" s="19">
        <v>4.1</v>
      </c>
      <c r="FY701" s="19">
        <v>3.2</v>
      </c>
      <c r="FZ701" s="19">
        <v>2.7</v>
      </c>
      <c r="GA701" s="19">
        <v>2.2</v>
      </c>
      <c r="GB701" s="19">
        <v>1.7</v>
      </c>
      <c r="GC701" s="19">
        <v>1.2</v>
      </c>
      <c r="GD701" s="19">
        <v>0.7</v>
      </c>
      <c r="GE701" s="19">
        <v>3.9</v>
      </c>
      <c r="GF701" s="19">
        <v>3.4</v>
      </c>
      <c r="GG701" s="19">
        <v>3</v>
      </c>
      <c r="GH701" s="19">
        <v>2.5</v>
      </c>
      <c r="GI701" s="19">
        <v>2</v>
      </c>
      <c r="GJ701" s="19">
        <v>5.2</v>
      </c>
      <c r="GK701" s="19">
        <v>4.8</v>
      </c>
      <c r="GL701" s="19">
        <v>4.3</v>
      </c>
      <c r="GM701" s="19">
        <v>3.8</v>
      </c>
      <c r="GN701" s="19">
        <v>3.4</v>
      </c>
      <c r="GO701" s="19">
        <v>2.9</v>
      </c>
      <c r="GP701" s="19">
        <v>2.4</v>
      </c>
      <c r="GQ701" s="19">
        <v>62</v>
      </c>
      <c r="GR701" s="19">
        <v>61.5</v>
      </c>
      <c r="GS701" s="19">
        <v>60.9</v>
      </c>
    </row>
    <row r="702">
      <c r="A702" s="2" t="s">
        <v>3783</v>
      </c>
      <c r="B702" s="2" t="s">
        <v>648</v>
      </c>
      <c r="C702" s="2" t="s">
        <v>246</v>
      </c>
      <c r="D702" s="2" t="s">
        <v>649</v>
      </c>
      <c r="E702" s="2" t="s">
        <v>650</v>
      </c>
      <c r="F702" s="2" t="s">
        <v>3784</v>
      </c>
      <c r="G702" s="2" t="s">
        <v>3784</v>
      </c>
      <c r="H702" s="2" t="s">
        <v>3784</v>
      </c>
      <c r="I702" s="2" t="s">
        <v>3785</v>
      </c>
      <c r="J702" s="2" t="s">
        <v>3786</v>
      </c>
      <c r="K702" s="2" t="s">
        <v>405</v>
      </c>
      <c r="L702" s="3">
        <v>13.11</v>
      </c>
      <c r="M702" s="3">
        <v>13.77</v>
      </c>
      <c r="N702" s="3">
        <v>26.99</v>
      </c>
      <c r="O702" s="2" t="s">
        <v>196</v>
      </c>
      <c r="P702" s="2" t="s">
        <v>197</v>
      </c>
      <c r="Q702" s="2" t="s">
        <v>198</v>
      </c>
      <c r="R702" s="2" t="s">
        <v>199</v>
      </c>
      <c r="S702" s="2" t="s">
        <v>199</v>
      </c>
      <c r="T702" s="2" t="s">
        <v>199</v>
      </c>
      <c r="U702" s="2" t="s">
        <v>199</v>
      </c>
      <c r="V702" s="2" t="s">
        <v>202</v>
      </c>
      <c r="W702" s="2" t="s">
        <v>203</v>
      </c>
      <c r="X702" s="2" t="s">
        <v>199</v>
      </c>
      <c r="Y702" s="2" t="s">
        <v>3787</v>
      </c>
      <c r="Z702" s="4">
        <v>405</v>
      </c>
      <c r="AA702" s="4">
        <f>=ROUNDDOWN(50.625,0)</f>
      </c>
      <c r="AB702" s="5">
        <v>8</v>
      </c>
      <c r="AC702" s="2" t="s">
        <v>1339</v>
      </c>
      <c r="AD702" s="4">
        <v>128</v>
      </c>
      <c r="AE702" s="4">
        <v>128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199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37</v>
      </c>
      <c r="BK702" s="8">
        <v>539.52</v>
      </c>
      <c r="BL702" s="2" t="s">
        <v>3788</v>
      </c>
      <c r="BM702" s="7"/>
      <c r="BN702" s="7"/>
      <c r="BO702" s="4"/>
      <c r="BP702" s="8"/>
      <c r="BQ702" s="4"/>
      <c r="BR702" s="8"/>
      <c r="BS702" s="7"/>
      <c r="BT702" s="7"/>
      <c r="BU702" s="2" t="s">
        <v>3789</v>
      </c>
      <c r="BV702" s="2" t="s">
        <v>199</v>
      </c>
      <c r="BW702" s="2" t="s">
        <v>199</v>
      </c>
      <c r="BX702" s="2" t="s">
        <v>260</v>
      </c>
      <c r="BY702" s="2" t="s">
        <v>209</v>
      </c>
      <c r="BZ702" s="2" t="s">
        <v>196</v>
      </c>
      <c r="CA702" s="2" t="s">
        <v>2454</v>
      </c>
      <c r="CB702" s="2" t="s">
        <v>3790</v>
      </c>
      <c r="CC702" s="2" t="s">
        <v>212</v>
      </c>
      <c r="CD702" s="2" t="s">
        <v>199</v>
      </c>
      <c r="CE702" s="4">
        <v>405</v>
      </c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>
        <v>128</v>
      </c>
      <c r="EQ702" s="4"/>
      <c r="ER702" s="4"/>
      <c r="ES702" s="4"/>
      <c r="ET702" s="4">
        <v>407</v>
      </c>
      <c r="EU702" s="4">
        <v>387</v>
      </c>
      <c r="EV702" s="4">
        <v>376</v>
      </c>
      <c r="EW702" s="4">
        <v>365</v>
      </c>
      <c r="EX702" s="4">
        <v>354</v>
      </c>
      <c r="EY702" s="4">
        <v>343</v>
      </c>
      <c r="EZ702" s="4">
        <v>335</v>
      </c>
      <c r="FA702" s="4">
        <v>327</v>
      </c>
      <c r="FB702" s="4">
        <v>318</v>
      </c>
      <c r="FC702" s="4">
        <v>310</v>
      </c>
      <c r="FD702" s="4">
        <v>302</v>
      </c>
      <c r="FE702" s="4">
        <v>294</v>
      </c>
      <c r="FF702" s="4">
        <v>286</v>
      </c>
      <c r="FG702" s="4">
        <v>278</v>
      </c>
      <c r="FH702" s="4">
        <v>270</v>
      </c>
      <c r="FI702" s="4">
        <v>262</v>
      </c>
      <c r="FJ702" s="4">
        <v>254</v>
      </c>
      <c r="FK702" s="4">
        <v>246</v>
      </c>
      <c r="FL702" s="4">
        <v>366</v>
      </c>
      <c r="FM702" s="4">
        <v>358</v>
      </c>
      <c r="FN702" s="4">
        <v>350</v>
      </c>
      <c r="FO702" s="4">
        <v>342</v>
      </c>
      <c r="FP702" s="4">
        <v>333</v>
      </c>
      <c r="FQ702" s="4">
        <v>325</v>
      </c>
      <c r="FR702" s="4">
        <v>317</v>
      </c>
      <c r="FS702" s="4">
        <v>309</v>
      </c>
      <c r="FT702" s="19">
        <v>31.3</v>
      </c>
      <c r="FU702" s="19">
        <v>35.2</v>
      </c>
      <c r="FV702" s="19">
        <v>37.6</v>
      </c>
      <c r="FW702" s="19">
        <v>36.5</v>
      </c>
      <c r="FX702" s="19">
        <v>39.3</v>
      </c>
      <c r="FY702" s="19">
        <v>42.9</v>
      </c>
      <c r="FZ702" s="19">
        <v>41.9</v>
      </c>
      <c r="GA702" s="19">
        <v>40.9</v>
      </c>
      <c r="GB702" s="19">
        <v>39.8</v>
      </c>
      <c r="GC702" s="19">
        <v>38.8</v>
      </c>
      <c r="GD702" s="19">
        <v>37.8</v>
      </c>
      <c r="GE702" s="19">
        <v>36.8</v>
      </c>
      <c r="GF702" s="19">
        <v>35.8</v>
      </c>
      <c r="GG702" s="19">
        <v>34.8</v>
      </c>
      <c r="GH702" s="19">
        <v>33.8</v>
      </c>
      <c r="GI702" s="19">
        <v>32.8</v>
      </c>
      <c r="GJ702" s="19">
        <v>31.8</v>
      </c>
      <c r="GK702" s="19">
        <v>30.8</v>
      </c>
      <c r="GL702" s="19">
        <v>45.8</v>
      </c>
      <c r="GM702" s="19">
        <v>44.8</v>
      </c>
      <c r="GN702" s="19">
        <v>43.8</v>
      </c>
      <c r="GO702" s="19">
        <v>42.8</v>
      </c>
      <c r="GP702" s="19">
        <v>41.6</v>
      </c>
      <c r="GQ702" s="19">
        <v>40.6</v>
      </c>
      <c r="GR702" s="19">
        <v>39.6</v>
      </c>
      <c r="GS702" s="19">
        <v>38.6</v>
      </c>
    </row>
    <row r="703">
      <c r="A703" s="2" t="s">
        <v>3791</v>
      </c>
      <c r="B703" s="2" t="s">
        <v>1019</v>
      </c>
      <c r="C703" s="2" t="s">
        <v>1007</v>
      </c>
      <c r="D703" s="2" t="s">
        <v>228</v>
      </c>
      <c r="E703" s="2" t="s">
        <v>988</v>
      </c>
      <c r="F703" s="2" t="s">
        <v>3792</v>
      </c>
      <c r="G703" s="2" t="s">
        <v>3792</v>
      </c>
      <c r="H703" s="2" t="s">
        <v>3792</v>
      </c>
      <c r="I703" s="2" t="s">
        <v>3793</v>
      </c>
      <c r="J703" s="2" t="s">
        <v>194</v>
      </c>
      <c r="K703" s="2" t="s">
        <v>1037</v>
      </c>
      <c r="L703" s="3">
        <v>33.33</v>
      </c>
      <c r="M703" s="3">
        <v>35</v>
      </c>
      <c r="N703" s="3">
        <v>69.99</v>
      </c>
      <c r="O703" s="2" t="s">
        <v>196</v>
      </c>
      <c r="P703" s="2" t="s">
        <v>197</v>
      </c>
      <c r="Q703" s="2" t="s">
        <v>198</v>
      </c>
      <c r="R703" s="2" t="s">
        <v>199</v>
      </c>
      <c r="S703" s="2" t="s">
        <v>3794</v>
      </c>
      <c r="T703" s="2" t="s">
        <v>2068</v>
      </c>
      <c r="U703" s="2" t="s">
        <v>853</v>
      </c>
      <c r="V703" s="2" t="s">
        <v>202</v>
      </c>
      <c r="W703" s="2" t="s">
        <v>203</v>
      </c>
      <c r="X703" s="2" t="s">
        <v>199</v>
      </c>
      <c r="Y703" s="2" t="s">
        <v>1326</v>
      </c>
      <c r="Z703" s="4">
        <v>301</v>
      </c>
      <c r="AA703" s="4">
        <f>=ROUNDDOWN(100.333333333333,0)</f>
      </c>
      <c r="AB703" s="5">
        <v>3</v>
      </c>
      <c r="AC703" s="2" t="s">
        <v>2270</v>
      </c>
      <c r="AD703" s="4">
        <v>50</v>
      </c>
      <c r="AE703" s="4">
        <v>50</v>
      </c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199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199</v>
      </c>
      <c r="AW703" s="8" t="s">
        <v>199</v>
      </c>
      <c r="AX703" s="4" t="s">
        <v>199</v>
      </c>
      <c r="AY703" s="8" t="s">
        <v>199</v>
      </c>
      <c r="AZ703" s="7" t="s">
        <v>199</v>
      </c>
      <c r="BA703" s="7" t="s">
        <v>199</v>
      </c>
      <c r="BB703" s="7"/>
      <c r="BC703" s="4" t="s">
        <v>199</v>
      </c>
      <c r="BD703" s="8" t="s">
        <v>199</v>
      </c>
      <c r="BE703" s="4" t="s">
        <v>199</v>
      </c>
      <c r="BF703" s="8" t="s">
        <v>199</v>
      </c>
      <c r="BG703" s="7" t="s">
        <v>199</v>
      </c>
      <c r="BH703" s="7" t="s">
        <v>199</v>
      </c>
      <c r="BI703" s="7"/>
      <c r="BJ703" s="4">
        <v>22</v>
      </c>
      <c r="BK703" s="8">
        <v>822.15</v>
      </c>
      <c r="BL703" s="2" t="s">
        <v>1323</v>
      </c>
      <c r="BM703" s="7"/>
      <c r="BN703" s="7"/>
      <c r="BO703" s="4"/>
      <c r="BP703" s="8"/>
      <c r="BQ703" s="4"/>
      <c r="BR703" s="8"/>
      <c r="BS703" s="7"/>
      <c r="BT703" s="7"/>
      <c r="BU703" s="2" t="s">
        <v>3795</v>
      </c>
      <c r="BV703" s="2" t="s">
        <v>199</v>
      </c>
      <c r="BW703" s="2" t="s">
        <v>199</v>
      </c>
      <c r="BX703" s="2" t="s">
        <v>208</v>
      </c>
      <c r="BY703" s="2" t="s">
        <v>209</v>
      </c>
      <c r="BZ703" s="2" t="s">
        <v>196</v>
      </c>
      <c r="CA703" s="2" t="s">
        <v>1226</v>
      </c>
      <c r="CB703" s="2" t="s">
        <v>199</v>
      </c>
      <c r="CC703" s="2" t="s">
        <v>212</v>
      </c>
      <c r="CD703" s="2" t="s">
        <v>199</v>
      </c>
      <c r="CE703" s="4">
        <v>301</v>
      </c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>
        <v>50</v>
      </c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>
        <v>302</v>
      </c>
      <c r="EU703" s="4">
        <v>296</v>
      </c>
      <c r="EV703" s="4">
        <v>291</v>
      </c>
      <c r="EW703" s="4">
        <v>287</v>
      </c>
      <c r="EX703" s="4">
        <v>333</v>
      </c>
      <c r="EY703" s="4">
        <v>329</v>
      </c>
      <c r="EZ703" s="4">
        <v>325</v>
      </c>
      <c r="FA703" s="4">
        <v>321</v>
      </c>
      <c r="FB703" s="4">
        <v>317</v>
      </c>
      <c r="FC703" s="4">
        <v>313</v>
      </c>
      <c r="FD703" s="4">
        <v>311</v>
      </c>
      <c r="FE703" s="4">
        <v>309</v>
      </c>
      <c r="FF703" s="4">
        <v>307</v>
      </c>
      <c r="FG703" s="4">
        <v>305</v>
      </c>
      <c r="FH703" s="4">
        <v>303</v>
      </c>
      <c r="FI703" s="4">
        <v>301</v>
      </c>
      <c r="FJ703" s="4">
        <v>299</v>
      </c>
      <c r="FK703" s="4">
        <v>297</v>
      </c>
      <c r="FL703" s="4">
        <v>295</v>
      </c>
      <c r="FM703" s="4">
        <v>293</v>
      </c>
      <c r="FN703" s="4">
        <v>291</v>
      </c>
      <c r="FO703" s="4">
        <v>289</v>
      </c>
      <c r="FP703" s="4">
        <v>287</v>
      </c>
      <c r="FQ703" s="4">
        <v>284</v>
      </c>
      <c r="FR703" s="4">
        <v>281</v>
      </c>
      <c r="FS703" s="4">
        <v>278</v>
      </c>
      <c r="FT703" s="19">
        <v>60.4</v>
      </c>
      <c r="FU703" s="19">
        <v>74</v>
      </c>
      <c r="FV703" s="19">
        <v>72.8</v>
      </c>
      <c r="FW703" s="19">
        <v>71.8</v>
      </c>
      <c r="FX703" s="19">
        <v>83.3</v>
      </c>
      <c r="FY703" s="19">
        <v>82.3</v>
      </c>
      <c r="FZ703" s="19">
        <v>81.3</v>
      </c>
      <c r="GA703" s="19">
        <v>107</v>
      </c>
      <c r="GB703" s="19">
        <v>158.5</v>
      </c>
      <c r="GC703" s="19">
        <v>156.5</v>
      </c>
      <c r="GD703" s="19">
        <v>155.5</v>
      </c>
      <c r="GE703" s="19">
        <v>154.5</v>
      </c>
      <c r="GF703" s="19">
        <v>153.5</v>
      </c>
      <c r="GG703" s="19">
        <v>152.5</v>
      </c>
      <c r="GH703" s="19">
        <v>151.5</v>
      </c>
      <c r="GI703" s="19">
        <v>150.5</v>
      </c>
      <c r="GJ703" s="19">
        <v>149.5</v>
      </c>
      <c r="GK703" s="19">
        <v>148.5</v>
      </c>
      <c r="GL703" s="19">
        <v>147.5</v>
      </c>
      <c r="GM703" s="19">
        <v>146.5</v>
      </c>
      <c r="GN703" s="19">
        <v>145.5</v>
      </c>
      <c r="GO703" s="19">
        <v>96.3</v>
      </c>
      <c r="GP703" s="19">
        <v>95.7</v>
      </c>
      <c r="GQ703" s="19">
        <v>71</v>
      </c>
      <c r="GR703" s="19">
        <v>70.3</v>
      </c>
      <c r="GS703" s="19">
        <v>55.6</v>
      </c>
    </row>
    <row r="704">
      <c r="A704" s="2" t="s">
        <v>3796</v>
      </c>
      <c r="B704" s="2" t="s">
        <v>1019</v>
      </c>
      <c r="C704" s="2" t="s">
        <v>1007</v>
      </c>
      <c r="D704" s="2" t="s">
        <v>228</v>
      </c>
      <c r="E704" s="2" t="s">
        <v>988</v>
      </c>
      <c r="F704" s="2" t="s">
        <v>3792</v>
      </c>
      <c r="G704" s="2" t="s">
        <v>3792</v>
      </c>
      <c r="H704" s="2" t="s">
        <v>3792</v>
      </c>
      <c r="I704" s="2" t="s">
        <v>3797</v>
      </c>
      <c r="J704" s="2" t="s">
        <v>232</v>
      </c>
      <c r="K704" s="2" t="s">
        <v>1037</v>
      </c>
      <c r="L704" s="3">
        <v>42.85</v>
      </c>
      <c r="M704" s="3">
        <v>44.99</v>
      </c>
      <c r="N704" s="3">
        <v>89.99</v>
      </c>
      <c r="O704" s="2" t="s">
        <v>196</v>
      </c>
      <c r="P704" s="2" t="s">
        <v>197</v>
      </c>
      <c r="Q704" s="2" t="s">
        <v>198</v>
      </c>
      <c r="R704" s="2" t="s">
        <v>199</v>
      </c>
      <c r="S704" s="2" t="s">
        <v>3794</v>
      </c>
      <c r="T704" s="2" t="s">
        <v>2068</v>
      </c>
      <c r="U704" s="2" t="s">
        <v>637</v>
      </c>
      <c r="V704" s="2" t="s">
        <v>202</v>
      </c>
      <c r="W704" s="2" t="s">
        <v>203</v>
      </c>
      <c r="X704" s="2" t="s">
        <v>199</v>
      </c>
      <c r="Y704" s="2" t="s">
        <v>1098</v>
      </c>
      <c r="Z704" s="4">
        <v>522</v>
      </c>
      <c r="AA704" s="4">
        <f>=ROUNDDOWN(87,0)</f>
      </c>
      <c r="AB704" s="5">
        <v>6</v>
      </c>
      <c r="AC704" s="2" t="s">
        <v>2270</v>
      </c>
      <c r="AD704" s="4">
        <v>80</v>
      </c>
      <c r="AE704" s="4">
        <v>80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199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199</v>
      </c>
      <c r="AW704" s="8" t="s">
        <v>199</v>
      </c>
      <c r="AX704" s="4" t="s">
        <v>199</v>
      </c>
      <c r="AY704" s="8" t="s">
        <v>199</v>
      </c>
      <c r="AZ704" s="7" t="s">
        <v>199</v>
      </c>
      <c r="BA704" s="7" t="s">
        <v>199</v>
      </c>
      <c r="BB704" s="7"/>
      <c r="BC704" s="4" t="s">
        <v>199</v>
      </c>
      <c r="BD704" s="8" t="s">
        <v>199</v>
      </c>
      <c r="BE704" s="4" t="s">
        <v>199</v>
      </c>
      <c r="BF704" s="8" t="s">
        <v>199</v>
      </c>
      <c r="BG704" s="7" t="s">
        <v>199</v>
      </c>
      <c r="BH704" s="7" t="s">
        <v>199</v>
      </c>
      <c r="BI704" s="7"/>
      <c r="BJ704" s="4">
        <v>13</v>
      </c>
      <c r="BK704" s="8">
        <v>618.17</v>
      </c>
      <c r="BL704" s="2" t="s">
        <v>3798</v>
      </c>
      <c r="BM704" s="7"/>
      <c r="BN704" s="7"/>
      <c r="BO704" s="4"/>
      <c r="BP704" s="8"/>
      <c r="BQ704" s="4"/>
      <c r="BR704" s="8"/>
      <c r="BS704" s="7"/>
      <c r="BT704" s="7"/>
      <c r="BU704" s="2" t="s">
        <v>3795</v>
      </c>
      <c r="BV704" s="2" t="s">
        <v>199</v>
      </c>
      <c r="BW704" s="2" t="s">
        <v>199</v>
      </c>
      <c r="BX704" s="2" t="s">
        <v>208</v>
      </c>
      <c r="BY704" s="2" t="s">
        <v>209</v>
      </c>
      <c r="BZ704" s="2" t="s">
        <v>196</v>
      </c>
      <c r="CA704" s="2" t="s">
        <v>1226</v>
      </c>
      <c r="CB704" s="2" t="s">
        <v>1477</v>
      </c>
      <c r="CC704" s="2" t="s">
        <v>212</v>
      </c>
      <c r="CD704" s="2" t="s">
        <v>199</v>
      </c>
      <c r="CE704" s="4">
        <v>522</v>
      </c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>
        <v>80</v>
      </c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>
        <v>529</v>
      </c>
      <c r="EU704" s="4">
        <v>513</v>
      </c>
      <c r="EV704" s="4">
        <v>503</v>
      </c>
      <c r="EW704" s="4">
        <v>495</v>
      </c>
      <c r="EX704" s="4">
        <v>567</v>
      </c>
      <c r="EY704" s="4">
        <v>559</v>
      </c>
      <c r="EZ704" s="4">
        <v>552</v>
      </c>
      <c r="FA704" s="4">
        <v>545</v>
      </c>
      <c r="FB704" s="4">
        <v>537</v>
      </c>
      <c r="FC704" s="4">
        <v>530</v>
      </c>
      <c r="FD704" s="4">
        <v>524</v>
      </c>
      <c r="FE704" s="4">
        <v>518</v>
      </c>
      <c r="FF704" s="4">
        <v>512</v>
      </c>
      <c r="FG704" s="4">
        <v>506</v>
      </c>
      <c r="FH704" s="4">
        <v>500</v>
      </c>
      <c r="FI704" s="4">
        <v>494</v>
      </c>
      <c r="FJ704" s="4">
        <v>488</v>
      </c>
      <c r="FK704" s="4">
        <v>482</v>
      </c>
      <c r="FL704" s="4">
        <v>476</v>
      </c>
      <c r="FM704" s="4">
        <v>472</v>
      </c>
      <c r="FN704" s="4">
        <v>468</v>
      </c>
      <c r="FO704" s="4">
        <v>464</v>
      </c>
      <c r="FP704" s="4">
        <v>459</v>
      </c>
      <c r="FQ704" s="4">
        <v>454</v>
      </c>
      <c r="FR704" s="4">
        <v>449</v>
      </c>
      <c r="FS704" s="4">
        <v>444</v>
      </c>
      <c r="FT704" s="19">
        <v>52.9</v>
      </c>
      <c r="FU704" s="19">
        <v>64.1</v>
      </c>
      <c r="FV704" s="19">
        <v>62.9</v>
      </c>
      <c r="FW704" s="19">
        <v>61.9</v>
      </c>
      <c r="FX704" s="19">
        <v>70.9</v>
      </c>
      <c r="FY704" s="19">
        <v>79.9</v>
      </c>
      <c r="FZ704" s="19">
        <v>78.9</v>
      </c>
      <c r="GA704" s="19">
        <v>77.9</v>
      </c>
      <c r="GB704" s="19">
        <v>89.5</v>
      </c>
      <c r="GC704" s="19">
        <v>88.3</v>
      </c>
      <c r="GD704" s="19">
        <v>87.3</v>
      </c>
      <c r="GE704" s="19">
        <v>86.3</v>
      </c>
      <c r="GF704" s="19">
        <v>85.3</v>
      </c>
      <c r="GG704" s="19">
        <v>84.3</v>
      </c>
      <c r="GH704" s="19">
        <v>83.3</v>
      </c>
      <c r="GI704" s="19">
        <v>82.3</v>
      </c>
      <c r="GJ704" s="19">
        <v>97.6</v>
      </c>
      <c r="GK704" s="19">
        <v>120.5</v>
      </c>
      <c r="GL704" s="19">
        <v>119</v>
      </c>
      <c r="GM704" s="19">
        <v>118</v>
      </c>
      <c r="GN704" s="19">
        <v>93.6</v>
      </c>
      <c r="GO704" s="19">
        <v>92.8</v>
      </c>
      <c r="GP704" s="19">
        <v>91.8</v>
      </c>
      <c r="GQ704" s="19">
        <v>75.7</v>
      </c>
      <c r="GR704" s="19">
        <v>74.8</v>
      </c>
      <c r="GS704" s="19">
        <v>74</v>
      </c>
    </row>
    <row r="705">
      <c r="A705" s="2" t="s">
        <v>3799</v>
      </c>
      <c r="B705" s="2" t="s">
        <v>1019</v>
      </c>
      <c r="C705" s="2" t="s">
        <v>1007</v>
      </c>
      <c r="D705" s="2" t="s">
        <v>228</v>
      </c>
      <c r="E705" s="2" t="s">
        <v>988</v>
      </c>
      <c r="F705" s="2" t="s">
        <v>3792</v>
      </c>
      <c r="G705" s="2" t="s">
        <v>3792</v>
      </c>
      <c r="H705" s="2" t="s">
        <v>3792</v>
      </c>
      <c r="I705" s="2" t="s">
        <v>3793</v>
      </c>
      <c r="J705" s="2" t="s">
        <v>194</v>
      </c>
      <c r="K705" s="2" t="s">
        <v>544</v>
      </c>
      <c r="L705" s="3">
        <v>33.33</v>
      </c>
      <c r="M705" s="3">
        <v>35</v>
      </c>
      <c r="N705" s="3">
        <v>69.99</v>
      </c>
      <c r="O705" s="2" t="s">
        <v>196</v>
      </c>
      <c r="P705" s="2" t="s">
        <v>197</v>
      </c>
      <c r="Q705" s="2" t="s">
        <v>198</v>
      </c>
      <c r="R705" s="2" t="s">
        <v>199</v>
      </c>
      <c r="S705" s="2" t="s">
        <v>3800</v>
      </c>
      <c r="T705" s="2" t="s">
        <v>2068</v>
      </c>
      <c r="U705" s="2" t="s">
        <v>853</v>
      </c>
      <c r="V705" s="2" t="s">
        <v>202</v>
      </c>
      <c r="W705" s="2" t="s">
        <v>203</v>
      </c>
      <c r="X705" s="2" t="s">
        <v>199</v>
      </c>
      <c r="Y705" s="2" t="s">
        <v>1326</v>
      </c>
      <c r="Z705" s="4">
        <v>272</v>
      </c>
      <c r="AA705" s="4">
        <f>=ROUNDDOWN(90.6666666666667,0)</f>
      </c>
      <c r="AB705" s="5">
        <v>3</v>
      </c>
      <c r="AC705" s="2" t="s">
        <v>2270</v>
      </c>
      <c r="AD705" s="4">
        <v>30</v>
      </c>
      <c r="AE705" s="4">
        <v>30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199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199</v>
      </c>
      <c r="BD705" s="8" t="s">
        <v>199</v>
      </c>
      <c r="BE705" s="4" t="s">
        <v>199</v>
      </c>
      <c r="BF705" s="8" t="s">
        <v>199</v>
      </c>
      <c r="BG705" s="7" t="s">
        <v>199</v>
      </c>
      <c r="BH705" s="7" t="s">
        <v>199</v>
      </c>
      <c r="BI705" s="7"/>
      <c r="BJ705" s="4">
        <v>9</v>
      </c>
      <c r="BK705" s="8">
        <v>338.8</v>
      </c>
      <c r="BL705" s="2" t="s">
        <v>3801</v>
      </c>
      <c r="BM705" s="7"/>
      <c r="BN705" s="7"/>
      <c r="BO705" s="4"/>
      <c r="BP705" s="8"/>
      <c r="BQ705" s="4"/>
      <c r="BR705" s="8"/>
      <c r="BS705" s="7"/>
      <c r="BT705" s="7"/>
      <c r="BU705" s="2" t="s">
        <v>3795</v>
      </c>
      <c r="BV705" s="2" t="s">
        <v>199</v>
      </c>
      <c r="BW705" s="2" t="s">
        <v>199</v>
      </c>
      <c r="BX705" s="2" t="s">
        <v>208</v>
      </c>
      <c r="BY705" s="2" t="s">
        <v>209</v>
      </c>
      <c r="BZ705" s="2" t="s">
        <v>196</v>
      </c>
      <c r="CA705" s="2" t="s">
        <v>1226</v>
      </c>
      <c r="CB705" s="2" t="s">
        <v>3802</v>
      </c>
      <c r="CC705" s="2" t="s">
        <v>212</v>
      </c>
      <c r="CD705" s="2" t="s">
        <v>199</v>
      </c>
      <c r="CE705" s="4">
        <v>272</v>
      </c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>
        <v>30</v>
      </c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>
        <v>272</v>
      </c>
      <c r="EU705" s="4">
        <v>267</v>
      </c>
      <c r="EV705" s="4">
        <v>262</v>
      </c>
      <c r="EW705" s="4">
        <v>258</v>
      </c>
      <c r="EX705" s="4">
        <v>284</v>
      </c>
      <c r="EY705" s="4">
        <v>280</v>
      </c>
      <c r="EZ705" s="4">
        <v>276</v>
      </c>
      <c r="FA705" s="4">
        <v>272</v>
      </c>
      <c r="FB705" s="4">
        <v>268</v>
      </c>
      <c r="FC705" s="4">
        <v>264</v>
      </c>
      <c r="FD705" s="4">
        <v>262</v>
      </c>
      <c r="FE705" s="4">
        <v>260</v>
      </c>
      <c r="FF705" s="4">
        <v>258</v>
      </c>
      <c r="FG705" s="4">
        <v>256</v>
      </c>
      <c r="FH705" s="4">
        <v>254</v>
      </c>
      <c r="FI705" s="4">
        <v>252</v>
      </c>
      <c r="FJ705" s="4">
        <v>250</v>
      </c>
      <c r="FK705" s="4">
        <v>248</v>
      </c>
      <c r="FL705" s="4">
        <v>246</v>
      </c>
      <c r="FM705" s="4">
        <v>244</v>
      </c>
      <c r="FN705" s="4">
        <v>242</v>
      </c>
      <c r="FO705" s="4">
        <v>240</v>
      </c>
      <c r="FP705" s="4">
        <v>238</v>
      </c>
      <c r="FQ705" s="4">
        <v>235</v>
      </c>
      <c r="FR705" s="4">
        <v>232</v>
      </c>
      <c r="FS705" s="4">
        <v>229</v>
      </c>
      <c r="FT705" s="19">
        <v>68</v>
      </c>
      <c r="FU705" s="19">
        <v>66.8</v>
      </c>
      <c r="FV705" s="19">
        <v>65.5</v>
      </c>
      <c r="FW705" s="19">
        <v>64.5</v>
      </c>
      <c r="FX705" s="19">
        <v>71</v>
      </c>
      <c r="FY705" s="19">
        <v>70</v>
      </c>
      <c r="FZ705" s="19">
        <v>69</v>
      </c>
      <c r="GA705" s="19">
        <v>90.7</v>
      </c>
      <c r="GB705" s="19">
        <v>134</v>
      </c>
      <c r="GC705" s="19">
        <v>132</v>
      </c>
      <c r="GD705" s="19">
        <v>131</v>
      </c>
      <c r="GE705" s="19">
        <v>130</v>
      </c>
      <c r="GF705" s="19">
        <v>129</v>
      </c>
      <c r="GG705" s="19">
        <v>128</v>
      </c>
      <c r="GH705" s="19">
        <v>127</v>
      </c>
      <c r="GI705" s="19">
        <v>126</v>
      </c>
      <c r="GJ705" s="19">
        <v>125</v>
      </c>
      <c r="GK705" s="19">
        <v>124</v>
      </c>
      <c r="GL705" s="19">
        <v>123</v>
      </c>
      <c r="GM705" s="19">
        <v>122</v>
      </c>
      <c r="GN705" s="19">
        <v>121</v>
      </c>
      <c r="GO705" s="19">
        <v>80</v>
      </c>
      <c r="GP705" s="19">
        <v>79.3</v>
      </c>
      <c r="GQ705" s="19">
        <v>58.8</v>
      </c>
      <c r="GR705" s="19">
        <v>58</v>
      </c>
      <c r="GS705" s="19">
        <v>45.8</v>
      </c>
    </row>
    <row r="706">
      <c r="A706" s="2" t="s">
        <v>3803</v>
      </c>
      <c r="B706" s="2" t="s">
        <v>630</v>
      </c>
      <c r="C706" s="2" t="s">
        <v>592</v>
      </c>
      <c r="D706" s="2" t="s">
        <v>759</v>
      </c>
      <c r="E706" s="2" t="s">
        <v>3804</v>
      </c>
      <c r="F706" s="2" t="s">
        <v>3805</v>
      </c>
      <c r="G706" s="2" t="s">
        <v>3805</v>
      </c>
      <c r="H706" s="2" t="s">
        <v>199</v>
      </c>
      <c r="I706" s="2" t="s">
        <v>3806</v>
      </c>
      <c r="J706" s="2" t="s">
        <v>223</v>
      </c>
      <c r="K706" s="2" t="s">
        <v>2996</v>
      </c>
      <c r="L706" s="3">
        <v>90.65</v>
      </c>
      <c r="M706" s="3">
        <v>95.18</v>
      </c>
      <c r="N706" s="3">
        <v>259</v>
      </c>
      <c r="O706" s="2" t="s">
        <v>196</v>
      </c>
      <c r="P706" s="2" t="s">
        <v>197</v>
      </c>
      <c r="Q706" s="2" t="s">
        <v>198</v>
      </c>
      <c r="R706" s="2" t="s">
        <v>199</v>
      </c>
      <c r="S706" s="2" t="s">
        <v>3807</v>
      </c>
      <c r="T706" s="2" t="s">
        <v>199</v>
      </c>
      <c r="U706" s="2" t="s">
        <v>637</v>
      </c>
      <c r="V706" s="2" t="s">
        <v>202</v>
      </c>
      <c r="W706" s="2" t="s">
        <v>623</v>
      </c>
      <c r="X706" s="2" t="s">
        <v>640</v>
      </c>
      <c r="Y706" s="2" t="s">
        <v>204</v>
      </c>
      <c r="Z706" s="4"/>
      <c r="AA706" s="4">
        <f>=ROUNDDOWN({0},0)</f>
      </c>
      <c r="AB706" s="5">
        <v>3</v>
      </c>
      <c r="AC706" s="2" t="s">
        <v>2315</v>
      </c>
      <c r="AD706" s="4">
        <v>100</v>
      </c>
      <c r="AE706" s="4">
        <v>100</v>
      </c>
      <c r="AF706" s="6">
        <v>67</v>
      </c>
      <c r="AG706" s="6"/>
      <c r="AH706" s="7">
        <v>0</v>
      </c>
      <c r="AI706" s="4"/>
      <c r="AJ706" s="4">
        <f>=ROUNDDOWN({0},0)</f>
      </c>
      <c r="AK706" s="5"/>
      <c r="AL706" s="2" t="s">
        <v>199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199</v>
      </c>
      <c r="BD706" s="8" t="s">
        <v>199</v>
      </c>
      <c r="BE706" s="4" t="s">
        <v>199</v>
      </c>
      <c r="BF706" s="8" t="s">
        <v>199</v>
      </c>
      <c r="BG706" s="7" t="s">
        <v>199</v>
      </c>
      <c r="BH706" s="7" t="s">
        <v>199</v>
      </c>
      <c r="BI706" s="7"/>
      <c r="BJ706" s="4"/>
      <c r="BK706" s="8"/>
      <c r="BL706" s="2" t="s">
        <v>3808</v>
      </c>
      <c r="BM706" s="7"/>
      <c r="BN706" s="7"/>
      <c r="BO706" s="4"/>
      <c r="BP706" s="8"/>
      <c r="BQ706" s="4"/>
      <c r="BR706" s="8"/>
      <c r="BS706" s="7"/>
      <c r="BT706" s="7"/>
      <c r="BU706" s="2" t="s">
        <v>3809</v>
      </c>
      <c r="BV706" s="2" t="s">
        <v>199</v>
      </c>
      <c r="BW706" s="2" t="s">
        <v>199</v>
      </c>
      <c r="BX706" s="2" t="s">
        <v>208</v>
      </c>
      <c r="BY706" s="2" t="s">
        <v>209</v>
      </c>
      <c r="BZ706" s="2" t="s">
        <v>196</v>
      </c>
      <c r="CA706" s="2" t="s">
        <v>210</v>
      </c>
      <c r="CB706" s="2" t="s">
        <v>3810</v>
      </c>
      <c r="CC706" s="2" t="s">
        <v>212</v>
      </c>
      <c r="CD706" s="2" t="s">
        <v>199</v>
      </c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>
        <v>100</v>
      </c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>
        <v>100</v>
      </c>
      <c r="EV706" s="4">
        <v>97</v>
      </c>
      <c r="EW706" s="4">
        <v>94</v>
      </c>
      <c r="EX706" s="4">
        <v>86</v>
      </c>
      <c r="EY706" s="4">
        <v>83</v>
      </c>
      <c r="EZ706" s="4">
        <v>80</v>
      </c>
      <c r="FA706" s="4">
        <v>77</v>
      </c>
      <c r="FB706" s="4">
        <v>74</v>
      </c>
      <c r="FC706" s="4">
        <v>71</v>
      </c>
      <c r="FD706" s="4">
        <v>68</v>
      </c>
      <c r="FE706" s="4">
        <v>65</v>
      </c>
      <c r="FF706" s="4">
        <v>62</v>
      </c>
      <c r="FG706" s="4">
        <v>59</v>
      </c>
      <c r="FH706" s="4">
        <v>56</v>
      </c>
      <c r="FI706" s="4">
        <v>53</v>
      </c>
      <c r="FJ706" s="4">
        <v>50</v>
      </c>
      <c r="FK706" s="4">
        <v>47</v>
      </c>
      <c r="FL706" s="4">
        <v>44</v>
      </c>
      <c r="FM706" s="4">
        <v>41</v>
      </c>
      <c r="FN706" s="4">
        <v>38</v>
      </c>
      <c r="FO706" s="4">
        <v>35</v>
      </c>
      <c r="FP706" s="4">
        <v>32</v>
      </c>
      <c r="FQ706" s="4">
        <v>29</v>
      </c>
      <c r="FR706" s="4">
        <v>26</v>
      </c>
      <c r="FS706" s="4">
        <v>23</v>
      </c>
      <c r="FT706" s="20">
        <v>0</v>
      </c>
      <c r="FU706" s="19">
        <v>25</v>
      </c>
      <c r="FV706" s="19">
        <v>24.3</v>
      </c>
      <c r="FW706" s="19">
        <v>23.5</v>
      </c>
      <c r="FX706" s="19">
        <v>28.7</v>
      </c>
      <c r="FY706" s="19">
        <v>27.7</v>
      </c>
      <c r="FZ706" s="19">
        <v>26.7</v>
      </c>
      <c r="GA706" s="19">
        <v>25.7</v>
      </c>
      <c r="GB706" s="19">
        <v>24.7</v>
      </c>
      <c r="GC706" s="19">
        <v>23.7</v>
      </c>
      <c r="GD706" s="19">
        <v>22.7</v>
      </c>
      <c r="GE706" s="19">
        <v>21.7</v>
      </c>
      <c r="GF706" s="19">
        <v>20.7</v>
      </c>
      <c r="GG706" s="19">
        <v>19.7</v>
      </c>
      <c r="GH706" s="19">
        <v>18.7</v>
      </c>
      <c r="GI706" s="19">
        <v>17.7</v>
      </c>
      <c r="GJ706" s="19">
        <v>16.7</v>
      </c>
      <c r="GK706" s="19">
        <v>15.7</v>
      </c>
      <c r="GL706" s="19">
        <v>14.7</v>
      </c>
      <c r="GM706" s="19">
        <v>13.7</v>
      </c>
      <c r="GN706" s="19">
        <v>12.7</v>
      </c>
      <c r="GO706" s="19">
        <v>11.7</v>
      </c>
      <c r="GP706" s="19">
        <v>10.7</v>
      </c>
      <c r="GQ706" s="19">
        <v>9.7</v>
      </c>
      <c r="GR706" s="19">
        <v>8.7</v>
      </c>
      <c r="GS706" s="19">
        <v>7.7</v>
      </c>
    </row>
    <row r="707">
      <c r="A707" s="2" t="s">
        <v>3811</v>
      </c>
      <c r="B707" s="2" t="s">
        <v>630</v>
      </c>
      <c r="C707" s="2" t="s">
        <v>592</v>
      </c>
      <c r="D707" s="2" t="s">
        <v>759</v>
      </c>
      <c r="E707" s="2" t="s">
        <v>3804</v>
      </c>
      <c r="F707" s="2" t="s">
        <v>3805</v>
      </c>
      <c r="G707" s="2" t="s">
        <v>3805</v>
      </c>
      <c r="H707" s="2" t="s">
        <v>3805</v>
      </c>
      <c r="I707" s="2" t="s">
        <v>3806</v>
      </c>
      <c r="J707" s="2" t="s">
        <v>219</v>
      </c>
      <c r="K707" s="2" t="s">
        <v>723</v>
      </c>
      <c r="L707" s="3">
        <v>73.15</v>
      </c>
      <c r="M707" s="3">
        <v>76.81</v>
      </c>
      <c r="N707" s="3">
        <v>209</v>
      </c>
      <c r="O707" s="2" t="s">
        <v>196</v>
      </c>
      <c r="P707" s="2" t="s">
        <v>197</v>
      </c>
      <c r="Q707" s="2" t="s">
        <v>198</v>
      </c>
      <c r="R707" s="2" t="s">
        <v>199</v>
      </c>
      <c r="S707" s="2" t="s">
        <v>3812</v>
      </c>
      <c r="T707" s="2" t="s">
        <v>199</v>
      </c>
      <c r="U707" s="2" t="s">
        <v>637</v>
      </c>
      <c r="V707" s="2" t="s">
        <v>202</v>
      </c>
      <c r="W707" s="2" t="s">
        <v>623</v>
      </c>
      <c r="X707" s="2" t="s">
        <v>640</v>
      </c>
      <c r="Y707" s="2" t="s">
        <v>204</v>
      </c>
      <c r="Z707" s="4">
        <v>66</v>
      </c>
      <c r="AA707" s="4">
        <f>=ROUNDDOWN(16.5,0)</f>
      </c>
      <c r="AB707" s="5">
        <v>4</v>
      </c>
      <c r="AC707" s="2" t="s">
        <v>2315</v>
      </c>
      <c r="AD707" s="4">
        <v>160</v>
      </c>
      <c r="AE707" s="4">
        <v>160</v>
      </c>
      <c r="AF707" s="6">
        <v>67</v>
      </c>
      <c r="AG707" s="6"/>
      <c r="AH707" s="7">
        <v>1</v>
      </c>
      <c r="AI707" s="4"/>
      <c r="AJ707" s="4">
        <f>=ROUNDDOWN({0},0)</f>
      </c>
      <c r="AK707" s="5"/>
      <c r="AL707" s="2" t="s">
        <v>199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199</v>
      </c>
      <c r="BD707" s="8" t="s">
        <v>199</v>
      </c>
      <c r="BE707" s="4" t="s">
        <v>199</v>
      </c>
      <c r="BF707" s="8" t="s">
        <v>199</v>
      </c>
      <c r="BG707" s="7" t="s">
        <v>199</v>
      </c>
      <c r="BH707" s="7" t="s">
        <v>199</v>
      </c>
      <c r="BI707" s="7"/>
      <c r="BJ707" s="4">
        <v>3</v>
      </c>
      <c r="BK707" s="8">
        <v>230.43</v>
      </c>
      <c r="BL707" s="2" t="s">
        <v>3813</v>
      </c>
      <c r="BM707" s="7"/>
      <c r="BN707" s="7"/>
      <c r="BO707" s="4"/>
      <c r="BP707" s="8"/>
      <c r="BQ707" s="4"/>
      <c r="BR707" s="8"/>
      <c r="BS707" s="7"/>
      <c r="BT707" s="7"/>
      <c r="BU707" s="2" t="s">
        <v>3809</v>
      </c>
      <c r="BV707" s="2" t="s">
        <v>199</v>
      </c>
      <c r="BW707" s="2" t="s">
        <v>199</v>
      </c>
      <c r="BX707" s="2" t="s">
        <v>208</v>
      </c>
      <c r="BY707" s="2" t="s">
        <v>209</v>
      </c>
      <c r="BZ707" s="2" t="s">
        <v>196</v>
      </c>
      <c r="CA707" s="2" t="s">
        <v>3814</v>
      </c>
      <c r="CB707" s="2" t="s">
        <v>3815</v>
      </c>
      <c r="CC707" s="2" t="s">
        <v>212</v>
      </c>
      <c r="CD707" s="2" t="s">
        <v>199</v>
      </c>
      <c r="CE707" s="4">
        <v>66</v>
      </c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>
        <v>160</v>
      </c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>
        <v>66</v>
      </c>
      <c r="EU707" s="4">
        <v>221</v>
      </c>
      <c r="EV707" s="4">
        <v>217</v>
      </c>
      <c r="EW707" s="4">
        <v>213</v>
      </c>
      <c r="EX707" s="4">
        <v>209</v>
      </c>
      <c r="EY707" s="4">
        <v>205</v>
      </c>
      <c r="EZ707" s="4">
        <v>201</v>
      </c>
      <c r="FA707" s="4">
        <v>197</v>
      </c>
      <c r="FB707" s="4">
        <v>193</v>
      </c>
      <c r="FC707" s="4">
        <v>189</v>
      </c>
      <c r="FD707" s="4">
        <v>185</v>
      </c>
      <c r="FE707" s="4">
        <v>181</v>
      </c>
      <c r="FF707" s="4">
        <v>177</v>
      </c>
      <c r="FG707" s="4">
        <v>173</v>
      </c>
      <c r="FH707" s="4">
        <v>169</v>
      </c>
      <c r="FI707" s="4">
        <v>165</v>
      </c>
      <c r="FJ707" s="4">
        <v>161</v>
      </c>
      <c r="FK707" s="4">
        <v>157</v>
      </c>
      <c r="FL707" s="4">
        <v>153</v>
      </c>
      <c r="FM707" s="4">
        <v>149</v>
      </c>
      <c r="FN707" s="4">
        <v>145</v>
      </c>
      <c r="FO707" s="4">
        <v>141</v>
      </c>
      <c r="FP707" s="4">
        <v>137</v>
      </c>
      <c r="FQ707" s="4">
        <v>133</v>
      </c>
      <c r="FR707" s="4">
        <v>129</v>
      </c>
      <c r="FS707" s="4">
        <v>125</v>
      </c>
      <c r="FT707" s="19">
        <v>16.5</v>
      </c>
      <c r="FU707" s="19">
        <v>55.3</v>
      </c>
      <c r="FV707" s="19">
        <v>54.3</v>
      </c>
      <c r="FW707" s="19">
        <v>53.3</v>
      </c>
      <c r="FX707" s="19">
        <v>52.3</v>
      </c>
      <c r="FY707" s="19">
        <v>51.3</v>
      </c>
      <c r="FZ707" s="19">
        <v>50.3</v>
      </c>
      <c r="GA707" s="19">
        <v>49.3</v>
      </c>
      <c r="GB707" s="19">
        <v>48.3</v>
      </c>
      <c r="GC707" s="19">
        <v>47.3</v>
      </c>
      <c r="GD707" s="19">
        <v>46.3</v>
      </c>
      <c r="GE707" s="19">
        <v>45.3</v>
      </c>
      <c r="GF707" s="19">
        <v>44.3</v>
      </c>
      <c r="GG707" s="19">
        <v>43.3</v>
      </c>
      <c r="GH707" s="19">
        <v>42.3</v>
      </c>
      <c r="GI707" s="19">
        <v>41.3</v>
      </c>
      <c r="GJ707" s="19">
        <v>40.3</v>
      </c>
      <c r="GK707" s="19">
        <v>39.3</v>
      </c>
      <c r="GL707" s="19">
        <v>38.3</v>
      </c>
      <c r="GM707" s="19">
        <v>37.3</v>
      </c>
      <c r="GN707" s="19">
        <v>36.3</v>
      </c>
      <c r="GO707" s="19">
        <v>35.3</v>
      </c>
      <c r="GP707" s="19">
        <v>34.3</v>
      </c>
      <c r="GQ707" s="19">
        <v>33.3</v>
      </c>
      <c r="GR707" s="19">
        <v>32.3</v>
      </c>
      <c r="GS707" s="19">
        <v>31.3</v>
      </c>
    </row>
    <row r="708">
      <c r="A708" s="2" t="s">
        <v>3816</v>
      </c>
      <c r="B708" s="2" t="s">
        <v>630</v>
      </c>
      <c r="C708" s="2" t="s">
        <v>246</v>
      </c>
      <c r="D708" s="2" t="s">
        <v>631</v>
      </c>
      <c r="E708" s="2" t="s">
        <v>720</v>
      </c>
      <c r="F708" s="2" t="s">
        <v>3817</v>
      </c>
      <c r="G708" s="2" t="s">
        <v>3818</v>
      </c>
      <c r="H708" s="2" t="s">
        <v>3819</v>
      </c>
      <c r="I708" s="2" t="s">
        <v>2577</v>
      </c>
      <c r="J708" s="2" t="s">
        <v>232</v>
      </c>
      <c r="K708" s="2" t="s">
        <v>656</v>
      </c>
      <c r="L708" s="3">
        <v>48.5</v>
      </c>
      <c r="M708" s="3">
        <v>50.92</v>
      </c>
      <c r="N708" s="3">
        <v>99.99</v>
      </c>
      <c r="O708" s="2" t="s">
        <v>196</v>
      </c>
      <c r="P708" s="2" t="s">
        <v>197</v>
      </c>
      <c r="Q708" s="2" t="s">
        <v>198</v>
      </c>
      <c r="R708" s="2" t="s">
        <v>199</v>
      </c>
      <c r="S708" s="2" t="s">
        <v>3820</v>
      </c>
      <c r="T708" s="2" t="s">
        <v>2214</v>
      </c>
      <c r="U708" s="2" t="s">
        <v>546</v>
      </c>
      <c r="V708" s="2" t="s">
        <v>953</v>
      </c>
      <c r="W708" s="2" t="s">
        <v>768</v>
      </c>
      <c r="X708" s="2" t="s">
        <v>979</v>
      </c>
      <c r="Y708" s="2" t="s">
        <v>3821</v>
      </c>
      <c r="Z708" s="4">
        <v>84</v>
      </c>
      <c r="AA708" s="4">
        <f>=ROUNDDOWN(42,0)</f>
      </c>
      <c r="AB708" s="5">
        <v>2</v>
      </c>
      <c r="AC708" s="2" t="s">
        <v>199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199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199</v>
      </c>
      <c r="BD708" s="8" t="s">
        <v>199</v>
      </c>
      <c r="BE708" s="4" t="s">
        <v>199</v>
      </c>
      <c r="BF708" s="8" t="s">
        <v>199</v>
      </c>
      <c r="BG708" s="7" t="s">
        <v>199</v>
      </c>
      <c r="BH708" s="7" t="s">
        <v>199</v>
      </c>
      <c r="BI708" s="7"/>
      <c r="BJ708" s="4">
        <v>9</v>
      </c>
      <c r="BK708" s="8">
        <v>566.85</v>
      </c>
      <c r="BL708" s="2" t="s">
        <v>3822</v>
      </c>
      <c r="BM708" s="7"/>
      <c r="BN708" s="7"/>
      <c r="BO708" s="4"/>
      <c r="BP708" s="8"/>
      <c r="BQ708" s="4"/>
      <c r="BR708" s="8"/>
      <c r="BS708" s="7"/>
      <c r="BT708" s="7"/>
      <c r="BU708" s="2" t="s">
        <v>3823</v>
      </c>
      <c r="BV708" s="2" t="s">
        <v>199</v>
      </c>
      <c r="BW708" s="2" t="s">
        <v>199</v>
      </c>
      <c r="BX708" s="2" t="s">
        <v>208</v>
      </c>
      <c r="BY708" s="2" t="s">
        <v>209</v>
      </c>
      <c r="BZ708" s="2" t="s">
        <v>196</v>
      </c>
      <c r="CA708" s="2" t="s">
        <v>3824</v>
      </c>
      <c r="CB708" s="2" t="s">
        <v>3825</v>
      </c>
      <c r="CC708" s="2" t="s">
        <v>212</v>
      </c>
      <c r="CD708" s="2" t="s">
        <v>199</v>
      </c>
      <c r="CE708" s="4">
        <v>84</v>
      </c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>
        <v>86</v>
      </c>
      <c r="EU708" s="4">
        <v>82</v>
      </c>
      <c r="EV708" s="4">
        <v>80</v>
      </c>
      <c r="EW708" s="4">
        <v>78</v>
      </c>
      <c r="EX708" s="4">
        <v>76</v>
      </c>
      <c r="EY708" s="4">
        <v>74</v>
      </c>
      <c r="EZ708" s="4">
        <v>72</v>
      </c>
      <c r="FA708" s="4">
        <v>70</v>
      </c>
      <c r="FB708" s="4">
        <v>68</v>
      </c>
      <c r="FC708" s="4">
        <v>66</v>
      </c>
      <c r="FD708" s="4">
        <v>64</v>
      </c>
      <c r="FE708" s="4">
        <v>62</v>
      </c>
      <c r="FF708" s="4">
        <v>60</v>
      </c>
      <c r="FG708" s="4">
        <v>58</v>
      </c>
      <c r="FH708" s="4">
        <v>56</v>
      </c>
      <c r="FI708" s="4">
        <v>54</v>
      </c>
      <c r="FJ708" s="4">
        <v>52</v>
      </c>
      <c r="FK708" s="4">
        <v>50</v>
      </c>
      <c r="FL708" s="4">
        <v>48</v>
      </c>
      <c r="FM708" s="4">
        <v>46</v>
      </c>
      <c r="FN708" s="4">
        <v>44</v>
      </c>
      <c r="FO708" s="4">
        <v>42</v>
      </c>
      <c r="FP708" s="4">
        <v>40</v>
      </c>
      <c r="FQ708" s="4">
        <v>38</v>
      </c>
      <c r="FR708" s="4">
        <v>36</v>
      </c>
      <c r="FS708" s="4">
        <v>34</v>
      </c>
      <c r="FT708" s="19">
        <v>43</v>
      </c>
      <c r="FU708" s="19">
        <v>41</v>
      </c>
      <c r="FV708" s="19">
        <v>40</v>
      </c>
      <c r="FW708" s="19">
        <v>39</v>
      </c>
      <c r="FX708" s="19">
        <v>38</v>
      </c>
      <c r="FY708" s="19">
        <v>37</v>
      </c>
      <c r="FZ708" s="19">
        <v>36</v>
      </c>
      <c r="GA708" s="19">
        <v>35</v>
      </c>
      <c r="GB708" s="19">
        <v>34</v>
      </c>
      <c r="GC708" s="19">
        <v>33</v>
      </c>
      <c r="GD708" s="19">
        <v>32</v>
      </c>
      <c r="GE708" s="19">
        <v>31</v>
      </c>
      <c r="GF708" s="19">
        <v>30</v>
      </c>
      <c r="GG708" s="19">
        <v>29</v>
      </c>
      <c r="GH708" s="19">
        <v>28</v>
      </c>
      <c r="GI708" s="19">
        <v>27</v>
      </c>
      <c r="GJ708" s="19">
        <v>26</v>
      </c>
      <c r="GK708" s="19">
        <v>25</v>
      </c>
      <c r="GL708" s="19">
        <v>24</v>
      </c>
      <c r="GM708" s="19">
        <v>23</v>
      </c>
      <c r="GN708" s="19">
        <v>22</v>
      </c>
      <c r="GO708" s="19">
        <v>21</v>
      </c>
      <c r="GP708" s="19">
        <v>20</v>
      </c>
      <c r="GQ708" s="19">
        <v>19</v>
      </c>
      <c r="GR708" s="19">
        <v>18</v>
      </c>
      <c r="GS708" s="19">
        <v>17</v>
      </c>
    </row>
    <row r="709">
      <c r="A709" s="2" t="s">
        <v>3826</v>
      </c>
      <c r="B709" s="2" t="s">
        <v>630</v>
      </c>
      <c r="C709" s="2" t="s">
        <v>246</v>
      </c>
      <c r="D709" s="2" t="s">
        <v>631</v>
      </c>
      <c r="E709" s="2" t="s">
        <v>720</v>
      </c>
      <c r="F709" s="2" t="s">
        <v>3817</v>
      </c>
      <c r="G709" s="2" t="s">
        <v>3818</v>
      </c>
      <c r="H709" s="2" t="s">
        <v>3819</v>
      </c>
      <c r="I709" s="2" t="s">
        <v>2577</v>
      </c>
      <c r="J709" s="2" t="s">
        <v>232</v>
      </c>
      <c r="K709" s="2" t="s">
        <v>371</v>
      </c>
      <c r="L709" s="3">
        <v>48.5</v>
      </c>
      <c r="M709" s="3">
        <v>50.92</v>
      </c>
      <c r="N709" s="3">
        <v>99.99</v>
      </c>
      <c r="O709" s="2" t="s">
        <v>196</v>
      </c>
      <c r="P709" s="2" t="s">
        <v>197</v>
      </c>
      <c r="Q709" s="2" t="s">
        <v>198</v>
      </c>
      <c r="R709" s="2" t="s">
        <v>199</v>
      </c>
      <c r="S709" s="2" t="s">
        <v>3827</v>
      </c>
      <c r="T709" s="2" t="s">
        <v>2214</v>
      </c>
      <c r="U709" s="2" t="s">
        <v>546</v>
      </c>
      <c r="V709" s="2" t="s">
        <v>953</v>
      </c>
      <c r="W709" s="2" t="s">
        <v>768</v>
      </c>
      <c r="X709" s="2" t="s">
        <v>3828</v>
      </c>
      <c r="Y709" s="2" t="s">
        <v>204</v>
      </c>
      <c r="Z709" s="4">
        <v>220</v>
      </c>
      <c r="AA709" s="4">
        <f>=ROUNDDOWN(110,0)</f>
      </c>
      <c r="AB709" s="5">
        <v>2</v>
      </c>
      <c r="AC709" s="2" t="s">
        <v>199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199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199</v>
      </c>
      <c r="BD709" s="8" t="s">
        <v>199</v>
      </c>
      <c r="BE709" s="4" t="s">
        <v>199</v>
      </c>
      <c r="BF709" s="8" t="s">
        <v>199</v>
      </c>
      <c r="BG709" s="7" t="s">
        <v>199</v>
      </c>
      <c r="BH709" s="7" t="s">
        <v>199</v>
      </c>
      <c r="BI709" s="7"/>
      <c r="BJ709" s="4">
        <v>10</v>
      </c>
      <c r="BK709" s="8">
        <v>525.07</v>
      </c>
      <c r="BL709" s="2" t="s">
        <v>1323</v>
      </c>
      <c r="BM709" s="7"/>
      <c r="BN709" s="7"/>
      <c r="BO709" s="4"/>
      <c r="BP709" s="8"/>
      <c r="BQ709" s="4"/>
      <c r="BR709" s="8"/>
      <c r="BS709" s="7"/>
      <c r="BT709" s="7"/>
      <c r="BU709" s="2" t="s">
        <v>3823</v>
      </c>
      <c r="BV709" s="2" t="s">
        <v>199</v>
      </c>
      <c r="BW709" s="2" t="s">
        <v>199</v>
      </c>
      <c r="BX709" s="2" t="s">
        <v>208</v>
      </c>
      <c r="BY709" s="2" t="s">
        <v>209</v>
      </c>
      <c r="BZ709" s="2" t="s">
        <v>196</v>
      </c>
      <c r="CA709" s="2" t="s">
        <v>210</v>
      </c>
      <c r="CB709" s="2" t="s">
        <v>773</v>
      </c>
      <c r="CC709" s="2" t="s">
        <v>212</v>
      </c>
      <c r="CD709" s="2" t="s">
        <v>199</v>
      </c>
      <c r="CE709" s="4">
        <v>220</v>
      </c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>
        <v>222</v>
      </c>
      <c r="EU709" s="4">
        <v>219</v>
      </c>
      <c r="EV709" s="4">
        <v>217</v>
      </c>
      <c r="EW709" s="4">
        <v>215</v>
      </c>
      <c r="EX709" s="4">
        <v>213</v>
      </c>
      <c r="EY709" s="4">
        <v>211</v>
      </c>
      <c r="EZ709" s="4">
        <v>209</v>
      </c>
      <c r="FA709" s="4">
        <v>207</v>
      </c>
      <c r="FB709" s="4">
        <v>205</v>
      </c>
      <c r="FC709" s="4">
        <v>203</v>
      </c>
      <c r="FD709" s="4">
        <v>201</v>
      </c>
      <c r="FE709" s="4">
        <v>199</v>
      </c>
      <c r="FF709" s="4">
        <v>197</v>
      </c>
      <c r="FG709" s="4">
        <v>195</v>
      </c>
      <c r="FH709" s="4">
        <v>193</v>
      </c>
      <c r="FI709" s="4">
        <v>191</v>
      </c>
      <c r="FJ709" s="4">
        <v>189</v>
      </c>
      <c r="FK709" s="4">
        <v>187</v>
      </c>
      <c r="FL709" s="4">
        <v>185</v>
      </c>
      <c r="FM709" s="4">
        <v>183</v>
      </c>
      <c r="FN709" s="4">
        <v>181</v>
      </c>
      <c r="FO709" s="4">
        <v>179</v>
      </c>
      <c r="FP709" s="4">
        <v>177</v>
      </c>
      <c r="FQ709" s="4">
        <v>175</v>
      </c>
      <c r="FR709" s="4">
        <v>173</v>
      </c>
      <c r="FS709" s="4">
        <v>171</v>
      </c>
      <c r="FT709" s="19">
        <v>111</v>
      </c>
      <c r="FU709" s="19">
        <v>109.5</v>
      </c>
      <c r="FV709" s="19">
        <v>108.5</v>
      </c>
      <c r="FW709" s="19">
        <v>107.5</v>
      </c>
      <c r="FX709" s="19">
        <v>106.5</v>
      </c>
      <c r="FY709" s="19">
        <v>105.5</v>
      </c>
      <c r="FZ709" s="19">
        <v>104.5</v>
      </c>
      <c r="GA709" s="19">
        <v>103.5</v>
      </c>
      <c r="GB709" s="19">
        <v>102.5</v>
      </c>
      <c r="GC709" s="19">
        <v>101.5</v>
      </c>
      <c r="GD709" s="19">
        <v>100.5</v>
      </c>
      <c r="GE709" s="19">
        <v>99.5</v>
      </c>
      <c r="GF709" s="19">
        <v>98.5</v>
      </c>
      <c r="GG709" s="19">
        <v>97.5</v>
      </c>
      <c r="GH709" s="19">
        <v>96.5</v>
      </c>
      <c r="GI709" s="19">
        <v>95.5</v>
      </c>
      <c r="GJ709" s="19">
        <v>94.5</v>
      </c>
      <c r="GK709" s="19">
        <v>93.5</v>
      </c>
      <c r="GL709" s="19">
        <v>92.5</v>
      </c>
      <c r="GM709" s="19">
        <v>91.5</v>
      </c>
      <c r="GN709" s="19">
        <v>90.5</v>
      </c>
      <c r="GO709" s="19">
        <v>89.5</v>
      </c>
      <c r="GP709" s="19">
        <v>88.5</v>
      </c>
      <c r="GQ709" s="19">
        <v>87.5</v>
      </c>
      <c r="GR709" s="19">
        <v>86.5</v>
      </c>
      <c r="GS709" s="19">
        <v>85.5</v>
      </c>
    </row>
    <row r="710">
      <c r="A710" s="2" t="s">
        <v>3829</v>
      </c>
      <c r="B710" s="2" t="s">
        <v>188</v>
      </c>
      <c r="C710" s="2" t="s">
        <v>189</v>
      </c>
      <c r="D710" s="2" t="s">
        <v>228</v>
      </c>
      <c r="E710" s="2" t="s">
        <v>229</v>
      </c>
      <c r="F710" s="2" t="s">
        <v>3830</v>
      </c>
      <c r="G710" s="2" t="s">
        <v>3830</v>
      </c>
      <c r="H710" s="2" t="s">
        <v>3830</v>
      </c>
      <c r="I710" s="2" t="s">
        <v>3831</v>
      </c>
      <c r="J710" s="2" t="s">
        <v>194</v>
      </c>
      <c r="K710" s="2" t="s">
        <v>233</v>
      </c>
      <c r="L710" s="3">
        <v>38.4</v>
      </c>
      <c r="M710" s="3">
        <v>40.32</v>
      </c>
      <c r="N710" s="3">
        <v>79.99</v>
      </c>
      <c r="O710" s="2" t="s">
        <v>196</v>
      </c>
      <c r="P710" s="2" t="s">
        <v>197</v>
      </c>
      <c r="Q710" s="2" t="s">
        <v>198</v>
      </c>
      <c r="R710" s="2" t="s">
        <v>199</v>
      </c>
      <c r="S710" s="2" t="s">
        <v>3832</v>
      </c>
      <c r="T710" s="2" t="s">
        <v>300</v>
      </c>
      <c r="U710" s="2" t="s">
        <v>199</v>
      </c>
      <c r="V710" s="2" t="s">
        <v>202</v>
      </c>
      <c r="W710" s="2" t="s">
        <v>203</v>
      </c>
      <c r="X710" s="2" t="s">
        <v>199</v>
      </c>
      <c r="Y710" s="2" t="s">
        <v>204</v>
      </c>
      <c r="Z710" s="4">
        <v>197</v>
      </c>
      <c r="AA710" s="4">
        <f>=ROUNDDOWN(49.25,0)</f>
      </c>
      <c r="AB710" s="5">
        <v>4</v>
      </c>
      <c r="AC710" s="2" t="s">
        <v>199</v>
      </c>
      <c r="AD710" s="4"/>
      <c r="AE710" s="4"/>
      <c r="AF710" s="6">
        <v>66</v>
      </c>
      <c r="AG710" s="6"/>
      <c r="AH710" s="7">
        <v>1</v>
      </c>
      <c r="AI710" s="4"/>
      <c r="AJ710" s="4">
        <f>=ROUNDDOWN({0},0)</f>
      </c>
      <c r="AK710" s="5"/>
      <c r="AL710" s="2" t="s">
        <v>199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199</v>
      </c>
      <c r="AW710" s="8" t="s">
        <v>199</v>
      </c>
      <c r="AX710" s="4" t="s">
        <v>199</v>
      </c>
      <c r="AY710" s="8" t="s">
        <v>199</v>
      </c>
      <c r="AZ710" s="7" t="s">
        <v>199</v>
      </c>
      <c r="BA710" s="7" t="s">
        <v>199</v>
      </c>
      <c r="BB710" s="7"/>
      <c r="BC710" s="4" t="s">
        <v>199</v>
      </c>
      <c r="BD710" s="8" t="s">
        <v>199</v>
      </c>
      <c r="BE710" s="4" t="s">
        <v>199</v>
      </c>
      <c r="BF710" s="8" t="s">
        <v>199</v>
      </c>
      <c r="BG710" s="7" t="s">
        <v>199</v>
      </c>
      <c r="BH710" s="7" t="s">
        <v>199</v>
      </c>
      <c r="BI710" s="7"/>
      <c r="BJ710" s="4">
        <v>20</v>
      </c>
      <c r="BK710" s="8">
        <v>890.43</v>
      </c>
      <c r="BL710" s="2" t="s">
        <v>3833</v>
      </c>
      <c r="BM710" s="7"/>
      <c r="BN710" s="7"/>
      <c r="BO710" s="4"/>
      <c r="BP710" s="8"/>
      <c r="BQ710" s="4"/>
      <c r="BR710" s="8"/>
      <c r="BS710" s="7"/>
      <c r="BT710" s="7"/>
      <c r="BU710" s="2" t="s">
        <v>3834</v>
      </c>
      <c r="BV710" s="2" t="s">
        <v>199</v>
      </c>
      <c r="BW710" s="2" t="s">
        <v>199</v>
      </c>
      <c r="BX710" s="2" t="s">
        <v>208</v>
      </c>
      <c r="BY710" s="2" t="s">
        <v>209</v>
      </c>
      <c r="BZ710" s="2" t="s">
        <v>196</v>
      </c>
      <c r="CA710" s="2" t="s">
        <v>210</v>
      </c>
      <c r="CB710" s="2" t="s">
        <v>3835</v>
      </c>
      <c r="CC710" s="2" t="s">
        <v>212</v>
      </c>
      <c r="CD710" s="2" t="s">
        <v>199</v>
      </c>
      <c r="CE710" s="4">
        <v>197</v>
      </c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>
        <v>200</v>
      </c>
      <c r="EU710" s="4">
        <v>195</v>
      </c>
      <c r="EV710" s="4">
        <v>193</v>
      </c>
      <c r="EW710" s="4">
        <v>191</v>
      </c>
      <c r="EX710" s="4">
        <v>189</v>
      </c>
      <c r="EY710" s="4">
        <v>187</v>
      </c>
      <c r="EZ710" s="4">
        <v>183</v>
      </c>
      <c r="FA710" s="4">
        <v>179</v>
      </c>
      <c r="FB710" s="4">
        <v>175</v>
      </c>
      <c r="FC710" s="4">
        <v>171</v>
      </c>
      <c r="FD710" s="4">
        <v>166</v>
      </c>
      <c r="FE710" s="4">
        <v>161</v>
      </c>
      <c r="FF710" s="4">
        <v>156</v>
      </c>
      <c r="FG710" s="4">
        <v>151</v>
      </c>
      <c r="FH710" s="4">
        <v>147</v>
      </c>
      <c r="FI710" s="4">
        <v>143</v>
      </c>
      <c r="FJ710" s="4">
        <v>139</v>
      </c>
      <c r="FK710" s="4">
        <v>135</v>
      </c>
      <c r="FL710" s="4">
        <v>131</v>
      </c>
      <c r="FM710" s="4">
        <v>129</v>
      </c>
      <c r="FN710" s="4">
        <v>127</v>
      </c>
      <c r="FO710" s="4">
        <v>125</v>
      </c>
      <c r="FP710" s="4">
        <v>122</v>
      </c>
      <c r="FQ710" s="4">
        <v>116</v>
      </c>
      <c r="FR710" s="4">
        <v>110</v>
      </c>
      <c r="FS710" s="4">
        <v>104</v>
      </c>
      <c r="FT710" s="19">
        <v>66.7</v>
      </c>
      <c r="FU710" s="19">
        <v>97.5</v>
      </c>
      <c r="FV710" s="19">
        <v>96.5</v>
      </c>
      <c r="FW710" s="19">
        <v>63.7</v>
      </c>
      <c r="FX710" s="19">
        <v>47.3</v>
      </c>
      <c r="FY710" s="19">
        <v>46.8</v>
      </c>
      <c r="FZ710" s="19">
        <v>45.8</v>
      </c>
      <c r="GA710" s="19">
        <v>44.8</v>
      </c>
      <c r="GB710" s="19">
        <v>35</v>
      </c>
      <c r="GC710" s="19">
        <v>34.2</v>
      </c>
      <c r="GD710" s="19">
        <v>33.2</v>
      </c>
      <c r="GE710" s="19">
        <v>40.3</v>
      </c>
      <c r="GF710" s="19">
        <v>39</v>
      </c>
      <c r="GG710" s="19">
        <v>37.8</v>
      </c>
      <c r="GH710" s="19">
        <v>36.8</v>
      </c>
      <c r="GI710" s="19">
        <v>35.8</v>
      </c>
      <c r="GJ710" s="19">
        <v>46.3</v>
      </c>
      <c r="GK710" s="19">
        <v>67.5</v>
      </c>
      <c r="GL710" s="19">
        <v>65.5</v>
      </c>
      <c r="GM710" s="19">
        <v>43</v>
      </c>
      <c r="GN710" s="19">
        <v>31.8</v>
      </c>
      <c r="GO710" s="19">
        <v>25</v>
      </c>
      <c r="GP710" s="19">
        <v>20.3</v>
      </c>
      <c r="GQ710" s="19">
        <v>19.3</v>
      </c>
      <c r="GR710" s="19">
        <v>18.3</v>
      </c>
      <c r="GS710" s="19">
        <v>17.3</v>
      </c>
    </row>
    <row r="711">
      <c r="A711" s="2" t="s">
        <v>3836</v>
      </c>
      <c r="B711" s="2" t="s">
        <v>188</v>
      </c>
      <c r="C711" s="2" t="s">
        <v>189</v>
      </c>
      <c r="D711" s="2" t="s">
        <v>228</v>
      </c>
      <c r="E711" s="2" t="s">
        <v>229</v>
      </c>
      <c r="F711" s="2" t="s">
        <v>3830</v>
      </c>
      <c r="G711" s="2" t="s">
        <v>3830</v>
      </c>
      <c r="H711" s="2" t="s">
        <v>3830</v>
      </c>
      <c r="I711" s="2" t="s">
        <v>3831</v>
      </c>
      <c r="J711" s="2" t="s">
        <v>232</v>
      </c>
      <c r="K711" s="2" t="s">
        <v>233</v>
      </c>
      <c r="L711" s="3">
        <v>49</v>
      </c>
      <c r="M711" s="3">
        <v>51.45</v>
      </c>
      <c r="N711" s="3">
        <v>99.99</v>
      </c>
      <c r="O711" s="2" t="s">
        <v>196</v>
      </c>
      <c r="P711" s="2" t="s">
        <v>197</v>
      </c>
      <c r="Q711" s="2" t="s">
        <v>198</v>
      </c>
      <c r="R711" s="2" t="s">
        <v>199</v>
      </c>
      <c r="S711" s="2" t="s">
        <v>3832</v>
      </c>
      <c r="T711" s="2" t="s">
        <v>300</v>
      </c>
      <c r="U711" s="2" t="s">
        <v>199</v>
      </c>
      <c r="V711" s="2" t="s">
        <v>202</v>
      </c>
      <c r="W711" s="2" t="s">
        <v>203</v>
      </c>
      <c r="X711" s="2" t="s">
        <v>199</v>
      </c>
      <c r="Y711" s="2" t="s">
        <v>204</v>
      </c>
      <c r="Z711" s="4">
        <v>198</v>
      </c>
      <c r="AA711" s="4">
        <f>=ROUNDDOWN(33,0)</f>
      </c>
      <c r="AB711" s="5">
        <v>6</v>
      </c>
      <c r="AC711" s="2" t="s">
        <v>3837</v>
      </c>
      <c r="AD711" s="4">
        <v>50</v>
      </c>
      <c r="AE711" s="4">
        <v>50</v>
      </c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199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199</v>
      </c>
      <c r="AW711" s="8" t="s">
        <v>199</v>
      </c>
      <c r="AX711" s="4" t="s">
        <v>199</v>
      </c>
      <c r="AY711" s="8" t="s">
        <v>199</v>
      </c>
      <c r="AZ711" s="7" t="s">
        <v>199</v>
      </c>
      <c r="BA711" s="7" t="s">
        <v>199</v>
      </c>
      <c r="BB711" s="7"/>
      <c r="BC711" s="4" t="s">
        <v>199</v>
      </c>
      <c r="BD711" s="8" t="s">
        <v>199</v>
      </c>
      <c r="BE711" s="4" t="s">
        <v>199</v>
      </c>
      <c r="BF711" s="8" t="s">
        <v>199</v>
      </c>
      <c r="BG711" s="7" t="s">
        <v>199</v>
      </c>
      <c r="BH711" s="7" t="s">
        <v>199</v>
      </c>
      <c r="BI711" s="7"/>
      <c r="BJ711" s="4">
        <v>51</v>
      </c>
      <c r="BK711" s="8">
        <v>2699.51</v>
      </c>
      <c r="BL711" s="2" t="s">
        <v>268</v>
      </c>
      <c r="BM711" s="7"/>
      <c r="BN711" s="7"/>
      <c r="BO711" s="4"/>
      <c r="BP711" s="8"/>
      <c r="BQ711" s="4"/>
      <c r="BR711" s="8"/>
      <c r="BS711" s="7"/>
      <c r="BT711" s="7"/>
      <c r="BU711" s="2" t="s">
        <v>3834</v>
      </c>
      <c r="BV711" s="2" t="s">
        <v>199</v>
      </c>
      <c r="BW711" s="2" t="s">
        <v>199</v>
      </c>
      <c r="BX711" s="2" t="s">
        <v>208</v>
      </c>
      <c r="BY711" s="2" t="s">
        <v>209</v>
      </c>
      <c r="BZ711" s="2" t="s">
        <v>196</v>
      </c>
      <c r="CA711" s="2" t="s">
        <v>210</v>
      </c>
      <c r="CB711" s="2" t="s">
        <v>3838</v>
      </c>
      <c r="CC711" s="2" t="s">
        <v>212</v>
      </c>
      <c r="CD711" s="2" t="s">
        <v>199</v>
      </c>
      <c r="CE711" s="4">
        <v>198</v>
      </c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>
        <v>50</v>
      </c>
      <c r="EL711" s="4"/>
      <c r="EM711" s="4"/>
      <c r="EN711" s="4"/>
      <c r="EO711" s="4"/>
      <c r="EP711" s="4"/>
      <c r="EQ711" s="4"/>
      <c r="ER711" s="4"/>
      <c r="ES711" s="4"/>
      <c r="ET711" s="4">
        <v>206</v>
      </c>
      <c r="EU711" s="4">
        <v>186</v>
      </c>
      <c r="EV711" s="4">
        <v>182</v>
      </c>
      <c r="EW711" s="4">
        <v>178</v>
      </c>
      <c r="EX711" s="4">
        <v>174</v>
      </c>
      <c r="EY711" s="4">
        <v>170</v>
      </c>
      <c r="EZ711" s="4">
        <v>164</v>
      </c>
      <c r="FA711" s="4">
        <v>158</v>
      </c>
      <c r="FB711" s="4">
        <v>151</v>
      </c>
      <c r="FC711" s="4">
        <v>145</v>
      </c>
      <c r="FD711" s="4">
        <v>137</v>
      </c>
      <c r="FE711" s="4">
        <v>129</v>
      </c>
      <c r="FF711" s="4">
        <v>121</v>
      </c>
      <c r="FG711" s="4">
        <v>113</v>
      </c>
      <c r="FH711" s="4">
        <v>106</v>
      </c>
      <c r="FI711" s="4">
        <v>149</v>
      </c>
      <c r="FJ711" s="4">
        <v>142</v>
      </c>
      <c r="FK711" s="4">
        <v>135</v>
      </c>
      <c r="FL711" s="4">
        <v>128</v>
      </c>
      <c r="FM711" s="4">
        <v>123</v>
      </c>
      <c r="FN711" s="4">
        <v>118</v>
      </c>
      <c r="FO711" s="4">
        <v>113</v>
      </c>
      <c r="FP711" s="4">
        <v>108</v>
      </c>
      <c r="FQ711" s="4">
        <v>102</v>
      </c>
      <c r="FR711" s="4">
        <v>96</v>
      </c>
      <c r="FS711" s="4">
        <v>90</v>
      </c>
      <c r="FT711" s="19">
        <v>25.8</v>
      </c>
      <c r="FU711" s="19">
        <v>46.5</v>
      </c>
      <c r="FV711" s="19">
        <v>45.5</v>
      </c>
      <c r="FW711" s="19">
        <v>35.6</v>
      </c>
      <c r="FX711" s="19">
        <v>29</v>
      </c>
      <c r="FY711" s="19">
        <v>28.3</v>
      </c>
      <c r="FZ711" s="19">
        <v>23.4</v>
      </c>
      <c r="GA711" s="19">
        <v>22.6</v>
      </c>
      <c r="GB711" s="19">
        <v>18.9</v>
      </c>
      <c r="GC711" s="19">
        <v>18.1</v>
      </c>
      <c r="GD711" s="19">
        <v>17.1</v>
      </c>
      <c r="GE711" s="19">
        <v>16.1</v>
      </c>
      <c r="GF711" s="19">
        <v>17.3</v>
      </c>
      <c r="GG711" s="19">
        <v>16.1</v>
      </c>
      <c r="GH711" s="19">
        <v>15.1</v>
      </c>
      <c r="GI711" s="19">
        <v>24.8</v>
      </c>
      <c r="GJ711" s="19">
        <v>23.7</v>
      </c>
      <c r="GK711" s="19">
        <v>22.5</v>
      </c>
      <c r="GL711" s="19">
        <v>25.6</v>
      </c>
      <c r="GM711" s="19">
        <v>24.6</v>
      </c>
      <c r="GN711" s="19">
        <v>19.7</v>
      </c>
      <c r="GO711" s="19">
        <v>18.8</v>
      </c>
      <c r="GP711" s="19">
        <v>18</v>
      </c>
      <c r="GQ711" s="19">
        <v>17</v>
      </c>
      <c r="GR711" s="19">
        <v>16</v>
      </c>
      <c r="GS711" s="19">
        <v>18</v>
      </c>
    </row>
    <row r="712">
      <c r="A712" s="2" t="s">
        <v>3839</v>
      </c>
      <c r="B712" s="2" t="s">
        <v>188</v>
      </c>
      <c r="C712" s="2" t="s">
        <v>189</v>
      </c>
      <c r="D712" s="2" t="s">
        <v>228</v>
      </c>
      <c r="E712" s="2" t="s">
        <v>229</v>
      </c>
      <c r="F712" s="2" t="s">
        <v>3830</v>
      </c>
      <c r="G712" s="2" t="s">
        <v>3830</v>
      </c>
      <c r="H712" s="2" t="s">
        <v>3830</v>
      </c>
      <c r="I712" s="2" t="s">
        <v>3831</v>
      </c>
      <c r="J712" s="2" t="s">
        <v>223</v>
      </c>
      <c r="K712" s="2" t="s">
        <v>233</v>
      </c>
      <c r="L712" s="3">
        <v>60</v>
      </c>
      <c r="M712" s="3">
        <v>63</v>
      </c>
      <c r="N712" s="3">
        <v>119.99</v>
      </c>
      <c r="O712" s="2" t="s">
        <v>196</v>
      </c>
      <c r="P712" s="2" t="s">
        <v>197</v>
      </c>
      <c r="Q712" s="2" t="s">
        <v>198</v>
      </c>
      <c r="R712" s="2" t="s">
        <v>199</v>
      </c>
      <c r="S712" s="2" t="s">
        <v>3832</v>
      </c>
      <c r="T712" s="2" t="s">
        <v>300</v>
      </c>
      <c r="U712" s="2" t="s">
        <v>199</v>
      </c>
      <c r="V712" s="2" t="s">
        <v>202</v>
      </c>
      <c r="W712" s="2" t="s">
        <v>203</v>
      </c>
      <c r="X712" s="2" t="s">
        <v>199</v>
      </c>
      <c r="Y712" s="2" t="s">
        <v>204</v>
      </c>
      <c r="Z712" s="4">
        <v>172</v>
      </c>
      <c r="AA712" s="4">
        <f>=ROUNDDOWN(34.4,0)</f>
      </c>
      <c r="AB712" s="5">
        <v>5</v>
      </c>
      <c r="AC712" s="2" t="s">
        <v>3837</v>
      </c>
      <c r="AD712" s="4">
        <v>30</v>
      </c>
      <c r="AE712" s="4">
        <v>30</v>
      </c>
      <c r="AF712" s="6">
        <v>66</v>
      </c>
      <c r="AG712" s="6"/>
      <c r="AH712" s="7">
        <v>1</v>
      </c>
      <c r="AI712" s="4"/>
      <c r="AJ712" s="4">
        <f>=ROUNDDOWN({0},0)</f>
      </c>
      <c r="AK712" s="5"/>
      <c r="AL712" s="2" t="s">
        <v>199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199</v>
      </c>
      <c r="AW712" s="8" t="s">
        <v>199</v>
      </c>
      <c r="AX712" s="4" t="s">
        <v>199</v>
      </c>
      <c r="AY712" s="8" t="s">
        <v>199</v>
      </c>
      <c r="AZ712" s="7" t="s">
        <v>199</v>
      </c>
      <c r="BA712" s="7" t="s">
        <v>199</v>
      </c>
      <c r="BB712" s="7"/>
      <c r="BC712" s="4" t="s">
        <v>199</v>
      </c>
      <c r="BD712" s="8" t="s">
        <v>199</v>
      </c>
      <c r="BE712" s="4" t="s">
        <v>199</v>
      </c>
      <c r="BF712" s="8" t="s">
        <v>199</v>
      </c>
      <c r="BG712" s="7" t="s">
        <v>199</v>
      </c>
      <c r="BH712" s="7" t="s">
        <v>199</v>
      </c>
      <c r="BI712" s="7"/>
      <c r="BJ712" s="4">
        <v>35</v>
      </c>
      <c r="BK712" s="8">
        <v>2241.78</v>
      </c>
      <c r="BL712" s="2" t="s">
        <v>3840</v>
      </c>
      <c r="BM712" s="7"/>
      <c r="BN712" s="7"/>
      <c r="BO712" s="4"/>
      <c r="BP712" s="8"/>
      <c r="BQ712" s="4"/>
      <c r="BR712" s="8"/>
      <c r="BS712" s="7"/>
      <c r="BT712" s="7"/>
      <c r="BU712" s="2" t="s">
        <v>3834</v>
      </c>
      <c r="BV712" s="2" t="s">
        <v>199</v>
      </c>
      <c r="BW712" s="2" t="s">
        <v>199</v>
      </c>
      <c r="BX712" s="2" t="s">
        <v>208</v>
      </c>
      <c r="BY712" s="2" t="s">
        <v>209</v>
      </c>
      <c r="BZ712" s="2" t="s">
        <v>196</v>
      </c>
      <c r="CA712" s="2" t="s">
        <v>210</v>
      </c>
      <c r="CB712" s="2" t="s">
        <v>3841</v>
      </c>
      <c r="CC712" s="2" t="s">
        <v>212</v>
      </c>
      <c r="CD712" s="2" t="s">
        <v>199</v>
      </c>
      <c r="CE712" s="4">
        <v>172</v>
      </c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>
        <v>30</v>
      </c>
      <c r="EL712" s="4"/>
      <c r="EM712" s="4"/>
      <c r="EN712" s="4"/>
      <c r="EO712" s="4"/>
      <c r="EP712" s="4"/>
      <c r="EQ712" s="4"/>
      <c r="ER712" s="4"/>
      <c r="ES712" s="4"/>
      <c r="ET712" s="4">
        <v>174</v>
      </c>
      <c r="EU712" s="4">
        <v>169</v>
      </c>
      <c r="EV712" s="4">
        <v>166</v>
      </c>
      <c r="EW712" s="4">
        <v>163</v>
      </c>
      <c r="EX712" s="4">
        <v>160</v>
      </c>
      <c r="EY712" s="4">
        <v>157</v>
      </c>
      <c r="EZ712" s="4">
        <v>151</v>
      </c>
      <c r="FA712" s="4">
        <v>145</v>
      </c>
      <c r="FB712" s="4">
        <v>139</v>
      </c>
      <c r="FC712" s="4">
        <v>133</v>
      </c>
      <c r="FD712" s="4">
        <v>126</v>
      </c>
      <c r="FE712" s="4">
        <v>119</v>
      </c>
      <c r="FF712" s="4">
        <v>112</v>
      </c>
      <c r="FG712" s="4">
        <v>105</v>
      </c>
      <c r="FH712" s="4">
        <v>98</v>
      </c>
      <c r="FI712" s="4">
        <v>121</v>
      </c>
      <c r="FJ712" s="4">
        <v>114</v>
      </c>
      <c r="FK712" s="4">
        <v>107</v>
      </c>
      <c r="FL712" s="4">
        <v>100</v>
      </c>
      <c r="FM712" s="4">
        <v>96</v>
      </c>
      <c r="FN712" s="4">
        <v>92</v>
      </c>
      <c r="FO712" s="4">
        <v>88</v>
      </c>
      <c r="FP712" s="4">
        <v>84</v>
      </c>
      <c r="FQ712" s="4">
        <v>80</v>
      </c>
      <c r="FR712" s="4">
        <v>76</v>
      </c>
      <c r="FS712" s="4">
        <v>72</v>
      </c>
      <c r="FT712" s="19">
        <v>43.5</v>
      </c>
      <c r="FU712" s="19">
        <v>56.3</v>
      </c>
      <c r="FV712" s="19">
        <v>41.5</v>
      </c>
      <c r="FW712" s="19">
        <v>40.8</v>
      </c>
      <c r="FX712" s="19">
        <v>32</v>
      </c>
      <c r="FY712" s="19">
        <v>26.2</v>
      </c>
      <c r="FZ712" s="19">
        <v>25.2</v>
      </c>
      <c r="GA712" s="19">
        <v>24.2</v>
      </c>
      <c r="GB712" s="19">
        <v>19.9</v>
      </c>
      <c r="GC712" s="19">
        <v>19</v>
      </c>
      <c r="GD712" s="19">
        <v>18</v>
      </c>
      <c r="GE712" s="19">
        <v>17</v>
      </c>
      <c r="GF712" s="19">
        <v>16</v>
      </c>
      <c r="GG712" s="19">
        <v>15</v>
      </c>
      <c r="GH712" s="19">
        <v>14</v>
      </c>
      <c r="GI712" s="19">
        <v>20.2</v>
      </c>
      <c r="GJ712" s="19">
        <v>19</v>
      </c>
      <c r="GK712" s="19">
        <v>21.4</v>
      </c>
      <c r="GL712" s="19">
        <v>25</v>
      </c>
      <c r="GM712" s="19">
        <v>24</v>
      </c>
      <c r="GN712" s="19">
        <v>23</v>
      </c>
      <c r="GO712" s="19">
        <v>22</v>
      </c>
      <c r="GP712" s="19">
        <v>21</v>
      </c>
      <c r="GQ712" s="19">
        <v>20</v>
      </c>
      <c r="GR712" s="19">
        <v>19</v>
      </c>
      <c r="GS712" s="19">
        <v>18</v>
      </c>
    </row>
    <row r="713">
      <c r="A713" s="2" t="s">
        <v>3842</v>
      </c>
      <c r="B713" s="2" t="s">
        <v>630</v>
      </c>
      <c r="C713" s="2" t="s">
        <v>1427</v>
      </c>
      <c r="D713" s="2" t="s">
        <v>1963</v>
      </c>
      <c r="E713" s="2" t="s">
        <v>3843</v>
      </c>
      <c r="F713" s="2" t="s">
        <v>3844</v>
      </c>
      <c r="G713" s="2" t="s">
        <v>3844</v>
      </c>
      <c r="H713" s="2" t="s">
        <v>3844</v>
      </c>
      <c r="I713" s="2" t="s">
        <v>3845</v>
      </c>
      <c r="J713" s="2" t="s">
        <v>1112</v>
      </c>
      <c r="K713" s="2" t="s">
        <v>665</v>
      </c>
      <c r="L713" s="3">
        <v>34.04</v>
      </c>
      <c r="M713" s="3">
        <v>35.74</v>
      </c>
      <c r="N713" s="3">
        <v>109.99</v>
      </c>
      <c r="O713" s="2" t="s">
        <v>196</v>
      </c>
      <c r="P713" s="2" t="s">
        <v>197</v>
      </c>
      <c r="Q713" s="2" t="s">
        <v>198</v>
      </c>
      <c r="R713" s="2" t="s">
        <v>199</v>
      </c>
      <c r="S713" s="2" t="s">
        <v>199</v>
      </c>
      <c r="T713" s="2" t="s">
        <v>199</v>
      </c>
      <c r="U713" s="2" t="s">
        <v>280</v>
      </c>
      <c r="V713" s="2" t="s">
        <v>202</v>
      </c>
      <c r="W713" s="2" t="s">
        <v>529</v>
      </c>
      <c r="X713" s="2" t="s">
        <v>199</v>
      </c>
      <c r="Y713" s="2" t="s">
        <v>3846</v>
      </c>
      <c r="Z713" s="4">
        <v>124</v>
      </c>
      <c r="AA713" s="4">
        <f>=ROUNDDOWN(112.727272727273,0)</f>
      </c>
      <c r="AB713" s="5">
        <v>1.1</v>
      </c>
      <c r="AC713" s="2" t="s">
        <v>199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199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13</v>
      </c>
      <c r="BK713" s="8">
        <v>513.27</v>
      </c>
      <c r="BL713" s="2" t="s">
        <v>3847</v>
      </c>
      <c r="BM713" s="7"/>
      <c r="BN713" s="7"/>
      <c r="BO713" s="4"/>
      <c r="BP713" s="8"/>
      <c r="BQ713" s="4"/>
      <c r="BR713" s="8"/>
      <c r="BS713" s="7"/>
      <c r="BT713" s="7"/>
      <c r="BU713" s="2" t="s">
        <v>3848</v>
      </c>
      <c r="BV713" s="2" t="s">
        <v>199</v>
      </c>
      <c r="BW713" s="2" t="s">
        <v>199</v>
      </c>
      <c r="BX713" s="2" t="s">
        <v>208</v>
      </c>
      <c r="BY713" s="2" t="s">
        <v>209</v>
      </c>
      <c r="BZ713" s="2" t="s">
        <v>196</v>
      </c>
      <c r="CA713" s="2" t="s">
        <v>1434</v>
      </c>
      <c r="CB713" s="2" t="s">
        <v>3849</v>
      </c>
      <c r="CC713" s="2" t="s">
        <v>212</v>
      </c>
      <c r="CD713" s="2" t="s">
        <v>199</v>
      </c>
      <c r="CE713" s="4">
        <v>124</v>
      </c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>
        <v>129</v>
      </c>
      <c r="EU713" s="4">
        <v>125</v>
      </c>
      <c r="EV713" s="4">
        <v>124</v>
      </c>
      <c r="EW713" s="4">
        <v>123</v>
      </c>
      <c r="EX713" s="4">
        <v>122</v>
      </c>
      <c r="EY713" s="4">
        <v>121</v>
      </c>
      <c r="EZ713" s="4">
        <v>120</v>
      </c>
      <c r="FA713" s="4">
        <v>119</v>
      </c>
      <c r="FB713" s="4">
        <v>118</v>
      </c>
      <c r="FC713" s="4">
        <v>117</v>
      </c>
      <c r="FD713" s="4">
        <v>116</v>
      </c>
      <c r="FE713" s="4">
        <v>115</v>
      </c>
      <c r="FF713" s="4">
        <v>114</v>
      </c>
      <c r="FG713" s="4">
        <v>113</v>
      </c>
      <c r="FH713" s="4">
        <v>112</v>
      </c>
      <c r="FI713" s="4">
        <v>111</v>
      </c>
      <c r="FJ713" s="4">
        <v>110</v>
      </c>
      <c r="FK713" s="4">
        <v>109</v>
      </c>
      <c r="FL713" s="4">
        <v>108</v>
      </c>
      <c r="FM713" s="4">
        <v>107</v>
      </c>
      <c r="FN713" s="4">
        <v>106</v>
      </c>
      <c r="FO713" s="4">
        <v>105</v>
      </c>
      <c r="FP713" s="4">
        <v>104</v>
      </c>
      <c r="FQ713" s="4">
        <v>103</v>
      </c>
      <c r="FR713" s="4">
        <v>102</v>
      </c>
      <c r="FS713" s="4">
        <v>101</v>
      </c>
      <c r="FT713" s="19">
        <v>64.5</v>
      </c>
      <c r="FU713" s="19">
        <v>125</v>
      </c>
      <c r="FV713" s="19">
        <v>124</v>
      </c>
      <c r="FW713" s="19">
        <v>123</v>
      </c>
      <c r="FX713" s="19">
        <v>122</v>
      </c>
      <c r="FY713" s="19">
        <v>121</v>
      </c>
      <c r="FZ713" s="19">
        <v>120</v>
      </c>
      <c r="GA713" s="19">
        <v>119</v>
      </c>
      <c r="GB713" s="19">
        <v>118</v>
      </c>
      <c r="GC713" s="19">
        <v>117</v>
      </c>
      <c r="GD713" s="19">
        <v>116</v>
      </c>
      <c r="GE713" s="19">
        <v>115</v>
      </c>
      <c r="GF713" s="19">
        <v>114</v>
      </c>
      <c r="GG713" s="19">
        <v>113</v>
      </c>
      <c r="GH713" s="19">
        <v>112</v>
      </c>
      <c r="GI713" s="19">
        <v>111</v>
      </c>
      <c r="GJ713" s="19">
        <v>110</v>
      </c>
      <c r="GK713" s="19">
        <v>109</v>
      </c>
      <c r="GL713" s="19">
        <v>108</v>
      </c>
      <c r="GM713" s="19">
        <v>107</v>
      </c>
      <c r="GN713" s="19">
        <v>106</v>
      </c>
      <c r="GO713" s="19">
        <v>105</v>
      </c>
      <c r="GP713" s="19">
        <v>104</v>
      </c>
      <c r="GQ713" s="19">
        <v>103</v>
      </c>
      <c r="GR713" s="19">
        <v>102</v>
      </c>
      <c r="GS713" s="19">
        <v>101</v>
      </c>
    </row>
    <row r="714">
      <c r="A714" s="2" t="s">
        <v>3850</v>
      </c>
      <c r="B714" s="2" t="s">
        <v>554</v>
      </c>
      <c r="C714" s="2" t="s">
        <v>604</v>
      </c>
      <c r="D714" s="2" t="s">
        <v>861</v>
      </c>
      <c r="E714" s="2" t="s">
        <v>862</v>
      </c>
      <c r="F714" s="2" t="s">
        <v>3851</v>
      </c>
      <c r="G714" s="2" t="s">
        <v>3851</v>
      </c>
      <c r="H714" s="2" t="s">
        <v>3851</v>
      </c>
      <c r="I714" s="2" t="s">
        <v>3852</v>
      </c>
      <c r="J714" s="2" t="s">
        <v>559</v>
      </c>
      <c r="K714" s="2" t="s">
        <v>1104</v>
      </c>
      <c r="L714" s="3">
        <v>27.85</v>
      </c>
      <c r="M714" s="3">
        <v>29.24</v>
      </c>
      <c r="N714" s="3">
        <v>64.99</v>
      </c>
      <c r="O714" s="2" t="s">
        <v>196</v>
      </c>
      <c r="P714" s="2" t="s">
        <v>841</v>
      </c>
      <c r="Q714" s="2" t="s">
        <v>198</v>
      </c>
      <c r="R714" s="2" t="s">
        <v>199</v>
      </c>
      <c r="S714" s="2" t="s">
        <v>199</v>
      </c>
      <c r="T714" s="2" t="s">
        <v>199</v>
      </c>
      <c r="U714" s="2" t="s">
        <v>280</v>
      </c>
      <c r="V714" s="2" t="s">
        <v>493</v>
      </c>
      <c r="W714" s="2" t="s">
        <v>712</v>
      </c>
      <c r="X714" s="2" t="s">
        <v>1014</v>
      </c>
      <c r="Y714" s="2" t="s">
        <v>3009</v>
      </c>
      <c r="Z714" s="4">
        <v>39</v>
      </c>
      <c r="AA714" s="4">
        <f>=ROUNDDOWN(39,0)</f>
      </c>
      <c r="AB714" s="5">
        <v>1</v>
      </c>
      <c r="AC714" s="2" t="s">
        <v>199</v>
      </c>
      <c r="AD714" s="4"/>
      <c r="AE714" s="4"/>
      <c r="AF714" s="6">
        <v>61</v>
      </c>
      <c r="AG714" s="6"/>
      <c r="AH714" s="7">
        <v>1</v>
      </c>
      <c r="AI714" s="4"/>
      <c r="AJ714" s="4">
        <f>=ROUNDDOWN({0},0)</f>
      </c>
      <c r="AK714" s="5"/>
      <c r="AL714" s="2" t="s">
        <v>199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7</v>
      </c>
      <c r="BK714" s="8">
        <v>216.95</v>
      </c>
      <c r="BL714" s="2" t="s">
        <v>3853</v>
      </c>
      <c r="BM714" s="7"/>
      <c r="BN714" s="7"/>
      <c r="BO714" s="4"/>
      <c r="BP714" s="8"/>
      <c r="BQ714" s="4"/>
      <c r="BR714" s="8"/>
      <c r="BS714" s="7"/>
      <c r="BT714" s="7"/>
      <c r="BU714" s="2" t="s">
        <v>3854</v>
      </c>
      <c r="BV714" s="2" t="s">
        <v>199</v>
      </c>
      <c r="BW714" s="2" t="s">
        <v>199</v>
      </c>
      <c r="BX714" s="2" t="s">
        <v>208</v>
      </c>
      <c r="BY714" s="2" t="s">
        <v>209</v>
      </c>
      <c r="BZ714" s="2" t="s">
        <v>196</v>
      </c>
      <c r="CA714" s="2" t="s">
        <v>3012</v>
      </c>
      <c r="CB714" s="2" t="s">
        <v>1940</v>
      </c>
      <c r="CC714" s="2" t="s">
        <v>212</v>
      </c>
      <c r="CD714" s="2" t="s">
        <v>199</v>
      </c>
      <c r="CE714" s="4"/>
      <c r="CF714" s="4">
        <v>39</v>
      </c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>
        <v>39</v>
      </c>
      <c r="EU714" s="4">
        <v>38</v>
      </c>
      <c r="EV714" s="4">
        <v>37</v>
      </c>
      <c r="EW714" s="4">
        <v>36</v>
      </c>
      <c r="EX714" s="4">
        <v>35</v>
      </c>
      <c r="EY714" s="4">
        <v>34</v>
      </c>
      <c r="EZ714" s="4">
        <v>33</v>
      </c>
      <c r="FA714" s="4">
        <v>32</v>
      </c>
      <c r="FB714" s="4">
        <v>31</v>
      </c>
      <c r="FC714" s="4">
        <v>30</v>
      </c>
      <c r="FD714" s="4">
        <v>29</v>
      </c>
      <c r="FE714" s="4">
        <v>28</v>
      </c>
      <c r="FF714" s="4">
        <v>27</v>
      </c>
      <c r="FG714" s="4">
        <v>26</v>
      </c>
      <c r="FH714" s="4">
        <v>25</v>
      </c>
      <c r="FI714" s="4">
        <v>24</v>
      </c>
      <c r="FJ714" s="4">
        <v>23</v>
      </c>
      <c r="FK714" s="4">
        <v>22</v>
      </c>
      <c r="FL714" s="4">
        <v>21</v>
      </c>
      <c r="FM714" s="4">
        <v>20</v>
      </c>
      <c r="FN714" s="4">
        <v>19</v>
      </c>
      <c r="FO714" s="4">
        <v>18</v>
      </c>
      <c r="FP714" s="4">
        <v>17</v>
      </c>
      <c r="FQ714" s="4">
        <v>16</v>
      </c>
      <c r="FR714" s="4">
        <v>15</v>
      </c>
      <c r="FS714" s="4">
        <v>14</v>
      </c>
      <c r="FT714" s="19">
        <v>39</v>
      </c>
      <c r="FU714" s="19">
        <v>38</v>
      </c>
      <c r="FV714" s="19">
        <v>37</v>
      </c>
      <c r="FW714" s="19">
        <v>36</v>
      </c>
      <c r="FX714" s="19">
        <v>35</v>
      </c>
      <c r="FY714" s="19">
        <v>34</v>
      </c>
      <c r="FZ714" s="19">
        <v>33</v>
      </c>
      <c r="GA714" s="19">
        <v>32</v>
      </c>
      <c r="GB714" s="19">
        <v>31</v>
      </c>
      <c r="GC714" s="19">
        <v>30</v>
      </c>
      <c r="GD714" s="19">
        <v>29</v>
      </c>
      <c r="GE714" s="19">
        <v>28</v>
      </c>
      <c r="GF714" s="19">
        <v>27</v>
      </c>
      <c r="GG714" s="19">
        <v>26</v>
      </c>
      <c r="GH714" s="19">
        <v>25</v>
      </c>
      <c r="GI714" s="19">
        <v>24</v>
      </c>
      <c r="GJ714" s="19">
        <v>23</v>
      </c>
      <c r="GK714" s="19">
        <v>22</v>
      </c>
      <c r="GL714" s="19">
        <v>21</v>
      </c>
      <c r="GM714" s="19">
        <v>20</v>
      </c>
      <c r="GN714" s="19">
        <v>19</v>
      </c>
      <c r="GO714" s="19">
        <v>18</v>
      </c>
      <c r="GP714" s="19">
        <v>17</v>
      </c>
      <c r="GQ714" s="19">
        <v>16</v>
      </c>
      <c r="GR714" s="19">
        <v>15</v>
      </c>
      <c r="GS714" s="19">
        <v>14</v>
      </c>
    </row>
    <row r="715">
      <c r="A715" s="2" t="s">
        <v>3855</v>
      </c>
      <c r="B715" s="2" t="s">
        <v>188</v>
      </c>
      <c r="C715" s="2" t="s">
        <v>246</v>
      </c>
      <c r="D715" s="2" t="s">
        <v>228</v>
      </c>
      <c r="E715" s="2" t="s">
        <v>229</v>
      </c>
      <c r="F715" s="2" t="s">
        <v>3856</v>
      </c>
      <c r="G715" s="2" t="s">
        <v>3857</v>
      </c>
      <c r="H715" s="2" t="s">
        <v>3857</v>
      </c>
      <c r="I715" s="2" t="s">
        <v>3858</v>
      </c>
      <c r="J715" s="2" t="s">
        <v>1011</v>
      </c>
      <c r="K715" s="2" t="s">
        <v>233</v>
      </c>
      <c r="L715" s="3">
        <v>26.5</v>
      </c>
      <c r="M715" s="3">
        <v>27.82</v>
      </c>
      <c r="N715" s="3">
        <v>52.99</v>
      </c>
      <c r="O715" s="2" t="s">
        <v>196</v>
      </c>
      <c r="P715" s="2" t="s">
        <v>197</v>
      </c>
      <c r="Q715" s="2" t="s">
        <v>198</v>
      </c>
      <c r="R715" s="2" t="s">
        <v>199</v>
      </c>
      <c r="S715" s="2" t="s">
        <v>3859</v>
      </c>
      <c r="T715" s="2" t="s">
        <v>300</v>
      </c>
      <c r="U715" s="2" t="s">
        <v>280</v>
      </c>
      <c r="V715" s="2" t="s">
        <v>202</v>
      </c>
      <c r="W715" s="2" t="s">
        <v>203</v>
      </c>
      <c r="X715" s="2" t="s">
        <v>255</v>
      </c>
      <c r="Y715" s="2" t="s">
        <v>204</v>
      </c>
      <c r="Z715" s="4">
        <v>552</v>
      </c>
      <c r="AA715" s="4">
        <f>=ROUNDDOWN(24,0)</f>
      </c>
      <c r="AB715" s="5">
        <v>23</v>
      </c>
      <c r="AC715" s="2" t="s">
        <v>3860</v>
      </c>
      <c r="AD715" s="4">
        <v>100</v>
      </c>
      <c r="AE715" s="4">
        <v>180</v>
      </c>
      <c r="AF715" s="6">
        <v>68</v>
      </c>
      <c r="AG715" s="6">
        <v>76</v>
      </c>
      <c r="AH715" s="7">
        <v>1</v>
      </c>
      <c r="AI715" s="4"/>
      <c r="AJ715" s="4">
        <f>=ROUNDDOWN({0},0)</f>
      </c>
      <c r="AK715" s="5"/>
      <c r="AL715" s="2" t="s">
        <v>199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113</v>
      </c>
      <c r="BK715" s="8">
        <v>3682.08</v>
      </c>
      <c r="BL715" s="2" t="s">
        <v>3861</v>
      </c>
      <c r="BM715" s="7"/>
      <c r="BN715" s="7"/>
      <c r="BO715" s="4"/>
      <c r="BP715" s="8"/>
      <c r="BQ715" s="4"/>
      <c r="BR715" s="8"/>
      <c r="BS715" s="7"/>
      <c r="BT715" s="7"/>
      <c r="BU715" s="2" t="s">
        <v>3862</v>
      </c>
      <c r="BV715" s="2" t="s">
        <v>199</v>
      </c>
      <c r="BW715" s="2" t="s">
        <v>199</v>
      </c>
      <c r="BX715" s="2" t="s">
        <v>208</v>
      </c>
      <c r="BY715" s="2" t="s">
        <v>209</v>
      </c>
      <c r="BZ715" s="2" t="s">
        <v>196</v>
      </c>
      <c r="CA715" s="2" t="s">
        <v>210</v>
      </c>
      <c r="CB715" s="2" t="s">
        <v>3863</v>
      </c>
      <c r="CC715" s="2" t="s">
        <v>212</v>
      </c>
      <c r="CD715" s="2" t="s">
        <v>199</v>
      </c>
      <c r="CE715" s="4">
        <v>419</v>
      </c>
      <c r="CF715" s="4"/>
      <c r="CG715" s="4"/>
      <c r="CH715" s="4">
        <v>133</v>
      </c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>
        <v>100</v>
      </c>
      <c r="DK715" s="4"/>
      <c r="DL715" s="4"/>
      <c r="DM715" s="4"/>
      <c r="DN715" s="4"/>
      <c r="DO715" s="4"/>
      <c r="DP715" s="4"/>
      <c r="DQ715" s="4"/>
      <c r="DR715" s="4"/>
      <c r="DS715" s="4"/>
      <c r="DT715" s="4">
        <v>80</v>
      </c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>
        <v>579</v>
      </c>
      <c r="EU715" s="4">
        <v>547</v>
      </c>
      <c r="EV715" s="4">
        <v>535</v>
      </c>
      <c r="EW715" s="4">
        <v>522</v>
      </c>
      <c r="EX715" s="4">
        <v>509</v>
      </c>
      <c r="EY715" s="4">
        <v>596</v>
      </c>
      <c r="EZ715" s="4">
        <v>581</v>
      </c>
      <c r="FA715" s="4">
        <v>566</v>
      </c>
      <c r="FB715" s="4">
        <v>549</v>
      </c>
      <c r="FC715" s="4">
        <v>614</v>
      </c>
      <c r="FD715" s="4">
        <v>588</v>
      </c>
      <c r="FE715" s="4">
        <v>562</v>
      </c>
      <c r="FF715" s="4">
        <v>536</v>
      </c>
      <c r="FG715" s="4">
        <v>510</v>
      </c>
      <c r="FH715" s="4">
        <v>491</v>
      </c>
      <c r="FI715" s="4">
        <v>471</v>
      </c>
      <c r="FJ715" s="4">
        <v>451</v>
      </c>
      <c r="FK715" s="4">
        <v>431</v>
      </c>
      <c r="FL715" s="4">
        <v>411</v>
      </c>
      <c r="FM715" s="4">
        <v>383</v>
      </c>
      <c r="FN715" s="4">
        <v>352</v>
      </c>
      <c r="FO715" s="4">
        <v>322</v>
      </c>
      <c r="FP715" s="4">
        <v>289</v>
      </c>
      <c r="FQ715" s="4">
        <v>243</v>
      </c>
      <c r="FR715" s="4">
        <v>201</v>
      </c>
      <c r="FS715" s="4">
        <v>158</v>
      </c>
      <c r="FT715" s="19">
        <v>32.7</v>
      </c>
      <c r="FU715" s="19">
        <v>42.4</v>
      </c>
      <c r="FV715" s="19">
        <v>41.5</v>
      </c>
      <c r="FW715" s="19">
        <v>35.4</v>
      </c>
      <c r="FX715" s="19">
        <v>32.7</v>
      </c>
      <c r="FY715" s="19">
        <v>34.6</v>
      </c>
      <c r="FZ715" s="19">
        <v>28</v>
      </c>
      <c r="GA715" s="19">
        <v>23.4</v>
      </c>
      <c r="GB715" s="19">
        <v>21.8</v>
      </c>
      <c r="GC715" s="19">
        <v>24.4</v>
      </c>
      <c r="GD715" s="19">
        <v>26</v>
      </c>
      <c r="GE715" s="19">
        <v>26.3</v>
      </c>
      <c r="GF715" s="19">
        <v>25.9</v>
      </c>
      <c r="GG715" s="19">
        <v>25.5</v>
      </c>
      <c r="GH715" s="19">
        <v>24.6</v>
      </c>
      <c r="GI715" s="19">
        <v>22.2</v>
      </c>
      <c r="GJ715" s="19">
        <v>18.5</v>
      </c>
      <c r="GK715" s="19">
        <v>15.7</v>
      </c>
      <c r="GL715" s="19">
        <v>14.3</v>
      </c>
      <c r="GM715" s="19">
        <v>11.6</v>
      </c>
      <c r="GN715" s="19">
        <v>9.8</v>
      </c>
      <c r="GO715" s="19">
        <v>8.3</v>
      </c>
      <c r="GP715" s="19">
        <v>6.9</v>
      </c>
      <c r="GQ715" s="19">
        <v>5.4</v>
      </c>
      <c r="GR715" s="19">
        <v>3.9</v>
      </c>
      <c r="GS715" s="19">
        <v>3.1</v>
      </c>
    </row>
    <row r="716">
      <c r="A716" s="2" t="s">
        <v>3864</v>
      </c>
      <c r="B716" s="2" t="s">
        <v>554</v>
      </c>
      <c r="C716" s="2" t="s">
        <v>246</v>
      </c>
      <c r="D716" s="2" t="s">
        <v>861</v>
      </c>
      <c r="E716" s="2" t="s">
        <v>862</v>
      </c>
      <c r="F716" s="2" t="s">
        <v>3865</v>
      </c>
      <c r="G716" s="2" t="s">
        <v>3865</v>
      </c>
      <c r="H716" s="2" t="s">
        <v>3865</v>
      </c>
      <c r="I716" s="2" t="s">
        <v>3866</v>
      </c>
      <c r="J716" s="2" t="s">
        <v>559</v>
      </c>
      <c r="K716" s="2" t="s">
        <v>3867</v>
      </c>
      <c r="L716" s="3">
        <v>43.01</v>
      </c>
      <c r="M716" s="3">
        <v>45.16</v>
      </c>
      <c r="N716" s="3">
        <v>84.99</v>
      </c>
      <c r="O716" s="2" t="s">
        <v>196</v>
      </c>
      <c r="P716" s="2" t="s">
        <v>197</v>
      </c>
      <c r="Q716" s="2" t="s">
        <v>198</v>
      </c>
      <c r="R716" s="2" t="s">
        <v>199</v>
      </c>
      <c r="S716" s="2" t="s">
        <v>3868</v>
      </c>
      <c r="T716" s="2" t="s">
        <v>199</v>
      </c>
      <c r="U716" s="2" t="s">
        <v>853</v>
      </c>
      <c r="V716" s="2" t="s">
        <v>562</v>
      </c>
      <c r="W716" s="2" t="s">
        <v>255</v>
      </c>
      <c r="X716" s="2" t="s">
        <v>255</v>
      </c>
      <c r="Y716" s="2" t="s">
        <v>3869</v>
      </c>
      <c r="Z716" s="4">
        <v>49</v>
      </c>
      <c r="AA716" s="4">
        <f>=ROUNDDOWN(6.90140845070423,0)</f>
      </c>
      <c r="AB716" s="5">
        <v>7.1</v>
      </c>
      <c r="AC716" s="2" t="s">
        <v>564</v>
      </c>
      <c r="AD716" s="4">
        <v>100</v>
      </c>
      <c r="AE716" s="4">
        <v>100</v>
      </c>
      <c r="AF716" s="6">
        <v>61</v>
      </c>
      <c r="AG716" s="6"/>
      <c r="AH716" s="7">
        <v>1</v>
      </c>
      <c r="AI716" s="4"/>
      <c r="AJ716" s="4">
        <f>=ROUNDDOWN({0},0)</f>
      </c>
      <c r="AK716" s="5"/>
      <c r="AL716" s="2" t="s">
        <v>199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18</v>
      </c>
      <c r="BK716" s="8">
        <v>918.03</v>
      </c>
      <c r="BL716" s="2" t="s">
        <v>3870</v>
      </c>
      <c r="BM716" s="7"/>
      <c r="BN716" s="7"/>
      <c r="BO716" s="4"/>
      <c r="BP716" s="8"/>
      <c r="BQ716" s="4"/>
      <c r="BR716" s="8"/>
      <c r="BS716" s="7"/>
      <c r="BT716" s="7"/>
      <c r="BU716" s="2" t="s">
        <v>3871</v>
      </c>
      <c r="BV716" s="2" t="s">
        <v>199</v>
      </c>
      <c r="BW716" s="2" t="s">
        <v>199</v>
      </c>
      <c r="BX716" s="2" t="s">
        <v>208</v>
      </c>
      <c r="BY716" s="2" t="s">
        <v>209</v>
      </c>
      <c r="BZ716" s="2" t="s">
        <v>196</v>
      </c>
      <c r="CA716" s="2" t="s">
        <v>3872</v>
      </c>
      <c r="CB716" s="2" t="s">
        <v>3252</v>
      </c>
      <c r="CC716" s="2" t="s">
        <v>212</v>
      </c>
      <c r="CD716" s="2" t="s">
        <v>199</v>
      </c>
      <c r="CE716" s="4"/>
      <c r="CF716" s="4">
        <v>49</v>
      </c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>
        <v>100</v>
      </c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>
        <v>54</v>
      </c>
      <c r="EU716" s="4">
        <v>49</v>
      </c>
      <c r="EV716" s="4">
        <v>47</v>
      </c>
      <c r="EW716" s="4">
        <v>40</v>
      </c>
      <c r="EX716" s="4">
        <v>33</v>
      </c>
      <c r="EY716" s="4">
        <v>26</v>
      </c>
      <c r="EZ716" s="4">
        <v>19</v>
      </c>
      <c r="FA716" s="4">
        <v>12</v>
      </c>
      <c r="FB716" s="4">
        <v>105</v>
      </c>
      <c r="FC716" s="4">
        <v>98</v>
      </c>
      <c r="FD716" s="4">
        <v>91</v>
      </c>
      <c r="FE716" s="4">
        <v>84</v>
      </c>
      <c r="FF716" s="4">
        <v>77</v>
      </c>
      <c r="FG716" s="4">
        <v>70</v>
      </c>
      <c r="FH716" s="4">
        <v>63</v>
      </c>
      <c r="FI716" s="4">
        <v>55</v>
      </c>
      <c r="FJ716" s="4">
        <v>48</v>
      </c>
      <c r="FK716" s="4">
        <v>41</v>
      </c>
      <c r="FL716" s="4">
        <v>34</v>
      </c>
      <c r="FM716" s="4">
        <v>27</v>
      </c>
      <c r="FN716" s="4">
        <v>19</v>
      </c>
      <c r="FO716" s="4">
        <v>12</v>
      </c>
      <c r="FP716" s="4">
        <v>5</v>
      </c>
      <c r="FQ716" s="4">
        <v>49</v>
      </c>
      <c r="FR716" s="4">
        <v>42</v>
      </c>
      <c r="FS716" s="4">
        <v>35</v>
      </c>
      <c r="FT716" s="19">
        <v>10.8</v>
      </c>
      <c r="FU716" s="19">
        <v>8.2</v>
      </c>
      <c r="FV716" s="19">
        <v>6.7</v>
      </c>
      <c r="FW716" s="19">
        <v>5.7</v>
      </c>
      <c r="FX716" s="19">
        <v>4.7</v>
      </c>
      <c r="FY716" s="19">
        <v>3.7</v>
      </c>
      <c r="FZ716" s="19">
        <v>2.7</v>
      </c>
      <c r="GA716" s="19">
        <v>1.7</v>
      </c>
      <c r="GB716" s="19">
        <v>15</v>
      </c>
      <c r="GC716" s="19">
        <v>14</v>
      </c>
      <c r="GD716" s="19">
        <v>13</v>
      </c>
      <c r="GE716" s="19">
        <v>12</v>
      </c>
      <c r="GF716" s="19">
        <v>11</v>
      </c>
      <c r="GG716" s="19">
        <v>10</v>
      </c>
      <c r="GH716" s="19">
        <v>9</v>
      </c>
      <c r="GI716" s="19">
        <v>7.9</v>
      </c>
      <c r="GJ716" s="19">
        <v>6.9</v>
      </c>
      <c r="GK716" s="19">
        <v>5.9</v>
      </c>
      <c r="GL716" s="19">
        <v>4.9</v>
      </c>
      <c r="GM716" s="19">
        <v>3.9</v>
      </c>
      <c r="GN716" s="19">
        <v>2.7</v>
      </c>
      <c r="GO716" s="19">
        <v>1.7</v>
      </c>
      <c r="GP716" s="19">
        <v>0.7</v>
      </c>
      <c r="GQ716" s="19">
        <v>7</v>
      </c>
      <c r="GR716" s="19">
        <v>6</v>
      </c>
      <c r="GS716" s="19">
        <v>5</v>
      </c>
    </row>
    <row r="717">
      <c r="A717" s="2" t="s">
        <v>3873</v>
      </c>
      <c r="B717" s="2" t="s">
        <v>648</v>
      </c>
      <c r="C717" s="2" t="s">
        <v>1020</v>
      </c>
      <c r="D717" s="2" t="s">
        <v>1212</v>
      </c>
      <c r="E717" s="2" t="s">
        <v>1213</v>
      </c>
      <c r="F717" s="2" t="s">
        <v>3874</v>
      </c>
      <c r="G717" s="2" t="s">
        <v>3874</v>
      </c>
      <c r="H717" s="2" t="s">
        <v>3874</v>
      </c>
      <c r="I717" s="2" t="s">
        <v>3875</v>
      </c>
      <c r="J717" s="2" t="s">
        <v>2474</v>
      </c>
      <c r="K717" s="2" t="s">
        <v>1037</v>
      </c>
      <c r="L717" s="3">
        <v>20.5</v>
      </c>
      <c r="M717" s="3">
        <v>21.52</v>
      </c>
      <c r="N717" s="3">
        <v>42.99</v>
      </c>
      <c r="O717" s="2" t="s">
        <v>196</v>
      </c>
      <c r="P717" s="2" t="s">
        <v>197</v>
      </c>
      <c r="Q717" s="2" t="s">
        <v>198</v>
      </c>
      <c r="R717" s="2" t="s">
        <v>199</v>
      </c>
      <c r="S717" s="2" t="s">
        <v>3876</v>
      </c>
      <c r="T717" s="2" t="s">
        <v>199</v>
      </c>
      <c r="U717" s="2" t="s">
        <v>199</v>
      </c>
      <c r="V717" s="2" t="s">
        <v>681</v>
      </c>
      <c r="W717" s="2" t="s">
        <v>1014</v>
      </c>
      <c r="X717" s="2" t="s">
        <v>199</v>
      </c>
      <c r="Y717" s="2" t="s">
        <v>204</v>
      </c>
      <c r="Z717" s="4">
        <v>91</v>
      </c>
      <c r="AA717" s="4">
        <f>=ROUNDDOWN(5.05555555555556,0)</f>
      </c>
      <c r="AB717" s="5">
        <v>18</v>
      </c>
      <c r="AC717" s="2" t="s">
        <v>1936</v>
      </c>
      <c r="AD717" s="4">
        <v>200</v>
      </c>
      <c r="AE717" s="4">
        <v>400</v>
      </c>
      <c r="AF717" s="6">
        <v>69</v>
      </c>
      <c r="AG717" s="6"/>
      <c r="AH717" s="7">
        <v>1</v>
      </c>
      <c r="AI717" s="4"/>
      <c r="AJ717" s="4">
        <f>=ROUNDDOWN({0},0)</f>
      </c>
      <c r="AK717" s="5"/>
      <c r="AL717" s="2" t="s">
        <v>199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185</v>
      </c>
      <c r="BK717" s="8">
        <v>3928.73</v>
      </c>
      <c r="BL717" s="2" t="s">
        <v>3877</v>
      </c>
      <c r="BM717" s="7"/>
      <c r="BN717" s="7"/>
      <c r="BO717" s="4"/>
      <c r="BP717" s="8"/>
      <c r="BQ717" s="4"/>
      <c r="BR717" s="8"/>
      <c r="BS717" s="7"/>
      <c r="BT717" s="7"/>
      <c r="BU717" s="2" t="s">
        <v>3878</v>
      </c>
      <c r="BV717" s="2" t="s">
        <v>199</v>
      </c>
      <c r="BW717" s="2" t="s">
        <v>199</v>
      </c>
      <c r="BX717" s="2" t="s">
        <v>208</v>
      </c>
      <c r="BY717" s="2" t="s">
        <v>209</v>
      </c>
      <c r="BZ717" s="2" t="s">
        <v>196</v>
      </c>
      <c r="CA717" s="2" t="s">
        <v>3879</v>
      </c>
      <c r="CB717" s="2" t="s">
        <v>484</v>
      </c>
      <c r="CC717" s="2" t="s">
        <v>212</v>
      </c>
      <c r="CD717" s="2" t="s">
        <v>199</v>
      </c>
      <c r="CE717" s="4">
        <v>91</v>
      </c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>
        <v>200</v>
      </c>
      <c r="DO717" s="4"/>
      <c r="DP717" s="4"/>
      <c r="DQ717" s="4"/>
      <c r="DR717" s="4">
        <v>200</v>
      </c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>
        <v>209</v>
      </c>
      <c r="EU717" s="4">
        <v>118</v>
      </c>
      <c r="EV717" s="4">
        <v>112</v>
      </c>
      <c r="EW717" s="4">
        <v>106</v>
      </c>
      <c r="EX717" s="4">
        <v>100</v>
      </c>
      <c r="EY717" s="4">
        <v>92</v>
      </c>
      <c r="EZ717" s="4">
        <v>284</v>
      </c>
      <c r="FA717" s="4">
        <v>276</v>
      </c>
      <c r="FB717" s="4">
        <v>463</v>
      </c>
      <c r="FC717" s="4">
        <v>443</v>
      </c>
      <c r="FD717" s="4">
        <v>423</v>
      </c>
      <c r="FE717" s="4">
        <v>403</v>
      </c>
      <c r="FF717" s="4">
        <v>383</v>
      </c>
      <c r="FG717" s="4">
        <v>363</v>
      </c>
      <c r="FH717" s="4">
        <v>343</v>
      </c>
      <c r="FI717" s="4">
        <v>324</v>
      </c>
      <c r="FJ717" s="4">
        <v>306</v>
      </c>
      <c r="FK717" s="4">
        <v>288</v>
      </c>
      <c r="FL717" s="4">
        <v>270</v>
      </c>
      <c r="FM717" s="4">
        <v>252</v>
      </c>
      <c r="FN717" s="4">
        <v>233</v>
      </c>
      <c r="FO717" s="4">
        <v>215</v>
      </c>
      <c r="FP717" s="4">
        <v>196</v>
      </c>
      <c r="FQ717" s="4">
        <v>177</v>
      </c>
      <c r="FR717" s="4">
        <v>158</v>
      </c>
      <c r="FS717" s="4">
        <v>139</v>
      </c>
      <c r="FT717" s="19">
        <v>7.7</v>
      </c>
      <c r="FU717" s="19">
        <v>19.7</v>
      </c>
      <c r="FV717" s="19">
        <v>16</v>
      </c>
      <c r="FW717" s="19">
        <v>13.3</v>
      </c>
      <c r="FX717" s="19">
        <v>11.1</v>
      </c>
      <c r="FY717" s="19">
        <v>7.7</v>
      </c>
      <c r="FZ717" s="19">
        <v>18.9</v>
      </c>
      <c r="GA717" s="19">
        <v>15.3</v>
      </c>
      <c r="GB717" s="19">
        <v>23.2</v>
      </c>
      <c r="GC717" s="19">
        <v>22.2</v>
      </c>
      <c r="GD717" s="19">
        <v>21.2</v>
      </c>
      <c r="GE717" s="19">
        <v>20.2</v>
      </c>
      <c r="GF717" s="19">
        <v>20.2</v>
      </c>
      <c r="GG717" s="19">
        <v>19.1</v>
      </c>
      <c r="GH717" s="19">
        <v>19.1</v>
      </c>
      <c r="GI717" s="19">
        <v>18</v>
      </c>
      <c r="GJ717" s="19">
        <v>17</v>
      </c>
      <c r="GK717" s="19">
        <v>16</v>
      </c>
      <c r="GL717" s="19">
        <v>15</v>
      </c>
      <c r="GM717" s="19">
        <v>13.3</v>
      </c>
      <c r="GN717" s="19">
        <v>12.3</v>
      </c>
      <c r="GO717" s="19">
        <v>11.3</v>
      </c>
      <c r="GP717" s="19">
        <v>10.3</v>
      </c>
      <c r="GQ717" s="19">
        <v>9.3</v>
      </c>
      <c r="GR717" s="19">
        <v>8.3</v>
      </c>
      <c r="GS717" s="19">
        <v>7</v>
      </c>
    </row>
    <row r="718">
      <c r="A718" s="2" t="s">
        <v>3880</v>
      </c>
      <c r="B718" s="2" t="s">
        <v>630</v>
      </c>
      <c r="C718" s="2" t="s">
        <v>1020</v>
      </c>
      <c r="D718" s="2" t="s">
        <v>759</v>
      </c>
      <c r="E718" s="2" t="s">
        <v>3140</v>
      </c>
      <c r="F718" s="2" t="s">
        <v>3881</v>
      </c>
      <c r="G718" s="2" t="s">
        <v>3881</v>
      </c>
      <c r="H718" s="2" t="s">
        <v>3881</v>
      </c>
      <c r="I718" s="2" t="s">
        <v>3882</v>
      </c>
      <c r="J718" s="2" t="s">
        <v>241</v>
      </c>
      <c r="K718" s="2" t="s">
        <v>723</v>
      </c>
      <c r="L718" s="3">
        <v>54.99</v>
      </c>
      <c r="M718" s="3">
        <v>57.74</v>
      </c>
      <c r="N718" s="3">
        <v>119.99</v>
      </c>
      <c r="O718" s="2" t="s">
        <v>196</v>
      </c>
      <c r="P718" s="2" t="s">
        <v>621</v>
      </c>
      <c r="Q718" s="2" t="s">
        <v>198</v>
      </c>
      <c r="R718" s="2" t="s">
        <v>199</v>
      </c>
      <c r="S718" s="2" t="s">
        <v>3883</v>
      </c>
      <c r="T718" s="2" t="s">
        <v>1906</v>
      </c>
      <c r="U718" s="2" t="s">
        <v>199</v>
      </c>
      <c r="V718" s="2" t="s">
        <v>681</v>
      </c>
      <c r="W718" s="2" t="s">
        <v>1094</v>
      </c>
      <c r="X718" s="2" t="s">
        <v>3709</v>
      </c>
      <c r="Y718" s="2" t="s">
        <v>204</v>
      </c>
      <c r="Z718" s="4">
        <v>477</v>
      </c>
      <c r="AA718" s="4">
        <f>=ROUNDDOWN(31.8,0)</f>
      </c>
      <c r="AB718" s="5">
        <v>15</v>
      </c>
      <c r="AC718" s="2" t="s">
        <v>1936</v>
      </c>
      <c r="AD718" s="4">
        <v>100</v>
      </c>
      <c r="AE718" s="4">
        <v>180</v>
      </c>
      <c r="AF718" s="6">
        <v>69</v>
      </c>
      <c r="AG718" s="6"/>
      <c r="AH718" s="7">
        <v>1</v>
      </c>
      <c r="AI718" s="4"/>
      <c r="AJ718" s="4">
        <f>=ROUNDDOWN({0},0)</f>
      </c>
      <c r="AK718" s="5"/>
      <c r="AL718" s="2" t="s">
        <v>199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65</v>
      </c>
      <c r="BK718" s="8">
        <v>3933.36</v>
      </c>
      <c r="BL718" s="2" t="s">
        <v>3155</v>
      </c>
      <c r="BM718" s="7"/>
      <c r="BN718" s="7"/>
      <c r="BO718" s="4"/>
      <c r="BP718" s="8"/>
      <c r="BQ718" s="4"/>
      <c r="BR718" s="8"/>
      <c r="BS718" s="7"/>
      <c r="BT718" s="7"/>
      <c r="BU718" s="2" t="s">
        <v>3884</v>
      </c>
      <c r="BV718" s="2" t="s">
        <v>199</v>
      </c>
      <c r="BW718" s="2" t="s">
        <v>199</v>
      </c>
      <c r="BX718" s="2" t="s">
        <v>208</v>
      </c>
      <c r="BY718" s="2" t="s">
        <v>209</v>
      </c>
      <c r="BZ718" s="2" t="s">
        <v>196</v>
      </c>
      <c r="CA718" s="2" t="s">
        <v>3885</v>
      </c>
      <c r="CB718" s="2" t="s">
        <v>3879</v>
      </c>
      <c r="CC718" s="2" t="s">
        <v>212</v>
      </c>
      <c r="CD718" s="2" t="s">
        <v>199</v>
      </c>
      <c r="CE718" s="4">
        <v>477</v>
      </c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>
        <v>100</v>
      </c>
      <c r="DO718" s="4"/>
      <c r="DP718" s="4"/>
      <c r="DQ718" s="4"/>
      <c r="DR718" s="4">
        <v>30</v>
      </c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>
        <v>50</v>
      </c>
      <c r="EP718" s="4"/>
      <c r="EQ718" s="4"/>
      <c r="ER718" s="4"/>
      <c r="ES718" s="4"/>
      <c r="ET718" s="4">
        <v>519</v>
      </c>
      <c r="EU718" s="4">
        <v>482</v>
      </c>
      <c r="EV718" s="4">
        <v>474</v>
      </c>
      <c r="EW718" s="4">
        <v>461</v>
      </c>
      <c r="EX718" s="4">
        <v>444</v>
      </c>
      <c r="EY718" s="4">
        <v>427</v>
      </c>
      <c r="EZ718" s="4">
        <v>510</v>
      </c>
      <c r="FA718" s="4">
        <v>493</v>
      </c>
      <c r="FB718" s="4">
        <v>506</v>
      </c>
      <c r="FC718" s="4">
        <v>489</v>
      </c>
      <c r="FD718" s="4">
        <v>472</v>
      </c>
      <c r="FE718" s="4">
        <v>456</v>
      </c>
      <c r="FF718" s="4">
        <v>440</v>
      </c>
      <c r="FG718" s="4">
        <v>424</v>
      </c>
      <c r="FH718" s="4">
        <v>408</v>
      </c>
      <c r="FI718" s="4">
        <v>391</v>
      </c>
      <c r="FJ718" s="4">
        <v>375</v>
      </c>
      <c r="FK718" s="4">
        <v>409</v>
      </c>
      <c r="FL718" s="4">
        <v>394</v>
      </c>
      <c r="FM718" s="4">
        <v>379</v>
      </c>
      <c r="FN718" s="4">
        <v>363</v>
      </c>
      <c r="FO718" s="4">
        <v>347</v>
      </c>
      <c r="FP718" s="4">
        <v>330</v>
      </c>
      <c r="FQ718" s="4">
        <v>314</v>
      </c>
      <c r="FR718" s="4">
        <v>298</v>
      </c>
      <c r="FS718" s="4">
        <v>282</v>
      </c>
      <c r="FT718" s="19">
        <v>27.3</v>
      </c>
      <c r="FU718" s="19">
        <v>34.4</v>
      </c>
      <c r="FV718" s="19">
        <v>29.6</v>
      </c>
      <c r="FW718" s="19">
        <v>27.1</v>
      </c>
      <c r="FX718" s="19">
        <v>26.1</v>
      </c>
      <c r="FY718" s="19">
        <v>25.1</v>
      </c>
      <c r="FZ718" s="19">
        <v>30</v>
      </c>
      <c r="GA718" s="19">
        <v>29</v>
      </c>
      <c r="GB718" s="19">
        <v>31.6</v>
      </c>
      <c r="GC718" s="19">
        <v>30.6</v>
      </c>
      <c r="GD718" s="19">
        <v>29.5</v>
      </c>
      <c r="GE718" s="19">
        <v>28.5</v>
      </c>
      <c r="GF718" s="19">
        <v>27.5</v>
      </c>
      <c r="GG718" s="19">
        <v>26.5</v>
      </c>
      <c r="GH718" s="19">
        <v>25.5</v>
      </c>
      <c r="GI718" s="19">
        <v>24.4</v>
      </c>
      <c r="GJ718" s="19">
        <v>23.4</v>
      </c>
      <c r="GK718" s="19">
        <v>25.6</v>
      </c>
      <c r="GL718" s="19">
        <v>24.6</v>
      </c>
      <c r="GM718" s="19">
        <v>23.7</v>
      </c>
      <c r="GN718" s="19">
        <v>22.7</v>
      </c>
      <c r="GO718" s="19">
        <v>21.7</v>
      </c>
      <c r="GP718" s="19">
        <v>20.6</v>
      </c>
      <c r="GQ718" s="19">
        <v>19.6</v>
      </c>
      <c r="GR718" s="19">
        <v>18.6</v>
      </c>
      <c r="GS718" s="19">
        <v>16.6</v>
      </c>
    </row>
    <row r="719">
      <c r="A719" s="2" t="s">
        <v>3886</v>
      </c>
      <c r="B719" s="2" t="s">
        <v>630</v>
      </c>
      <c r="C719" s="2" t="s">
        <v>246</v>
      </c>
      <c r="D719" s="2" t="s">
        <v>759</v>
      </c>
      <c r="E719" s="2" t="s">
        <v>760</v>
      </c>
      <c r="F719" s="2" t="s">
        <v>3887</v>
      </c>
      <c r="G719" s="2" t="s">
        <v>3888</v>
      </c>
      <c r="H719" s="2" t="s">
        <v>3889</v>
      </c>
      <c r="I719" s="2" t="s">
        <v>3890</v>
      </c>
      <c r="J719" s="2" t="s">
        <v>241</v>
      </c>
      <c r="K719" s="2" t="s">
        <v>1379</v>
      </c>
      <c r="L719" s="3">
        <v>59.99</v>
      </c>
      <c r="M719" s="3">
        <v>62.99</v>
      </c>
      <c r="N719" s="3">
        <v>119.99</v>
      </c>
      <c r="O719" s="2" t="s">
        <v>196</v>
      </c>
      <c r="P719" s="2" t="s">
        <v>197</v>
      </c>
      <c r="Q719" s="2" t="s">
        <v>198</v>
      </c>
      <c r="R719" s="2" t="s">
        <v>199</v>
      </c>
      <c r="S719" s="2" t="s">
        <v>3891</v>
      </c>
      <c r="T719" s="2" t="s">
        <v>386</v>
      </c>
      <c r="U719" s="2" t="s">
        <v>546</v>
      </c>
      <c r="V719" s="2" t="s">
        <v>301</v>
      </c>
      <c r="W719" s="2" t="s">
        <v>1094</v>
      </c>
      <c r="X719" s="2" t="s">
        <v>199</v>
      </c>
      <c r="Y719" s="2" t="s">
        <v>204</v>
      </c>
      <c r="Z719" s="4">
        <v>179</v>
      </c>
      <c r="AA719" s="4">
        <f>=ROUNDDOWN(17.9,0)</f>
      </c>
      <c r="AB719" s="5">
        <v>10</v>
      </c>
      <c r="AC719" s="2" t="s">
        <v>3892</v>
      </c>
      <c r="AD719" s="4">
        <v>60</v>
      </c>
      <c r="AE719" s="4">
        <v>150</v>
      </c>
      <c r="AF719" s="6">
        <v>65</v>
      </c>
      <c r="AG719" s="6">
        <v>73</v>
      </c>
      <c r="AH719" s="7">
        <v>1</v>
      </c>
      <c r="AI719" s="4"/>
      <c r="AJ719" s="4">
        <f>=ROUNDDOWN({0},0)</f>
      </c>
      <c r="AK719" s="5"/>
      <c r="AL719" s="2" t="s">
        <v>199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55</v>
      </c>
      <c r="BK719" s="8">
        <v>3414.43</v>
      </c>
      <c r="BL719" s="2" t="s">
        <v>3893</v>
      </c>
      <c r="BM719" s="7"/>
      <c r="BN719" s="7"/>
      <c r="BO719" s="4"/>
      <c r="BP719" s="8"/>
      <c r="BQ719" s="4"/>
      <c r="BR719" s="8"/>
      <c r="BS719" s="7"/>
      <c r="BT719" s="7"/>
      <c r="BU719" s="2" t="s">
        <v>3894</v>
      </c>
      <c r="BV719" s="2" t="s">
        <v>199</v>
      </c>
      <c r="BW719" s="2" t="s">
        <v>199</v>
      </c>
      <c r="BX719" s="2" t="s">
        <v>260</v>
      </c>
      <c r="BY719" s="2" t="s">
        <v>209</v>
      </c>
      <c r="BZ719" s="2" t="s">
        <v>196</v>
      </c>
      <c r="CA719" s="2" t="s">
        <v>210</v>
      </c>
      <c r="CB719" s="2" t="s">
        <v>773</v>
      </c>
      <c r="CC719" s="2" t="s">
        <v>212</v>
      </c>
      <c r="CD719" s="2" t="s">
        <v>199</v>
      </c>
      <c r="CE719" s="4">
        <v>161</v>
      </c>
      <c r="CF719" s="4"/>
      <c r="CG719" s="4"/>
      <c r="CH719" s="4">
        <v>18</v>
      </c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>
        <v>60</v>
      </c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>
        <v>40</v>
      </c>
      <c r="EJ719" s="4"/>
      <c r="EK719" s="4"/>
      <c r="EL719" s="4">
        <v>50</v>
      </c>
      <c r="EM719" s="4"/>
      <c r="EN719" s="4"/>
      <c r="EO719" s="4"/>
      <c r="EP719" s="4"/>
      <c r="EQ719" s="4"/>
      <c r="ER719" s="4"/>
      <c r="ES719" s="4"/>
      <c r="ET719" s="4">
        <v>187</v>
      </c>
      <c r="EU719" s="4">
        <v>140</v>
      </c>
      <c r="EV719" s="4">
        <v>130</v>
      </c>
      <c r="EW719" s="4">
        <v>120</v>
      </c>
      <c r="EX719" s="4">
        <v>110</v>
      </c>
      <c r="EY719" s="4">
        <v>100</v>
      </c>
      <c r="EZ719" s="4">
        <v>150</v>
      </c>
      <c r="FA719" s="4">
        <v>140</v>
      </c>
      <c r="FB719" s="4">
        <v>130</v>
      </c>
      <c r="FC719" s="4">
        <v>120</v>
      </c>
      <c r="FD719" s="4">
        <v>110</v>
      </c>
      <c r="FE719" s="4">
        <v>100</v>
      </c>
      <c r="FF719" s="4">
        <v>90</v>
      </c>
      <c r="FG719" s="4">
        <v>80</v>
      </c>
      <c r="FH719" s="4">
        <v>110</v>
      </c>
      <c r="FI719" s="4">
        <v>100</v>
      </c>
      <c r="FJ719" s="4">
        <v>140</v>
      </c>
      <c r="FK719" s="4">
        <v>130</v>
      </c>
      <c r="FL719" s="4">
        <v>120</v>
      </c>
      <c r="FM719" s="4">
        <v>110</v>
      </c>
      <c r="FN719" s="4">
        <v>100</v>
      </c>
      <c r="FO719" s="4">
        <v>90</v>
      </c>
      <c r="FP719" s="4">
        <v>80</v>
      </c>
      <c r="FQ719" s="4">
        <v>70</v>
      </c>
      <c r="FR719" s="4">
        <v>60</v>
      </c>
      <c r="FS719" s="4">
        <v>88</v>
      </c>
      <c r="FT719" s="19">
        <v>7.7</v>
      </c>
      <c r="FU719" s="19">
        <v>7</v>
      </c>
      <c r="FV719" s="19">
        <v>6.5</v>
      </c>
      <c r="FW719" s="19">
        <v>6.7</v>
      </c>
      <c r="FX719" s="19">
        <v>6.9</v>
      </c>
      <c r="FY719" s="19">
        <v>7.2</v>
      </c>
      <c r="FZ719" s="19">
        <v>15</v>
      </c>
      <c r="GA719" s="19">
        <v>14</v>
      </c>
      <c r="GB719" s="19">
        <v>13</v>
      </c>
      <c r="GC719" s="19">
        <v>12</v>
      </c>
      <c r="GD719" s="19">
        <v>11</v>
      </c>
      <c r="GE719" s="19">
        <v>10</v>
      </c>
      <c r="GF719" s="19">
        <v>9</v>
      </c>
      <c r="GG719" s="19">
        <v>8</v>
      </c>
      <c r="GH719" s="19">
        <v>10.4</v>
      </c>
      <c r="GI719" s="19">
        <v>9.4</v>
      </c>
      <c r="GJ719" s="19">
        <v>14.6</v>
      </c>
      <c r="GK719" s="19">
        <v>13.6</v>
      </c>
      <c r="GL719" s="19">
        <v>12.6</v>
      </c>
      <c r="GM719" s="19">
        <v>11.6</v>
      </c>
      <c r="GN719" s="19">
        <v>10.6</v>
      </c>
      <c r="GO719" s="19">
        <v>9.6</v>
      </c>
      <c r="GP719" s="19">
        <v>8.6</v>
      </c>
      <c r="GQ719" s="19">
        <v>7.6</v>
      </c>
      <c r="GR719" s="19">
        <v>6.6</v>
      </c>
      <c r="GS719" s="19">
        <v>8.8</v>
      </c>
    </row>
    <row r="720">
      <c r="A720" s="2" t="s">
        <v>3895</v>
      </c>
      <c r="B720" s="2" t="s">
        <v>591</v>
      </c>
      <c r="C720" s="2" t="s">
        <v>571</v>
      </c>
      <c r="D720" s="2" t="s">
        <v>593</v>
      </c>
      <c r="E720" s="2" t="s">
        <v>594</v>
      </c>
      <c r="F720" s="2" t="s">
        <v>3896</v>
      </c>
      <c r="G720" s="2" t="s">
        <v>3896</v>
      </c>
      <c r="H720" s="2" t="s">
        <v>3896</v>
      </c>
      <c r="I720" s="2" t="s">
        <v>3897</v>
      </c>
      <c r="J720" s="2" t="s">
        <v>559</v>
      </c>
      <c r="K720" s="2" t="s">
        <v>195</v>
      </c>
      <c r="L720" s="3">
        <v>52</v>
      </c>
      <c r="M720" s="3">
        <v>54.6</v>
      </c>
      <c r="N720" s="3">
        <v>109.99</v>
      </c>
      <c r="O720" s="2" t="s">
        <v>196</v>
      </c>
      <c r="P720" s="2" t="s">
        <v>197</v>
      </c>
      <c r="Q720" s="2" t="s">
        <v>198</v>
      </c>
      <c r="R720" s="2" t="s">
        <v>199</v>
      </c>
      <c r="S720" s="2" t="s">
        <v>199</v>
      </c>
      <c r="T720" s="2" t="s">
        <v>199</v>
      </c>
      <c r="U720" s="2" t="s">
        <v>280</v>
      </c>
      <c r="V720" s="2" t="s">
        <v>493</v>
      </c>
      <c r="W720" s="2" t="s">
        <v>255</v>
      </c>
      <c r="X720" s="2" t="s">
        <v>623</v>
      </c>
      <c r="Y720" s="2" t="s">
        <v>599</v>
      </c>
      <c r="Z720" s="4">
        <v>20</v>
      </c>
      <c r="AA720" s="4">
        <f>=ROUNDDOWN(8.33333333333333,0)</f>
      </c>
      <c r="AB720" s="5">
        <v>2.4</v>
      </c>
      <c r="AC720" s="2" t="s">
        <v>5</v>
      </c>
      <c r="AD720" s="4">
        <v>100</v>
      </c>
      <c r="AE720" s="4">
        <v>100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199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8</v>
      </c>
      <c r="BK720" s="8">
        <v>473.89</v>
      </c>
      <c r="BL720" s="2" t="s">
        <v>3898</v>
      </c>
      <c r="BM720" s="7"/>
      <c r="BN720" s="7"/>
      <c r="BO720" s="4"/>
      <c r="BP720" s="8"/>
      <c r="BQ720" s="4"/>
      <c r="BR720" s="8"/>
      <c r="BS720" s="7"/>
      <c r="BT720" s="7"/>
      <c r="BU720" s="2" t="s">
        <v>3899</v>
      </c>
      <c r="BV720" s="2" t="s">
        <v>199</v>
      </c>
      <c r="BW720" s="2" t="s">
        <v>199</v>
      </c>
      <c r="BX720" s="2" t="s">
        <v>208</v>
      </c>
      <c r="BY720" s="2" t="s">
        <v>209</v>
      </c>
      <c r="BZ720" s="2" t="s">
        <v>196</v>
      </c>
      <c r="CA720" s="2" t="s">
        <v>1409</v>
      </c>
      <c r="CB720" s="2" t="s">
        <v>3900</v>
      </c>
      <c r="CC720" s="2" t="s">
        <v>212</v>
      </c>
      <c r="CD720" s="2" t="s">
        <v>199</v>
      </c>
      <c r="CE720" s="4"/>
      <c r="CF720" s="4">
        <v>20</v>
      </c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>
        <v>100</v>
      </c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>
        <v>28</v>
      </c>
      <c r="EU720" s="4">
        <v>118</v>
      </c>
      <c r="EV720" s="4">
        <v>116</v>
      </c>
      <c r="EW720" s="4">
        <v>114</v>
      </c>
      <c r="EX720" s="4">
        <v>112</v>
      </c>
      <c r="EY720" s="4">
        <v>110</v>
      </c>
      <c r="EZ720" s="4">
        <v>108</v>
      </c>
      <c r="FA720" s="4">
        <v>106</v>
      </c>
      <c r="FB720" s="4">
        <v>104</v>
      </c>
      <c r="FC720" s="4">
        <v>102</v>
      </c>
      <c r="FD720" s="4">
        <v>100</v>
      </c>
      <c r="FE720" s="4">
        <v>98</v>
      </c>
      <c r="FF720" s="4">
        <v>96</v>
      </c>
      <c r="FG720" s="4">
        <v>94</v>
      </c>
      <c r="FH720" s="4">
        <v>92</v>
      </c>
      <c r="FI720" s="4">
        <v>90</v>
      </c>
      <c r="FJ720" s="4">
        <v>88</v>
      </c>
      <c r="FK720" s="4">
        <v>86</v>
      </c>
      <c r="FL720" s="4">
        <v>84</v>
      </c>
      <c r="FM720" s="4">
        <v>82</v>
      </c>
      <c r="FN720" s="4">
        <v>80</v>
      </c>
      <c r="FO720" s="4">
        <v>78</v>
      </c>
      <c r="FP720" s="4">
        <v>76</v>
      </c>
      <c r="FQ720" s="4">
        <v>74</v>
      </c>
      <c r="FR720" s="4">
        <v>72</v>
      </c>
      <c r="FS720" s="4">
        <v>70</v>
      </c>
      <c r="FT720" s="19">
        <v>7</v>
      </c>
      <c r="FU720" s="19">
        <v>59</v>
      </c>
      <c r="FV720" s="19">
        <v>58</v>
      </c>
      <c r="FW720" s="19">
        <v>57</v>
      </c>
      <c r="FX720" s="19">
        <v>56</v>
      </c>
      <c r="FY720" s="19">
        <v>55</v>
      </c>
      <c r="FZ720" s="19">
        <v>54</v>
      </c>
      <c r="GA720" s="19">
        <v>53</v>
      </c>
      <c r="GB720" s="19">
        <v>52</v>
      </c>
      <c r="GC720" s="19">
        <v>51</v>
      </c>
      <c r="GD720" s="19">
        <v>50</v>
      </c>
      <c r="GE720" s="19">
        <v>49</v>
      </c>
      <c r="GF720" s="19">
        <v>48</v>
      </c>
      <c r="GG720" s="19">
        <v>47</v>
      </c>
      <c r="GH720" s="19">
        <v>46</v>
      </c>
      <c r="GI720" s="19">
        <v>45</v>
      </c>
      <c r="GJ720" s="19">
        <v>44</v>
      </c>
      <c r="GK720" s="19">
        <v>43</v>
      </c>
      <c r="GL720" s="19">
        <v>42</v>
      </c>
      <c r="GM720" s="19">
        <v>41</v>
      </c>
      <c r="GN720" s="19">
        <v>40</v>
      </c>
      <c r="GO720" s="19">
        <v>39</v>
      </c>
      <c r="GP720" s="19">
        <v>38</v>
      </c>
      <c r="GQ720" s="19">
        <v>37</v>
      </c>
      <c r="GR720" s="19">
        <v>36</v>
      </c>
      <c r="GS720" s="19">
        <v>35</v>
      </c>
    </row>
    <row r="721">
      <c r="A721" s="18" t="s">
        <v>3901</v>
      </c>
      <c r="B721" s="10" t="s">
        <v>199</v>
      </c>
      <c r="C721" s="10" t="s">
        <v>199</v>
      </c>
      <c r="D721" s="10" t="s">
        <v>199</v>
      </c>
      <c r="E721" s="10" t="s">
        <v>199</v>
      </c>
      <c r="F721" s="10" t="s">
        <v>199</v>
      </c>
      <c r="G721" s="10" t="s">
        <v>199</v>
      </c>
      <c r="H721" s="10" t="s">
        <v>199</v>
      </c>
      <c r="I721" s="10" t="s">
        <v>199</v>
      </c>
      <c r="J721" s="10" t="s">
        <v>199</v>
      </c>
      <c r="K721" s="10" t="s">
        <v>199</v>
      </c>
      <c r="L721" s="11"/>
      <c r="M721" s="11"/>
      <c r="N721" s="11"/>
      <c r="O721" s="10" t="s">
        <v>199</v>
      </c>
      <c r="P721" s="10" t="s">
        <v>199</v>
      </c>
      <c r="Q721" s="10" t="s">
        <v>199</v>
      </c>
      <c r="R721" s="10" t="s">
        <v>199</v>
      </c>
      <c r="S721" s="10" t="s">
        <v>199</v>
      </c>
      <c r="T721" s="10" t="s">
        <v>199</v>
      </c>
      <c r="U721" s="10" t="s">
        <v>199</v>
      </c>
      <c r="V721" s="10" t="s">
        <v>199</v>
      </c>
      <c r="W721" s="10" t="s">
        <v>199</v>
      </c>
      <c r="X721" s="10" t="s">
        <v>199</v>
      </c>
      <c r="Y721" s="10" t="s">
        <v>199</v>
      </c>
      <c r="Z721" s="12">
        <v>209755</v>
      </c>
      <c r="AA721" s="12">
        <f>=ROUNDDOWN({0},0)</f>
      </c>
      <c r="AB721" s="13">
        <v>7348.1</v>
      </c>
      <c r="AC721" s="10" t="s">
        <v>199</v>
      </c>
      <c r="AD721" s="12"/>
      <c r="AE721" s="12">
        <v>62765</v>
      </c>
      <c r="AF721" s="14"/>
      <c r="AG721" s="14"/>
      <c r="AH721" s="15"/>
      <c r="AI721" s="12"/>
      <c r="AJ721" s="12">
        <f>=ROUNDDOWN({0},0)</f>
      </c>
      <c r="AK721" s="13"/>
      <c r="AL721" s="10" t="s">
        <v>199</v>
      </c>
      <c r="AM721" s="12"/>
      <c r="AN721" s="12"/>
      <c r="AO721" s="15"/>
      <c r="AP721" s="12"/>
      <c r="AQ721" s="16"/>
      <c r="AR721" s="12"/>
      <c r="AS721" s="16"/>
      <c r="AT721" s="15"/>
      <c r="AU721" s="15"/>
      <c r="AV721" s="12"/>
      <c r="AW721" s="16"/>
      <c r="AX721" s="12"/>
      <c r="AY721" s="16"/>
      <c r="AZ721" s="15"/>
      <c r="BA721" s="15"/>
      <c r="BB721" s="15"/>
      <c r="BC721" s="12"/>
      <c r="BD721" s="16"/>
      <c r="BE721" s="12"/>
      <c r="BF721" s="16"/>
      <c r="BG721" s="15"/>
      <c r="BH721" s="15"/>
      <c r="BI721" s="15"/>
      <c r="BJ721" s="12"/>
      <c r="BK721" s="16"/>
      <c r="BL721" s="10" t="s">
        <v>199</v>
      </c>
      <c r="BM721" s="15"/>
      <c r="BN721" s="15"/>
      <c r="BO721" s="12"/>
      <c r="BP721" s="16"/>
      <c r="BQ721" s="12"/>
      <c r="BR721" s="16"/>
      <c r="BS721" s="15"/>
      <c r="BT721" s="15"/>
      <c r="BU721" s="10" t="s">
        <v>199</v>
      </c>
      <c r="BV721" s="10" t="s">
        <v>199</v>
      </c>
      <c r="BW721" s="10" t="s">
        <v>199</v>
      </c>
      <c r="BX721" s="10" t="s">
        <v>199</v>
      </c>
      <c r="BY721" s="10" t="s">
        <v>199</v>
      </c>
      <c r="BZ721" s="10" t="s">
        <v>199</v>
      </c>
      <c r="CA721" s="10" t="s">
        <v>199</v>
      </c>
      <c r="CB721" s="10" t="s">
        <v>199</v>
      </c>
      <c r="CC721" s="10" t="s">
        <v>199</v>
      </c>
      <c r="CD721" s="10" t="s">
        <v>199</v>
      </c>
      <c r="CE721" s="12">
        <v>164155</v>
      </c>
      <c r="CF721" s="12">
        <v>27703</v>
      </c>
      <c r="CG721" s="12"/>
      <c r="CH721" s="12">
        <v>16025</v>
      </c>
      <c r="CI721" s="12"/>
      <c r="CJ721" s="12"/>
      <c r="CK721" s="12"/>
      <c r="CL721" s="12">
        <v>1450</v>
      </c>
      <c r="CM721" s="12">
        <v>182</v>
      </c>
      <c r="CN721" s="12"/>
      <c r="CO721" s="12"/>
      <c r="CP721" s="12">
        <v>240</v>
      </c>
      <c r="CQ721" s="12"/>
      <c r="CR721" s="12"/>
      <c r="CS721" s="12"/>
      <c r="CT721" s="12">
        <v>2</v>
      </c>
      <c r="CU721" s="12">
        <v>565</v>
      </c>
      <c r="CV721" s="12">
        <v>714</v>
      </c>
      <c r="CW721" s="12">
        <v>200</v>
      </c>
      <c r="CX721" s="12">
        <v>310</v>
      </c>
      <c r="CY721" s="12">
        <v>500</v>
      </c>
      <c r="CZ721" s="12">
        <v>263</v>
      </c>
      <c r="DA721" s="12">
        <v>330</v>
      </c>
      <c r="DB721" s="12">
        <v>3370</v>
      </c>
      <c r="DC721" s="12">
        <v>150</v>
      </c>
      <c r="DD721" s="12">
        <v>2470</v>
      </c>
      <c r="DE721" s="12">
        <v>1300</v>
      </c>
      <c r="DF721" s="12">
        <v>984</v>
      </c>
      <c r="DG721" s="12">
        <v>1560</v>
      </c>
      <c r="DH721" s="12">
        <v>120</v>
      </c>
      <c r="DI721" s="12">
        <v>798</v>
      </c>
      <c r="DJ721" s="12">
        <v>100</v>
      </c>
      <c r="DK721" s="12">
        <v>2140</v>
      </c>
      <c r="DL721" s="12">
        <v>2671</v>
      </c>
      <c r="DM721" s="12">
        <v>448</v>
      </c>
      <c r="DN721" s="12">
        <v>5164</v>
      </c>
      <c r="DO721" s="12">
        <v>2008</v>
      </c>
      <c r="DP721" s="12">
        <v>980</v>
      </c>
      <c r="DQ721" s="12">
        <v>70</v>
      </c>
      <c r="DR721" s="12">
        <v>1355</v>
      </c>
      <c r="DS721" s="12">
        <v>2080</v>
      </c>
      <c r="DT721" s="12">
        <v>80</v>
      </c>
      <c r="DU721" s="12">
        <v>1018</v>
      </c>
      <c r="DV721" s="12">
        <v>548</v>
      </c>
      <c r="DW721" s="12">
        <v>40</v>
      </c>
      <c r="DX721" s="12">
        <v>100</v>
      </c>
      <c r="DY721" s="12">
        <v>4855</v>
      </c>
      <c r="DZ721" s="12">
        <v>1826</v>
      </c>
      <c r="EA721" s="12">
        <v>300</v>
      </c>
      <c r="EB721" s="12">
        <v>920</v>
      </c>
      <c r="EC721" s="12">
        <v>20</v>
      </c>
      <c r="ED721" s="12">
        <v>50</v>
      </c>
      <c r="EE721" s="12">
        <v>410</v>
      </c>
      <c r="EF721" s="12">
        <v>1150</v>
      </c>
      <c r="EG721" s="12">
        <v>770</v>
      </c>
      <c r="EH721" s="12">
        <v>576</v>
      </c>
      <c r="EI721" s="12">
        <v>40</v>
      </c>
      <c r="EJ721" s="12">
        <v>232</v>
      </c>
      <c r="EK721" s="12">
        <v>80</v>
      </c>
      <c r="EL721" s="12">
        <v>50</v>
      </c>
      <c r="EM721" s="12">
        <v>6452</v>
      </c>
      <c r="EN721" s="12">
        <v>78</v>
      </c>
      <c r="EO721" s="12">
        <v>3662</v>
      </c>
      <c r="EP721" s="12">
        <v>2148</v>
      </c>
      <c r="EQ721" s="12">
        <v>4101</v>
      </c>
      <c r="ER721" s="12">
        <v>180</v>
      </c>
      <c r="ES721" s="12">
        <v>2427</v>
      </c>
      <c r="ET721" s="12">
        <v>215554</v>
      </c>
      <c r="EU721" s="12">
        <v>206928</v>
      </c>
      <c r="EV721" s="12">
        <v>202812</v>
      </c>
      <c r="EW721" s="12">
        <v>204780</v>
      </c>
      <c r="EX721" s="12">
        <v>203521</v>
      </c>
      <c r="EY721" s="12">
        <v>204373</v>
      </c>
      <c r="EZ721" s="12">
        <v>206693</v>
      </c>
      <c r="FA721" s="12">
        <v>201106</v>
      </c>
      <c r="FB721" s="12">
        <v>199144</v>
      </c>
      <c r="FC721" s="12">
        <v>195242</v>
      </c>
      <c r="FD721" s="12">
        <v>194818</v>
      </c>
      <c r="FE721" s="12">
        <v>192418</v>
      </c>
      <c r="FF721" s="12">
        <v>187023</v>
      </c>
      <c r="FG721" s="12">
        <v>183027</v>
      </c>
      <c r="FH721" s="12">
        <v>178989</v>
      </c>
      <c r="FI721" s="12">
        <v>173813</v>
      </c>
      <c r="FJ721" s="12">
        <v>174875</v>
      </c>
      <c r="FK721" s="12">
        <v>173422</v>
      </c>
      <c r="FL721" s="12">
        <v>170309</v>
      </c>
      <c r="FM721" s="12">
        <v>177781</v>
      </c>
      <c r="FN721" s="12">
        <v>176446</v>
      </c>
      <c r="FO721" s="12">
        <v>172483</v>
      </c>
      <c r="FP721" s="12">
        <v>167720</v>
      </c>
      <c r="FQ721" s="12">
        <v>170723</v>
      </c>
      <c r="FR721" s="12">
        <v>164929</v>
      </c>
      <c r="FS721" s="12">
        <v>161684</v>
      </c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S4"/>
    <mergeCell ref="CT3:ES4"/>
    <mergeCell ref="ET3:GS3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8"/>
    <mergeCell ref="BD14:BD18"/>
    <mergeCell ref="BE14:BE18"/>
    <mergeCell ref="BF14:BF18"/>
    <mergeCell ref="BG14:BG18"/>
    <mergeCell ref="BH14:BH18"/>
    <mergeCell ref="BC20:BC23"/>
    <mergeCell ref="BD20:BD23"/>
    <mergeCell ref="BE20:BE23"/>
    <mergeCell ref="BF20:BF23"/>
    <mergeCell ref="BG20:BG23"/>
    <mergeCell ref="BH20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6"/>
    <mergeCell ref="BD32:BD36"/>
    <mergeCell ref="BE32:BE36"/>
    <mergeCell ref="BF32:BF36"/>
    <mergeCell ref="BG32:BG36"/>
    <mergeCell ref="BH32:BH36"/>
    <mergeCell ref="BC37:BC65"/>
    <mergeCell ref="BD37:BD65"/>
    <mergeCell ref="BE37:BE65"/>
    <mergeCell ref="BF37:BF65"/>
    <mergeCell ref="BG37:BG65"/>
    <mergeCell ref="BH37:BH65"/>
    <mergeCell ref="BC68:BC74"/>
    <mergeCell ref="BD68:BD74"/>
    <mergeCell ref="BE68:BE74"/>
    <mergeCell ref="BF68:BF74"/>
    <mergeCell ref="BG68:BG74"/>
    <mergeCell ref="BH68:BH74"/>
    <mergeCell ref="BC77:BC79"/>
    <mergeCell ref="BD77:BD79"/>
    <mergeCell ref="BE77:BE79"/>
    <mergeCell ref="BF77:BF79"/>
    <mergeCell ref="BG77:BG79"/>
    <mergeCell ref="BH77:BH79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4:BC96"/>
    <mergeCell ref="BD94:BD96"/>
    <mergeCell ref="BE94:BE96"/>
    <mergeCell ref="BF94:BF96"/>
    <mergeCell ref="BG94:BG96"/>
    <mergeCell ref="BH94:BH96"/>
    <mergeCell ref="BC97:BC99"/>
    <mergeCell ref="BD97:BD99"/>
    <mergeCell ref="BE97:BE99"/>
    <mergeCell ref="BF97:BF99"/>
    <mergeCell ref="BG97:BG99"/>
    <mergeCell ref="BH97:BH99"/>
    <mergeCell ref="BC100:BC102"/>
    <mergeCell ref="BD100:BD102"/>
    <mergeCell ref="BE100:BE102"/>
    <mergeCell ref="BF100:BF102"/>
    <mergeCell ref="BG100:BG102"/>
    <mergeCell ref="BH100:BH102"/>
    <mergeCell ref="BC108:BC109"/>
    <mergeCell ref="BD108:BD109"/>
    <mergeCell ref="BE108:BE109"/>
    <mergeCell ref="BF108:BF109"/>
    <mergeCell ref="BG108:BG109"/>
    <mergeCell ref="BH108:BH109"/>
    <mergeCell ref="BC111:BC113"/>
    <mergeCell ref="BD111:BD113"/>
    <mergeCell ref="BE111:BE113"/>
    <mergeCell ref="BF111:BF113"/>
    <mergeCell ref="BG111:BG113"/>
    <mergeCell ref="BH111:BH113"/>
    <mergeCell ref="BC115:BC117"/>
    <mergeCell ref="BD115:BD117"/>
    <mergeCell ref="BE115:BE117"/>
    <mergeCell ref="BF115:BF117"/>
    <mergeCell ref="BG115:BG117"/>
    <mergeCell ref="BH115:BH117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3:BC125"/>
    <mergeCell ref="BD123:BD125"/>
    <mergeCell ref="BE123:BE125"/>
    <mergeCell ref="BF123:BF125"/>
    <mergeCell ref="BG123:BG125"/>
    <mergeCell ref="BH123:BH125"/>
    <mergeCell ref="BC128:BC129"/>
    <mergeCell ref="BD128:BD129"/>
    <mergeCell ref="BE128:BE129"/>
    <mergeCell ref="BF128:BF129"/>
    <mergeCell ref="BG128:BG129"/>
    <mergeCell ref="BH128:BH129"/>
    <mergeCell ref="BC132:BC141"/>
    <mergeCell ref="BD132:BD141"/>
    <mergeCell ref="BE132:BE141"/>
    <mergeCell ref="BF132:BF141"/>
    <mergeCell ref="BG132:BG141"/>
    <mergeCell ref="BH132:BH141"/>
    <mergeCell ref="BC143:BC154"/>
    <mergeCell ref="BD143:BD154"/>
    <mergeCell ref="BE143:BE154"/>
    <mergeCell ref="BF143:BF154"/>
    <mergeCell ref="BG143:BG154"/>
    <mergeCell ref="BH143:BH154"/>
    <mergeCell ref="BC156:BC159"/>
    <mergeCell ref="BD156:BD159"/>
    <mergeCell ref="BE156:BE159"/>
    <mergeCell ref="BF156:BF159"/>
    <mergeCell ref="BG156:BG159"/>
    <mergeCell ref="BH156:BH159"/>
    <mergeCell ref="BC161:BC168"/>
    <mergeCell ref="BD161:BD168"/>
    <mergeCell ref="BE161:BE168"/>
    <mergeCell ref="BF161:BF168"/>
    <mergeCell ref="BG161:BG168"/>
    <mergeCell ref="BH161:BH168"/>
    <mergeCell ref="BC171:BC184"/>
    <mergeCell ref="BD171:BD184"/>
    <mergeCell ref="BE171:BE184"/>
    <mergeCell ref="BF171:BF184"/>
    <mergeCell ref="BG171:BG184"/>
    <mergeCell ref="BH171:BH184"/>
    <mergeCell ref="BC185:BC186"/>
    <mergeCell ref="BD185:BD186"/>
    <mergeCell ref="BE185:BE186"/>
    <mergeCell ref="BF185:BF186"/>
    <mergeCell ref="BG185:BG186"/>
    <mergeCell ref="BH185:BH186"/>
    <mergeCell ref="BC188:BC189"/>
    <mergeCell ref="BD188:BD189"/>
    <mergeCell ref="BE188:BE189"/>
    <mergeCell ref="BF188:BF189"/>
    <mergeCell ref="BG188:BG189"/>
    <mergeCell ref="BH188:BH189"/>
    <mergeCell ref="BC191:BC194"/>
    <mergeCell ref="BD191:BD194"/>
    <mergeCell ref="BE191:BE194"/>
    <mergeCell ref="BF191:BF194"/>
    <mergeCell ref="BG191:BG194"/>
    <mergeCell ref="BH191:BH194"/>
    <mergeCell ref="BC197:BC198"/>
    <mergeCell ref="BD197:BD198"/>
    <mergeCell ref="BE197:BE198"/>
    <mergeCell ref="BF197:BF198"/>
    <mergeCell ref="BG197:BG198"/>
    <mergeCell ref="BH197:BH198"/>
    <mergeCell ref="BC199:BC202"/>
    <mergeCell ref="BD199:BD202"/>
    <mergeCell ref="BE199:BE202"/>
    <mergeCell ref="BF199:BF202"/>
    <mergeCell ref="BG199:BG202"/>
    <mergeCell ref="BH199:BH202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4:BC232"/>
    <mergeCell ref="BD214:BD232"/>
    <mergeCell ref="BE214:BE232"/>
    <mergeCell ref="BF214:BF232"/>
    <mergeCell ref="BG214:BG232"/>
    <mergeCell ref="BH214:BH232"/>
    <mergeCell ref="BC233:BC298"/>
    <mergeCell ref="BD233:BD298"/>
    <mergeCell ref="BE233:BE298"/>
    <mergeCell ref="BF233:BF298"/>
    <mergeCell ref="BG233:BG298"/>
    <mergeCell ref="BH233:BH298"/>
    <mergeCell ref="BC299:BC307"/>
    <mergeCell ref="BD299:BD307"/>
    <mergeCell ref="BE299:BE307"/>
    <mergeCell ref="BF299:BF307"/>
    <mergeCell ref="BG299:BG307"/>
    <mergeCell ref="BH299:BH307"/>
    <mergeCell ref="BC311:BC319"/>
    <mergeCell ref="BD311:BD319"/>
    <mergeCell ref="BE311:BE319"/>
    <mergeCell ref="BF311:BF319"/>
    <mergeCell ref="BG311:BG319"/>
    <mergeCell ref="BH311:BH319"/>
    <mergeCell ref="BC322:BC323"/>
    <mergeCell ref="BD322:BD323"/>
    <mergeCell ref="BE322:BE323"/>
    <mergeCell ref="BF322:BF323"/>
    <mergeCell ref="BG322:BG323"/>
    <mergeCell ref="BH322:BH323"/>
    <mergeCell ref="BC324:BC325"/>
    <mergeCell ref="BD324:BD325"/>
    <mergeCell ref="BE324:BE325"/>
    <mergeCell ref="BF324:BF325"/>
    <mergeCell ref="BG324:BG325"/>
    <mergeCell ref="BH324:BH325"/>
    <mergeCell ref="BC326:BC328"/>
    <mergeCell ref="BD326:BD328"/>
    <mergeCell ref="BE326:BE328"/>
    <mergeCell ref="BF326:BF328"/>
    <mergeCell ref="BG326:BG328"/>
    <mergeCell ref="BH326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4:BC341"/>
    <mergeCell ref="BD334:BD341"/>
    <mergeCell ref="BE334:BE341"/>
    <mergeCell ref="BF334:BF341"/>
    <mergeCell ref="BG334:BG341"/>
    <mergeCell ref="BH334:BH341"/>
    <mergeCell ref="BC344:BC347"/>
    <mergeCell ref="BD344:BD347"/>
    <mergeCell ref="BE344:BE347"/>
    <mergeCell ref="BF344:BF347"/>
    <mergeCell ref="BG344:BG347"/>
    <mergeCell ref="BH344:BH347"/>
    <mergeCell ref="BC348:BC351"/>
    <mergeCell ref="BD348:BD351"/>
    <mergeCell ref="BE348:BE351"/>
    <mergeCell ref="BF348:BF351"/>
    <mergeCell ref="BG348:BG351"/>
    <mergeCell ref="BH348:BH351"/>
    <mergeCell ref="BC353:BC357"/>
    <mergeCell ref="BD353:BD357"/>
    <mergeCell ref="BE353:BE357"/>
    <mergeCell ref="BF353:BF357"/>
    <mergeCell ref="BG353:BG357"/>
    <mergeCell ref="BH353:BH357"/>
    <mergeCell ref="BC362:BC365"/>
    <mergeCell ref="BD362:BD365"/>
    <mergeCell ref="BE362:BE365"/>
    <mergeCell ref="BF362:BF365"/>
    <mergeCell ref="BG362:BG365"/>
    <mergeCell ref="BH362:BH365"/>
    <mergeCell ref="BC368:BC374"/>
    <mergeCell ref="BD368:BD374"/>
    <mergeCell ref="BE368:BE374"/>
    <mergeCell ref="BF368:BF374"/>
    <mergeCell ref="BG368:BG374"/>
    <mergeCell ref="BH368:BH374"/>
    <mergeCell ref="BC375:BC377"/>
    <mergeCell ref="BD375:BD377"/>
    <mergeCell ref="BE375:BE377"/>
    <mergeCell ref="BF375:BF377"/>
    <mergeCell ref="BG375:BG377"/>
    <mergeCell ref="BH375:BH377"/>
    <mergeCell ref="BC378:BC384"/>
    <mergeCell ref="BD378:BD384"/>
    <mergeCell ref="BE378:BE384"/>
    <mergeCell ref="BF378:BF384"/>
    <mergeCell ref="BG378:BG384"/>
    <mergeCell ref="BH378:BH384"/>
    <mergeCell ref="BC385:BC394"/>
    <mergeCell ref="BD385:BD394"/>
    <mergeCell ref="BE385:BE394"/>
    <mergeCell ref="BF385:BF394"/>
    <mergeCell ref="BG385:BG394"/>
    <mergeCell ref="BH385:BH394"/>
    <mergeCell ref="BC395:BC398"/>
    <mergeCell ref="BD395:BD398"/>
    <mergeCell ref="BE395:BE398"/>
    <mergeCell ref="BF395:BF398"/>
    <mergeCell ref="BG395:BG398"/>
    <mergeCell ref="BH395:BH398"/>
    <mergeCell ref="BC401:BC404"/>
    <mergeCell ref="BD401:BD404"/>
    <mergeCell ref="BE401:BE404"/>
    <mergeCell ref="BF401:BF404"/>
    <mergeCell ref="BG401:BG404"/>
    <mergeCell ref="BH401:BH404"/>
    <mergeCell ref="BC408:BC412"/>
    <mergeCell ref="BD408:BD412"/>
    <mergeCell ref="BE408:BE412"/>
    <mergeCell ref="BF408:BF412"/>
    <mergeCell ref="BG408:BG412"/>
    <mergeCell ref="BH408:BH412"/>
    <mergeCell ref="BC413:BC414"/>
    <mergeCell ref="BD413:BD414"/>
    <mergeCell ref="BE413:BE414"/>
    <mergeCell ref="BF413:BF414"/>
    <mergeCell ref="BG413:BG414"/>
    <mergeCell ref="BH413:BH414"/>
    <mergeCell ref="BC415:BC420"/>
    <mergeCell ref="BD415:BD420"/>
    <mergeCell ref="BE415:BE420"/>
    <mergeCell ref="BF415:BF420"/>
    <mergeCell ref="BG415:BG420"/>
    <mergeCell ref="BH415:BH420"/>
    <mergeCell ref="BC423:BC424"/>
    <mergeCell ref="BD423:BD424"/>
    <mergeCell ref="BE423:BE424"/>
    <mergeCell ref="BF423:BF424"/>
    <mergeCell ref="BG423:BG424"/>
    <mergeCell ref="BH423:BH424"/>
    <mergeCell ref="BC425:BC426"/>
    <mergeCell ref="BD425:BD426"/>
    <mergeCell ref="BE425:BE426"/>
    <mergeCell ref="BF425:BF426"/>
    <mergeCell ref="BG425:BG426"/>
    <mergeCell ref="BH425:BH426"/>
    <mergeCell ref="BC428:BC430"/>
    <mergeCell ref="BD428:BD430"/>
    <mergeCell ref="BE428:BE430"/>
    <mergeCell ref="BF428:BF430"/>
    <mergeCell ref="BG428:BG430"/>
    <mergeCell ref="BH428:BH430"/>
    <mergeCell ref="BC431:BC432"/>
    <mergeCell ref="BD431:BD432"/>
    <mergeCell ref="BE431:BE432"/>
    <mergeCell ref="BF431:BF432"/>
    <mergeCell ref="BG431:BG432"/>
    <mergeCell ref="BH431:BH432"/>
    <mergeCell ref="BC433:BC436"/>
    <mergeCell ref="BD433:BD436"/>
    <mergeCell ref="BE433:BE436"/>
    <mergeCell ref="BF433:BF436"/>
    <mergeCell ref="BG433:BG436"/>
    <mergeCell ref="BH433:BH436"/>
    <mergeCell ref="BC437:BC440"/>
    <mergeCell ref="BD437:BD440"/>
    <mergeCell ref="BE437:BE440"/>
    <mergeCell ref="BF437:BF440"/>
    <mergeCell ref="BG437:BG440"/>
    <mergeCell ref="BH437:BH440"/>
    <mergeCell ref="BC441:BC442"/>
    <mergeCell ref="BD441:BD442"/>
    <mergeCell ref="BE441:BE442"/>
    <mergeCell ref="BF441:BF442"/>
    <mergeCell ref="BG441:BG442"/>
    <mergeCell ref="BH441:BH442"/>
    <mergeCell ref="BC444:BC445"/>
    <mergeCell ref="BD444:BD445"/>
    <mergeCell ref="BE444:BE445"/>
    <mergeCell ref="BF444:BF445"/>
    <mergeCell ref="BG444:BG445"/>
    <mergeCell ref="BH444:BH445"/>
    <mergeCell ref="BC447:BC452"/>
    <mergeCell ref="BD447:BD452"/>
    <mergeCell ref="BE447:BE452"/>
    <mergeCell ref="BF447:BF452"/>
    <mergeCell ref="BG447:BG452"/>
    <mergeCell ref="BH447:BH452"/>
    <mergeCell ref="BC454:BC455"/>
    <mergeCell ref="BD454:BD455"/>
    <mergeCell ref="BE454:BE455"/>
    <mergeCell ref="BF454:BF455"/>
    <mergeCell ref="BG454:BG455"/>
    <mergeCell ref="BH454:BH455"/>
    <mergeCell ref="BC460:BC487"/>
    <mergeCell ref="BD460:BD487"/>
    <mergeCell ref="BE460:BE487"/>
    <mergeCell ref="BF460:BF487"/>
    <mergeCell ref="BG460:BG487"/>
    <mergeCell ref="BH460:BH487"/>
    <mergeCell ref="BC488:BC541"/>
    <mergeCell ref="BD488:BD541"/>
    <mergeCell ref="BE488:BE541"/>
    <mergeCell ref="BF488:BF541"/>
    <mergeCell ref="BG488:BG541"/>
    <mergeCell ref="BH488:BH541"/>
    <mergeCell ref="BC543:BC544"/>
    <mergeCell ref="BD543:BD544"/>
    <mergeCell ref="BE543:BE544"/>
    <mergeCell ref="BF543:BF544"/>
    <mergeCell ref="BG543:BG544"/>
    <mergeCell ref="BH543:BH544"/>
    <mergeCell ref="BC546:BC547"/>
    <mergeCell ref="BD546:BD547"/>
    <mergeCell ref="BE546:BE547"/>
    <mergeCell ref="BF546:BF547"/>
    <mergeCell ref="BG546:BG547"/>
    <mergeCell ref="BH546:BH547"/>
    <mergeCell ref="BC553:BC554"/>
    <mergeCell ref="BD553:BD554"/>
    <mergeCell ref="BE553:BE554"/>
    <mergeCell ref="BF553:BF554"/>
    <mergeCell ref="BG553:BG554"/>
    <mergeCell ref="BH553:BH554"/>
    <mergeCell ref="BC557:BC561"/>
    <mergeCell ref="BD557:BD561"/>
    <mergeCell ref="BE557:BE561"/>
    <mergeCell ref="BF557:BF561"/>
    <mergeCell ref="BG557:BG561"/>
    <mergeCell ref="BH557:BH561"/>
    <mergeCell ref="BC562:BC564"/>
    <mergeCell ref="BD562:BD564"/>
    <mergeCell ref="BE562:BE564"/>
    <mergeCell ref="BF562:BF564"/>
    <mergeCell ref="BG562:BG564"/>
    <mergeCell ref="BH562:BH564"/>
    <mergeCell ref="BC568:BC569"/>
    <mergeCell ref="BD568:BD569"/>
    <mergeCell ref="BE568:BE569"/>
    <mergeCell ref="BF568:BF569"/>
    <mergeCell ref="BG568:BG569"/>
    <mergeCell ref="BH568:BH569"/>
    <mergeCell ref="BC571:BC575"/>
    <mergeCell ref="BD571:BD575"/>
    <mergeCell ref="BE571:BE575"/>
    <mergeCell ref="BF571:BF575"/>
    <mergeCell ref="BG571:BG575"/>
    <mergeCell ref="BH571:BH575"/>
    <mergeCell ref="BC579:BC599"/>
    <mergeCell ref="BD579:BD599"/>
    <mergeCell ref="BE579:BE599"/>
    <mergeCell ref="BF579:BF599"/>
    <mergeCell ref="BG579:BG599"/>
    <mergeCell ref="BH579:BH599"/>
    <mergeCell ref="BC601:BC603"/>
    <mergeCell ref="BD601:BD603"/>
    <mergeCell ref="BE601:BE603"/>
    <mergeCell ref="BF601:BF603"/>
    <mergeCell ref="BG601:BG603"/>
    <mergeCell ref="BH601:BH603"/>
    <mergeCell ref="BC608:BC611"/>
    <mergeCell ref="BD608:BD611"/>
    <mergeCell ref="BE608:BE611"/>
    <mergeCell ref="BF608:BF611"/>
    <mergeCell ref="BG608:BG611"/>
    <mergeCell ref="BH608:BH611"/>
    <mergeCell ref="BC612:BC614"/>
    <mergeCell ref="BD612:BD614"/>
    <mergeCell ref="BE612:BE614"/>
    <mergeCell ref="BF612:BF614"/>
    <mergeCell ref="BG612:BG614"/>
    <mergeCell ref="BH612:BH614"/>
    <mergeCell ref="BC615:BC618"/>
    <mergeCell ref="BD615:BD618"/>
    <mergeCell ref="BE615:BE618"/>
    <mergeCell ref="BF615:BF618"/>
    <mergeCell ref="BG615:BG618"/>
    <mergeCell ref="BH615:BH618"/>
    <mergeCell ref="BC620:BC622"/>
    <mergeCell ref="BD620:BD622"/>
    <mergeCell ref="BE620:BE622"/>
    <mergeCell ref="BF620:BF622"/>
    <mergeCell ref="BG620:BG622"/>
    <mergeCell ref="BH620:BH622"/>
    <mergeCell ref="BC623:BC625"/>
    <mergeCell ref="BD623:BD625"/>
    <mergeCell ref="BE623:BE625"/>
    <mergeCell ref="BF623:BF625"/>
    <mergeCell ref="BG623:BG625"/>
    <mergeCell ref="BH623:BH625"/>
    <mergeCell ref="BC627:BC628"/>
    <mergeCell ref="BD627:BD628"/>
    <mergeCell ref="BE627:BE628"/>
    <mergeCell ref="BF627:BF628"/>
    <mergeCell ref="BG627:BG628"/>
    <mergeCell ref="BH627:BH628"/>
    <mergeCell ref="BC629:BC630"/>
    <mergeCell ref="BD629:BD630"/>
    <mergeCell ref="BE629:BE630"/>
    <mergeCell ref="BF629:BF630"/>
    <mergeCell ref="BG629:BG630"/>
    <mergeCell ref="BH629:BH630"/>
    <mergeCell ref="BC631:BC632"/>
    <mergeCell ref="BD631:BD632"/>
    <mergeCell ref="BE631:BE632"/>
    <mergeCell ref="BF631:BF632"/>
    <mergeCell ref="BG631:BG632"/>
    <mergeCell ref="BH631:BH632"/>
    <mergeCell ref="BC634:BC635"/>
    <mergeCell ref="BD634:BD635"/>
    <mergeCell ref="BE634:BE635"/>
    <mergeCell ref="BF634:BF635"/>
    <mergeCell ref="BG634:BG635"/>
    <mergeCell ref="BH634:BH635"/>
    <mergeCell ref="BC636:BC637"/>
    <mergeCell ref="BD636:BD637"/>
    <mergeCell ref="BE636:BE637"/>
    <mergeCell ref="BF636:BF637"/>
    <mergeCell ref="BG636:BG637"/>
    <mergeCell ref="BH636:BH637"/>
    <mergeCell ref="BC641:BC648"/>
    <mergeCell ref="BD641:BD648"/>
    <mergeCell ref="BE641:BE648"/>
    <mergeCell ref="BF641:BF648"/>
    <mergeCell ref="BG641:BG648"/>
    <mergeCell ref="BH641:BH648"/>
    <mergeCell ref="BC650:BC653"/>
    <mergeCell ref="BD650:BD653"/>
    <mergeCell ref="BE650:BE653"/>
    <mergeCell ref="BF650:BF653"/>
    <mergeCell ref="BG650:BG653"/>
    <mergeCell ref="BH650:BH653"/>
    <mergeCell ref="BC654:BC656"/>
    <mergeCell ref="BD654:BD656"/>
    <mergeCell ref="BE654:BE656"/>
    <mergeCell ref="BF654:BF656"/>
    <mergeCell ref="BG654:BG656"/>
    <mergeCell ref="BH654:BH656"/>
    <mergeCell ref="BC659:BC664"/>
    <mergeCell ref="BD659:BD664"/>
    <mergeCell ref="BE659:BE664"/>
    <mergeCell ref="BF659:BF664"/>
    <mergeCell ref="BG659:BG664"/>
    <mergeCell ref="BH659:BH664"/>
    <mergeCell ref="BC665:BC671"/>
    <mergeCell ref="BD665:BD671"/>
    <mergeCell ref="BE665:BE671"/>
    <mergeCell ref="BF665:BF671"/>
    <mergeCell ref="BG665:BG671"/>
    <mergeCell ref="BH665:BH671"/>
    <mergeCell ref="BC672:BC673"/>
    <mergeCell ref="BD672:BD673"/>
    <mergeCell ref="BE672:BE673"/>
    <mergeCell ref="BF672:BF673"/>
    <mergeCell ref="BG672:BG673"/>
    <mergeCell ref="BH672:BH673"/>
    <mergeCell ref="BC674:BC675"/>
    <mergeCell ref="BD674:BD675"/>
    <mergeCell ref="BE674:BE675"/>
    <mergeCell ref="BF674:BF675"/>
    <mergeCell ref="BG674:BG675"/>
    <mergeCell ref="BH674:BH675"/>
    <mergeCell ref="BC676:BC688"/>
    <mergeCell ref="BD676:BD688"/>
    <mergeCell ref="BE676:BE688"/>
    <mergeCell ref="BF676:BF688"/>
    <mergeCell ref="BG676:BG688"/>
    <mergeCell ref="BH676:BH688"/>
    <mergeCell ref="BC689:BC690"/>
    <mergeCell ref="BD689:BD690"/>
    <mergeCell ref="BE689:BE690"/>
    <mergeCell ref="BF689:BF690"/>
    <mergeCell ref="BG689:BG690"/>
    <mergeCell ref="BH689:BH690"/>
    <mergeCell ref="BC694:BC695"/>
    <mergeCell ref="BD694:BD695"/>
    <mergeCell ref="BE694:BE695"/>
    <mergeCell ref="BF694:BF695"/>
    <mergeCell ref="BG694:BG695"/>
    <mergeCell ref="BH694:BH695"/>
    <mergeCell ref="BC698:BC699"/>
    <mergeCell ref="BD698:BD699"/>
    <mergeCell ref="BE698:BE699"/>
    <mergeCell ref="BF698:BF699"/>
    <mergeCell ref="BG698:BG699"/>
    <mergeCell ref="BH698:BH699"/>
    <mergeCell ref="BC700:BC701"/>
    <mergeCell ref="BD700:BD701"/>
    <mergeCell ref="BE700:BE701"/>
    <mergeCell ref="BF700:BF701"/>
    <mergeCell ref="BG700:BG701"/>
    <mergeCell ref="BH700:BH701"/>
    <mergeCell ref="BC703:BC705"/>
    <mergeCell ref="BD703:BD705"/>
    <mergeCell ref="BE703:BE705"/>
    <mergeCell ref="BF703:BF705"/>
    <mergeCell ref="BG703:BG705"/>
    <mergeCell ref="BH703:BH705"/>
    <mergeCell ref="BC706:BC707"/>
    <mergeCell ref="BD706:BD707"/>
    <mergeCell ref="BE706:BE707"/>
    <mergeCell ref="BF706:BF707"/>
    <mergeCell ref="BG706:BG707"/>
    <mergeCell ref="BH706:BH707"/>
    <mergeCell ref="BC708:BC709"/>
    <mergeCell ref="BD708:BD709"/>
    <mergeCell ref="BE708:BE709"/>
    <mergeCell ref="BF708:BF709"/>
    <mergeCell ref="BG708:BG709"/>
    <mergeCell ref="BH708:BH709"/>
    <mergeCell ref="BC710:BC712"/>
    <mergeCell ref="BD710:BD712"/>
    <mergeCell ref="BE710:BE712"/>
    <mergeCell ref="BF710:BF712"/>
    <mergeCell ref="BG710:BG712"/>
    <mergeCell ref="BH710:BH712"/>
    <mergeCell ref="AV6:AV9"/>
    <mergeCell ref="AW6:AW9"/>
    <mergeCell ref="AX6:AX9"/>
    <mergeCell ref="AY6:AY9"/>
    <mergeCell ref="AZ6:AZ9"/>
    <mergeCell ref="BA6:BA9"/>
    <mergeCell ref="AV10:AV11"/>
    <mergeCell ref="AW10:AW11"/>
    <mergeCell ref="AX10:AX11"/>
    <mergeCell ref="AY10:AY11"/>
    <mergeCell ref="AZ10:AZ11"/>
    <mergeCell ref="BA10:BA11"/>
    <mergeCell ref="AV14:AV18"/>
    <mergeCell ref="AW14:AW18"/>
    <mergeCell ref="AX14:AX18"/>
    <mergeCell ref="AY14:AY18"/>
    <mergeCell ref="AZ14:AZ18"/>
    <mergeCell ref="BA14:BA18"/>
    <mergeCell ref="AV20:AV23"/>
    <mergeCell ref="AW20:AW23"/>
    <mergeCell ref="AX20:AX23"/>
    <mergeCell ref="AY20:AY23"/>
    <mergeCell ref="AZ20:AZ23"/>
    <mergeCell ref="BA20:BA23"/>
    <mergeCell ref="AV24:AV27"/>
    <mergeCell ref="AW24:AW27"/>
    <mergeCell ref="AX24:AX27"/>
    <mergeCell ref="AY24:AY27"/>
    <mergeCell ref="AZ24:AZ27"/>
    <mergeCell ref="BA24:BA27"/>
    <mergeCell ref="AV28:AV31"/>
    <mergeCell ref="AW28:AW31"/>
    <mergeCell ref="AX28:AX31"/>
    <mergeCell ref="AY28:AY31"/>
    <mergeCell ref="AZ28:AZ31"/>
    <mergeCell ref="BA28:BA31"/>
    <mergeCell ref="AV32:AV33"/>
    <mergeCell ref="AW32:AW33"/>
    <mergeCell ref="AX32:AX33"/>
    <mergeCell ref="AY32:AY33"/>
    <mergeCell ref="AZ32:AZ33"/>
    <mergeCell ref="BA32:BA33"/>
    <mergeCell ref="AV35:AV36"/>
    <mergeCell ref="AW35:AW36"/>
    <mergeCell ref="AX35:AX36"/>
    <mergeCell ref="AY35:AY36"/>
    <mergeCell ref="AZ35:AZ36"/>
    <mergeCell ref="BA35:BA36"/>
    <mergeCell ref="AV37:AV41"/>
    <mergeCell ref="AW37:AW41"/>
    <mergeCell ref="AX37:AX41"/>
    <mergeCell ref="AY37:AY41"/>
    <mergeCell ref="AZ37:AZ41"/>
    <mergeCell ref="BA37:BA41"/>
    <mergeCell ref="AV42:AV45"/>
    <mergeCell ref="AW42:AW45"/>
    <mergeCell ref="AX42:AX45"/>
    <mergeCell ref="AY42:AY45"/>
    <mergeCell ref="AZ42:AZ45"/>
    <mergeCell ref="BA42:BA45"/>
    <mergeCell ref="AV46:AV47"/>
    <mergeCell ref="AW46:AW47"/>
    <mergeCell ref="AX46:AX47"/>
    <mergeCell ref="AY46:AY47"/>
    <mergeCell ref="AZ46:AZ47"/>
    <mergeCell ref="BA46:BA47"/>
    <mergeCell ref="AV48:AV51"/>
    <mergeCell ref="AW48:AW51"/>
    <mergeCell ref="AX48:AX51"/>
    <mergeCell ref="AY48:AY51"/>
    <mergeCell ref="AZ48:AZ51"/>
    <mergeCell ref="BA48:BA51"/>
    <mergeCell ref="AV52:AV55"/>
    <mergeCell ref="AW52:AW55"/>
    <mergeCell ref="AX52:AX55"/>
    <mergeCell ref="AY52:AY55"/>
    <mergeCell ref="AZ52:AZ55"/>
    <mergeCell ref="BA52:BA55"/>
    <mergeCell ref="AV56:AV59"/>
    <mergeCell ref="AW56:AW59"/>
    <mergeCell ref="AX56:AX59"/>
    <mergeCell ref="AY56:AY59"/>
    <mergeCell ref="AZ56:AZ59"/>
    <mergeCell ref="BA56:BA59"/>
    <mergeCell ref="AV60:AV65"/>
    <mergeCell ref="AW60:AW65"/>
    <mergeCell ref="AX60:AX65"/>
    <mergeCell ref="AY60:AY65"/>
    <mergeCell ref="AZ60:AZ65"/>
    <mergeCell ref="BA60:BA65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83:AV84"/>
    <mergeCell ref="AW83:AW84"/>
    <mergeCell ref="AX83:AX84"/>
    <mergeCell ref="AY83:AY84"/>
    <mergeCell ref="AZ83:AZ84"/>
    <mergeCell ref="BA83:BA8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112:AV113"/>
    <mergeCell ref="AW112:AW113"/>
    <mergeCell ref="AX112:AX113"/>
    <mergeCell ref="AY112:AY113"/>
    <mergeCell ref="AZ112:AZ113"/>
    <mergeCell ref="BA112:BA113"/>
    <mergeCell ref="AV115:AV117"/>
    <mergeCell ref="AW115:AW117"/>
    <mergeCell ref="AX115:AX117"/>
    <mergeCell ref="AY115:AY117"/>
    <mergeCell ref="AZ115:AZ117"/>
    <mergeCell ref="BA115:BA117"/>
    <mergeCell ref="AV118:AV119"/>
    <mergeCell ref="AW118:AW119"/>
    <mergeCell ref="AX118:AX119"/>
    <mergeCell ref="AY118:AY119"/>
    <mergeCell ref="AZ118:AZ119"/>
    <mergeCell ref="BA118:BA119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AV136:AV138"/>
    <mergeCell ref="AW136:AW138"/>
    <mergeCell ref="AX136:AX138"/>
    <mergeCell ref="AY136:AY138"/>
    <mergeCell ref="AZ136:AZ138"/>
    <mergeCell ref="BA136:BA138"/>
    <mergeCell ref="AV144:AV146"/>
    <mergeCell ref="AW144:AW146"/>
    <mergeCell ref="AX144:AX146"/>
    <mergeCell ref="AY144:AY146"/>
    <mergeCell ref="AZ144:AZ146"/>
    <mergeCell ref="BA144:BA146"/>
    <mergeCell ref="AV147:AV148"/>
    <mergeCell ref="AW147:AW148"/>
    <mergeCell ref="AX147:AX148"/>
    <mergeCell ref="AY147:AY148"/>
    <mergeCell ref="AZ147:AZ148"/>
    <mergeCell ref="BA147:BA148"/>
    <mergeCell ref="AV149:AV152"/>
    <mergeCell ref="AW149:AW152"/>
    <mergeCell ref="AX149:AX152"/>
    <mergeCell ref="AY149:AY152"/>
    <mergeCell ref="AZ149:AZ152"/>
    <mergeCell ref="BA149:BA152"/>
    <mergeCell ref="AV153:AV154"/>
    <mergeCell ref="AW153:AW154"/>
    <mergeCell ref="AX153:AX154"/>
    <mergeCell ref="AY153:AY154"/>
    <mergeCell ref="AZ153:AZ154"/>
    <mergeCell ref="BA153:BA154"/>
    <mergeCell ref="AV162:AV164"/>
    <mergeCell ref="AW162:AW164"/>
    <mergeCell ref="AX162:AX164"/>
    <mergeCell ref="AY162:AY164"/>
    <mergeCell ref="AZ162:AZ164"/>
    <mergeCell ref="BA162:BA164"/>
    <mergeCell ref="AV165:AV167"/>
    <mergeCell ref="AW165:AW167"/>
    <mergeCell ref="AX165:AX167"/>
    <mergeCell ref="AY165:AY167"/>
    <mergeCell ref="AZ165:AZ167"/>
    <mergeCell ref="BA165:BA167"/>
    <mergeCell ref="AV171:AV173"/>
    <mergeCell ref="AW171:AW173"/>
    <mergeCell ref="AX171:AX173"/>
    <mergeCell ref="AY171:AY173"/>
    <mergeCell ref="AZ171:AZ173"/>
    <mergeCell ref="BA171:BA173"/>
    <mergeCell ref="AV174:AV176"/>
    <mergeCell ref="AW174:AW176"/>
    <mergeCell ref="AX174:AX176"/>
    <mergeCell ref="AY174:AY176"/>
    <mergeCell ref="AZ174:AZ176"/>
    <mergeCell ref="BA174:BA176"/>
    <mergeCell ref="AV177:AV179"/>
    <mergeCell ref="AW177:AW179"/>
    <mergeCell ref="AX177:AX179"/>
    <mergeCell ref="AY177:AY179"/>
    <mergeCell ref="AZ177:AZ179"/>
    <mergeCell ref="BA177:BA179"/>
    <mergeCell ref="AV180:AV181"/>
    <mergeCell ref="AW180:AW181"/>
    <mergeCell ref="AX180:AX181"/>
    <mergeCell ref="AY180:AY181"/>
    <mergeCell ref="AZ180:AZ181"/>
    <mergeCell ref="BA180:BA181"/>
    <mergeCell ref="AV182:AV184"/>
    <mergeCell ref="AW182:AW184"/>
    <mergeCell ref="AX182:AX184"/>
    <mergeCell ref="AY182:AY184"/>
    <mergeCell ref="AZ182:AZ184"/>
    <mergeCell ref="BA182:BA184"/>
    <mergeCell ref="AV185:AV186"/>
    <mergeCell ref="AW185:AW186"/>
    <mergeCell ref="AX185:AX186"/>
    <mergeCell ref="AY185:AY186"/>
    <mergeCell ref="AZ185:AZ186"/>
    <mergeCell ref="BA185:BA186"/>
    <mergeCell ref="AV188:AV189"/>
    <mergeCell ref="AW188:AW189"/>
    <mergeCell ref="AX188:AX189"/>
    <mergeCell ref="AY188:AY189"/>
    <mergeCell ref="AZ188:AZ189"/>
    <mergeCell ref="BA188:BA189"/>
    <mergeCell ref="AV191:AV194"/>
    <mergeCell ref="AW191:AW194"/>
    <mergeCell ref="AX191:AX194"/>
    <mergeCell ref="AY191:AY194"/>
    <mergeCell ref="AZ191:AZ194"/>
    <mergeCell ref="BA191:BA194"/>
    <mergeCell ref="AV197:AV198"/>
    <mergeCell ref="AW197:AW198"/>
    <mergeCell ref="AX197:AX198"/>
    <mergeCell ref="AY197:AY198"/>
    <mergeCell ref="AZ197:AZ198"/>
    <mergeCell ref="BA197:BA198"/>
    <mergeCell ref="AV199:AV202"/>
    <mergeCell ref="AW199:AW202"/>
    <mergeCell ref="AX199:AX202"/>
    <mergeCell ref="AY199:AY202"/>
    <mergeCell ref="AZ199:AZ202"/>
    <mergeCell ref="BA199:BA202"/>
    <mergeCell ref="AV206:AV207"/>
    <mergeCell ref="AW206:AW207"/>
    <mergeCell ref="AX206:AX207"/>
    <mergeCell ref="AY206:AY207"/>
    <mergeCell ref="AZ206:AZ207"/>
    <mergeCell ref="BA206:BA207"/>
    <mergeCell ref="AV209:AV211"/>
    <mergeCell ref="AW209:AW211"/>
    <mergeCell ref="AX209:AX211"/>
    <mergeCell ref="AY209:AY211"/>
    <mergeCell ref="AZ209:AZ211"/>
    <mergeCell ref="BA209:BA211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1:AV222"/>
    <mergeCell ref="AW221:AW222"/>
    <mergeCell ref="AX221:AX222"/>
    <mergeCell ref="AY221:AY222"/>
    <mergeCell ref="AZ221:AZ222"/>
    <mergeCell ref="BA221:BA222"/>
    <mergeCell ref="AV225:AV228"/>
    <mergeCell ref="AW225:AW228"/>
    <mergeCell ref="AX225:AX228"/>
    <mergeCell ref="AY225:AY228"/>
    <mergeCell ref="AZ225:AZ228"/>
    <mergeCell ref="BA225:BA228"/>
    <mergeCell ref="AV229:AV232"/>
    <mergeCell ref="AW229:AW232"/>
    <mergeCell ref="AX229:AX232"/>
    <mergeCell ref="AY229:AY232"/>
    <mergeCell ref="AZ229:AZ232"/>
    <mergeCell ref="BA229:BA232"/>
    <mergeCell ref="AV234:AV236"/>
    <mergeCell ref="AW234:AW236"/>
    <mergeCell ref="AX234:AX236"/>
    <mergeCell ref="AY234:AY236"/>
    <mergeCell ref="AZ234:AZ236"/>
    <mergeCell ref="BA234:BA236"/>
    <mergeCell ref="AV237:AV240"/>
    <mergeCell ref="AW237:AW240"/>
    <mergeCell ref="AX237:AX240"/>
    <mergeCell ref="AY237:AY240"/>
    <mergeCell ref="AZ237:AZ240"/>
    <mergeCell ref="BA237:BA240"/>
    <mergeCell ref="AV241:AV243"/>
    <mergeCell ref="AW241:AW243"/>
    <mergeCell ref="AX241:AX243"/>
    <mergeCell ref="AY241:AY243"/>
    <mergeCell ref="AZ241:AZ243"/>
    <mergeCell ref="BA241:BA243"/>
    <mergeCell ref="AV247:AV248"/>
    <mergeCell ref="AW247:AW248"/>
    <mergeCell ref="AX247:AX248"/>
    <mergeCell ref="AY247:AY248"/>
    <mergeCell ref="AZ247:AZ248"/>
    <mergeCell ref="BA247:BA248"/>
    <mergeCell ref="AV249:AV254"/>
    <mergeCell ref="AW249:AW254"/>
    <mergeCell ref="AX249:AX254"/>
    <mergeCell ref="AY249:AY254"/>
    <mergeCell ref="AZ249:AZ254"/>
    <mergeCell ref="BA249:BA254"/>
    <mergeCell ref="AV255:AV257"/>
    <mergeCell ref="AW255:AW257"/>
    <mergeCell ref="AX255:AX257"/>
    <mergeCell ref="AY255:AY257"/>
    <mergeCell ref="AZ255:AZ257"/>
    <mergeCell ref="BA255:BA257"/>
    <mergeCell ref="AV259:AV261"/>
    <mergeCell ref="AW259:AW261"/>
    <mergeCell ref="AX259:AX261"/>
    <mergeCell ref="AY259:AY261"/>
    <mergeCell ref="AZ259:AZ261"/>
    <mergeCell ref="BA259:BA261"/>
    <mergeCell ref="AV262:AV264"/>
    <mergeCell ref="AW262:AW264"/>
    <mergeCell ref="AX262:AX264"/>
    <mergeCell ref="AY262:AY264"/>
    <mergeCell ref="AZ262:AZ264"/>
    <mergeCell ref="BA262:BA264"/>
    <mergeCell ref="AV265:AV267"/>
    <mergeCell ref="AW265:AW267"/>
    <mergeCell ref="AX265:AX267"/>
    <mergeCell ref="AY265:AY267"/>
    <mergeCell ref="AZ265:AZ267"/>
    <mergeCell ref="BA265:BA267"/>
    <mergeCell ref="AV268:AV270"/>
    <mergeCell ref="AW268:AW270"/>
    <mergeCell ref="AX268:AX270"/>
    <mergeCell ref="AY268:AY270"/>
    <mergeCell ref="AZ268:AZ270"/>
    <mergeCell ref="BA268:BA270"/>
    <mergeCell ref="AV271:AV274"/>
    <mergeCell ref="AW271:AW274"/>
    <mergeCell ref="AX271:AX274"/>
    <mergeCell ref="AY271:AY274"/>
    <mergeCell ref="AZ271:AZ274"/>
    <mergeCell ref="BA271:BA274"/>
    <mergeCell ref="AV275:AV276"/>
    <mergeCell ref="AW275:AW276"/>
    <mergeCell ref="AX275:AX276"/>
    <mergeCell ref="AY275:AY276"/>
    <mergeCell ref="AZ275:AZ276"/>
    <mergeCell ref="BA275:BA276"/>
    <mergeCell ref="AV277:AV279"/>
    <mergeCell ref="AW277:AW279"/>
    <mergeCell ref="AX277:AX279"/>
    <mergeCell ref="AY277:AY279"/>
    <mergeCell ref="AZ277:AZ279"/>
    <mergeCell ref="BA277:BA279"/>
    <mergeCell ref="AV280:AV283"/>
    <mergeCell ref="AW280:AW283"/>
    <mergeCell ref="AX280:AX283"/>
    <mergeCell ref="AY280:AY283"/>
    <mergeCell ref="AZ280:AZ283"/>
    <mergeCell ref="BA280:BA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88:AV291"/>
    <mergeCell ref="AW288:AW291"/>
    <mergeCell ref="AX288:AX291"/>
    <mergeCell ref="AY288:AY291"/>
    <mergeCell ref="AZ288:AZ291"/>
    <mergeCell ref="BA288:BA291"/>
    <mergeCell ref="AV292:AV294"/>
    <mergeCell ref="AW292:AW294"/>
    <mergeCell ref="AX292:AX294"/>
    <mergeCell ref="AY292:AY294"/>
    <mergeCell ref="AZ292:AZ294"/>
    <mergeCell ref="BA292:BA294"/>
    <mergeCell ref="AV295:AV298"/>
    <mergeCell ref="AW295:AW298"/>
    <mergeCell ref="AX295:AX298"/>
    <mergeCell ref="AY295:AY298"/>
    <mergeCell ref="AZ295:AZ298"/>
    <mergeCell ref="BA295:BA298"/>
    <mergeCell ref="AV305:AV307"/>
    <mergeCell ref="AW305:AW307"/>
    <mergeCell ref="AX305:AX307"/>
    <mergeCell ref="AY305:AY307"/>
    <mergeCell ref="AZ305:AZ307"/>
    <mergeCell ref="BA305:BA307"/>
    <mergeCell ref="AV311:AV312"/>
    <mergeCell ref="AW311:AW312"/>
    <mergeCell ref="AX311:AX312"/>
    <mergeCell ref="AY311:AY312"/>
    <mergeCell ref="AZ311:AZ312"/>
    <mergeCell ref="BA311:BA312"/>
    <mergeCell ref="AV314:AV316"/>
    <mergeCell ref="AW314:AW316"/>
    <mergeCell ref="AX314:AX316"/>
    <mergeCell ref="AY314:AY316"/>
    <mergeCell ref="AZ314:AZ316"/>
    <mergeCell ref="BA314:BA316"/>
    <mergeCell ref="AV317:AV319"/>
    <mergeCell ref="AW317:AW319"/>
    <mergeCell ref="AX317:AX319"/>
    <mergeCell ref="AY317:AY319"/>
    <mergeCell ref="AZ317:AZ319"/>
    <mergeCell ref="BA317:BA319"/>
    <mergeCell ref="AV329:AV330"/>
    <mergeCell ref="AW329:AW330"/>
    <mergeCell ref="AX329:AX330"/>
    <mergeCell ref="AY329:AY330"/>
    <mergeCell ref="AZ329:AZ330"/>
    <mergeCell ref="BA329:BA330"/>
    <mergeCell ref="AV331:AV332"/>
    <mergeCell ref="AW331:AW332"/>
    <mergeCell ref="AX331:AX332"/>
    <mergeCell ref="AY331:AY332"/>
    <mergeCell ref="AZ331:AZ332"/>
    <mergeCell ref="BA331:BA332"/>
    <mergeCell ref="AV334:AV335"/>
    <mergeCell ref="AW334:AW335"/>
    <mergeCell ref="AX334:AX335"/>
    <mergeCell ref="AY334:AY335"/>
    <mergeCell ref="AZ334:AZ335"/>
    <mergeCell ref="BA334:BA335"/>
    <mergeCell ref="AV337:AV338"/>
    <mergeCell ref="AW337:AW338"/>
    <mergeCell ref="AX337:AX338"/>
    <mergeCell ref="AY337:AY338"/>
    <mergeCell ref="AZ337:AZ338"/>
    <mergeCell ref="BA337:BA338"/>
    <mergeCell ref="AV345:AV346"/>
    <mergeCell ref="AW345:AW346"/>
    <mergeCell ref="AX345:AX346"/>
    <mergeCell ref="AY345:AY346"/>
    <mergeCell ref="AZ345:AZ346"/>
    <mergeCell ref="BA345:BA346"/>
    <mergeCell ref="AV348:AV350"/>
    <mergeCell ref="AW348:AW350"/>
    <mergeCell ref="AX348:AX350"/>
    <mergeCell ref="AY348:AY350"/>
    <mergeCell ref="AZ348:AZ350"/>
    <mergeCell ref="BA348:BA350"/>
    <mergeCell ref="AV353:AV354"/>
    <mergeCell ref="AW353:AW354"/>
    <mergeCell ref="AX353:AX354"/>
    <mergeCell ref="AY353:AY354"/>
    <mergeCell ref="AZ353:AZ354"/>
    <mergeCell ref="BA353:BA354"/>
    <mergeCell ref="AV355:AV356"/>
    <mergeCell ref="AW355:AW356"/>
    <mergeCell ref="AX355:AX356"/>
    <mergeCell ref="AY355:AY356"/>
    <mergeCell ref="AZ355:AZ356"/>
    <mergeCell ref="BA355:BA356"/>
    <mergeCell ref="AV362:AV365"/>
    <mergeCell ref="AW362:AW365"/>
    <mergeCell ref="AX362:AX365"/>
    <mergeCell ref="AY362:AY365"/>
    <mergeCell ref="AZ362:AZ365"/>
    <mergeCell ref="BA362:BA365"/>
    <mergeCell ref="AV369:AV370"/>
    <mergeCell ref="AW369:AW370"/>
    <mergeCell ref="AX369:AX370"/>
    <mergeCell ref="AY369:AY370"/>
    <mergeCell ref="AZ369:AZ370"/>
    <mergeCell ref="BA369:BA370"/>
    <mergeCell ref="AV371:AV372"/>
    <mergeCell ref="AW371:AW372"/>
    <mergeCell ref="AX371:AX372"/>
    <mergeCell ref="AY371:AY372"/>
    <mergeCell ref="AZ371:AZ372"/>
    <mergeCell ref="BA371:BA372"/>
    <mergeCell ref="AV373:AV374"/>
    <mergeCell ref="AW373:AW374"/>
    <mergeCell ref="AX373:AX374"/>
    <mergeCell ref="AY373:AY374"/>
    <mergeCell ref="AZ373:AZ374"/>
    <mergeCell ref="BA373:BA374"/>
    <mergeCell ref="AV375:AV376"/>
    <mergeCell ref="AW375:AW376"/>
    <mergeCell ref="AX375:AX376"/>
    <mergeCell ref="AY375:AY376"/>
    <mergeCell ref="AZ375:AZ376"/>
    <mergeCell ref="BA375:BA376"/>
    <mergeCell ref="AV378:AV379"/>
    <mergeCell ref="AW378:AW379"/>
    <mergeCell ref="AX378:AX379"/>
    <mergeCell ref="AY378:AY379"/>
    <mergeCell ref="AZ378:AZ379"/>
    <mergeCell ref="BA378:BA379"/>
    <mergeCell ref="AV380:AV383"/>
    <mergeCell ref="AW380:AW383"/>
    <mergeCell ref="AX380:AX383"/>
    <mergeCell ref="AY380:AY383"/>
    <mergeCell ref="AZ380:AZ383"/>
    <mergeCell ref="BA380:BA383"/>
    <mergeCell ref="AV385:AV386"/>
    <mergeCell ref="AW385:AW386"/>
    <mergeCell ref="AX385:AX386"/>
    <mergeCell ref="AY385:AY386"/>
    <mergeCell ref="AZ385:AZ386"/>
    <mergeCell ref="BA385:BA386"/>
    <mergeCell ref="AV387:AV388"/>
    <mergeCell ref="AW387:AW388"/>
    <mergeCell ref="AX387:AX388"/>
    <mergeCell ref="AY387:AY388"/>
    <mergeCell ref="AZ387:AZ388"/>
    <mergeCell ref="BA387:BA388"/>
    <mergeCell ref="AV389:AV391"/>
    <mergeCell ref="AW389:AW391"/>
    <mergeCell ref="AX389:AX391"/>
    <mergeCell ref="AY389:AY391"/>
    <mergeCell ref="AZ389:AZ391"/>
    <mergeCell ref="BA389:BA391"/>
    <mergeCell ref="AV397:AV398"/>
    <mergeCell ref="AW397:AW398"/>
    <mergeCell ref="AX397:AX398"/>
    <mergeCell ref="AY397:AY398"/>
    <mergeCell ref="AZ397:AZ398"/>
    <mergeCell ref="BA397:BA398"/>
    <mergeCell ref="AV401:AV402"/>
    <mergeCell ref="AW401:AW402"/>
    <mergeCell ref="AX401:AX402"/>
    <mergeCell ref="AY401:AY402"/>
    <mergeCell ref="AZ401:AZ402"/>
    <mergeCell ref="BA401:BA402"/>
    <mergeCell ref="AV403:AV404"/>
    <mergeCell ref="AW403:AW404"/>
    <mergeCell ref="AX403:AX404"/>
    <mergeCell ref="AY403:AY404"/>
    <mergeCell ref="AZ403:AZ404"/>
    <mergeCell ref="BA403:BA404"/>
    <mergeCell ref="AV409:AV412"/>
    <mergeCell ref="AW409:AW412"/>
    <mergeCell ref="AX409:AX412"/>
    <mergeCell ref="AY409:AY412"/>
    <mergeCell ref="AZ409:AZ412"/>
    <mergeCell ref="BA409:BA412"/>
    <mergeCell ref="AV415:AV417"/>
    <mergeCell ref="AW415:AW417"/>
    <mergeCell ref="AX415:AX417"/>
    <mergeCell ref="AY415:AY417"/>
    <mergeCell ref="AZ415:AZ417"/>
    <mergeCell ref="BA415:BA417"/>
    <mergeCell ref="AV418:AV420"/>
    <mergeCell ref="AW418:AW420"/>
    <mergeCell ref="AX418:AX420"/>
    <mergeCell ref="AY418:AY420"/>
    <mergeCell ref="AZ418:AZ420"/>
    <mergeCell ref="BA418:BA420"/>
    <mergeCell ref="AV431:AV432"/>
    <mergeCell ref="AW431:AW432"/>
    <mergeCell ref="AX431:AX432"/>
    <mergeCell ref="AY431:AY432"/>
    <mergeCell ref="AZ431:AZ432"/>
    <mergeCell ref="BA431:BA432"/>
    <mergeCell ref="AV441:AV442"/>
    <mergeCell ref="AW441:AW442"/>
    <mergeCell ref="AX441:AX442"/>
    <mergeCell ref="AY441:AY442"/>
    <mergeCell ref="AZ441:AZ442"/>
    <mergeCell ref="BA441:BA442"/>
    <mergeCell ref="AV447:AV448"/>
    <mergeCell ref="AW447:AW448"/>
    <mergeCell ref="AX447:AX448"/>
    <mergeCell ref="AY447:AY448"/>
    <mergeCell ref="AZ447:AZ448"/>
    <mergeCell ref="BA447:BA448"/>
    <mergeCell ref="AV449:AV450"/>
    <mergeCell ref="AW449:AW450"/>
    <mergeCell ref="AX449:AX450"/>
    <mergeCell ref="AY449:AY450"/>
    <mergeCell ref="AZ449:AZ450"/>
    <mergeCell ref="BA449:BA450"/>
    <mergeCell ref="AV451:AV452"/>
    <mergeCell ref="AW451:AW452"/>
    <mergeCell ref="AX451:AX452"/>
    <mergeCell ref="AY451:AY452"/>
    <mergeCell ref="AZ451:AZ452"/>
    <mergeCell ref="BA451:BA452"/>
    <mergeCell ref="AV460:AV462"/>
    <mergeCell ref="AW460:AW462"/>
    <mergeCell ref="AX460:AX462"/>
    <mergeCell ref="AY460:AY462"/>
    <mergeCell ref="AZ460:AZ462"/>
    <mergeCell ref="BA460:BA462"/>
    <mergeCell ref="AV463:AV465"/>
    <mergeCell ref="AW463:AW465"/>
    <mergeCell ref="AX463:AX465"/>
    <mergeCell ref="AY463:AY465"/>
    <mergeCell ref="AZ463:AZ465"/>
    <mergeCell ref="BA463:BA465"/>
    <mergeCell ref="AV469:AV470"/>
    <mergeCell ref="AW469:AW470"/>
    <mergeCell ref="AX469:AX470"/>
    <mergeCell ref="AY469:AY470"/>
    <mergeCell ref="AZ469:AZ470"/>
    <mergeCell ref="BA469:BA470"/>
    <mergeCell ref="AV471:AV474"/>
    <mergeCell ref="AW471:AW474"/>
    <mergeCell ref="AX471:AX474"/>
    <mergeCell ref="AY471:AY474"/>
    <mergeCell ref="AZ471:AZ474"/>
    <mergeCell ref="BA471:BA474"/>
    <mergeCell ref="AV477:AV478"/>
    <mergeCell ref="AW477:AW478"/>
    <mergeCell ref="AX477:AX478"/>
    <mergeCell ref="AY477:AY478"/>
    <mergeCell ref="AZ477:AZ478"/>
    <mergeCell ref="BA477:BA478"/>
    <mergeCell ref="AV479:AV480"/>
    <mergeCell ref="AW479:AW480"/>
    <mergeCell ref="AX479:AX480"/>
    <mergeCell ref="AY479:AY480"/>
    <mergeCell ref="AZ479:AZ480"/>
    <mergeCell ref="BA479:BA480"/>
    <mergeCell ref="AV481:AV482"/>
    <mergeCell ref="AW481:AW482"/>
    <mergeCell ref="AX481:AX482"/>
    <mergeCell ref="AY481:AY482"/>
    <mergeCell ref="AZ481:AZ482"/>
    <mergeCell ref="BA481:BA482"/>
    <mergeCell ref="AV483:AV487"/>
    <mergeCell ref="AW483:AW487"/>
    <mergeCell ref="AX483:AX487"/>
    <mergeCell ref="AY483:AY487"/>
    <mergeCell ref="AZ483:AZ487"/>
    <mergeCell ref="BA483:BA487"/>
    <mergeCell ref="AV488:AV491"/>
    <mergeCell ref="AW488:AW491"/>
    <mergeCell ref="AX488:AX491"/>
    <mergeCell ref="AY488:AY491"/>
    <mergeCell ref="AZ488:AZ491"/>
    <mergeCell ref="BA488:BA491"/>
    <mergeCell ref="AV492:AV496"/>
    <mergeCell ref="AW492:AW496"/>
    <mergeCell ref="AX492:AX496"/>
    <mergeCell ref="AY492:AY496"/>
    <mergeCell ref="AZ492:AZ496"/>
    <mergeCell ref="BA492:BA496"/>
    <mergeCell ref="AV497:AV505"/>
    <mergeCell ref="AW497:AW505"/>
    <mergeCell ref="AX497:AX505"/>
    <mergeCell ref="AY497:AY505"/>
    <mergeCell ref="AZ497:AZ505"/>
    <mergeCell ref="BA497:BA505"/>
    <mergeCell ref="AV506:AV514"/>
    <mergeCell ref="AW506:AW514"/>
    <mergeCell ref="AX506:AX514"/>
    <mergeCell ref="AY506:AY514"/>
    <mergeCell ref="AZ506:AZ514"/>
    <mergeCell ref="BA506:BA514"/>
    <mergeCell ref="AV515:AV519"/>
    <mergeCell ref="AW515:AW519"/>
    <mergeCell ref="AX515:AX519"/>
    <mergeCell ref="AY515:AY519"/>
    <mergeCell ref="AZ515:AZ519"/>
    <mergeCell ref="BA515:BA519"/>
    <mergeCell ref="AV520:AV527"/>
    <mergeCell ref="AW520:AW527"/>
    <mergeCell ref="AX520:AX527"/>
    <mergeCell ref="AY520:AY527"/>
    <mergeCell ref="AZ520:AZ527"/>
    <mergeCell ref="BA520:BA527"/>
    <mergeCell ref="AV528:AV532"/>
    <mergeCell ref="AW528:AW532"/>
    <mergeCell ref="AX528:AX532"/>
    <mergeCell ref="AY528:AY532"/>
    <mergeCell ref="AZ528:AZ532"/>
    <mergeCell ref="BA528:BA532"/>
    <mergeCell ref="AV533:AV541"/>
    <mergeCell ref="AW533:AW541"/>
    <mergeCell ref="AX533:AX541"/>
    <mergeCell ref="AY533:AY541"/>
    <mergeCell ref="AZ533:AZ541"/>
    <mergeCell ref="BA533:BA541"/>
    <mergeCell ref="AV546:AV547"/>
    <mergeCell ref="AW546:AW547"/>
    <mergeCell ref="AX546:AX547"/>
    <mergeCell ref="AY546:AY547"/>
    <mergeCell ref="AZ546:AZ547"/>
    <mergeCell ref="BA546:BA547"/>
    <mergeCell ref="AV557:AV558"/>
    <mergeCell ref="AW557:AW558"/>
    <mergeCell ref="AX557:AX558"/>
    <mergeCell ref="AY557:AY558"/>
    <mergeCell ref="AZ557:AZ558"/>
    <mergeCell ref="BA557:BA558"/>
    <mergeCell ref="AV559:AV561"/>
    <mergeCell ref="AW559:AW561"/>
    <mergeCell ref="AX559:AX561"/>
    <mergeCell ref="AY559:AY561"/>
    <mergeCell ref="AZ559:AZ561"/>
    <mergeCell ref="BA559:BA561"/>
    <mergeCell ref="AV568:AV569"/>
    <mergeCell ref="AW568:AW569"/>
    <mergeCell ref="AX568:AX569"/>
    <mergeCell ref="AY568:AY569"/>
    <mergeCell ref="AZ568:AZ569"/>
    <mergeCell ref="BA568:BA569"/>
    <mergeCell ref="AV579:AV583"/>
    <mergeCell ref="AW579:AW583"/>
    <mergeCell ref="AX579:AX583"/>
    <mergeCell ref="AY579:AY583"/>
    <mergeCell ref="AZ579:AZ583"/>
    <mergeCell ref="BA579:BA583"/>
    <mergeCell ref="AV584:AV587"/>
    <mergeCell ref="AW584:AW587"/>
    <mergeCell ref="AX584:AX587"/>
    <mergeCell ref="AY584:AY587"/>
    <mergeCell ref="AZ584:AZ587"/>
    <mergeCell ref="BA584:BA587"/>
    <mergeCell ref="AV588:AV590"/>
    <mergeCell ref="AW588:AW590"/>
    <mergeCell ref="AX588:AX590"/>
    <mergeCell ref="AY588:AY590"/>
    <mergeCell ref="AZ588:AZ590"/>
    <mergeCell ref="BA588:BA590"/>
    <mergeCell ref="AV591:AV593"/>
    <mergeCell ref="AW591:AW593"/>
    <mergeCell ref="AX591:AX593"/>
    <mergeCell ref="AY591:AY593"/>
    <mergeCell ref="AZ591:AZ593"/>
    <mergeCell ref="BA591:BA593"/>
    <mergeCell ref="AV594:AV596"/>
    <mergeCell ref="AW594:AW596"/>
    <mergeCell ref="AX594:AX596"/>
    <mergeCell ref="AY594:AY596"/>
    <mergeCell ref="AZ594:AZ596"/>
    <mergeCell ref="BA594:BA596"/>
    <mergeCell ref="AV597:AV599"/>
    <mergeCell ref="AW597:AW599"/>
    <mergeCell ref="AX597:AX599"/>
    <mergeCell ref="AY597:AY599"/>
    <mergeCell ref="AZ597:AZ599"/>
    <mergeCell ref="BA597:BA599"/>
    <mergeCell ref="AV609:AV611"/>
    <mergeCell ref="AW609:AW611"/>
    <mergeCell ref="AX609:AX611"/>
    <mergeCell ref="AY609:AY611"/>
    <mergeCell ref="AZ609:AZ611"/>
    <mergeCell ref="BA609:BA611"/>
    <mergeCell ref="AV613:AV614"/>
    <mergeCell ref="AW613:AW614"/>
    <mergeCell ref="AX613:AX614"/>
    <mergeCell ref="AY613:AY614"/>
    <mergeCell ref="AZ613:AZ614"/>
    <mergeCell ref="BA613:BA614"/>
    <mergeCell ref="AV617:AV618"/>
    <mergeCell ref="AW617:AW618"/>
    <mergeCell ref="AX617:AX618"/>
    <mergeCell ref="AY617:AY618"/>
    <mergeCell ref="AZ617:AZ618"/>
    <mergeCell ref="BA617:BA618"/>
    <mergeCell ref="AV620:AV621"/>
    <mergeCell ref="AW620:AW621"/>
    <mergeCell ref="AX620:AX621"/>
    <mergeCell ref="AY620:AY621"/>
    <mergeCell ref="AZ620:AZ621"/>
    <mergeCell ref="BA620:BA621"/>
    <mergeCell ref="AV623:AV625"/>
    <mergeCell ref="AW623:AW625"/>
    <mergeCell ref="AX623:AX625"/>
    <mergeCell ref="AY623:AY625"/>
    <mergeCell ref="AZ623:AZ625"/>
    <mergeCell ref="BA623:BA625"/>
    <mergeCell ref="AV627:AV628"/>
    <mergeCell ref="AW627:AW628"/>
    <mergeCell ref="AX627:AX628"/>
    <mergeCell ref="AY627:AY628"/>
    <mergeCell ref="AZ627:AZ628"/>
    <mergeCell ref="BA627:BA628"/>
    <mergeCell ref="AV629:AV630"/>
    <mergeCell ref="AW629:AW630"/>
    <mergeCell ref="AX629:AX630"/>
    <mergeCell ref="AY629:AY630"/>
    <mergeCell ref="AZ629:AZ630"/>
    <mergeCell ref="BA629:BA630"/>
    <mergeCell ref="AV631:AV632"/>
    <mergeCell ref="AW631:AW632"/>
    <mergeCell ref="AX631:AX632"/>
    <mergeCell ref="AY631:AY632"/>
    <mergeCell ref="AZ631:AZ632"/>
    <mergeCell ref="BA631:BA632"/>
    <mergeCell ref="AV641:AV642"/>
    <mergeCell ref="AW641:AW642"/>
    <mergeCell ref="AX641:AX642"/>
    <mergeCell ref="AY641:AY642"/>
    <mergeCell ref="AZ641:AZ642"/>
    <mergeCell ref="BA641:BA642"/>
    <mergeCell ref="AV643:AV644"/>
    <mergeCell ref="AW643:AW644"/>
    <mergeCell ref="AX643:AX644"/>
    <mergeCell ref="AY643:AY644"/>
    <mergeCell ref="AZ643:AZ644"/>
    <mergeCell ref="BA643:BA644"/>
    <mergeCell ref="AV645:AV646"/>
    <mergeCell ref="AW645:AW646"/>
    <mergeCell ref="AX645:AX646"/>
    <mergeCell ref="AY645:AY646"/>
    <mergeCell ref="AZ645:AZ646"/>
    <mergeCell ref="BA645:BA646"/>
    <mergeCell ref="AV650:AV651"/>
    <mergeCell ref="AW650:AW651"/>
    <mergeCell ref="AX650:AX651"/>
    <mergeCell ref="AY650:AY651"/>
    <mergeCell ref="AZ650:AZ651"/>
    <mergeCell ref="BA650:BA651"/>
    <mergeCell ref="AV652:AV653"/>
    <mergeCell ref="AW652:AW653"/>
    <mergeCell ref="AX652:AX653"/>
    <mergeCell ref="AY652:AY653"/>
    <mergeCell ref="AZ652:AZ653"/>
    <mergeCell ref="BA652:BA653"/>
    <mergeCell ref="AV655:AV656"/>
    <mergeCell ref="AW655:AW656"/>
    <mergeCell ref="AX655:AX656"/>
    <mergeCell ref="AY655:AY656"/>
    <mergeCell ref="AZ655:AZ656"/>
    <mergeCell ref="BA655:BA656"/>
    <mergeCell ref="AV659:AV661"/>
    <mergeCell ref="AW659:AW661"/>
    <mergeCell ref="AX659:AX661"/>
    <mergeCell ref="AY659:AY661"/>
    <mergeCell ref="AZ659:AZ661"/>
    <mergeCell ref="BA659:BA661"/>
    <mergeCell ref="AV662:AV664"/>
    <mergeCell ref="AW662:AW664"/>
    <mergeCell ref="AX662:AX664"/>
    <mergeCell ref="AY662:AY664"/>
    <mergeCell ref="AZ662:AZ664"/>
    <mergeCell ref="BA662:BA664"/>
    <mergeCell ref="AV666:AV668"/>
    <mergeCell ref="AW666:AW668"/>
    <mergeCell ref="AX666:AX668"/>
    <mergeCell ref="AY666:AY668"/>
    <mergeCell ref="AZ666:AZ668"/>
    <mergeCell ref="BA666:BA668"/>
    <mergeCell ref="AV670:AV671"/>
    <mergeCell ref="AW670:AW671"/>
    <mergeCell ref="AX670:AX671"/>
    <mergeCell ref="AY670:AY671"/>
    <mergeCell ref="AZ670:AZ671"/>
    <mergeCell ref="BA670:BA671"/>
    <mergeCell ref="AV672:AV673"/>
    <mergeCell ref="AW672:AW673"/>
    <mergeCell ref="AX672:AX673"/>
    <mergeCell ref="AY672:AY673"/>
    <mergeCell ref="AZ672:AZ673"/>
    <mergeCell ref="BA672:BA673"/>
    <mergeCell ref="AV674:AV675"/>
    <mergeCell ref="AW674:AW675"/>
    <mergeCell ref="AX674:AX675"/>
    <mergeCell ref="AY674:AY675"/>
    <mergeCell ref="AZ674:AZ675"/>
    <mergeCell ref="BA674:BA675"/>
    <mergeCell ref="AV676:AV679"/>
    <mergeCell ref="AW676:AW679"/>
    <mergeCell ref="AX676:AX679"/>
    <mergeCell ref="AY676:AY679"/>
    <mergeCell ref="AZ676:AZ679"/>
    <mergeCell ref="BA676:BA679"/>
    <mergeCell ref="AV680:AV683"/>
    <mergeCell ref="AW680:AW683"/>
    <mergeCell ref="AX680:AX683"/>
    <mergeCell ref="AY680:AY683"/>
    <mergeCell ref="AZ680:AZ683"/>
    <mergeCell ref="BA680:BA683"/>
    <mergeCell ref="AV685:AV686"/>
    <mergeCell ref="AW685:AW686"/>
    <mergeCell ref="AX685:AX686"/>
    <mergeCell ref="AY685:AY686"/>
    <mergeCell ref="AZ685:AZ686"/>
    <mergeCell ref="BA685:BA686"/>
    <mergeCell ref="AV687:AV688"/>
    <mergeCell ref="AW687:AW688"/>
    <mergeCell ref="AX687:AX688"/>
    <mergeCell ref="AY687:AY688"/>
    <mergeCell ref="AZ687:AZ688"/>
    <mergeCell ref="BA687:BA688"/>
    <mergeCell ref="AV700:AV701"/>
    <mergeCell ref="AW700:AW701"/>
    <mergeCell ref="AX700:AX701"/>
    <mergeCell ref="AY700:AY701"/>
    <mergeCell ref="AZ700:AZ701"/>
    <mergeCell ref="BA700:BA701"/>
    <mergeCell ref="AV703:AV704"/>
    <mergeCell ref="AW703:AW704"/>
    <mergeCell ref="AX703:AX704"/>
    <mergeCell ref="AY703:AY704"/>
    <mergeCell ref="AZ703:AZ704"/>
    <mergeCell ref="BA703:BA704"/>
    <mergeCell ref="AV710:AV712"/>
    <mergeCell ref="AW710:AW712"/>
    <mergeCell ref="AX710:AX712"/>
    <mergeCell ref="AY710:AY712"/>
    <mergeCell ref="AZ710:AZ712"/>
    <mergeCell ref="BA710:BA712"/>
    <mergeCell ref="BB97:BB98"/>
    <mergeCell ref="BB144:BB145"/>
    <mergeCell ref="BB150:BB151"/>
    <mergeCell ref="BB191:BB192"/>
    <mergeCell ref="BB193:BB194"/>
    <mergeCell ref="BB199:BB200"/>
    <mergeCell ref="BB441:BB442"/>
    <mergeCell ref="BB497:BB498"/>
    <mergeCell ref="BB499:BB500"/>
    <mergeCell ref="BB501:BB502"/>
    <mergeCell ref="BB503:BB504"/>
    <mergeCell ref="BB506:BB507"/>
    <mergeCell ref="BB508:BB509"/>
    <mergeCell ref="BB510:BB511"/>
    <mergeCell ref="BB512:BB513"/>
    <mergeCell ref="BB520:BB521"/>
    <mergeCell ref="BB522:BB523"/>
    <mergeCell ref="BB524:BB525"/>
    <mergeCell ref="BB533:BB534"/>
    <mergeCell ref="BB535:BB536"/>
    <mergeCell ref="BB537:BB538"/>
    <mergeCell ref="BB539:BB540"/>
    <mergeCell ref="BB568:BB569"/>
    <mergeCell ref="BB629:BB630"/>
    <mergeCell ref="BB659:BB660"/>
    <mergeCell ref="BB662:BB66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3902</v>
      </c>
      <c r="C2" s="0" t="s">
        <v>3903</v>
      </c>
      <c r="D2" s="0" t="s">
        <v>3904</v>
      </c>
      <c r="E2" s="0" t="s">
        <v>85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3905</v>
      </c>
      <c r="J4" s="1" t="s">
        <v>3906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3907</v>
      </c>
      <c r="P4" s="1" t="s">
        <v>3908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3909</v>
      </c>
      <c r="F5" s="1" t="s">
        <v>3910</v>
      </c>
      <c r="G5" s="1" t="s">
        <v>3909</v>
      </c>
      <c r="H5" s="1" t="s">
        <v>3910</v>
      </c>
      <c r="I5" s="1" t="s">
        <v>3905</v>
      </c>
      <c r="J5" s="1" t="s">
        <v>3906</v>
      </c>
      <c r="K5" s="1" t="s">
        <v>3911</v>
      </c>
      <c r="L5" s="1" t="s">
        <v>3912</v>
      </c>
      <c r="M5" s="1" t="s">
        <v>3911</v>
      </c>
      <c r="N5" s="1" t="s">
        <v>3912</v>
      </c>
      <c r="O5" s="1" t="s">
        <v>3907</v>
      </c>
      <c r="P5" s="1" t="s">
        <v>3908</v>
      </c>
    </row>
    <row r="6">
      <c r="A6" s="2" t="s">
        <v>630</v>
      </c>
      <c r="B6" s="2" t="s">
        <v>571</v>
      </c>
      <c r="C6" s="2" t="s">
        <v>759</v>
      </c>
      <c r="D6" s="2" t="s">
        <v>3106</v>
      </c>
      <c r="E6" s="4" t="s">
        <v>199</v>
      </c>
      <c r="F6" s="8" t="s">
        <v>199</v>
      </c>
      <c r="G6" s="4" t="s">
        <v>199</v>
      </c>
      <c r="H6" s="8" t="s">
        <v>199</v>
      </c>
      <c r="I6" s="7" t="s">
        <v>199</v>
      </c>
      <c r="J6" s="7" t="s">
        <v>199</v>
      </c>
      <c r="K6" s="4"/>
      <c r="L6" s="8"/>
      <c r="M6" s="4"/>
      <c r="N6" s="8"/>
      <c r="O6" s="7"/>
      <c r="P6" s="7"/>
    </row>
    <row r="7">
      <c r="A7" s="2" t="s">
        <v>630</v>
      </c>
      <c r="B7" s="2" t="s">
        <v>571</v>
      </c>
      <c r="C7" s="2" t="s">
        <v>759</v>
      </c>
      <c r="D7" s="2" t="s">
        <v>760</v>
      </c>
      <c r="E7" s="4" t="s">
        <v>199</v>
      </c>
      <c r="F7" s="8" t="s">
        <v>199</v>
      </c>
      <c r="G7" s="4" t="s">
        <v>199</v>
      </c>
      <c r="H7" s="8" t="s">
        <v>199</v>
      </c>
      <c r="I7" s="7" t="s">
        <v>199</v>
      </c>
      <c r="J7" s="7" t="s">
        <v>199</v>
      </c>
      <c r="K7" s="4"/>
      <c r="L7" s="8"/>
      <c r="M7" s="4"/>
      <c r="N7" s="8"/>
      <c r="O7" s="7"/>
      <c r="P7" s="7"/>
    </row>
    <row r="8">
      <c r="A8" s="2" t="s">
        <v>630</v>
      </c>
      <c r="B8" s="2" t="s">
        <v>1427</v>
      </c>
      <c r="C8" s="2" t="s">
        <v>1298</v>
      </c>
      <c r="D8" s="2" t="s">
        <v>1428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630</v>
      </c>
      <c r="B9" s="2" t="s">
        <v>1427</v>
      </c>
      <c r="C9" s="2" t="s">
        <v>1963</v>
      </c>
      <c r="D9" s="2" t="s">
        <v>3843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630</v>
      </c>
      <c r="B10" s="2" t="s">
        <v>592</v>
      </c>
      <c r="C10" s="2" t="s">
        <v>759</v>
      </c>
      <c r="D10" s="2" t="s">
        <v>3804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630</v>
      </c>
      <c r="B11" s="2" t="s">
        <v>719</v>
      </c>
      <c r="C11" s="2" t="s">
        <v>228</v>
      </c>
      <c r="D11" s="2" t="s">
        <v>487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630</v>
      </c>
      <c r="B12" s="2" t="s">
        <v>719</v>
      </c>
      <c r="C12" s="2" t="s">
        <v>631</v>
      </c>
      <c r="D12" s="2" t="s">
        <v>720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630</v>
      </c>
      <c r="B13" s="2" t="s">
        <v>719</v>
      </c>
      <c r="C13" s="2" t="s">
        <v>1963</v>
      </c>
      <c r="D13" s="2" t="s">
        <v>1964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630</v>
      </c>
      <c r="B14" s="2" t="s">
        <v>604</v>
      </c>
      <c r="C14" s="2" t="s">
        <v>1298</v>
      </c>
      <c r="D14" s="2" t="s">
        <v>1299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630</v>
      </c>
      <c r="B15" s="2" t="s">
        <v>604</v>
      </c>
      <c r="C15" s="2" t="s">
        <v>228</v>
      </c>
      <c r="D15" s="2" t="s">
        <v>988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630</v>
      </c>
      <c r="B16" s="2" t="s">
        <v>604</v>
      </c>
      <c r="C16" s="2" t="s">
        <v>631</v>
      </c>
      <c r="D16" s="2" t="s">
        <v>632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630</v>
      </c>
      <c r="B17" s="2" t="s">
        <v>246</v>
      </c>
      <c r="C17" s="2" t="s">
        <v>228</v>
      </c>
      <c r="D17" s="2" t="s">
        <v>487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630</v>
      </c>
      <c r="B18" s="2" t="s">
        <v>246</v>
      </c>
      <c r="C18" s="2" t="s">
        <v>759</v>
      </c>
      <c r="D18" s="2" t="s">
        <v>3106</v>
      </c>
      <c r="E18" s="4" t="s">
        <v>199</v>
      </c>
      <c r="F18" s="8" t="s">
        <v>199</v>
      </c>
      <c r="G18" s="4" t="s">
        <v>199</v>
      </c>
      <c r="H18" s="8" t="s">
        <v>199</v>
      </c>
      <c r="I18" s="7" t="s">
        <v>199</v>
      </c>
      <c r="J18" s="7" t="s">
        <v>199</v>
      </c>
      <c r="K18" s="4"/>
      <c r="L18" s="8"/>
      <c r="M18" s="4"/>
      <c r="N18" s="8"/>
      <c r="O18" s="7"/>
      <c r="P18" s="7"/>
    </row>
    <row r="19">
      <c r="A19" s="2" t="s">
        <v>630</v>
      </c>
      <c r="B19" s="2" t="s">
        <v>246</v>
      </c>
      <c r="C19" s="2" t="s">
        <v>759</v>
      </c>
      <c r="D19" s="2" t="s">
        <v>760</v>
      </c>
      <c r="E19" s="4" t="s">
        <v>199</v>
      </c>
      <c r="F19" s="8" t="s">
        <v>199</v>
      </c>
      <c r="G19" s="4" t="s">
        <v>199</v>
      </c>
      <c r="H19" s="8" t="s">
        <v>199</v>
      </c>
      <c r="I19" s="7" t="s">
        <v>199</v>
      </c>
      <c r="J19" s="7" t="s">
        <v>199</v>
      </c>
      <c r="K19" s="4"/>
      <c r="L19" s="8"/>
      <c r="M19" s="4"/>
      <c r="N19" s="8"/>
      <c r="O19" s="7"/>
      <c r="P19" s="7"/>
    </row>
    <row r="20">
      <c r="A20" s="2" t="s">
        <v>630</v>
      </c>
      <c r="B20" s="2" t="s">
        <v>246</v>
      </c>
      <c r="C20" s="2" t="s">
        <v>759</v>
      </c>
      <c r="D20" s="2" t="s">
        <v>3023</v>
      </c>
      <c r="E20" s="4" t="s">
        <v>199</v>
      </c>
      <c r="F20" s="8" t="s">
        <v>199</v>
      </c>
      <c r="G20" s="4" t="s">
        <v>199</v>
      </c>
      <c r="H20" s="8" t="s">
        <v>199</v>
      </c>
      <c r="I20" s="7" t="s">
        <v>199</v>
      </c>
      <c r="J20" s="7" t="s">
        <v>199</v>
      </c>
      <c r="K20" s="4"/>
      <c r="L20" s="8"/>
      <c r="M20" s="4"/>
      <c r="N20" s="8"/>
      <c r="O20" s="7"/>
      <c r="P20" s="7"/>
    </row>
    <row r="21">
      <c r="A21" s="2" t="s">
        <v>630</v>
      </c>
      <c r="B21" s="2" t="s">
        <v>246</v>
      </c>
      <c r="C21" s="2" t="s">
        <v>631</v>
      </c>
      <c r="D21" s="2" t="s">
        <v>632</v>
      </c>
      <c r="E21" s="4" t="s">
        <v>199</v>
      </c>
      <c r="F21" s="8" t="s">
        <v>199</v>
      </c>
      <c r="G21" s="4" t="s">
        <v>199</v>
      </c>
      <c r="H21" s="8" t="s">
        <v>199</v>
      </c>
      <c r="I21" s="7" t="s">
        <v>199</v>
      </c>
      <c r="J21" s="7" t="s">
        <v>199</v>
      </c>
      <c r="K21" s="4"/>
      <c r="L21" s="8"/>
      <c r="M21" s="4"/>
      <c r="N21" s="8"/>
      <c r="O21" s="7"/>
      <c r="P21" s="7"/>
    </row>
    <row r="22">
      <c r="A22" s="2" t="s">
        <v>630</v>
      </c>
      <c r="B22" s="2" t="s">
        <v>246</v>
      </c>
      <c r="C22" s="2" t="s">
        <v>631</v>
      </c>
      <c r="D22" s="2" t="s">
        <v>720</v>
      </c>
      <c r="E22" s="4" t="s">
        <v>199</v>
      </c>
      <c r="F22" s="8" t="s">
        <v>199</v>
      </c>
      <c r="G22" s="4" t="s">
        <v>199</v>
      </c>
      <c r="H22" s="8" t="s">
        <v>199</v>
      </c>
      <c r="I22" s="7" t="s">
        <v>199</v>
      </c>
      <c r="J22" s="7" t="s">
        <v>199</v>
      </c>
      <c r="K22" s="4"/>
      <c r="L22" s="8"/>
      <c r="M22" s="4"/>
      <c r="N22" s="8"/>
      <c r="O22" s="7"/>
      <c r="P22" s="7"/>
    </row>
    <row r="23">
      <c r="A23" s="2" t="s">
        <v>630</v>
      </c>
      <c r="B23" s="2" t="s">
        <v>295</v>
      </c>
      <c r="C23" s="2" t="s">
        <v>228</v>
      </c>
      <c r="D23" s="2" t="s">
        <v>2456</v>
      </c>
      <c r="E23" s="4" t="s">
        <v>199</v>
      </c>
      <c r="F23" s="8" t="s">
        <v>199</v>
      </c>
      <c r="G23" s="4" t="s">
        <v>199</v>
      </c>
      <c r="H23" s="8" t="s">
        <v>199</v>
      </c>
      <c r="I23" s="7" t="s">
        <v>199</v>
      </c>
      <c r="J23" s="7" t="s">
        <v>199</v>
      </c>
      <c r="K23" s="4"/>
      <c r="L23" s="8"/>
      <c r="M23" s="4"/>
      <c r="N23" s="8"/>
      <c r="O23" s="7"/>
      <c r="P23" s="7"/>
    </row>
    <row r="24">
      <c r="A24" s="2" t="s">
        <v>630</v>
      </c>
      <c r="B24" s="2" t="s">
        <v>295</v>
      </c>
      <c r="C24" s="2" t="s">
        <v>228</v>
      </c>
      <c r="D24" s="2" t="s">
        <v>2426</v>
      </c>
      <c r="E24" s="4" t="s">
        <v>199</v>
      </c>
      <c r="F24" s="8" t="s">
        <v>199</v>
      </c>
      <c r="G24" s="4" t="s">
        <v>199</v>
      </c>
      <c r="H24" s="8" t="s">
        <v>199</v>
      </c>
      <c r="I24" s="7" t="s">
        <v>199</v>
      </c>
      <c r="J24" s="7" t="s">
        <v>199</v>
      </c>
      <c r="K24" s="4"/>
      <c r="L24" s="8"/>
      <c r="M24" s="4"/>
      <c r="N24" s="8"/>
      <c r="O24" s="7"/>
      <c r="P24" s="7"/>
    </row>
    <row r="25">
      <c r="A25" s="2" t="s">
        <v>630</v>
      </c>
      <c r="B25" s="2" t="s">
        <v>295</v>
      </c>
      <c r="C25" s="2" t="s">
        <v>759</v>
      </c>
      <c r="D25" s="2" t="s">
        <v>2456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630</v>
      </c>
      <c r="B26" s="2" t="s">
        <v>227</v>
      </c>
      <c r="C26" s="2" t="s">
        <v>228</v>
      </c>
      <c r="D26" s="2" t="s">
        <v>487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630</v>
      </c>
      <c r="B27" s="2" t="s">
        <v>1377</v>
      </c>
      <c r="C27" s="2" t="s">
        <v>1298</v>
      </c>
      <c r="D27" s="2" t="s">
        <v>1428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630</v>
      </c>
      <c r="B28" s="2" t="s">
        <v>1377</v>
      </c>
      <c r="C28" s="2" t="s">
        <v>228</v>
      </c>
      <c r="D28" s="2" t="s">
        <v>487</v>
      </c>
      <c r="E28" s="4" t="s">
        <v>199</v>
      </c>
      <c r="F28" s="8" t="s">
        <v>199</v>
      </c>
      <c r="G28" s="4" t="s">
        <v>199</v>
      </c>
      <c r="H28" s="8" t="s">
        <v>199</v>
      </c>
      <c r="I28" s="7" t="s">
        <v>199</v>
      </c>
      <c r="J28" s="7" t="s">
        <v>199</v>
      </c>
      <c r="K28" s="4"/>
      <c r="L28" s="8"/>
      <c r="M28" s="4"/>
      <c r="N28" s="8"/>
      <c r="O28" s="7"/>
      <c r="P28" s="7"/>
    </row>
    <row r="29">
      <c r="A29" s="2" t="s">
        <v>630</v>
      </c>
      <c r="B29" s="2" t="s">
        <v>1377</v>
      </c>
      <c r="C29" s="2" t="s">
        <v>228</v>
      </c>
      <c r="D29" s="2" t="s">
        <v>988</v>
      </c>
      <c r="E29" s="4" t="s">
        <v>199</v>
      </c>
      <c r="F29" s="8" t="s">
        <v>199</v>
      </c>
      <c r="G29" s="4" t="s">
        <v>199</v>
      </c>
      <c r="H29" s="8" t="s">
        <v>199</v>
      </c>
      <c r="I29" s="7" t="s">
        <v>199</v>
      </c>
      <c r="J29" s="7" t="s">
        <v>199</v>
      </c>
      <c r="K29" s="4"/>
      <c r="L29" s="8"/>
      <c r="M29" s="4"/>
      <c r="N29" s="8"/>
      <c r="O29" s="7"/>
      <c r="P29" s="7"/>
    </row>
    <row r="30">
      <c r="A30" s="2" t="s">
        <v>630</v>
      </c>
      <c r="B30" s="2" t="s">
        <v>1377</v>
      </c>
      <c r="C30" s="2" t="s">
        <v>631</v>
      </c>
      <c r="D30" s="2" t="s">
        <v>632</v>
      </c>
      <c r="E30" s="4" t="s">
        <v>199</v>
      </c>
      <c r="F30" s="8" t="s">
        <v>199</v>
      </c>
      <c r="G30" s="4" t="s">
        <v>199</v>
      </c>
      <c r="H30" s="8" t="s">
        <v>199</v>
      </c>
      <c r="I30" s="7" t="s">
        <v>199</v>
      </c>
      <c r="J30" s="7" t="s">
        <v>199</v>
      </c>
      <c r="K30" s="4"/>
      <c r="L30" s="8"/>
      <c r="M30" s="4"/>
      <c r="N30" s="8"/>
      <c r="O30" s="7"/>
      <c r="P30" s="7"/>
    </row>
    <row r="31">
      <c r="A31" s="2" t="s">
        <v>630</v>
      </c>
      <c r="B31" s="2" t="s">
        <v>1377</v>
      </c>
      <c r="C31" s="2" t="s">
        <v>631</v>
      </c>
      <c r="D31" s="2" t="s">
        <v>720</v>
      </c>
      <c r="E31" s="4" t="s">
        <v>199</v>
      </c>
      <c r="F31" s="8" t="s">
        <v>199</v>
      </c>
      <c r="G31" s="4" t="s">
        <v>199</v>
      </c>
      <c r="H31" s="8" t="s">
        <v>199</v>
      </c>
      <c r="I31" s="7" t="s">
        <v>199</v>
      </c>
      <c r="J31" s="7" t="s">
        <v>199</v>
      </c>
      <c r="K31" s="4"/>
      <c r="L31" s="8"/>
      <c r="M31" s="4"/>
      <c r="N31" s="8"/>
      <c r="O31" s="7"/>
      <c r="P31" s="7"/>
    </row>
    <row r="32">
      <c r="A32" s="2" t="s">
        <v>630</v>
      </c>
      <c r="B32" s="2" t="s">
        <v>1377</v>
      </c>
      <c r="C32" s="2" t="s">
        <v>1963</v>
      </c>
      <c r="D32" s="2" t="s">
        <v>1964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630</v>
      </c>
      <c r="B33" s="2" t="s">
        <v>987</v>
      </c>
      <c r="C33" s="2" t="s">
        <v>228</v>
      </c>
      <c r="D33" s="2" t="s">
        <v>487</v>
      </c>
      <c r="E33" s="4" t="s">
        <v>199</v>
      </c>
      <c r="F33" s="8" t="s">
        <v>199</v>
      </c>
      <c r="G33" s="4" t="s">
        <v>199</v>
      </c>
      <c r="H33" s="8" t="s">
        <v>199</v>
      </c>
      <c r="I33" s="7" t="s">
        <v>199</v>
      </c>
      <c r="J33" s="7" t="s">
        <v>199</v>
      </c>
      <c r="K33" s="4"/>
      <c r="L33" s="8"/>
      <c r="M33" s="4"/>
      <c r="N33" s="8"/>
      <c r="O33" s="7"/>
      <c r="P33" s="7"/>
    </row>
    <row r="34">
      <c r="A34" s="2" t="s">
        <v>630</v>
      </c>
      <c r="B34" s="2" t="s">
        <v>987</v>
      </c>
      <c r="C34" s="2" t="s">
        <v>228</v>
      </c>
      <c r="D34" s="2" t="s">
        <v>988</v>
      </c>
      <c r="E34" s="4" t="s">
        <v>199</v>
      </c>
      <c r="F34" s="8" t="s">
        <v>199</v>
      </c>
      <c r="G34" s="4" t="s">
        <v>199</v>
      </c>
      <c r="H34" s="8" t="s">
        <v>199</v>
      </c>
      <c r="I34" s="7" t="s">
        <v>199</v>
      </c>
      <c r="J34" s="7" t="s">
        <v>199</v>
      </c>
      <c r="K34" s="4"/>
      <c r="L34" s="8"/>
      <c r="M34" s="4"/>
      <c r="N34" s="8"/>
      <c r="O34" s="7"/>
      <c r="P34" s="7"/>
    </row>
    <row r="35">
      <c r="A35" s="2" t="s">
        <v>630</v>
      </c>
      <c r="B35" s="2" t="s">
        <v>987</v>
      </c>
      <c r="C35" s="2" t="s">
        <v>631</v>
      </c>
      <c r="D35" s="2" t="s">
        <v>632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630</v>
      </c>
      <c r="B36" s="2" t="s">
        <v>1020</v>
      </c>
      <c r="C36" s="2" t="s">
        <v>228</v>
      </c>
      <c r="D36" s="2" t="s">
        <v>988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630</v>
      </c>
      <c r="B37" s="2" t="s">
        <v>1020</v>
      </c>
      <c r="C37" s="2" t="s">
        <v>759</v>
      </c>
      <c r="D37" s="2" t="s">
        <v>3140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2275</v>
      </c>
      <c r="B38" s="2" t="s">
        <v>604</v>
      </c>
      <c r="C38" s="2" t="s">
        <v>2276</v>
      </c>
      <c r="D38" s="2" t="s">
        <v>2277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554</v>
      </c>
      <c r="B39" s="2" t="s">
        <v>604</v>
      </c>
      <c r="C39" s="2" t="s">
        <v>861</v>
      </c>
      <c r="D39" s="2" t="s">
        <v>862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554</v>
      </c>
      <c r="B40" s="2" t="s">
        <v>604</v>
      </c>
      <c r="C40" s="2" t="s">
        <v>555</v>
      </c>
      <c r="D40" s="2" t="s">
        <v>556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554</v>
      </c>
      <c r="B41" s="2" t="s">
        <v>246</v>
      </c>
      <c r="C41" s="2" t="s">
        <v>848</v>
      </c>
      <c r="D41" s="2" t="s">
        <v>556</v>
      </c>
      <c r="E41" s="4" t="s">
        <v>199</v>
      </c>
      <c r="F41" s="8" t="s">
        <v>199</v>
      </c>
      <c r="G41" s="4" t="s">
        <v>199</v>
      </c>
      <c r="H41" s="8" t="s">
        <v>199</v>
      </c>
      <c r="I41" s="7" t="s">
        <v>199</v>
      </c>
      <c r="J41" s="7" t="s">
        <v>199</v>
      </c>
      <c r="K41" s="4"/>
      <c r="L41" s="8"/>
      <c r="M41" s="4"/>
      <c r="N41" s="8"/>
      <c r="O41" s="7"/>
      <c r="P41" s="7"/>
    </row>
    <row r="42">
      <c r="A42" s="2" t="s">
        <v>554</v>
      </c>
      <c r="B42" s="2" t="s">
        <v>246</v>
      </c>
      <c r="C42" s="2" t="s">
        <v>848</v>
      </c>
      <c r="D42" s="2" t="s">
        <v>2053</v>
      </c>
      <c r="E42" s="4" t="s">
        <v>199</v>
      </c>
      <c r="F42" s="8" t="s">
        <v>199</v>
      </c>
      <c r="G42" s="4" t="s">
        <v>199</v>
      </c>
      <c r="H42" s="8" t="s">
        <v>199</v>
      </c>
      <c r="I42" s="7" t="s">
        <v>199</v>
      </c>
      <c r="J42" s="7" t="s">
        <v>199</v>
      </c>
      <c r="K42" s="4"/>
      <c r="L42" s="8"/>
      <c r="M42" s="4"/>
      <c r="N42" s="8"/>
      <c r="O42" s="7"/>
      <c r="P42" s="7"/>
    </row>
    <row r="43">
      <c r="A43" s="2" t="s">
        <v>554</v>
      </c>
      <c r="B43" s="2" t="s">
        <v>246</v>
      </c>
      <c r="C43" s="2" t="s">
        <v>861</v>
      </c>
      <c r="D43" s="2" t="s">
        <v>862</v>
      </c>
      <c r="E43" s="4" t="s">
        <v>199</v>
      </c>
      <c r="F43" s="8" t="s">
        <v>199</v>
      </c>
      <c r="G43" s="4" t="s">
        <v>199</v>
      </c>
      <c r="H43" s="8" t="s">
        <v>199</v>
      </c>
      <c r="I43" s="7" t="s">
        <v>199</v>
      </c>
      <c r="J43" s="7" t="s">
        <v>199</v>
      </c>
      <c r="K43" s="4"/>
      <c r="L43" s="8"/>
      <c r="M43" s="4"/>
      <c r="N43" s="8"/>
      <c r="O43" s="7"/>
      <c r="P43" s="7"/>
    </row>
    <row r="44">
      <c r="A44" s="2" t="s">
        <v>554</v>
      </c>
      <c r="B44" s="2" t="s">
        <v>246</v>
      </c>
      <c r="C44" s="2" t="s">
        <v>861</v>
      </c>
      <c r="D44" s="2" t="s">
        <v>556</v>
      </c>
      <c r="E44" s="4" t="s">
        <v>199</v>
      </c>
      <c r="F44" s="8" t="s">
        <v>199</v>
      </c>
      <c r="G44" s="4" t="s">
        <v>199</v>
      </c>
      <c r="H44" s="8" t="s">
        <v>199</v>
      </c>
      <c r="I44" s="7" t="s">
        <v>199</v>
      </c>
      <c r="J44" s="7" t="s">
        <v>199</v>
      </c>
      <c r="K44" s="4"/>
      <c r="L44" s="8"/>
      <c r="M44" s="4"/>
      <c r="N44" s="8"/>
      <c r="O44" s="7"/>
      <c r="P44" s="7"/>
    </row>
    <row r="45">
      <c r="A45" s="2" t="s">
        <v>554</v>
      </c>
      <c r="B45" s="2" t="s">
        <v>246</v>
      </c>
      <c r="C45" s="2" t="s">
        <v>555</v>
      </c>
      <c r="D45" s="2" t="s">
        <v>556</v>
      </c>
      <c r="E45" s="4" t="s">
        <v>199</v>
      </c>
      <c r="F45" s="8" t="s">
        <v>199</v>
      </c>
      <c r="G45" s="4" t="s">
        <v>199</v>
      </c>
      <c r="H45" s="8" t="s">
        <v>199</v>
      </c>
      <c r="I45" s="7" t="s">
        <v>199</v>
      </c>
      <c r="J45" s="7" t="s">
        <v>199</v>
      </c>
      <c r="K45" s="4"/>
      <c r="L45" s="8"/>
      <c r="M45" s="4"/>
      <c r="N45" s="8"/>
      <c r="O45" s="7"/>
      <c r="P45" s="7"/>
    </row>
    <row r="46">
      <c r="A46" s="2" t="s">
        <v>554</v>
      </c>
      <c r="B46" s="2" t="s">
        <v>246</v>
      </c>
      <c r="C46" s="2" t="s">
        <v>555</v>
      </c>
      <c r="D46" s="2" t="s">
        <v>2053</v>
      </c>
      <c r="E46" s="4" t="s">
        <v>199</v>
      </c>
      <c r="F46" s="8" t="s">
        <v>199</v>
      </c>
      <c r="G46" s="4" t="s">
        <v>199</v>
      </c>
      <c r="H46" s="8" t="s">
        <v>199</v>
      </c>
      <c r="I46" s="7" t="s">
        <v>199</v>
      </c>
      <c r="J46" s="7" t="s">
        <v>199</v>
      </c>
      <c r="K46" s="4"/>
      <c r="L46" s="8"/>
      <c r="M46" s="4"/>
      <c r="N46" s="8"/>
      <c r="O46" s="7"/>
      <c r="P46" s="7"/>
    </row>
    <row r="47">
      <c r="A47" s="2" t="s">
        <v>554</v>
      </c>
      <c r="B47" s="2" t="s">
        <v>1165</v>
      </c>
      <c r="C47" s="2" t="s">
        <v>861</v>
      </c>
      <c r="D47" s="2" t="s">
        <v>556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188</v>
      </c>
      <c r="B48" s="2" t="s">
        <v>2672</v>
      </c>
      <c r="C48" s="2" t="s">
        <v>228</v>
      </c>
      <c r="D48" s="2" t="s">
        <v>229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188</v>
      </c>
      <c r="B49" s="2" t="s">
        <v>2672</v>
      </c>
      <c r="C49" s="2" t="s">
        <v>190</v>
      </c>
      <c r="D49" s="2" t="s">
        <v>2265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188</v>
      </c>
      <c r="B50" s="2" t="s">
        <v>246</v>
      </c>
      <c r="C50" s="2" t="s">
        <v>1318</v>
      </c>
      <c r="D50" s="2" t="s">
        <v>1468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188</v>
      </c>
      <c r="B51" s="2" t="s">
        <v>246</v>
      </c>
      <c r="C51" s="2" t="s">
        <v>228</v>
      </c>
      <c r="D51" s="2" t="s">
        <v>229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188</v>
      </c>
      <c r="B52" s="2" t="s">
        <v>227</v>
      </c>
      <c r="C52" s="2" t="s">
        <v>228</v>
      </c>
      <c r="D52" s="2" t="s">
        <v>487</v>
      </c>
      <c r="E52" s="4" t="s">
        <v>199</v>
      </c>
      <c r="F52" s="8" t="s">
        <v>199</v>
      </c>
      <c r="G52" s="4" t="s">
        <v>199</v>
      </c>
      <c r="H52" s="8" t="s">
        <v>199</v>
      </c>
      <c r="I52" s="7" t="s">
        <v>199</v>
      </c>
      <c r="J52" s="7" t="s">
        <v>199</v>
      </c>
      <c r="K52" s="4"/>
      <c r="L52" s="8"/>
      <c r="M52" s="4"/>
      <c r="N52" s="8"/>
      <c r="O52" s="7"/>
      <c r="P52" s="7"/>
    </row>
    <row r="53">
      <c r="A53" s="2" t="s">
        <v>188</v>
      </c>
      <c r="B53" s="2" t="s">
        <v>227</v>
      </c>
      <c r="C53" s="2" t="s">
        <v>228</v>
      </c>
      <c r="D53" s="2" t="s">
        <v>229</v>
      </c>
      <c r="E53" s="4" t="s">
        <v>199</v>
      </c>
      <c r="F53" s="8" t="s">
        <v>199</v>
      </c>
      <c r="G53" s="4" t="s">
        <v>199</v>
      </c>
      <c r="H53" s="8" t="s">
        <v>199</v>
      </c>
      <c r="I53" s="7" t="s">
        <v>199</v>
      </c>
      <c r="J53" s="7" t="s">
        <v>199</v>
      </c>
      <c r="K53" s="4"/>
      <c r="L53" s="8"/>
      <c r="M53" s="4"/>
      <c r="N53" s="8"/>
      <c r="O53" s="7"/>
      <c r="P53" s="7"/>
    </row>
    <row r="54">
      <c r="A54" s="2" t="s">
        <v>188</v>
      </c>
      <c r="B54" s="2" t="s">
        <v>189</v>
      </c>
      <c r="C54" s="2" t="s">
        <v>228</v>
      </c>
      <c r="D54" s="2" t="s">
        <v>229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188</v>
      </c>
      <c r="B55" s="2" t="s">
        <v>189</v>
      </c>
      <c r="C55" s="2" t="s">
        <v>190</v>
      </c>
      <c r="D55" s="2" t="s">
        <v>2265</v>
      </c>
      <c r="E55" s="4" t="s">
        <v>199</v>
      </c>
      <c r="F55" s="8" t="s">
        <v>199</v>
      </c>
      <c r="G55" s="4" t="s">
        <v>199</v>
      </c>
      <c r="H55" s="8" t="s">
        <v>199</v>
      </c>
      <c r="I55" s="7" t="s">
        <v>199</v>
      </c>
      <c r="J55" s="7" t="s">
        <v>199</v>
      </c>
      <c r="K55" s="4"/>
      <c r="L55" s="8"/>
      <c r="M55" s="4"/>
      <c r="N55" s="8"/>
      <c r="O55" s="7"/>
      <c r="P55" s="7"/>
    </row>
    <row r="56">
      <c r="A56" s="2" t="s">
        <v>188</v>
      </c>
      <c r="B56" s="2" t="s">
        <v>189</v>
      </c>
      <c r="C56" s="2" t="s">
        <v>190</v>
      </c>
      <c r="D56" s="2" t="s">
        <v>191</v>
      </c>
      <c r="E56" s="4" t="s">
        <v>199</v>
      </c>
      <c r="F56" s="8" t="s">
        <v>199</v>
      </c>
      <c r="G56" s="4" t="s">
        <v>199</v>
      </c>
      <c r="H56" s="8" t="s">
        <v>199</v>
      </c>
      <c r="I56" s="7" t="s">
        <v>199</v>
      </c>
      <c r="J56" s="7" t="s">
        <v>199</v>
      </c>
      <c r="K56" s="4"/>
      <c r="L56" s="8"/>
      <c r="M56" s="4"/>
      <c r="N56" s="8"/>
      <c r="O56" s="7"/>
      <c r="P56" s="7"/>
    </row>
    <row r="57">
      <c r="A57" s="2" t="s">
        <v>188</v>
      </c>
      <c r="B57" s="2" t="s">
        <v>189</v>
      </c>
      <c r="C57" s="2" t="s">
        <v>1963</v>
      </c>
      <c r="D57" s="2" t="s">
        <v>2732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188</v>
      </c>
      <c r="B58" s="2" t="s">
        <v>1625</v>
      </c>
      <c r="C58" s="2" t="s">
        <v>1021</v>
      </c>
      <c r="D58" s="2" t="s">
        <v>1468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188</v>
      </c>
      <c r="B59" s="2" t="s">
        <v>1165</v>
      </c>
      <c r="C59" s="2" t="s">
        <v>228</v>
      </c>
      <c r="D59" s="2" t="s">
        <v>229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648</v>
      </c>
      <c r="B60" s="2" t="s">
        <v>1007</v>
      </c>
      <c r="C60" s="2" t="s">
        <v>3047</v>
      </c>
      <c r="D60" s="2" t="s">
        <v>573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648</v>
      </c>
      <c r="B61" s="2" t="s">
        <v>246</v>
      </c>
      <c r="C61" s="2" t="s">
        <v>649</v>
      </c>
      <c r="D61" s="2" t="s">
        <v>650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648</v>
      </c>
      <c r="B62" s="2" t="s">
        <v>295</v>
      </c>
      <c r="C62" s="2" t="s">
        <v>1212</v>
      </c>
      <c r="D62" s="2" t="s">
        <v>1213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648</v>
      </c>
      <c r="B63" s="2" t="s">
        <v>1165</v>
      </c>
      <c r="C63" s="2" t="s">
        <v>1212</v>
      </c>
      <c r="D63" s="2" t="s">
        <v>1213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648</v>
      </c>
      <c r="B64" s="2" t="s">
        <v>1020</v>
      </c>
      <c r="C64" s="2" t="s">
        <v>1212</v>
      </c>
      <c r="D64" s="2" t="s">
        <v>1213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1019</v>
      </c>
      <c r="B65" s="2" t="s">
        <v>1923</v>
      </c>
      <c r="C65" s="2" t="s">
        <v>1318</v>
      </c>
      <c r="D65" s="2" t="s">
        <v>1319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1019</v>
      </c>
      <c r="B66" s="2" t="s">
        <v>1923</v>
      </c>
      <c r="C66" s="2" t="s">
        <v>1973</v>
      </c>
      <c r="D66" s="2" t="s">
        <v>1974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1019</v>
      </c>
      <c r="B67" s="2" t="s">
        <v>2169</v>
      </c>
      <c r="C67" s="2" t="s">
        <v>1318</v>
      </c>
      <c r="D67" s="2" t="s">
        <v>1319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1019</v>
      </c>
      <c r="B68" s="2" t="s">
        <v>604</v>
      </c>
      <c r="C68" s="2" t="s">
        <v>264</v>
      </c>
      <c r="D68" s="2" t="s">
        <v>265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1019</v>
      </c>
      <c r="B69" s="2" t="s">
        <v>604</v>
      </c>
      <c r="C69" s="2" t="s">
        <v>1021</v>
      </c>
      <c r="D69" s="2" t="s">
        <v>1022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1019</v>
      </c>
      <c r="B70" s="2" t="s">
        <v>1007</v>
      </c>
      <c r="C70" s="2" t="s">
        <v>228</v>
      </c>
      <c r="D70" s="2" t="s">
        <v>988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1019</v>
      </c>
      <c r="B71" s="2" t="s">
        <v>246</v>
      </c>
      <c r="C71" s="2" t="s">
        <v>1318</v>
      </c>
      <c r="D71" s="2" t="s">
        <v>1319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1019</v>
      </c>
      <c r="B72" s="2" t="s">
        <v>246</v>
      </c>
      <c r="C72" s="2" t="s">
        <v>1963</v>
      </c>
      <c r="D72" s="2" t="s">
        <v>1964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1019</v>
      </c>
      <c r="B73" s="2" t="s">
        <v>246</v>
      </c>
      <c r="C73" s="2" t="s">
        <v>1021</v>
      </c>
      <c r="D73" s="2" t="s">
        <v>1022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1019</v>
      </c>
      <c r="B74" s="2" t="s">
        <v>295</v>
      </c>
      <c r="C74" s="2" t="s">
        <v>228</v>
      </c>
      <c r="D74" s="2" t="s">
        <v>988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1019</v>
      </c>
      <c r="B75" s="2" t="s">
        <v>3290</v>
      </c>
      <c r="C75" s="2" t="s">
        <v>1973</v>
      </c>
      <c r="D75" s="2" t="s">
        <v>1974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1019</v>
      </c>
      <c r="B76" s="2" t="s">
        <v>1625</v>
      </c>
      <c r="C76" s="2" t="s">
        <v>1973</v>
      </c>
      <c r="D76" s="2" t="s">
        <v>1974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1019</v>
      </c>
      <c r="B77" s="2" t="s">
        <v>1020</v>
      </c>
      <c r="C77" s="2" t="s">
        <v>1021</v>
      </c>
      <c r="D77" s="2" t="s">
        <v>1022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613</v>
      </c>
      <c r="B78" s="2" t="s">
        <v>604</v>
      </c>
      <c r="C78" s="2" t="s">
        <v>1077</v>
      </c>
      <c r="D78" s="2" t="s">
        <v>1078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613</v>
      </c>
      <c r="B79" s="2" t="s">
        <v>604</v>
      </c>
      <c r="C79" s="2" t="s">
        <v>614</v>
      </c>
      <c r="D79" s="2" t="s">
        <v>1052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613</v>
      </c>
      <c r="B80" s="2" t="s">
        <v>604</v>
      </c>
      <c r="C80" s="2" t="s">
        <v>2392</v>
      </c>
      <c r="D80" s="2" t="s">
        <v>2393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613</v>
      </c>
      <c r="B81" s="2" t="s">
        <v>604</v>
      </c>
      <c r="C81" s="2" t="s">
        <v>2991</v>
      </c>
      <c r="D81" s="2" t="s">
        <v>2992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613</v>
      </c>
      <c r="B82" s="2" t="s">
        <v>246</v>
      </c>
      <c r="C82" s="2" t="s">
        <v>1077</v>
      </c>
      <c r="D82" s="2" t="s">
        <v>1078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613</v>
      </c>
      <c r="B83" s="2" t="s">
        <v>246</v>
      </c>
      <c r="C83" s="2" t="s">
        <v>2702</v>
      </c>
      <c r="D83" s="2" t="s">
        <v>2703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613</v>
      </c>
      <c r="B84" s="2" t="s">
        <v>246</v>
      </c>
      <c r="C84" s="2" t="s">
        <v>1152</v>
      </c>
      <c r="D84" s="2" t="s">
        <v>1153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613</v>
      </c>
      <c r="B85" s="2" t="s">
        <v>246</v>
      </c>
      <c r="C85" s="2" t="s">
        <v>614</v>
      </c>
      <c r="D85" s="2" t="s">
        <v>615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613</v>
      </c>
      <c r="B86" s="2" t="s">
        <v>227</v>
      </c>
      <c r="C86" s="2" t="s">
        <v>926</v>
      </c>
      <c r="D86" s="2" t="s">
        <v>927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613</v>
      </c>
      <c r="B87" s="2" t="s">
        <v>1420</v>
      </c>
      <c r="C87" s="2" t="s">
        <v>1152</v>
      </c>
      <c r="D87" s="2" t="s">
        <v>1153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613</v>
      </c>
      <c r="B88" s="2" t="s">
        <v>1420</v>
      </c>
      <c r="C88" s="2" t="s">
        <v>614</v>
      </c>
      <c r="D88" s="2" t="s">
        <v>1052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591</v>
      </c>
      <c r="B89" s="2" t="s">
        <v>571</v>
      </c>
      <c r="C89" s="2" t="s">
        <v>749</v>
      </c>
      <c r="D89" s="2" t="s">
        <v>750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591</v>
      </c>
      <c r="B90" s="2" t="s">
        <v>571</v>
      </c>
      <c r="C90" s="2" t="s">
        <v>593</v>
      </c>
      <c r="D90" s="2" t="s">
        <v>594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591</v>
      </c>
      <c r="B91" s="2" t="s">
        <v>592</v>
      </c>
      <c r="C91" s="2" t="s">
        <v>593</v>
      </c>
      <c r="D91" s="2" t="s">
        <v>594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591</v>
      </c>
      <c r="B92" s="2" t="s">
        <v>604</v>
      </c>
      <c r="C92" s="2" t="s">
        <v>1257</v>
      </c>
      <c r="D92" s="2" t="s">
        <v>1258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591</v>
      </c>
      <c r="B93" s="2" t="s">
        <v>604</v>
      </c>
      <c r="C93" s="2" t="s">
        <v>811</v>
      </c>
      <c r="D93" s="2" t="s">
        <v>812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591</v>
      </c>
      <c r="B94" s="2" t="s">
        <v>604</v>
      </c>
      <c r="C94" s="2" t="s">
        <v>593</v>
      </c>
      <c r="D94" s="2" t="s">
        <v>594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1239</v>
      </c>
      <c r="B95" s="2" t="s">
        <v>884</v>
      </c>
      <c r="C95" s="2" t="s">
        <v>1240</v>
      </c>
      <c r="D95" s="2" t="s">
        <v>1241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883</v>
      </c>
      <c r="B96" s="2" t="s">
        <v>884</v>
      </c>
      <c r="C96" s="2" t="s">
        <v>885</v>
      </c>
      <c r="D96" s="2" t="s">
        <v>886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245</v>
      </c>
      <c r="B97" s="2" t="s">
        <v>2672</v>
      </c>
      <c r="C97" s="2" t="s">
        <v>247</v>
      </c>
      <c r="D97" s="2" t="s">
        <v>248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245</v>
      </c>
      <c r="B98" s="2" t="s">
        <v>1007</v>
      </c>
      <c r="C98" s="2" t="s">
        <v>247</v>
      </c>
      <c r="D98" s="2" t="s">
        <v>248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245</v>
      </c>
      <c r="B99" s="2" t="s">
        <v>246</v>
      </c>
      <c r="C99" s="2" t="s">
        <v>264</v>
      </c>
      <c r="D99" s="2" t="s">
        <v>265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245</v>
      </c>
      <c r="B100" s="2" t="s">
        <v>246</v>
      </c>
      <c r="C100" s="2" t="s">
        <v>247</v>
      </c>
      <c r="D100" s="2" t="s">
        <v>248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245</v>
      </c>
      <c r="B101" s="2" t="s">
        <v>295</v>
      </c>
      <c r="C101" s="2" t="s">
        <v>247</v>
      </c>
      <c r="D101" s="2" t="s">
        <v>248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245</v>
      </c>
      <c r="B102" s="2" t="s">
        <v>189</v>
      </c>
      <c r="C102" s="2" t="s">
        <v>247</v>
      </c>
      <c r="D102" s="2" t="s">
        <v>248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245</v>
      </c>
      <c r="B103" s="2" t="s">
        <v>1625</v>
      </c>
      <c r="C103" s="2" t="s">
        <v>247</v>
      </c>
      <c r="D103" s="2" t="s">
        <v>248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245</v>
      </c>
      <c r="B104" s="2" t="s">
        <v>1020</v>
      </c>
      <c r="C104" s="2" t="s">
        <v>247</v>
      </c>
      <c r="D104" s="2" t="s">
        <v>248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570</v>
      </c>
      <c r="B105" s="2" t="s">
        <v>571</v>
      </c>
      <c r="C105" s="2" t="s">
        <v>572</v>
      </c>
      <c r="D105" s="2" t="s">
        <v>573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570</v>
      </c>
      <c r="B106" s="2" t="s">
        <v>2169</v>
      </c>
      <c r="C106" s="2" t="s">
        <v>572</v>
      </c>
      <c r="D106" s="2" t="s">
        <v>573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570</v>
      </c>
      <c r="B107" s="2" t="s">
        <v>246</v>
      </c>
      <c r="C107" s="2" t="s">
        <v>572</v>
      </c>
      <c r="D107" s="2" t="s">
        <v>573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570</v>
      </c>
      <c r="B108" s="2" t="s">
        <v>227</v>
      </c>
      <c r="C108" s="2" t="s">
        <v>572</v>
      </c>
      <c r="D108" s="2" t="s">
        <v>573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672</v>
      </c>
      <c r="B109" s="2" t="s">
        <v>1007</v>
      </c>
      <c r="C109" s="2" t="s">
        <v>673</v>
      </c>
      <c r="D109" s="2" t="s">
        <v>674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672</v>
      </c>
      <c r="B110" s="2" t="s">
        <v>246</v>
      </c>
      <c r="C110" s="2" t="s">
        <v>782</v>
      </c>
      <c r="D110" s="2" t="s">
        <v>783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672</v>
      </c>
      <c r="B111" s="2" t="s">
        <v>246</v>
      </c>
      <c r="C111" s="2" t="s">
        <v>673</v>
      </c>
      <c r="D111" s="2" t="s">
        <v>802</v>
      </c>
      <c r="E111" s="4" t="s">
        <v>199</v>
      </c>
      <c r="F111" s="8" t="s">
        <v>199</v>
      </c>
      <c r="G111" s="4" t="s">
        <v>199</v>
      </c>
      <c r="H111" s="8" t="s">
        <v>199</v>
      </c>
      <c r="I111" s="7" t="s">
        <v>199</v>
      </c>
      <c r="J111" s="7" t="s">
        <v>199</v>
      </c>
      <c r="K111" s="4"/>
      <c r="L111" s="8"/>
      <c r="M111" s="4"/>
      <c r="N111" s="8"/>
      <c r="O111" s="7"/>
      <c r="P111" s="7"/>
    </row>
    <row r="112">
      <c r="A112" s="2" t="s">
        <v>672</v>
      </c>
      <c r="B112" s="2" t="s">
        <v>246</v>
      </c>
      <c r="C112" s="2" t="s">
        <v>673</v>
      </c>
      <c r="D112" s="2" t="s">
        <v>1499</v>
      </c>
      <c r="E112" s="4" t="s">
        <v>199</v>
      </c>
      <c r="F112" s="8" t="s">
        <v>199</v>
      </c>
      <c r="G112" s="4" t="s">
        <v>199</v>
      </c>
      <c r="H112" s="8" t="s">
        <v>199</v>
      </c>
      <c r="I112" s="7" t="s">
        <v>199</v>
      </c>
      <c r="J112" s="7" t="s">
        <v>199</v>
      </c>
      <c r="K112" s="4"/>
      <c r="L112" s="8"/>
      <c r="M112" s="4"/>
      <c r="N112" s="8"/>
      <c r="O112" s="7"/>
      <c r="P112" s="7"/>
    </row>
    <row r="113">
      <c r="A113" s="2" t="s">
        <v>672</v>
      </c>
      <c r="B113" s="2" t="s">
        <v>246</v>
      </c>
      <c r="C113" s="2" t="s">
        <v>673</v>
      </c>
      <c r="D113" s="2" t="s">
        <v>873</v>
      </c>
      <c r="E113" s="4" t="s">
        <v>199</v>
      </c>
      <c r="F113" s="8" t="s">
        <v>199</v>
      </c>
      <c r="G113" s="4" t="s">
        <v>199</v>
      </c>
      <c r="H113" s="8" t="s">
        <v>199</v>
      </c>
      <c r="I113" s="7" t="s">
        <v>199</v>
      </c>
      <c r="J113" s="7" t="s">
        <v>199</v>
      </c>
      <c r="K113" s="4"/>
      <c r="L113" s="8"/>
      <c r="M113" s="4"/>
      <c r="N113" s="8"/>
      <c r="O113" s="7"/>
      <c r="P113" s="7"/>
    </row>
    <row r="114">
      <c r="A114" s="2" t="s">
        <v>672</v>
      </c>
      <c r="B114" s="2" t="s">
        <v>246</v>
      </c>
      <c r="C114" s="2" t="s">
        <v>673</v>
      </c>
      <c r="D114" s="2" t="s">
        <v>2227</v>
      </c>
      <c r="E114" s="4" t="s">
        <v>199</v>
      </c>
      <c r="F114" s="8" t="s">
        <v>199</v>
      </c>
      <c r="G114" s="4" t="s">
        <v>199</v>
      </c>
      <c r="H114" s="8" t="s">
        <v>199</v>
      </c>
      <c r="I114" s="7" t="s">
        <v>199</v>
      </c>
      <c r="J114" s="7" t="s">
        <v>199</v>
      </c>
      <c r="K114" s="4"/>
      <c r="L114" s="8"/>
      <c r="M114" s="4"/>
      <c r="N114" s="8"/>
      <c r="O114" s="7"/>
      <c r="P114" s="7"/>
    </row>
    <row r="115">
      <c r="A115" s="2" t="s">
        <v>672</v>
      </c>
      <c r="B115" s="2" t="s">
        <v>246</v>
      </c>
      <c r="C115" s="2" t="s">
        <v>673</v>
      </c>
      <c r="D115" s="2" t="s">
        <v>674</v>
      </c>
      <c r="E115" s="4" t="s">
        <v>199</v>
      </c>
      <c r="F115" s="8" t="s">
        <v>199</v>
      </c>
      <c r="G115" s="4" t="s">
        <v>199</v>
      </c>
      <c r="H115" s="8" t="s">
        <v>199</v>
      </c>
      <c r="I115" s="7" t="s">
        <v>199</v>
      </c>
      <c r="J115" s="7" t="s">
        <v>199</v>
      </c>
      <c r="K115" s="4"/>
      <c r="L115" s="8"/>
      <c r="M115" s="4"/>
      <c r="N115" s="8"/>
      <c r="O115" s="7"/>
      <c r="P115" s="7"/>
    </row>
    <row r="116">
      <c r="A116" s="2" t="s">
        <v>672</v>
      </c>
      <c r="B116" s="2" t="s">
        <v>246</v>
      </c>
      <c r="C116" s="2" t="s">
        <v>673</v>
      </c>
      <c r="D116" s="2" t="s">
        <v>2383</v>
      </c>
      <c r="E116" s="4" t="s">
        <v>199</v>
      </c>
      <c r="F116" s="8" t="s">
        <v>199</v>
      </c>
      <c r="G116" s="4" t="s">
        <v>199</v>
      </c>
      <c r="H116" s="8" t="s">
        <v>199</v>
      </c>
      <c r="I116" s="7" t="s">
        <v>199</v>
      </c>
      <c r="J116" s="7" t="s">
        <v>199</v>
      </c>
      <c r="K116" s="4"/>
      <c r="L116" s="8"/>
      <c r="M116" s="4"/>
      <c r="N116" s="8"/>
      <c r="O116" s="7"/>
      <c r="P116" s="7"/>
    </row>
    <row r="117">
      <c r="A117" s="2" t="s">
        <v>672</v>
      </c>
      <c r="B117" s="2" t="s">
        <v>2446</v>
      </c>
      <c r="C117" s="2" t="s">
        <v>673</v>
      </c>
      <c r="D117" s="2" t="s">
        <v>674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736</v>
      </c>
      <c r="B118" s="2" t="s">
        <v>1007</v>
      </c>
      <c r="C118" s="2" t="s">
        <v>228</v>
      </c>
      <c r="D118" s="2" t="s">
        <v>2456</v>
      </c>
      <c r="E118" s="4" t="s">
        <v>199</v>
      </c>
      <c r="F118" s="8" t="s">
        <v>199</v>
      </c>
      <c r="G118" s="4" t="s">
        <v>199</v>
      </c>
      <c r="H118" s="8" t="s">
        <v>199</v>
      </c>
      <c r="I118" s="7" t="s">
        <v>199</v>
      </c>
      <c r="J118" s="7" t="s">
        <v>199</v>
      </c>
      <c r="K118" s="4"/>
      <c r="L118" s="8"/>
      <c r="M118" s="4"/>
      <c r="N118" s="8"/>
      <c r="O118" s="7"/>
      <c r="P118" s="7"/>
    </row>
    <row r="119">
      <c r="A119" s="2" t="s">
        <v>736</v>
      </c>
      <c r="B119" s="2" t="s">
        <v>1007</v>
      </c>
      <c r="C119" s="2" t="s">
        <v>228</v>
      </c>
      <c r="D119" s="2" t="s">
        <v>487</v>
      </c>
      <c r="E119" s="4" t="s">
        <v>199</v>
      </c>
      <c r="F119" s="8" t="s">
        <v>199</v>
      </c>
      <c r="G119" s="4" t="s">
        <v>199</v>
      </c>
      <c r="H119" s="8" t="s">
        <v>199</v>
      </c>
      <c r="I119" s="7" t="s">
        <v>199</v>
      </c>
      <c r="J119" s="7" t="s">
        <v>199</v>
      </c>
      <c r="K119" s="4"/>
      <c r="L119" s="8"/>
      <c r="M119" s="4"/>
      <c r="N119" s="8"/>
      <c r="O119" s="7"/>
      <c r="P119" s="7"/>
    </row>
    <row r="120">
      <c r="A120" s="2" t="s">
        <v>736</v>
      </c>
      <c r="B120" s="2" t="s">
        <v>1007</v>
      </c>
      <c r="C120" s="2" t="s">
        <v>228</v>
      </c>
      <c r="D120" s="2" t="s">
        <v>988</v>
      </c>
      <c r="E120" s="4" t="s">
        <v>199</v>
      </c>
      <c r="F120" s="8" t="s">
        <v>199</v>
      </c>
      <c r="G120" s="4" t="s">
        <v>199</v>
      </c>
      <c r="H120" s="8" t="s">
        <v>199</v>
      </c>
      <c r="I120" s="7" t="s">
        <v>199</v>
      </c>
      <c r="J120" s="7" t="s">
        <v>199</v>
      </c>
      <c r="K120" s="4"/>
      <c r="L120" s="8"/>
      <c r="M120" s="4"/>
      <c r="N120" s="8"/>
      <c r="O120" s="7"/>
      <c r="P120" s="7"/>
    </row>
    <row r="121">
      <c r="A121" s="2" t="s">
        <v>736</v>
      </c>
      <c r="B121" s="2" t="s">
        <v>1007</v>
      </c>
      <c r="C121" s="2" t="s">
        <v>631</v>
      </c>
      <c r="D121" s="2" t="s">
        <v>632</v>
      </c>
      <c r="E121" s="4" t="s">
        <v>199</v>
      </c>
      <c r="F121" s="8" t="s">
        <v>199</v>
      </c>
      <c r="G121" s="4" t="s">
        <v>199</v>
      </c>
      <c r="H121" s="8" t="s">
        <v>199</v>
      </c>
      <c r="I121" s="7" t="s">
        <v>199</v>
      </c>
      <c r="J121" s="7" t="s">
        <v>199</v>
      </c>
      <c r="K121" s="4"/>
      <c r="L121" s="8"/>
      <c r="M121" s="4"/>
      <c r="N121" s="8"/>
      <c r="O121" s="7"/>
      <c r="P121" s="7"/>
    </row>
    <row r="122">
      <c r="A122" s="2" t="s">
        <v>736</v>
      </c>
      <c r="B122" s="2" t="s">
        <v>1007</v>
      </c>
      <c r="C122" s="2" t="s">
        <v>631</v>
      </c>
      <c r="D122" s="2" t="s">
        <v>720</v>
      </c>
      <c r="E122" s="4" t="s">
        <v>199</v>
      </c>
      <c r="F122" s="8" t="s">
        <v>199</v>
      </c>
      <c r="G122" s="4" t="s">
        <v>199</v>
      </c>
      <c r="H122" s="8" t="s">
        <v>199</v>
      </c>
      <c r="I122" s="7" t="s">
        <v>199</v>
      </c>
      <c r="J122" s="7" t="s">
        <v>199</v>
      </c>
      <c r="K122" s="4"/>
      <c r="L122" s="8"/>
      <c r="M122" s="4"/>
      <c r="N122" s="8"/>
      <c r="O122" s="7"/>
      <c r="P122" s="7"/>
    </row>
    <row r="123">
      <c r="A123" s="2" t="s">
        <v>736</v>
      </c>
      <c r="B123" s="2" t="s">
        <v>1007</v>
      </c>
      <c r="C123" s="2" t="s">
        <v>1963</v>
      </c>
      <c r="D123" s="2" t="s">
        <v>1964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736</v>
      </c>
      <c r="B124" s="2" t="s">
        <v>737</v>
      </c>
      <c r="C124" s="2" t="s">
        <v>228</v>
      </c>
      <c r="D124" s="2" t="s">
        <v>487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736</v>
      </c>
      <c r="B125" s="2" t="s">
        <v>737</v>
      </c>
      <c r="C125" s="2" t="s">
        <v>631</v>
      </c>
      <c r="D125" s="2" t="s">
        <v>632</v>
      </c>
      <c r="E125" s="4" t="s">
        <v>199</v>
      </c>
      <c r="F125" s="8" t="s">
        <v>199</v>
      </c>
      <c r="G125" s="4" t="s">
        <v>199</v>
      </c>
      <c r="H125" s="8" t="s">
        <v>199</v>
      </c>
      <c r="I125" s="7" t="s">
        <v>199</v>
      </c>
      <c r="J125" s="7" t="s">
        <v>199</v>
      </c>
      <c r="K125" s="4"/>
      <c r="L125" s="8"/>
      <c r="M125" s="4"/>
      <c r="N125" s="8"/>
      <c r="O125" s="7"/>
      <c r="P125" s="7"/>
    </row>
    <row r="126">
      <c r="A126" s="2" t="s">
        <v>736</v>
      </c>
      <c r="B126" s="2" t="s">
        <v>737</v>
      </c>
      <c r="C126" s="2" t="s">
        <v>631</v>
      </c>
      <c r="D126" s="2" t="s">
        <v>720</v>
      </c>
      <c r="E126" s="4" t="s">
        <v>199</v>
      </c>
      <c r="F126" s="8" t="s">
        <v>199</v>
      </c>
      <c r="G126" s="4" t="s">
        <v>199</v>
      </c>
      <c r="H126" s="8" t="s">
        <v>199</v>
      </c>
      <c r="I126" s="7" t="s">
        <v>199</v>
      </c>
      <c r="J126" s="7" t="s">
        <v>199</v>
      </c>
      <c r="K126" s="4"/>
      <c r="L126" s="8"/>
      <c r="M126" s="4"/>
      <c r="N126" s="8"/>
      <c r="O126" s="7"/>
      <c r="P126" s="7"/>
    </row>
    <row r="127">
      <c r="A127" s="2" t="s">
        <v>736</v>
      </c>
      <c r="B127" s="2" t="s">
        <v>3750</v>
      </c>
      <c r="C127" s="2" t="s">
        <v>228</v>
      </c>
      <c r="D127" s="2" t="s">
        <v>487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736</v>
      </c>
      <c r="B128" s="2" t="s">
        <v>1165</v>
      </c>
      <c r="C128" s="2" t="s">
        <v>228</v>
      </c>
      <c r="D128" s="2" t="s">
        <v>487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736</v>
      </c>
      <c r="B129" s="2" t="s">
        <v>1165</v>
      </c>
      <c r="C129" s="2" t="s">
        <v>631</v>
      </c>
      <c r="D129" s="2" t="s">
        <v>720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736</v>
      </c>
      <c r="B130" s="2" t="s">
        <v>2637</v>
      </c>
      <c r="C130" s="2" t="s">
        <v>228</v>
      </c>
      <c r="D130" s="2" t="s">
        <v>487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736</v>
      </c>
      <c r="B131" s="2" t="s">
        <v>2637</v>
      </c>
      <c r="C131" s="2" t="s">
        <v>759</v>
      </c>
      <c r="D131" s="2" t="s">
        <v>3023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736</v>
      </c>
      <c r="B132" s="2" t="s">
        <v>2637</v>
      </c>
      <c r="C132" s="2" t="s">
        <v>631</v>
      </c>
      <c r="D132" s="2" t="s">
        <v>720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8:E20"/>
    <mergeCell ref="F18:F20"/>
    <mergeCell ref="G18:G20"/>
    <mergeCell ref="H18:H20"/>
    <mergeCell ref="I18:I20"/>
    <mergeCell ref="J18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3:E34"/>
    <mergeCell ref="F33:F34"/>
    <mergeCell ref="G33:G34"/>
    <mergeCell ref="H33:H34"/>
    <mergeCell ref="I33:I34"/>
    <mergeCell ref="J33:J34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5:E46"/>
    <mergeCell ref="F45:F46"/>
    <mergeCell ref="G45:G46"/>
    <mergeCell ref="H45:H46"/>
    <mergeCell ref="I45:I46"/>
    <mergeCell ref="J45:J46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111:E116"/>
    <mergeCell ref="F111:F116"/>
    <mergeCell ref="G111:G116"/>
    <mergeCell ref="H111:H116"/>
    <mergeCell ref="I111:I116"/>
    <mergeCell ref="J111:J116"/>
    <mergeCell ref="E118:E120"/>
    <mergeCell ref="F118:F120"/>
    <mergeCell ref="G118:G120"/>
    <mergeCell ref="H118:H120"/>
    <mergeCell ref="I118:I120"/>
    <mergeCell ref="J118:J120"/>
    <mergeCell ref="E121:E122"/>
    <mergeCell ref="F121:F122"/>
    <mergeCell ref="G121:G122"/>
    <mergeCell ref="H121:H122"/>
    <mergeCell ref="I121:I122"/>
    <mergeCell ref="J121:J122"/>
    <mergeCell ref="E125:E126"/>
    <mergeCell ref="F125:F126"/>
    <mergeCell ref="G125:G126"/>
    <mergeCell ref="H125:H126"/>
    <mergeCell ref="I125:I126"/>
    <mergeCell ref="J125:J1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3902</v>
      </c>
      <c r="C2" s="0" t="s">
        <v>3903</v>
      </c>
      <c r="D2" s="0" t="s">
        <v>3904</v>
      </c>
      <c r="E2" s="0" t="s">
        <v>85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3905</v>
      </c>
      <c r="I4" s="1" t="s">
        <v>3906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3907</v>
      </c>
      <c r="O4" s="1" t="s">
        <v>3908</v>
      </c>
    </row>
    <row r="5">
      <c r="A5" s="1" t="s">
        <v>85</v>
      </c>
      <c r="B5" s="1" t="s">
        <v>87</v>
      </c>
      <c r="C5" s="1" t="s">
        <v>88</v>
      </c>
      <c r="D5" s="1" t="s">
        <v>3909</v>
      </c>
      <c r="E5" s="1" t="s">
        <v>3910</v>
      </c>
      <c r="F5" s="1" t="s">
        <v>3909</v>
      </c>
      <c r="G5" s="1" t="s">
        <v>3910</v>
      </c>
      <c r="H5" s="1" t="s">
        <v>3905</v>
      </c>
      <c r="I5" s="1" t="s">
        <v>3906</v>
      </c>
      <c r="J5" s="1" t="s">
        <v>3911</v>
      </c>
      <c r="K5" s="1" t="s">
        <v>3912</v>
      </c>
      <c r="L5" s="1" t="s">
        <v>3911</v>
      </c>
      <c r="M5" s="1" t="s">
        <v>3912</v>
      </c>
      <c r="N5" s="1" t="s">
        <v>3907</v>
      </c>
      <c r="O5" s="1" t="s">
        <v>3908</v>
      </c>
    </row>
    <row r="6">
      <c r="A6" s="2" t="s">
        <v>630</v>
      </c>
      <c r="B6" s="2" t="s">
        <v>1298</v>
      </c>
      <c r="C6" s="2" t="s">
        <v>1428</v>
      </c>
      <c r="D6" s="4" t="s">
        <v>199</v>
      </c>
      <c r="E6" s="8" t="s">
        <v>199</v>
      </c>
      <c r="F6" s="4" t="s">
        <v>199</v>
      </c>
      <c r="G6" s="8" t="s">
        <v>199</v>
      </c>
      <c r="H6" s="7" t="s">
        <v>199</v>
      </c>
      <c r="I6" s="7" t="s">
        <v>199</v>
      </c>
      <c r="J6" s="4"/>
      <c r="K6" s="8"/>
      <c r="L6" s="4"/>
      <c r="M6" s="8"/>
      <c r="N6" s="7"/>
      <c r="O6" s="7"/>
    </row>
    <row r="7">
      <c r="A7" s="2" t="s">
        <v>630</v>
      </c>
      <c r="B7" s="2" t="s">
        <v>1298</v>
      </c>
      <c r="C7" s="2" t="s">
        <v>1299</v>
      </c>
      <c r="D7" s="4" t="s">
        <v>199</v>
      </c>
      <c r="E7" s="8" t="s">
        <v>199</v>
      </c>
      <c r="F7" s="4" t="s">
        <v>199</v>
      </c>
      <c r="G7" s="8" t="s">
        <v>199</v>
      </c>
      <c r="H7" s="7" t="s">
        <v>199</v>
      </c>
      <c r="I7" s="7" t="s">
        <v>199</v>
      </c>
      <c r="J7" s="4"/>
      <c r="K7" s="8"/>
      <c r="L7" s="4"/>
      <c r="M7" s="8"/>
      <c r="N7" s="7"/>
      <c r="O7" s="7"/>
    </row>
    <row r="8">
      <c r="A8" s="2" t="s">
        <v>630</v>
      </c>
      <c r="B8" s="2" t="s">
        <v>228</v>
      </c>
      <c r="C8" s="2" t="s">
        <v>2456</v>
      </c>
      <c r="D8" s="4" t="s">
        <v>199</v>
      </c>
      <c r="E8" s="8" t="s">
        <v>199</v>
      </c>
      <c r="F8" s="4" t="s">
        <v>199</v>
      </c>
      <c r="G8" s="8" t="s">
        <v>199</v>
      </c>
      <c r="H8" s="7" t="s">
        <v>199</v>
      </c>
      <c r="I8" s="7" t="s">
        <v>199</v>
      </c>
      <c r="J8" s="4"/>
      <c r="K8" s="8"/>
      <c r="L8" s="4"/>
      <c r="M8" s="8"/>
      <c r="N8" s="7"/>
      <c r="O8" s="7"/>
    </row>
    <row r="9">
      <c r="A9" s="2" t="s">
        <v>630</v>
      </c>
      <c r="B9" s="2" t="s">
        <v>228</v>
      </c>
      <c r="C9" s="2" t="s">
        <v>487</v>
      </c>
      <c r="D9" s="4" t="s">
        <v>199</v>
      </c>
      <c r="E9" s="8" t="s">
        <v>199</v>
      </c>
      <c r="F9" s="4" t="s">
        <v>199</v>
      </c>
      <c r="G9" s="8" t="s">
        <v>199</v>
      </c>
      <c r="H9" s="7" t="s">
        <v>199</v>
      </c>
      <c r="I9" s="7" t="s">
        <v>199</v>
      </c>
      <c r="J9" s="4"/>
      <c r="K9" s="8"/>
      <c r="L9" s="4"/>
      <c r="M9" s="8"/>
      <c r="N9" s="7"/>
      <c r="O9" s="7"/>
    </row>
    <row r="10">
      <c r="A10" s="2" t="s">
        <v>630</v>
      </c>
      <c r="B10" s="2" t="s">
        <v>228</v>
      </c>
      <c r="C10" s="2" t="s">
        <v>988</v>
      </c>
      <c r="D10" s="4" t="s">
        <v>199</v>
      </c>
      <c r="E10" s="8" t="s">
        <v>199</v>
      </c>
      <c r="F10" s="4" t="s">
        <v>199</v>
      </c>
      <c r="G10" s="8" t="s">
        <v>199</v>
      </c>
      <c r="H10" s="7" t="s">
        <v>199</v>
      </c>
      <c r="I10" s="7" t="s">
        <v>199</v>
      </c>
      <c r="J10" s="4"/>
      <c r="K10" s="8"/>
      <c r="L10" s="4"/>
      <c r="M10" s="8"/>
      <c r="N10" s="7"/>
      <c r="O10" s="7"/>
    </row>
    <row r="11">
      <c r="A11" s="2" t="s">
        <v>630</v>
      </c>
      <c r="B11" s="2" t="s">
        <v>228</v>
      </c>
      <c r="C11" s="2" t="s">
        <v>2426</v>
      </c>
      <c r="D11" s="4" t="s">
        <v>199</v>
      </c>
      <c r="E11" s="8" t="s">
        <v>199</v>
      </c>
      <c r="F11" s="4" t="s">
        <v>199</v>
      </c>
      <c r="G11" s="8" t="s">
        <v>199</v>
      </c>
      <c r="H11" s="7" t="s">
        <v>199</v>
      </c>
      <c r="I11" s="7" t="s">
        <v>199</v>
      </c>
      <c r="J11" s="4"/>
      <c r="K11" s="8"/>
      <c r="L11" s="4"/>
      <c r="M11" s="8"/>
      <c r="N11" s="7"/>
      <c r="O11" s="7"/>
    </row>
    <row r="12">
      <c r="A12" s="2" t="s">
        <v>630</v>
      </c>
      <c r="B12" s="2" t="s">
        <v>759</v>
      </c>
      <c r="C12" s="2" t="s">
        <v>3106</v>
      </c>
      <c r="D12" s="4" t="s">
        <v>199</v>
      </c>
      <c r="E12" s="8" t="s">
        <v>199</v>
      </c>
      <c r="F12" s="4" t="s">
        <v>199</v>
      </c>
      <c r="G12" s="8" t="s">
        <v>199</v>
      </c>
      <c r="H12" s="7" t="s">
        <v>199</v>
      </c>
      <c r="I12" s="7" t="s">
        <v>199</v>
      </c>
      <c r="J12" s="4"/>
      <c r="K12" s="8"/>
      <c r="L12" s="4"/>
      <c r="M12" s="8"/>
      <c r="N12" s="7"/>
      <c r="O12" s="7"/>
    </row>
    <row r="13">
      <c r="A13" s="2" t="s">
        <v>630</v>
      </c>
      <c r="B13" s="2" t="s">
        <v>759</v>
      </c>
      <c r="C13" s="2" t="s">
        <v>2456</v>
      </c>
      <c r="D13" s="4" t="s">
        <v>199</v>
      </c>
      <c r="E13" s="8" t="s">
        <v>199</v>
      </c>
      <c r="F13" s="4" t="s">
        <v>199</v>
      </c>
      <c r="G13" s="8" t="s">
        <v>199</v>
      </c>
      <c r="H13" s="7" t="s">
        <v>199</v>
      </c>
      <c r="I13" s="7" t="s">
        <v>199</v>
      </c>
      <c r="J13" s="4"/>
      <c r="K13" s="8"/>
      <c r="L13" s="4"/>
      <c r="M13" s="8"/>
      <c r="N13" s="7"/>
      <c r="O13" s="7"/>
    </row>
    <row r="14">
      <c r="A14" s="2" t="s">
        <v>630</v>
      </c>
      <c r="B14" s="2" t="s">
        <v>759</v>
      </c>
      <c r="C14" s="2" t="s">
        <v>760</v>
      </c>
      <c r="D14" s="4" t="s">
        <v>199</v>
      </c>
      <c r="E14" s="8" t="s">
        <v>199</v>
      </c>
      <c r="F14" s="4" t="s">
        <v>199</v>
      </c>
      <c r="G14" s="8" t="s">
        <v>199</v>
      </c>
      <c r="H14" s="7" t="s">
        <v>199</v>
      </c>
      <c r="I14" s="7" t="s">
        <v>199</v>
      </c>
      <c r="J14" s="4"/>
      <c r="K14" s="8"/>
      <c r="L14" s="4"/>
      <c r="M14" s="8"/>
      <c r="N14" s="7"/>
      <c r="O14" s="7"/>
    </row>
    <row r="15">
      <c r="A15" s="2" t="s">
        <v>630</v>
      </c>
      <c r="B15" s="2" t="s">
        <v>759</v>
      </c>
      <c r="C15" s="2" t="s">
        <v>3804</v>
      </c>
      <c r="D15" s="4" t="s">
        <v>199</v>
      </c>
      <c r="E15" s="8" t="s">
        <v>199</v>
      </c>
      <c r="F15" s="4" t="s">
        <v>199</v>
      </c>
      <c r="G15" s="8" t="s">
        <v>199</v>
      </c>
      <c r="H15" s="7" t="s">
        <v>199</v>
      </c>
      <c r="I15" s="7" t="s">
        <v>199</v>
      </c>
      <c r="J15" s="4"/>
      <c r="K15" s="8"/>
      <c r="L15" s="4"/>
      <c r="M15" s="8"/>
      <c r="N15" s="7"/>
      <c r="O15" s="7"/>
    </row>
    <row r="16">
      <c r="A16" s="2" t="s">
        <v>630</v>
      </c>
      <c r="B16" s="2" t="s">
        <v>759</v>
      </c>
      <c r="C16" s="2" t="s">
        <v>3023</v>
      </c>
      <c r="D16" s="4" t="s">
        <v>199</v>
      </c>
      <c r="E16" s="8" t="s">
        <v>199</v>
      </c>
      <c r="F16" s="4" t="s">
        <v>199</v>
      </c>
      <c r="G16" s="8" t="s">
        <v>199</v>
      </c>
      <c r="H16" s="7" t="s">
        <v>199</v>
      </c>
      <c r="I16" s="7" t="s">
        <v>199</v>
      </c>
      <c r="J16" s="4"/>
      <c r="K16" s="8"/>
      <c r="L16" s="4"/>
      <c r="M16" s="8"/>
      <c r="N16" s="7"/>
      <c r="O16" s="7"/>
    </row>
    <row r="17">
      <c r="A17" s="2" t="s">
        <v>630</v>
      </c>
      <c r="B17" s="2" t="s">
        <v>759</v>
      </c>
      <c r="C17" s="2" t="s">
        <v>3140</v>
      </c>
      <c r="D17" s="4" t="s">
        <v>199</v>
      </c>
      <c r="E17" s="8" t="s">
        <v>199</v>
      </c>
      <c r="F17" s="4" t="s">
        <v>199</v>
      </c>
      <c r="G17" s="8" t="s">
        <v>199</v>
      </c>
      <c r="H17" s="7" t="s">
        <v>199</v>
      </c>
      <c r="I17" s="7" t="s">
        <v>199</v>
      </c>
      <c r="J17" s="4"/>
      <c r="K17" s="8"/>
      <c r="L17" s="4"/>
      <c r="M17" s="8"/>
      <c r="N17" s="7"/>
      <c r="O17" s="7"/>
    </row>
    <row r="18">
      <c r="A18" s="2" t="s">
        <v>630</v>
      </c>
      <c r="B18" s="2" t="s">
        <v>631</v>
      </c>
      <c r="C18" s="2" t="s">
        <v>632</v>
      </c>
      <c r="D18" s="4" t="s">
        <v>199</v>
      </c>
      <c r="E18" s="8" t="s">
        <v>199</v>
      </c>
      <c r="F18" s="4" t="s">
        <v>199</v>
      </c>
      <c r="G18" s="8" t="s">
        <v>199</v>
      </c>
      <c r="H18" s="7" t="s">
        <v>199</v>
      </c>
      <c r="I18" s="7" t="s">
        <v>199</v>
      </c>
      <c r="J18" s="4"/>
      <c r="K18" s="8"/>
      <c r="L18" s="4"/>
      <c r="M18" s="8"/>
      <c r="N18" s="7"/>
      <c r="O18" s="7"/>
    </row>
    <row r="19">
      <c r="A19" s="2" t="s">
        <v>630</v>
      </c>
      <c r="B19" s="2" t="s">
        <v>631</v>
      </c>
      <c r="C19" s="2" t="s">
        <v>720</v>
      </c>
      <c r="D19" s="4" t="s">
        <v>199</v>
      </c>
      <c r="E19" s="8" t="s">
        <v>199</v>
      </c>
      <c r="F19" s="4" t="s">
        <v>199</v>
      </c>
      <c r="G19" s="8" t="s">
        <v>199</v>
      </c>
      <c r="H19" s="7" t="s">
        <v>199</v>
      </c>
      <c r="I19" s="7" t="s">
        <v>199</v>
      </c>
      <c r="J19" s="4"/>
      <c r="K19" s="8"/>
      <c r="L19" s="4"/>
      <c r="M19" s="8"/>
      <c r="N19" s="7"/>
      <c r="O19" s="7"/>
    </row>
    <row r="20">
      <c r="A20" s="2" t="s">
        <v>630</v>
      </c>
      <c r="B20" s="2" t="s">
        <v>1963</v>
      </c>
      <c r="C20" s="2" t="s">
        <v>3843</v>
      </c>
      <c r="D20" s="4" t="s">
        <v>199</v>
      </c>
      <c r="E20" s="8" t="s">
        <v>199</v>
      </c>
      <c r="F20" s="4" t="s">
        <v>199</v>
      </c>
      <c r="G20" s="8" t="s">
        <v>199</v>
      </c>
      <c r="H20" s="7" t="s">
        <v>199</v>
      </c>
      <c r="I20" s="7" t="s">
        <v>199</v>
      </c>
      <c r="J20" s="4"/>
      <c r="K20" s="8"/>
      <c r="L20" s="4"/>
      <c r="M20" s="8"/>
      <c r="N20" s="7"/>
      <c r="O20" s="7"/>
    </row>
    <row r="21">
      <c r="A21" s="2" t="s">
        <v>630</v>
      </c>
      <c r="B21" s="2" t="s">
        <v>1963</v>
      </c>
      <c r="C21" s="2" t="s">
        <v>1964</v>
      </c>
      <c r="D21" s="4" t="s">
        <v>199</v>
      </c>
      <c r="E21" s="8" t="s">
        <v>199</v>
      </c>
      <c r="F21" s="4" t="s">
        <v>199</v>
      </c>
      <c r="G21" s="8" t="s">
        <v>199</v>
      </c>
      <c r="H21" s="7" t="s">
        <v>199</v>
      </c>
      <c r="I21" s="7" t="s">
        <v>199</v>
      </c>
      <c r="J21" s="4"/>
      <c r="K21" s="8"/>
      <c r="L21" s="4"/>
      <c r="M21" s="8"/>
      <c r="N21" s="7"/>
      <c r="O21" s="7"/>
    </row>
    <row r="22">
      <c r="A22" s="2" t="s">
        <v>2275</v>
      </c>
      <c r="B22" s="2" t="s">
        <v>2276</v>
      </c>
      <c r="C22" s="2" t="s">
        <v>2277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554</v>
      </c>
      <c r="B23" s="2" t="s">
        <v>848</v>
      </c>
      <c r="C23" s="2" t="s">
        <v>556</v>
      </c>
      <c r="D23" s="4" t="s">
        <v>199</v>
      </c>
      <c r="E23" s="8" t="s">
        <v>199</v>
      </c>
      <c r="F23" s="4" t="s">
        <v>199</v>
      </c>
      <c r="G23" s="8" t="s">
        <v>199</v>
      </c>
      <c r="H23" s="7" t="s">
        <v>199</v>
      </c>
      <c r="I23" s="7" t="s">
        <v>199</v>
      </c>
      <c r="J23" s="4"/>
      <c r="K23" s="8"/>
      <c r="L23" s="4"/>
      <c r="M23" s="8"/>
      <c r="N23" s="7"/>
      <c r="O23" s="7"/>
    </row>
    <row r="24">
      <c r="A24" s="2" t="s">
        <v>554</v>
      </c>
      <c r="B24" s="2" t="s">
        <v>848</v>
      </c>
      <c r="C24" s="2" t="s">
        <v>2053</v>
      </c>
      <c r="D24" s="4" t="s">
        <v>199</v>
      </c>
      <c r="E24" s="8" t="s">
        <v>199</v>
      </c>
      <c r="F24" s="4" t="s">
        <v>199</v>
      </c>
      <c r="G24" s="8" t="s">
        <v>199</v>
      </c>
      <c r="H24" s="7" t="s">
        <v>199</v>
      </c>
      <c r="I24" s="7" t="s">
        <v>199</v>
      </c>
      <c r="J24" s="4"/>
      <c r="K24" s="8"/>
      <c r="L24" s="4"/>
      <c r="M24" s="8"/>
      <c r="N24" s="7"/>
      <c r="O24" s="7"/>
    </row>
    <row r="25">
      <c r="A25" s="2" t="s">
        <v>554</v>
      </c>
      <c r="B25" s="2" t="s">
        <v>861</v>
      </c>
      <c r="C25" s="2" t="s">
        <v>862</v>
      </c>
      <c r="D25" s="4" t="s">
        <v>199</v>
      </c>
      <c r="E25" s="8" t="s">
        <v>199</v>
      </c>
      <c r="F25" s="4" t="s">
        <v>199</v>
      </c>
      <c r="G25" s="8" t="s">
        <v>199</v>
      </c>
      <c r="H25" s="7" t="s">
        <v>199</v>
      </c>
      <c r="I25" s="7" t="s">
        <v>199</v>
      </c>
      <c r="J25" s="4"/>
      <c r="K25" s="8"/>
      <c r="L25" s="4"/>
      <c r="M25" s="8"/>
      <c r="N25" s="7"/>
      <c r="O25" s="7"/>
    </row>
    <row r="26">
      <c r="A26" s="2" t="s">
        <v>554</v>
      </c>
      <c r="B26" s="2" t="s">
        <v>861</v>
      </c>
      <c r="C26" s="2" t="s">
        <v>556</v>
      </c>
      <c r="D26" s="4" t="s">
        <v>199</v>
      </c>
      <c r="E26" s="8" t="s">
        <v>199</v>
      </c>
      <c r="F26" s="4" t="s">
        <v>199</v>
      </c>
      <c r="G26" s="8" t="s">
        <v>199</v>
      </c>
      <c r="H26" s="7" t="s">
        <v>199</v>
      </c>
      <c r="I26" s="7" t="s">
        <v>199</v>
      </c>
      <c r="J26" s="4"/>
      <c r="K26" s="8"/>
      <c r="L26" s="4"/>
      <c r="M26" s="8"/>
      <c r="N26" s="7"/>
      <c r="O26" s="7"/>
    </row>
    <row r="27">
      <c r="A27" s="2" t="s">
        <v>554</v>
      </c>
      <c r="B27" s="2" t="s">
        <v>555</v>
      </c>
      <c r="C27" s="2" t="s">
        <v>556</v>
      </c>
      <c r="D27" s="4" t="s">
        <v>199</v>
      </c>
      <c r="E27" s="8" t="s">
        <v>199</v>
      </c>
      <c r="F27" s="4" t="s">
        <v>199</v>
      </c>
      <c r="G27" s="8" t="s">
        <v>199</v>
      </c>
      <c r="H27" s="7" t="s">
        <v>199</v>
      </c>
      <c r="I27" s="7" t="s">
        <v>199</v>
      </c>
      <c r="J27" s="4"/>
      <c r="K27" s="8"/>
      <c r="L27" s="4"/>
      <c r="M27" s="8"/>
      <c r="N27" s="7"/>
      <c r="O27" s="7"/>
    </row>
    <row r="28">
      <c r="A28" s="2" t="s">
        <v>554</v>
      </c>
      <c r="B28" s="2" t="s">
        <v>555</v>
      </c>
      <c r="C28" s="2" t="s">
        <v>2053</v>
      </c>
      <c r="D28" s="4" t="s">
        <v>199</v>
      </c>
      <c r="E28" s="8" t="s">
        <v>199</v>
      </c>
      <c r="F28" s="4" t="s">
        <v>199</v>
      </c>
      <c r="G28" s="8" t="s">
        <v>199</v>
      </c>
      <c r="H28" s="7" t="s">
        <v>199</v>
      </c>
      <c r="I28" s="7" t="s">
        <v>199</v>
      </c>
      <c r="J28" s="4"/>
      <c r="K28" s="8"/>
      <c r="L28" s="4"/>
      <c r="M28" s="8"/>
      <c r="N28" s="7"/>
      <c r="O28" s="7"/>
    </row>
    <row r="29">
      <c r="A29" s="2" t="s">
        <v>188</v>
      </c>
      <c r="B29" s="2" t="s">
        <v>1318</v>
      </c>
      <c r="C29" s="2" t="s">
        <v>1468</v>
      </c>
      <c r="D29" s="4"/>
      <c r="E29" s="8"/>
      <c r="F29" s="4"/>
      <c r="G29" s="8"/>
      <c r="H29" s="7"/>
      <c r="I29" s="7"/>
      <c r="J29" s="4"/>
      <c r="K29" s="8"/>
      <c r="L29" s="4"/>
      <c r="M29" s="8"/>
      <c r="N29" s="7"/>
      <c r="O29" s="7"/>
    </row>
    <row r="30">
      <c r="A30" s="2" t="s">
        <v>188</v>
      </c>
      <c r="B30" s="2" t="s">
        <v>228</v>
      </c>
      <c r="C30" s="2" t="s">
        <v>487</v>
      </c>
      <c r="D30" s="4" t="s">
        <v>199</v>
      </c>
      <c r="E30" s="8" t="s">
        <v>199</v>
      </c>
      <c r="F30" s="4" t="s">
        <v>199</v>
      </c>
      <c r="G30" s="8" t="s">
        <v>199</v>
      </c>
      <c r="H30" s="7" t="s">
        <v>199</v>
      </c>
      <c r="I30" s="7" t="s">
        <v>199</v>
      </c>
      <c r="J30" s="4"/>
      <c r="K30" s="8"/>
      <c r="L30" s="4"/>
      <c r="M30" s="8"/>
      <c r="N30" s="7"/>
      <c r="O30" s="7"/>
    </row>
    <row r="31">
      <c r="A31" s="2" t="s">
        <v>188</v>
      </c>
      <c r="B31" s="2" t="s">
        <v>228</v>
      </c>
      <c r="C31" s="2" t="s">
        <v>229</v>
      </c>
      <c r="D31" s="4" t="s">
        <v>199</v>
      </c>
      <c r="E31" s="8" t="s">
        <v>199</v>
      </c>
      <c r="F31" s="4" t="s">
        <v>199</v>
      </c>
      <c r="G31" s="8" t="s">
        <v>199</v>
      </c>
      <c r="H31" s="7" t="s">
        <v>199</v>
      </c>
      <c r="I31" s="7" t="s">
        <v>199</v>
      </c>
      <c r="J31" s="4"/>
      <c r="K31" s="8"/>
      <c r="L31" s="4"/>
      <c r="M31" s="8"/>
      <c r="N31" s="7"/>
      <c r="O31" s="7"/>
    </row>
    <row r="32">
      <c r="A32" s="2" t="s">
        <v>188</v>
      </c>
      <c r="B32" s="2" t="s">
        <v>190</v>
      </c>
      <c r="C32" s="2" t="s">
        <v>2265</v>
      </c>
      <c r="D32" s="4" t="s">
        <v>199</v>
      </c>
      <c r="E32" s="8" t="s">
        <v>199</v>
      </c>
      <c r="F32" s="4" t="s">
        <v>199</v>
      </c>
      <c r="G32" s="8" t="s">
        <v>199</v>
      </c>
      <c r="H32" s="7" t="s">
        <v>199</v>
      </c>
      <c r="I32" s="7" t="s">
        <v>199</v>
      </c>
      <c r="J32" s="4"/>
      <c r="K32" s="8"/>
      <c r="L32" s="4"/>
      <c r="M32" s="8"/>
      <c r="N32" s="7"/>
      <c r="O32" s="7"/>
    </row>
    <row r="33">
      <c r="A33" s="2" t="s">
        <v>188</v>
      </c>
      <c r="B33" s="2" t="s">
        <v>190</v>
      </c>
      <c r="C33" s="2" t="s">
        <v>191</v>
      </c>
      <c r="D33" s="4" t="s">
        <v>199</v>
      </c>
      <c r="E33" s="8" t="s">
        <v>199</v>
      </c>
      <c r="F33" s="4" t="s">
        <v>199</v>
      </c>
      <c r="G33" s="8" t="s">
        <v>199</v>
      </c>
      <c r="H33" s="7" t="s">
        <v>199</v>
      </c>
      <c r="I33" s="7" t="s">
        <v>199</v>
      </c>
      <c r="J33" s="4"/>
      <c r="K33" s="8"/>
      <c r="L33" s="4"/>
      <c r="M33" s="8"/>
      <c r="N33" s="7"/>
      <c r="O33" s="7"/>
    </row>
    <row r="34">
      <c r="A34" s="2" t="s">
        <v>188</v>
      </c>
      <c r="B34" s="2" t="s">
        <v>1963</v>
      </c>
      <c r="C34" s="2" t="s">
        <v>2732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  <row r="35">
      <c r="A35" s="2" t="s">
        <v>188</v>
      </c>
      <c r="B35" s="2" t="s">
        <v>1021</v>
      </c>
      <c r="C35" s="2" t="s">
        <v>1468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648</v>
      </c>
      <c r="B36" s="2" t="s">
        <v>649</v>
      </c>
      <c r="C36" s="2" t="s">
        <v>650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648</v>
      </c>
      <c r="B37" s="2" t="s">
        <v>3047</v>
      </c>
      <c r="C37" s="2" t="s">
        <v>573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648</v>
      </c>
      <c r="B38" s="2" t="s">
        <v>1212</v>
      </c>
      <c r="C38" s="2" t="s">
        <v>1213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1019</v>
      </c>
      <c r="B39" s="2" t="s">
        <v>1318</v>
      </c>
      <c r="C39" s="2" t="s">
        <v>1319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1019</v>
      </c>
      <c r="B40" s="2" t="s">
        <v>228</v>
      </c>
      <c r="C40" s="2" t="s">
        <v>988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1019</v>
      </c>
      <c r="B41" s="2" t="s">
        <v>1973</v>
      </c>
      <c r="C41" s="2" t="s">
        <v>1974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1019</v>
      </c>
      <c r="B42" s="2" t="s">
        <v>1963</v>
      </c>
      <c r="C42" s="2" t="s">
        <v>1964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1019</v>
      </c>
      <c r="B43" s="2" t="s">
        <v>264</v>
      </c>
      <c r="C43" s="2" t="s">
        <v>265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1019</v>
      </c>
      <c r="B44" s="2" t="s">
        <v>1021</v>
      </c>
      <c r="C44" s="2" t="s">
        <v>1022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613</v>
      </c>
      <c r="B45" s="2" t="s">
        <v>1077</v>
      </c>
      <c r="C45" s="2" t="s">
        <v>1078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613</v>
      </c>
      <c r="B46" s="2" t="s">
        <v>2702</v>
      </c>
      <c r="C46" s="2" t="s">
        <v>2703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613</v>
      </c>
      <c r="B47" s="2" t="s">
        <v>926</v>
      </c>
      <c r="C47" s="2" t="s">
        <v>927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613</v>
      </c>
      <c r="B48" s="2" t="s">
        <v>1152</v>
      </c>
      <c r="C48" s="2" t="s">
        <v>1153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613</v>
      </c>
      <c r="B49" s="2" t="s">
        <v>614</v>
      </c>
      <c r="C49" s="2" t="s">
        <v>1052</v>
      </c>
      <c r="D49" s="4" t="s">
        <v>199</v>
      </c>
      <c r="E49" s="8" t="s">
        <v>199</v>
      </c>
      <c r="F49" s="4" t="s">
        <v>199</v>
      </c>
      <c r="G49" s="8" t="s">
        <v>199</v>
      </c>
      <c r="H49" s="7" t="s">
        <v>199</v>
      </c>
      <c r="I49" s="7" t="s">
        <v>199</v>
      </c>
      <c r="J49" s="4"/>
      <c r="K49" s="8"/>
      <c r="L49" s="4"/>
      <c r="M49" s="8"/>
      <c r="N49" s="7"/>
      <c r="O49" s="7"/>
    </row>
    <row r="50">
      <c r="A50" s="2" t="s">
        <v>613</v>
      </c>
      <c r="B50" s="2" t="s">
        <v>614</v>
      </c>
      <c r="C50" s="2" t="s">
        <v>615</v>
      </c>
      <c r="D50" s="4" t="s">
        <v>199</v>
      </c>
      <c r="E50" s="8" t="s">
        <v>199</v>
      </c>
      <c r="F50" s="4" t="s">
        <v>199</v>
      </c>
      <c r="G50" s="8" t="s">
        <v>199</v>
      </c>
      <c r="H50" s="7" t="s">
        <v>199</v>
      </c>
      <c r="I50" s="7" t="s">
        <v>199</v>
      </c>
      <c r="J50" s="4"/>
      <c r="K50" s="8"/>
      <c r="L50" s="4"/>
      <c r="M50" s="8"/>
      <c r="N50" s="7"/>
      <c r="O50" s="7"/>
    </row>
    <row r="51">
      <c r="A51" s="2" t="s">
        <v>613</v>
      </c>
      <c r="B51" s="2" t="s">
        <v>2392</v>
      </c>
      <c r="C51" s="2" t="s">
        <v>2393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613</v>
      </c>
      <c r="B52" s="2" t="s">
        <v>2991</v>
      </c>
      <c r="C52" s="2" t="s">
        <v>2992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591</v>
      </c>
      <c r="B53" s="2" t="s">
        <v>1257</v>
      </c>
      <c r="C53" s="2" t="s">
        <v>1258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591</v>
      </c>
      <c r="B54" s="2" t="s">
        <v>749</v>
      </c>
      <c r="C54" s="2" t="s">
        <v>750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591</v>
      </c>
      <c r="B55" s="2" t="s">
        <v>811</v>
      </c>
      <c r="C55" s="2" t="s">
        <v>812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591</v>
      </c>
      <c r="B56" s="2" t="s">
        <v>593</v>
      </c>
      <c r="C56" s="2" t="s">
        <v>594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1239</v>
      </c>
      <c r="B57" s="2" t="s">
        <v>1240</v>
      </c>
      <c r="C57" s="2" t="s">
        <v>1241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883</v>
      </c>
      <c r="B58" s="2" t="s">
        <v>885</v>
      </c>
      <c r="C58" s="2" t="s">
        <v>886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245</v>
      </c>
      <c r="B59" s="2" t="s">
        <v>264</v>
      </c>
      <c r="C59" s="2" t="s">
        <v>265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245</v>
      </c>
      <c r="B60" s="2" t="s">
        <v>247</v>
      </c>
      <c r="C60" s="2" t="s">
        <v>248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570</v>
      </c>
      <c r="B61" s="2" t="s">
        <v>572</v>
      </c>
      <c r="C61" s="2" t="s">
        <v>573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672</v>
      </c>
      <c r="B62" s="2" t="s">
        <v>782</v>
      </c>
      <c r="C62" s="2" t="s">
        <v>783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672</v>
      </c>
      <c r="B63" s="2" t="s">
        <v>673</v>
      </c>
      <c r="C63" s="2" t="s">
        <v>802</v>
      </c>
      <c r="D63" s="4" t="s">
        <v>199</v>
      </c>
      <c r="E63" s="8" t="s">
        <v>199</v>
      </c>
      <c r="F63" s="4" t="s">
        <v>199</v>
      </c>
      <c r="G63" s="8" t="s">
        <v>199</v>
      </c>
      <c r="H63" s="7" t="s">
        <v>199</v>
      </c>
      <c r="I63" s="7" t="s">
        <v>199</v>
      </c>
      <c r="J63" s="4"/>
      <c r="K63" s="8"/>
      <c r="L63" s="4"/>
      <c r="M63" s="8"/>
      <c r="N63" s="7"/>
      <c r="O63" s="7"/>
    </row>
    <row r="64">
      <c r="A64" s="2" t="s">
        <v>672</v>
      </c>
      <c r="B64" s="2" t="s">
        <v>673</v>
      </c>
      <c r="C64" s="2" t="s">
        <v>1499</v>
      </c>
      <c r="D64" s="4" t="s">
        <v>199</v>
      </c>
      <c r="E64" s="8" t="s">
        <v>199</v>
      </c>
      <c r="F64" s="4" t="s">
        <v>199</v>
      </c>
      <c r="G64" s="8" t="s">
        <v>199</v>
      </c>
      <c r="H64" s="7" t="s">
        <v>199</v>
      </c>
      <c r="I64" s="7" t="s">
        <v>199</v>
      </c>
      <c r="J64" s="4"/>
      <c r="K64" s="8"/>
      <c r="L64" s="4"/>
      <c r="M64" s="8"/>
      <c r="N64" s="7"/>
      <c r="O64" s="7"/>
    </row>
    <row r="65">
      <c r="A65" s="2" t="s">
        <v>672</v>
      </c>
      <c r="B65" s="2" t="s">
        <v>673</v>
      </c>
      <c r="C65" s="2" t="s">
        <v>873</v>
      </c>
      <c r="D65" s="4" t="s">
        <v>199</v>
      </c>
      <c r="E65" s="8" t="s">
        <v>199</v>
      </c>
      <c r="F65" s="4" t="s">
        <v>199</v>
      </c>
      <c r="G65" s="8" t="s">
        <v>199</v>
      </c>
      <c r="H65" s="7" t="s">
        <v>199</v>
      </c>
      <c r="I65" s="7" t="s">
        <v>199</v>
      </c>
      <c r="J65" s="4"/>
      <c r="K65" s="8"/>
      <c r="L65" s="4"/>
      <c r="M65" s="8"/>
      <c r="N65" s="7"/>
      <c r="O65" s="7"/>
    </row>
    <row r="66">
      <c r="A66" s="2" t="s">
        <v>672</v>
      </c>
      <c r="B66" s="2" t="s">
        <v>673</v>
      </c>
      <c r="C66" s="2" t="s">
        <v>2227</v>
      </c>
      <c r="D66" s="4" t="s">
        <v>199</v>
      </c>
      <c r="E66" s="8" t="s">
        <v>199</v>
      </c>
      <c r="F66" s="4" t="s">
        <v>199</v>
      </c>
      <c r="G66" s="8" t="s">
        <v>199</v>
      </c>
      <c r="H66" s="7" t="s">
        <v>199</v>
      </c>
      <c r="I66" s="7" t="s">
        <v>199</v>
      </c>
      <c r="J66" s="4"/>
      <c r="K66" s="8"/>
      <c r="L66" s="4"/>
      <c r="M66" s="8"/>
      <c r="N66" s="7"/>
      <c r="O66" s="7"/>
    </row>
    <row r="67">
      <c r="A67" s="2" t="s">
        <v>672</v>
      </c>
      <c r="B67" s="2" t="s">
        <v>673</v>
      </c>
      <c r="C67" s="2" t="s">
        <v>674</v>
      </c>
      <c r="D67" s="4" t="s">
        <v>199</v>
      </c>
      <c r="E67" s="8" t="s">
        <v>199</v>
      </c>
      <c r="F67" s="4" t="s">
        <v>199</v>
      </c>
      <c r="G67" s="8" t="s">
        <v>199</v>
      </c>
      <c r="H67" s="7" t="s">
        <v>199</v>
      </c>
      <c r="I67" s="7" t="s">
        <v>199</v>
      </c>
      <c r="J67" s="4"/>
      <c r="K67" s="8"/>
      <c r="L67" s="4"/>
      <c r="M67" s="8"/>
      <c r="N67" s="7"/>
      <c r="O67" s="7"/>
    </row>
    <row r="68">
      <c r="A68" s="2" t="s">
        <v>672</v>
      </c>
      <c r="B68" s="2" t="s">
        <v>673</v>
      </c>
      <c r="C68" s="2" t="s">
        <v>2383</v>
      </c>
      <c r="D68" s="4" t="s">
        <v>199</v>
      </c>
      <c r="E68" s="8" t="s">
        <v>199</v>
      </c>
      <c r="F68" s="4" t="s">
        <v>199</v>
      </c>
      <c r="G68" s="8" t="s">
        <v>199</v>
      </c>
      <c r="H68" s="7" t="s">
        <v>199</v>
      </c>
      <c r="I68" s="7" t="s">
        <v>199</v>
      </c>
      <c r="J68" s="4"/>
      <c r="K68" s="8"/>
      <c r="L68" s="4"/>
      <c r="M68" s="8"/>
      <c r="N68" s="7"/>
      <c r="O68" s="7"/>
    </row>
    <row r="69">
      <c r="A69" s="2" t="s">
        <v>736</v>
      </c>
      <c r="B69" s="2" t="s">
        <v>228</v>
      </c>
      <c r="C69" s="2" t="s">
        <v>2456</v>
      </c>
      <c r="D69" s="4" t="s">
        <v>199</v>
      </c>
      <c r="E69" s="8" t="s">
        <v>199</v>
      </c>
      <c r="F69" s="4" t="s">
        <v>199</v>
      </c>
      <c r="G69" s="8" t="s">
        <v>199</v>
      </c>
      <c r="H69" s="7" t="s">
        <v>199</v>
      </c>
      <c r="I69" s="7" t="s">
        <v>199</v>
      </c>
      <c r="J69" s="4"/>
      <c r="K69" s="8"/>
      <c r="L69" s="4"/>
      <c r="M69" s="8"/>
      <c r="N69" s="7"/>
      <c r="O69" s="7"/>
    </row>
    <row r="70">
      <c r="A70" s="2" t="s">
        <v>736</v>
      </c>
      <c r="B70" s="2" t="s">
        <v>228</v>
      </c>
      <c r="C70" s="2" t="s">
        <v>487</v>
      </c>
      <c r="D70" s="4" t="s">
        <v>199</v>
      </c>
      <c r="E70" s="8" t="s">
        <v>199</v>
      </c>
      <c r="F70" s="4" t="s">
        <v>199</v>
      </c>
      <c r="G70" s="8" t="s">
        <v>199</v>
      </c>
      <c r="H70" s="7" t="s">
        <v>199</v>
      </c>
      <c r="I70" s="7" t="s">
        <v>199</v>
      </c>
      <c r="J70" s="4"/>
      <c r="K70" s="8"/>
      <c r="L70" s="4"/>
      <c r="M70" s="8"/>
      <c r="N70" s="7"/>
      <c r="O70" s="7"/>
    </row>
    <row r="71">
      <c r="A71" s="2" t="s">
        <v>736</v>
      </c>
      <c r="B71" s="2" t="s">
        <v>228</v>
      </c>
      <c r="C71" s="2" t="s">
        <v>988</v>
      </c>
      <c r="D71" s="4" t="s">
        <v>199</v>
      </c>
      <c r="E71" s="8" t="s">
        <v>199</v>
      </c>
      <c r="F71" s="4" t="s">
        <v>199</v>
      </c>
      <c r="G71" s="8" t="s">
        <v>199</v>
      </c>
      <c r="H71" s="7" t="s">
        <v>199</v>
      </c>
      <c r="I71" s="7" t="s">
        <v>199</v>
      </c>
      <c r="J71" s="4"/>
      <c r="K71" s="8"/>
      <c r="L71" s="4"/>
      <c r="M71" s="8"/>
      <c r="N71" s="7"/>
      <c r="O71" s="7"/>
    </row>
    <row r="72">
      <c r="A72" s="2" t="s">
        <v>736</v>
      </c>
      <c r="B72" s="2" t="s">
        <v>759</v>
      </c>
      <c r="C72" s="2" t="s">
        <v>3023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736</v>
      </c>
      <c r="B73" s="2" t="s">
        <v>631</v>
      </c>
      <c r="C73" s="2" t="s">
        <v>632</v>
      </c>
      <c r="D73" s="4" t="s">
        <v>199</v>
      </c>
      <c r="E73" s="8" t="s">
        <v>199</v>
      </c>
      <c r="F73" s="4" t="s">
        <v>199</v>
      </c>
      <c r="G73" s="8" t="s">
        <v>199</v>
      </c>
      <c r="H73" s="7" t="s">
        <v>199</v>
      </c>
      <c r="I73" s="7" t="s">
        <v>199</v>
      </c>
      <c r="J73" s="4"/>
      <c r="K73" s="8"/>
      <c r="L73" s="4"/>
      <c r="M73" s="8"/>
      <c r="N73" s="7"/>
      <c r="O73" s="7"/>
    </row>
    <row r="74">
      <c r="A74" s="2" t="s">
        <v>736</v>
      </c>
      <c r="B74" s="2" t="s">
        <v>631</v>
      </c>
      <c r="C74" s="2" t="s">
        <v>720</v>
      </c>
      <c r="D74" s="4" t="s">
        <v>199</v>
      </c>
      <c r="E74" s="8" t="s">
        <v>199</v>
      </c>
      <c r="F74" s="4" t="s">
        <v>199</v>
      </c>
      <c r="G74" s="8" t="s">
        <v>199</v>
      </c>
      <c r="H74" s="7" t="s">
        <v>199</v>
      </c>
      <c r="I74" s="7" t="s">
        <v>199</v>
      </c>
      <c r="J74" s="4"/>
      <c r="K74" s="8"/>
      <c r="L74" s="4"/>
      <c r="M74" s="8"/>
      <c r="N74" s="7"/>
      <c r="O74" s="7"/>
    </row>
    <row r="75">
      <c r="A75" s="2" t="s">
        <v>736</v>
      </c>
      <c r="B75" s="2" t="s">
        <v>1963</v>
      </c>
      <c r="C75" s="2" t="s">
        <v>1964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7"/>
    <mergeCell ref="E12:E17"/>
    <mergeCell ref="F12:F17"/>
    <mergeCell ref="G12:G17"/>
    <mergeCell ref="H12:H17"/>
    <mergeCell ref="I12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3:D24"/>
    <mergeCell ref="E23:E24"/>
    <mergeCell ref="F23:F24"/>
    <mergeCell ref="G23:G24"/>
    <mergeCell ref="H23:H24"/>
    <mergeCell ref="I23:I24"/>
    <mergeCell ref="D25:D26"/>
    <mergeCell ref="E25:E26"/>
    <mergeCell ref="F25:F26"/>
    <mergeCell ref="G25:G26"/>
    <mergeCell ref="H25:H26"/>
    <mergeCell ref="I25:I26"/>
    <mergeCell ref="D27:D28"/>
    <mergeCell ref="E27:E28"/>
    <mergeCell ref="F27:F28"/>
    <mergeCell ref="G27:G28"/>
    <mergeCell ref="H27:H28"/>
    <mergeCell ref="I27:I28"/>
    <mergeCell ref="D30:D31"/>
    <mergeCell ref="E30:E31"/>
    <mergeCell ref="F30:F31"/>
    <mergeCell ref="G30:G31"/>
    <mergeCell ref="H30:H31"/>
    <mergeCell ref="I30:I31"/>
    <mergeCell ref="D32:D33"/>
    <mergeCell ref="E32:E33"/>
    <mergeCell ref="F32:F33"/>
    <mergeCell ref="G32:G33"/>
    <mergeCell ref="H32:H33"/>
    <mergeCell ref="I32:I33"/>
    <mergeCell ref="D49:D50"/>
    <mergeCell ref="E49:E50"/>
    <mergeCell ref="F49:F50"/>
    <mergeCell ref="G49:G50"/>
    <mergeCell ref="H49:H50"/>
    <mergeCell ref="I49:I50"/>
    <mergeCell ref="D63:D68"/>
    <mergeCell ref="E63:E68"/>
    <mergeCell ref="F63:F68"/>
    <mergeCell ref="G63:G68"/>
    <mergeCell ref="H63:H68"/>
    <mergeCell ref="I63:I68"/>
    <mergeCell ref="D69:D71"/>
    <mergeCell ref="E69:E71"/>
    <mergeCell ref="F69:F71"/>
    <mergeCell ref="G69:G71"/>
    <mergeCell ref="H69:H71"/>
    <mergeCell ref="I69:I71"/>
    <mergeCell ref="D73:D74"/>
    <mergeCell ref="E73:E74"/>
    <mergeCell ref="F73:F74"/>
    <mergeCell ref="G73:G74"/>
    <mergeCell ref="H73:H74"/>
    <mergeCell ref="I73:I74"/>
  </mergeCells>
  <headerFooter/>
</worksheet>
</file>