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<sst xmlns="http://schemas.openxmlformats.org/spreadsheetml/2006/main" count="868" uniqueCount="868">
  <si>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</si>
  <si>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</si>
  <si>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</si>
  <si>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</si>
  <si>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</si>
  <si>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</si>
  <si>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</si>
  <si>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</si>
  <si>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</si>
  <si>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</si>
  <si>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</si>
  <si>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</si>
  <si>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</si>
  <si>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</si>
  <si>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</si>
  <si>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</si>
  <si>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</si>
  <si>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</si>
  <si>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</si>
  <si>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</si>
  <si>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</si>
  <si>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</si>
  <si>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</si>
  <si>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</si>
  <si>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</si>
  <si>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</si>
  <si>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</si>
  <si>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</si>
  <si>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</si>
  <si>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</si>
  <si>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</si>
  <si>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</si>
  <si>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</si>
  <si>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</si>
  <si>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</si>
  <si>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</si>
  <si>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</si>
  <si>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</si>
  <si>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</si>
  <si>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</si>
  <si>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</si>
  <si>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</si>
  <si>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</si>
  <si>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</si>
  <si>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</si>
  <si>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</si>
  <si>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</si>
  <si>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</si>
  <si>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</si>
  <si>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</si>
  <si>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</si>
  <si>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</si>
  <si>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</si>
  <si>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</si>
  <si>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</si>
  <si>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</si>
  <si>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</si>
  <si>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</si>
  <si>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</si>
  <si>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</si>
  <si>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</si>
  <si>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</si>
  <si>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</si>
  <si>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</si>
  <si>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</si>
  <si>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</si>
  <si>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</si>
  <si>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</si>
  <si>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</si>
  <si>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</si>
  <si>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</si>
  <si>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</si>
  <si>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</si>
  <si>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</si>
  <si>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</si>
  <si>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</si>
  <si>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</si>
  <si>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</si>
  <si>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</si>
  <si>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</si>
  <si>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</si>
  <si>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</si>
  <si>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</si>
  <si>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</si>
  <si>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</si>
  <si>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</si>
  <si>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TN20-0557</t>
  </si>
  <si>
    <t>SHET</t>
  </si>
  <si>
    <t>True North by Sleep Philosophy</t>
  </si>
  <si>
    <t>SHEET/SHEET SET</t>
  </si>
  <si>
    <t>Sheet/Sheet Set</t>
  </si>
  <si>
    <t>Cozy Cotton Flannel</t>
  </si>
  <si>
    <t>Printed Sheet Set</t>
  </si>
  <si>
    <t>Twin</t>
  </si>
  <si>
    <t>Tan Woodland Winter</t>
  </si>
  <si>
    <t>Active</t>
  </si>
  <si>
    <t>TBD</t>
  </si>
  <si>
    <t>NO</t>
  </si>
  <si>
    <t/>
  </si>
  <si>
    <t>PP000954;PF006336</t>
  </si>
  <si>
    <t>Flannel</t>
  </si>
  <si>
    <t>3</t>
  </si>
  <si>
    <t>Animal</t>
  </si>
  <si>
    <t>Casual</t>
  </si>
  <si>
    <t>Lodge/Cabin</t>
  </si>
  <si>
    <t>9/18/2024</t>
  </si>
  <si>
    <t>AMAZON,CSNSTORES,HDDS,KOHLDSN,MACY02,OVERSTOCK01,TGTDVS</t>
  </si>
  <si>
    <t>Setup</t>
  </si>
  <si>
    <t>9/23/2024</t>
  </si>
  <si>
    <t>10/14/2024</t>
  </si>
  <si>
    <t>No</t>
  </si>
  <si>
    <t>TN20-0558</t>
  </si>
  <si>
    <t>Twin XL</t>
  </si>
  <si>
    <t>9/19/2024</t>
  </si>
  <si>
    <t>AMAZON,HDDS,JCPENNEY01,KOHLDSN,MACY02,TGTDVS</t>
  </si>
  <si>
    <t>10/10/2024</t>
  </si>
  <si>
    <t>TN20-0559</t>
  </si>
  <si>
    <t>Full</t>
  </si>
  <si>
    <t>4</t>
  </si>
  <si>
    <t>AMAZONDS,HDDS,JCPENNEY01,KOHLDSN,MACY02,OVERSTOCK01,TGTDVS</t>
  </si>
  <si>
    <t>10/30/2024</t>
  </si>
  <si>
    <t>TN20-0560</t>
  </si>
  <si>
    <t>Queen</t>
  </si>
  <si>
    <t>AMAZON,AMAZONDS,HDDS,JCPENNEY01,KOHLDSN,MACY02,OVERSTOCK01,TGTDVS</t>
  </si>
  <si>
    <t>TN20-0561</t>
  </si>
  <si>
    <t>King</t>
  </si>
  <si>
    <t>AMAZONDS,HDDS,JCPENNEY01,KOHLDSN,MACY02,TGTDVS</t>
  </si>
  <si>
    <t>10/18/2024</t>
  </si>
  <si>
    <t>TN20-0562</t>
  </si>
  <si>
    <t>Cal King</t>
  </si>
  <si>
    <t>AMAZON,JCPENNEY01,KOHLDSN,MACY02,TGTDVS</t>
  </si>
  <si>
    <t>10/29/2024</t>
  </si>
  <si>
    <t>TN20-0569</t>
  </si>
  <si>
    <t>Gray Herringbone Check</t>
  </si>
  <si>
    <t>PP000954;PF006338</t>
  </si>
  <si>
    <t>Gingham</t>
  </si>
  <si>
    <t>9/17/2024</t>
  </si>
  <si>
    <t>AMAZON,CSNSTORES,JCPENNEY01,KOHLDSN,MACY02</t>
  </si>
  <si>
    <t>11/11/2024</t>
  </si>
  <si>
    <t>11/15/2024</t>
  </si>
  <si>
    <t>TN20-0570</t>
  </si>
  <si>
    <t>AMAZON,JCPENNEY01,KOHLDSN,MACY02</t>
  </si>
  <si>
    <t>11/18/2024</t>
  </si>
  <si>
    <t>TN20-0571</t>
  </si>
  <si>
    <t>JCPENNEY01,KOHLDSN,MACY02,TGTDVS</t>
  </si>
  <si>
    <t>9/24/2024</t>
  </si>
  <si>
    <t>11/13/2024</t>
  </si>
  <si>
    <t>TN20-0572</t>
  </si>
  <si>
    <t>9/15/2024</t>
  </si>
  <si>
    <t>AMAZON,CSNSTORES,JCPENNEY01,KOHLDSN,MACY02,TGTDVS</t>
  </si>
  <si>
    <t>11/22/2024</t>
  </si>
  <si>
    <t>TN20-0573</t>
  </si>
  <si>
    <t>TN20-0574</t>
  </si>
  <si>
    <t>11/14/2024</t>
  </si>
  <si>
    <t>TN20-0510</t>
  </si>
  <si>
    <t>Gray Skiers</t>
  </si>
  <si>
    <t>B</t>
  </si>
  <si>
    <t>PP000954;PF006047</t>
  </si>
  <si>
    <t>Novelty</t>
  </si>
  <si>
    <t>8/30/2023</t>
  </si>
  <si>
    <t>AMAZON,DESINC,JCPENNEY01,KOHLDSN,MACY02,NRTPORT,TGTDVS</t>
  </si>
  <si>
    <t>10/2/2023</t>
  </si>
  <si>
    <t>1/22/2024</t>
  </si>
  <si>
    <t>TN20-0511</t>
  </si>
  <si>
    <t>TN20-0512</t>
  </si>
  <si>
    <t>AMAZON,KOHLDSN,MACY02,TGTDVS</t>
  </si>
  <si>
    <t>4/25/2024</t>
  </si>
  <si>
    <t>TN20-0513</t>
  </si>
  <si>
    <t>B+</t>
  </si>
  <si>
    <t>TN20-0514</t>
  </si>
  <si>
    <t>AMAZON,JCPENNEY01,KOHLDSN,MACY02,OVERSTOCK01</t>
  </si>
  <si>
    <t>2/20/2024</t>
  </si>
  <si>
    <t>TN20-0515</t>
  </si>
  <si>
    <t>AMAZON,MACY02,TGTDVS</t>
  </si>
  <si>
    <t>2/13/2024</t>
  </si>
  <si>
    <t>TN20-0066</t>
  </si>
  <si>
    <t>Pink/Grey Snowflakes</t>
  </si>
  <si>
    <t>A+</t>
  </si>
  <si>
    <t>PF002277</t>
  </si>
  <si>
    <t>9/8/2017</t>
  </si>
  <si>
    <t>AMAZON,AMAZONDS,BLK01,CSNSTORES,KOHLDSN,MACY02,OVERSTOCK01,TGTDVS</t>
  </si>
  <si>
    <t>6/4/2018</t>
  </si>
  <si>
    <t>9/8/2019</t>
  </si>
  <si>
    <t>TN20-0209</t>
  </si>
  <si>
    <t>A</t>
  </si>
  <si>
    <t>AMAZON,AMAZONDS,JCPENNEY01,KOHLDSN,MACY02,NRTPORT,TGTDVS,WALMARTDS</t>
  </si>
  <si>
    <t>9/22/2019</t>
  </si>
  <si>
    <t>TN20-0067</t>
  </si>
  <si>
    <t>AMAZON,AMAZONDS,BLK01,CSNSTORES,JCPENNEY01,KOHLDSN,MACY02,TGTDVS</t>
  </si>
  <si>
    <t>9/14/2019</t>
  </si>
  <si>
    <t>TN20-0068</t>
  </si>
  <si>
    <t>AMAZON,AMAZONDS,BLK01,CSNSTORES,FINGERHUTDS,JCPENNEY01,KOHLDSN,MACY02,OLLIIX,TGTDVS</t>
  </si>
  <si>
    <t>9/16/2019</t>
  </si>
  <si>
    <t>TN20-0069</t>
  </si>
  <si>
    <t>6/30/2017</t>
  </si>
  <si>
    <t>AMAZON,AMAZONDS,KOHLDSN,MACY02,TGTDVS</t>
  </si>
  <si>
    <t>9/12/2019</t>
  </si>
  <si>
    <t>TN20-0081</t>
  </si>
  <si>
    <t>Blue Plaid</t>
  </si>
  <si>
    <t>PF002280</t>
  </si>
  <si>
    <t>Plaid</t>
  </si>
  <si>
    <t>4/21/2017</t>
  </si>
  <si>
    <t>BLK01,FINGERHUTDS,JCPENNEY01,KOHLDSN,MACY02,TGTDVS,WALMARTDS</t>
  </si>
  <si>
    <t>TN20-0212</t>
  </si>
  <si>
    <t>AMAZON,AMAZONDS,BLK01,JCPENNEY01,KOHLDSN,MACY02,TGTDVS</t>
  </si>
  <si>
    <t>11/4/2019</t>
  </si>
  <si>
    <t>TN20-0082</t>
  </si>
  <si>
    <t>4/2/2017</t>
  </si>
  <si>
    <t>BLK01,CSNSTORES,JCPENNEY01,KOHLDSN,MACY02,OVERSTOCK01,TGTDVS</t>
  </si>
  <si>
    <t>10/2/2019</t>
  </si>
  <si>
    <t>TN20-0083</t>
  </si>
  <si>
    <t>A++</t>
  </si>
  <si>
    <t>BLK01,CSNSTORES,DESINC,JCPENNEY01,KOHLDSN,MACY02,NRTPORT,OVERSTOCK01,TGTDVS</t>
  </si>
  <si>
    <t>TN20-0084</t>
  </si>
  <si>
    <t>AMAZON,AMAZONDS,BLK01,KOHLDSN,MACY02,OLLIIX,OVERSTOCK01</t>
  </si>
  <si>
    <t>8/26/2019</t>
  </si>
  <si>
    <t>TN20-0085</t>
  </si>
  <si>
    <t>BLK01,JCPENNEY01,KOHLDSN,MACY02,TGTDVS</t>
  </si>
  <si>
    <t>9/7/2019</t>
  </si>
  <si>
    <t>TN20-0076</t>
  </si>
  <si>
    <t>Red Plaid</t>
  </si>
  <si>
    <t>PF002279</t>
  </si>
  <si>
    <t>AMAZON,FINGERHUTDS,KOHLDSN,MACY02,TGTDVS</t>
  </si>
  <si>
    <t>9/20/2019</t>
  </si>
  <si>
    <t>TN20-0211</t>
  </si>
  <si>
    <t>AMAZON,BLK01,JCPENNEY01,KOHLDSN,MACY02,TGTDVS,WALMARTDS</t>
  </si>
  <si>
    <t>9/13/2019</t>
  </si>
  <si>
    <t>TN20-0077</t>
  </si>
  <si>
    <t>AMAZON,BLK01,KOHLDSN,MACY02,OLLIIX,OVERSTOCK01,TGTDVS</t>
  </si>
  <si>
    <t>9/18/2019</t>
  </si>
  <si>
    <t>TN20-0078</t>
  </si>
  <si>
    <t>AMAZON,BLK01,CSNSTORES,FINGERHUTDS,JCPENNEY01,KOHLDSN,MACY02,OVERSTOCK01,TGTDVS</t>
  </si>
  <si>
    <t>9/9/2019</t>
  </si>
  <si>
    <t>TN20-0079</t>
  </si>
  <si>
    <t>AMAZON,BLK01,KOHLDSN,MACY02,NRTPORT,TGTDVS,WALMARTDS</t>
  </si>
  <si>
    <t>8/27/2019</t>
  </si>
  <si>
    <t>TN20-0080</t>
  </si>
  <si>
    <t>AMAZON,AMAZONDS,JCPENNEY01,KOHLDSN,MACY02</t>
  </si>
  <si>
    <t>TN20-0263</t>
  </si>
  <si>
    <t>Blue Polar Bears</t>
  </si>
  <si>
    <t>PF002295</t>
  </si>
  <si>
    <t>9/29/2017</t>
  </si>
  <si>
    <t>BLK01,JCPENNEY01,KOHLDSN,MACY02,OLLIIX,OVERSTOCK01,WALMARTDS</t>
  </si>
  <si>
    <t>10/7/2019</t>
  </si>
  <si>
    <t>TN20-0264</t>
  </si>
  <si>
    <t>BLK01,CSNSTORES,DESINC,FINGERHUTDS,JCPENNEY01,KOHLDSN,MACY02</t>
  </si>
  <si>
    <t>9/30/2019</t>
  </si>
  <si>
    <t>TN20-0265</t>
  </si>
  <si>
    <t>AMAZON,BLK01,DESINC,FINGERHUTDS,JCPENNEY01,KOHLDSN,MACY02,NRTPORT</t>
  </si>
  <si>
    <t>10/3/2019</t>
  </si>
  <si>
    <t>TN20-0266</t>
  </si>
  <si>
    <t>AMAZON,BLK01,HSNDS,JCPENNEY01,KOHLDSN,MACY02,OVERSTOCK01</t>
  </si>
  <si>
    <t>TN20-0267</t>
  </si>
  <si>
    <t>CSNSTORES,FINGERHUTDS,JCPENNEY01,KOHLDSN,MACY02</t>
  </si>
  <si>
    <t>10/9/2019</t>
  </si>
  <si>
    <t>TN20-0563</t>
  </si>
  <si>
    <t>White Village Print</t>
  </si>
  <si>
    <t>PP000954;PF006337</t>
  </si>
  <si>
    <t>AMAZON,BLK01,HDDS,KOHLDSN,MACY02,TGTDVS</t>
  </si>
  <si>
    <t>TN20-0564</t>
  </si>
  <si>
    <t>KOHLDSN,MACY02,TGTDVS</t>
  </si>
  <si>
    <t>10/15/2024</t>
  </si>
  <si>
    <t>TN20-0565</t>
  </si>
  <si>
    <t>HDDS,JCPENNEY01,KOHLDSN,MACY02</t>
  </si>
  <si>
    <t>10/22/2024</t>
  </si>
  <si>
    <t>TN20-0566</t>
  </si>
  <si>
    <t>10/31/2024</t>
  </si>
  <si>
    <t>11/4/2024</t>
  </si>
  <si>
    <t>TN20-0567</t>
  </si>
  <si>
    <t>AMAZON,BLK01,JCPENNEY01,KOHLDSN,MACY02,TGTDVS</t>
  </si>
  <si>
    <t>TN20-0568</t>
  </si>
  <si>
    <t>AMAZON,KOHLDSN,MACY02</t>
  </si>
  <si>
    <t>10/4/2024</t>
  </si>
  <si>
    <t>TN20-0275</t>
  </si>
  <si>
    <t>Pink Plaid</t>
  </si>
  <si>
    <t>PF002297</t>
  </si>
  <si>
    <t>9/28/2017</t>
  </si>
  <si>
    <t>10/21/2019</t>
  </si>
  <si>
    <t>TN20-0276</t>
  </si>
  <si>
    <t>AMAZONDS,FINGERHUTDS,KOHLDSN,MACY02,OVERSTOCK01,TGTDVS,WALMARTDS</t>
  </si>
  <si>
    <t>TN20-0277</t>
  </si>
  <si>
    <t>AMAZON,AMAZONDS,FINGERHUTDS,KOHLDSN,MACY02</t>
  </si>
  <si>
    <t>TN20-0278</t>
  </si>
  <si>
    <t>AMAZON,AMAZONDS,BLK01,JCPENNEY01,KOHLDSN,MACY02,NRTPORT</t>
  </si>
  <si>
    <t>9/3/2019</t>
  </si>
  <si>
    <t>TN20-0279</t>
  </si>
  <si>
    <t>AMAZON,BLK01,KOHLDSN,MACY02,OVERSTOCK01</t>
  </si>
  <si>
    <t>TN20-0415</t>
  </si>
  <si>
    <t>Blush Dots</t>
  </si>
  <si>
    <t>PP000954;PF004715</t>
  </si>
  <si>
    <t>Print</t>
  </si>
  <si>
    <t>Transitional</t>
  </si>
  <si>
    <t>8/5/2019</t>
  </si>
  <si>
    <t>AMAZON,BLK01,JCPENNEY01,KOHLDSN,MACY02,NRTPORT,OVERSTOCK01,TGTDVS</t>
  </si>
  <si>
    <t>10/10/2019</t>
  </si>
  <si>
    <t>10/23/2019</t>
  </si>
  <si>
    <t>TN20-0417</t>
  </si>
  <si>
    <t>AMAZON,AMAZONDS,BLK01,JCPENNEY01,KOHLDSN,MACY02,NRTPORT,OVERSTOCK01,TGTDVS</t>
  </si>
  <si>
    <t>10/15/2019</t>
  </si>
  <si>
    <t>TN20-0418</t>
  </si>
  <si>
    <t>BLK01,CSNSTORES,JCPENNEY01,KOHLDSN,MACY02,OLLIIX,TGTDVS,WALMARTDS</t>
  </si>
  <si>
    <t>10/14/2019</t>
  </si>
  <si>
    <t>TN20-0419</t>
  </si>
  <si>
    <t>AMAZON,BLK01,JCPENNEY01,KOHLDSN,MACY02,NRTPORT</t>
  </si>
  <si>
    <t>10/30/2019</t>
  </si>
  <si>
    <t>TN20-0061</t>
  </si>
  <si>
    <t>Tan/Blue Snowflakes</t>
  </si>
  <si>
    <t>PF002276</t>
  </si>
  <si>
    <t>AMAZON,AMAZONDS,BLK01,JCPENNEY01,KOHLDSN,MACY02,OVERSTOCK01</t>
  </si>
  <si>
    <t>9/25/2019</t>
  </si>
  <si>
    <t>TN20-0062</t>
  </si>
  <si>
    <t>AMAZON,BLK01,FINGERHUTDS,JCPENNEY01,KOHLDSN,MACY02</t>
  </si>
  <si>
    <t>TN20-0063</t>
  </si>
  <si>
    <t>AMAZON,AMAZONDS,BLK01,CSNSTORES,DESINC,FINGERHUTDS,KOHLDSN,MACY02,NRTPORT</t>
  </si>
  <si>
    <t>8/30/2019</t>
  </si>
  <si>
    <t>TN20-0064</t>
  </si>
  <si>
    <t>AMAZON,BLK01,CSNSTORES,JCPENNEY01,KOHLDSN,MACY02</t>
  </si>
  <si>
    <t>TN20-0405</t>
  </si>
  <si>
    <t>Seafoam Llama</t>
  </si>
  <si>
    <t>PP000954;PF004713</t>
  </si>
  <si>
    <t>7/25/2019</t>
  </si>
  <si>
    <t>10/31/2019</t>
  </si>
  <si>
    <t>TN20-0406</t>
  </si>
  <si>
    <t>2/14/2025</t>
  </si>
  <si>
    <t>AMAZON,AMAZONDS,JCPENNEY01,KOHLDSN,MACY02,OVERSTOCK01,TGTDVS,WALMARTDS</t>
  </si>
  <si>
    <t>10/18/2019</t>
  </si>
  <si>
    <t>TN20-0407</t>
  </si>
  <si>
    <t>AMAZON,AMAZONDS,JCPENNEY01,KOHLDSN,MACY02,TGTDVS</t>
  </si>
  <si>
    <t>TN20-0408</t>
  </si>
  <si>
    <t>BLK01,JCPENNEY01,KOHLDSN,MACY02,NRTPORT,TGTDVS</t>
  </si>
  <si>
    <t>10/16/2019</t>
  </si>
  <si>
    <t>TN20-0409</t>
  </si>
  <si>
    <t>BLK01,JCPENNEY01,KOHLDSN,MACY02,OVERSTOCK01</t>
  </si>
  <si>
    <t>TN20-0111</t>
  </si>
  <si>
    <t>Ivory Solid</t>
  </si>
  <si>
    <t>PF002286</t>
  </si>
  <si>
    <t>Solid</t>
  </si>
  <si>
    <t>9/20/2017</t>
  </si>
  <si>
    <t>AMAZON,JCPENNEY01,KOHLDSN,MACY02,TGTDVS,WALMARTDS</t>
  </si>
  <si>
    <t>TN20-0112</t>
  </si>
  <si>
    <t>AMAZON,AMAZONDS,BLK01,JCPENNEY01,KOHLDSN,MACY02,TGTDVS,WALMARTDS</t>
  </si>
  <si>
    <t>TN20-0113</t>
  </si>
  <si>
    <t>AMAZON,BLK01,JCPENNEY01,KOHLDSN,MACY02,NRTPORT,OVERSTOCK01</t>
  </si>
  <si>
    <t>9/6/2019</t>
  </si>
  <si>
    <t>TN20-0114</t>
  </si>
  <si>
    <t>AMAZON,BLK01,KOHLDSN,MACY02,NRTPORT</t>
  </si>
  <si>
    <t>9/23/2019</t>
  </si>
  <si>
    <t>TN20-0115</t>
  </si>
  <si>
    <t>AMAZON,BLK01,JCPENNEY01,MACY02,OVERSTOCK01</t>
  </si>
  <si>
    <t>9/1/2019</t>
  </si>
  <si>
    <t>TN20-0251</t>
  </si>
  <si>
    <t>Multi Leaves</t>
  </si>
  <si>
    <t>PF002294</t>
  </si>
  <si>
    <t>1/28/2025</t>
  </si>
  <si>
    <t>9/11/2019</t>
  </si>
  <si>
    <t>TN20-0252</t>
  </si>
  <si>
    <t>10/6/2017</t>
  </si>
  <si>
    <t>AMAZONDS,FINGERHUTDS,JCPENNEY01,KOHLDSN,MACY02,TGTDVS</t>
  </si>
  <si>
    <t>TN20-0253</t>
  </si>
  <si>
    <t>AMAZON,BLK01,CSNSTORES,KOHLDSN,MACY02,TGTDVS</t>
  </si>
  <si>
    <t>TN20-0254</t>
  </si>
  <si>
    <t>AMAZON,BLK01,JCPENNEY01,KOHLDSN,MACY02</t>
  </si>
  <si>
    <t>TN20-0255</t>
  </si>
  <si>
    <t>AMAZON,AMAZONDS,BLK01,JCPENNEY01,KOHLDSN,MACY02,OLLIIX</t>
  </si>
  <si>
    <t>TN20-0256</t>
  </si>
  <si>
    <t>TN20-0371</t>
  </si>
  <si>
    <t>Multi Sloth</t>
  </si>
  <si>
    <t>PP000954;PF004391</t>
  </si>
  <si>
    <t>8/7/2018</t>
  </si>
  <si>
    <t>AMAZON,BLK01,JCPENNEY01,KOHLDSN,MACY02,NRTPORT,TGTDVS</t>
  </si>
  <si>
    <t>9/28/2018</t>
  </si>
  <si>
    <t>11/12/2019</t>
  </si>
  <si>
    <t>TN20-0373</t>
  </si>
  <si>
    <t>11/26/2018</t>
  </si>
  <si>
    <t>TN20-0374</t>
  </si>
  <si>
    <t>AMAZONDS,KOHLDSN,MACY02,NRTPORT,TGTDVS</t>
  </si>
  <si>
    <t>11/19/2018</t>
  </si>
  <si>
    <t>TN20-0375</t>
  </si>
  <si>
    <t>AMAZON,AMAZONDS,JCPENNEY01,KOHLDSN,MACY02,OVERSTOCK01,TGTDVS</t>
  </si>
  <si>
    <t>TN20-0359</t>
  </si>
  <si>
    <t>Aqua Dots</t>
  </si>
  <si>
    <t>PP000954;PF004388</t>
  </si>
  <si>
    <t>Polka Dots</t>
  </si>
  <si>
    <t>8/29/2018</t>
  </si>
  <si>
    <t>AMAZON,BLK01,JCPENNEY01,KOHLDSN,MACY02,OLLIIX,TGTDVS</t>
  </si>
  <si>
    <t>10/8/2018</t>
  </si>
  <si>
    <t>11/6/2018</t>
  </si>
  <si>
    <t>TN20-0361</t>
  </si>
  <si>
    <t>10/3/2018</t>
  </si>
  <si>
    <t>11/2/2018</t>
  </si>
  <si>
    <t>TN20-0362</t>
  </si>
  <si>
    <t>JCPENNEY01,KOHLDSN,MACY02,OLLIIX,TGTDVS</t>
  </si>
  <si>
    <t>10/31/2018</t>
  </si>
  <si>
    <t>TN20-0363</t>
  </si>
  <si>
    <t>AMAZON,AMAZONDS,BLK01,JCPENNEY01,KOHLDSN,MACY02,NRTPORT,TGTDVS</t>
  </si>
  <si>
    <t>10/30/2018</t>
  </si>
  <si>
    <t>TN20-0365</t>
  </si>
  <si>
    <t>Grey Penguins</t>
  </si>
  <si>
    <t>PP000954;PF004389</t>
  </si>
  <si>
    <t>AMAZON,AMAZONDS,KOHLDSN</t>
  </si>
  <si>
    <t>11/12/2018</t>
  </si>
  <si>
    <t>TN20-0367</t>
  </si>
  <si>
    <t>AMAZONDS,BLK01,FINGERHUTDS,JCPENNEY01,KOHLDSN,MACY02,TGTDVS</t>
  </si>
  <si>
    <t>11/13/2018</t>
  </si>
  <si>
    <t>TN20-0368</t>
  </si>
  <si>
    <t>AMAZON</t>
  </si>
  <si>
    <t>TN20-0369</t>
  </si>
  <si>
    <t>TN20-0106</t>
  </si>
  <si>
    <t>Grey Solid</t>
  </si>
  <si>
    <t>PF002287</t>
  </si>
  <si>
    <t>AMAZON,BLK01,FINGERHUTDS,KOHLDSN,MACY02,OLLIIX,TGTDVS</t>
  </si>
  <si>
    <t>TN20-0107</t>
  </si>
  <si>
    <t>9/17/2019</t>
  </si>
  <si>
    <t>TN20-0108</t>
  </si>
  <si>
    <t>AMAZONDS,JCPENNEY01,KOHLDSN,MACY02,OLLIIX,TGTDVS</t>
  </si>
  <si>
    <t>8/31/2019</t>
  </si>
  <si>
    <t>TN20-0109</t>
  </si>
  <si>
    <t>AMAZON,BLK01,KOHLDSN,MACY02</t>
  </si>
  <si>
    <t>TN20-0110</t>
  </si>
  <si>
    <t>AMAZON,AMAZONDS,KOHLDSN,TGTDVS</t>
  </si>
  <si>
    <t>10/8/2019</t>
  </si>
  <si>
    <t>TN20-0210</t>
  </si>
  <si>
    <t>Tan Plaid</t>
  </si>
  <si>
    <t>PF002278</t>
  </si>
  <si>
    <t>AMAZON,BLK01,FINGERHUTDS,JCPENNEY01,KOHLDSN,MACY02,OVERSTOCK01,TGTDVS,WALMARTDS</t>
  </si>
  <si>
    <t>9/19/2019</t>
  </si>
  <si>
    <t>TN20-0072</t>
  </si>
  <si>
    <t>AMAZON,BLK01,JCPENNEY01,KOHLDSN,MACY02,OVERSTOCK01</t>
  </si>
  <si>
    <t>TN20-0073</t>
  </si>
  <si>
    <t>AMAZON,AMAZONDS,BLK01,CSNSTORES,DESINC,FINGERHUTDS,JCPENNEY01,KOHLDSN,MACY02,TGTDVS</t>
  </si>
  <si>
    <t>TN20-0074</t>
  </si>
  <si>
    <t>AMAZON,BLK01,FINGERHUTDS,KOHLDSN,MACY02</t>
  </si>
  <si>
    <t>TN20-0075</t>
  </si>
  <si>
    <t>5/5/2017</t>
  </si>
  <si>
    <t>AMAZON,JCPENNEY01,MACY02</t>
  </si>
  <si>
    <t>TN20-0410</t>
  </si>
  <si>
    <t>Bear</t>
  </si>
  <si>
    <t>PP000954;PF004714</t>
  </si>
  <si>
    <t>AMAZON,BLK01,JCPENNEY01,KOHLDSN,MACY02,OVERSTOCK01,TGTDVS</t>
  </si>
  <si>
    <t>11/25/2019</t>
  </si>
  <si>
    <t>TN20-0411</t>
  </si>
  <si>
    <t>10/20/2020</t>
  </si>
  <si>
    <t>TN20-0412</t>
  </si>
  <si>
    <t>11/5/2019</t>
  </si>
  <si>
    <t>TN20-0413</t>
  </si>
  <si>
    <t>TN20-0414</t>
  </si>
  <si>
    <t>AMAZON,KOHLDSN,TGTDVS</t>
  </si>
  <si>
    <t>11/13/2019</t>
  </si>
  <si>
    <t>TN20-0221</t>
  </si>
  <si>
    <t>Aqua French Bulldog</t>
  </si>
  <si>
    <t>PF002289</t>
  </si>
  <si>
    <t>DESINC,JCPENNEY01,KOHLDSN,MACY02,TGTDVS</t>
  </si>
  <si>
    <t>10/9/2017</t>
  </si>
  <si>
    <t>11/13/2017</t>
  </si>
  <si>
    <t>TN20-0222</t>
  </si>
  <si>
    <t>TN20-0223</t>
  </si>
  <si>
    <t>BLK01,FINGERHUTDS,KOHLDSN,MACY02,TGTDVS</t>
  </si>
  <si>
    <t>TN20-0224</t>
  </si>
  <si>
    <t>TN20-0225</t>
  </si>
  <si>
    <t>TN20-0226</t>
  </si>
  <si>
    <t>TN20-0516</t>
  </si>
  <si>
    <t>Gray/Taupe Nordic</t>
  </si>
  <si>
    <t>PP000954;PF006048</t>
  </si>
  <si>
    <t>8/19/2023</t>
  </si>
  <si>
    <t>AMAZON,KOHLDSN,MACY02,OVERSTOCK01</t>
  </si>
  <si>
    <t>1/21/2024</t>
  </si>
  <si>
    <t>TN20-0517</t>
  </si>
  <si>
    <t>TN20-0518</t>
  </si>
  <si>
    <t>7/10/2024</t>
  </si>
  <si>
    <t>TN20-0519</t>
  </si>
  <si>
    <t>8/22/2023</t>
  </si>
  <si>
    <t>7/19/2024</t>
  </si>
  <si>
    <t>TN20-0520</t>
  </si>
  <si>
    <t>1/23/2024</t>
  </si>
  <si>
    <t>TN20-0521</t>
  </si>
  <si>
    <t>TN20-0353</t>
  </si>
  <si>
    <t>Grey Dots</t>
  </si>
  <si>
    <t>PP000954;PF004387</t>
  </si>
  <si>
    <t>AMAZON,JCPENNEY01,KOHLDSN,TGTDVS</t>
  </si>
  <si>
    <t>TN20-0355</t>
  </si>
  <si>
    <t>JCPENNEY01,KOHLDSN,MACY02,OVERSTOCK01</t>
  </si>
  <si>
    <t>11/5/2018</t>
  </si>
  <si>
    <t>TN20-0356</t>
  </si>
  <si>
    <t>AMAZON,AMAZONDS,BLK01,CSNSTORES,JCPENNEY01,KOHLDSN,MACY02,OVERSTOCK01</t>
  </si>
  <si>
    <t>10/29/2018</t>
  </si>
  <si>
    <t>TN20-0357</t>
  </si>
  <si>
    <t>AMAZON,JCPENNEY01,KOHLDSN,MACY02,NRTPORT,OVERSTOCK01,TGTDVS</t>
  </si>
  <si>
    <t>TN20-0121</t>
  </si>
  <si>
    <t>Blue Solid</t>
  </si>
  <si>
    <t>PF002288</t>
  </si>
  <si>
    <t>AMAZON,AMAZONDS,KOHLDSN,MACY02</t>
  </si>
  <si>
    <t>TN20-0122</t>
  </si>
  <si>
    <t>FINGERHUTDS,JCPENNEY01,KOHLDSN,MACY02,TGTDVS</t>
  </si>
  <si>
    <t>TN20-0123</t>
  </si>
  <si>
    <t>BLK01,CSNSTORES,JCPENNEY01,KOHLDSN,MACY02,NRTPORT,TGTDVS</t>
  </si>
  <si>
    <t>TN20-0124</t>
  </si>
  <si>
    <t>TN20-0116</t>
  </si>
  <si>
    <t>Tan Solid</t>
  </si>
  <si>
    <t>PF002285</t>
  </si>
  <si>
    <t>9/10/2019</t>
  </si>
  <si>
    <t>TN20-0117</t>
  </si>
  <si>
    <t>BLK01,KOHLDSN,MACY02,TGTDVS</t>
  </si>
  <si>
    <t>TN20-0118</t>
  </si>
  <si>
    <t>TN20-0119</t>
  </si>
  <si>
    <t>TN20-0120</t>
  </si>
  <si>
    <t>AMAZON,BLK01,KOHLDSN</t>
  </si>
  <si>
    <t>12/6/2019</t>
  </si>
  <si>
    <t>TN20-0377</t>
  </si>
  <si>
    <t>Grey Dogs</t>
  </si>
  <si>
    <t>PP000954;PF004390</t>
  </si>
  <si>
    <t>11/16/2018</t>
  </si>
  <si>
    <t>TN20-0379</t>
  </si>
  <si>
    <t>AMAZON,AMAZONDS,BLK01,FINGERHUTDS,JCPENNEY01,KOHLDSN,MACY02,OVERSTOCK01,TGTDVS,WALMARTDS</t>
  </si>
  <si>
    <t>TN20-0380</t>
  </si>
  <si>
    <t>AMAZON,JCPENNEY01,KOHLDSN,MACY02,OLLIIX,TGTDVS</t>
  </si>
  <si>
    <t>TN20-0381</t>
  </si>
  <si>
    <t>AMAZONDS,CSNSTORES,FINGERHUTDS,JCPENNEY01,KOHLDSN,MACY02,OLLIIX,TGTDVS</t>
  </si>
  <si>
    <t>11/14/2018</t>
  </si>
  <si>
    <t>TN20-0227</t>
  </si>
  <si>
    <t>Pink French Bulldog</t>
  </si>
  <si>
    <t>PF002290</t>
  </si>
  <si>
    <t>AMAZON,AMAZONDS,KOHLDSN,MACY02,OVERSTOCK01,TGTDVS</t>
  </si>
  <si>
    <t>TN20-0228</t>
  </si>
  <si>
    <t>AMAZON,FINGERHUTDS,JCPENNEY01,KOHLDSN,TGTDVS</t>
  </si>
  <si>
    <t>TN20-0229</t>
  </si>
  <si>
    <t>11/14/2017</t>
  </si>
  <si>
    <t>TN20-0230</t>
  </si>
  <si>
    <t>AMAZON,BLK01,JCPENNEY01,KOHLDSN,MACY02,NRTPORT,OLLIIX</t>
  </si>
  <si>
    <t>TN20-0231</t>
  </si>
  <si>
    <t>AMAZON,KOHLDSN,MACY02,OLLIIX</t>
  </si>
  <si>
    <t>11/20/2017</t>
  </si>
  <si>
    <t>TN20-0269</t>
  </si>
  <si>
    <t>Multi Forest Animals</t>
  </si>
  <si>
    <t>PF002296</t>
  </si>
  <si>
    <t>11/6/2017</t>
  </si>
  <si>
    <t>TN20-0270</t>
  </si>
  <si>
    <t>AMAZON,JCPENNEY01,KOHLDSN,MACY02,OVERSTOCK01,TGTDVS</t>
  </si>
  <si>
    <t>4/1/2020</t>
  </si>
  <si>
    <t>TN20-0271</t>
  </si>
  <si>
    <t>AMAZON,AMAZONDS,KOHLDSN,MACY02,TGTDVS,WALMARTDS</t>
  </si>
  <si>
    <t>11/8/2017</t>
  </si>
  <si>
    <t>TN20-0272</t>
  </si>
  <si>
    <t>11/3/2017</t>
  </si>
  <si>
    <t>TN20-0273</t>
  </si>
  <si>
    <t>11/12/2017</t>
  </si>
  <si>
    <t>TN20-0239</t>
  </si>
  <si>
    <t>Grey Geo</t>
  </si>
  <si>
    <t>PF002291</t>
  </si>
  <si>
    <t>Geometric</t>
  </si>
  <si>
    <t>BLK01,JCPENNEY01,KOHLDSN,MACY02,OLLIIX</t>
  </si>
  <si>
    <t>TN20-0240</t>
  </si>
  <si>
    <t>10/30/2017</t>
  </si>
  <si>
    <t>TN20-0241</t>
  </si>
  <si>
    <t>AMAZON,FINGERHUTDS,JCPENNEY01,KOHLDSN,MACY02</t>
  </si>
  <si>
    <t>TN20-0242</t>
  </si>
  <si>
    <t>11/1/2017</t>
  </si>
  <si>
    <t>TN20-0243</t>
  </si>
  <si>
    <t>BLK01,JCPENNEY01,KOHLDSN,MACY02,OVERSTOCK01,TGTDVS</t>
  </si>
  <si>
    <t>10/31/2017</t>
  </si>
  <si>
    <t>TN20-0244</t>
  </si>
  <si>
    <t>TN20-0468</t>
  </si>
  <si>
    <t>Blue Cars</t>
  </si>
  <si>
    <t>Donation</t>
  </si>
  <si>
    <t>C</t>
  </si>
  <si>
    <t>PP000954;PF005500</t>
  </si>
  <si>
    <t>9/7/2021</t>
  </si>
  <si>
    <t>2/11/2022</t>
  </si>
  <si>
    <t>4/4/2022</t>
  </si>
  <si>
    <t>TN20-0469</t>
  </si>
  <si>
    <t>5/30/2022</t>
  </si>
  <si>
    <t>TN20-0470</t>
  </si>
  <si>
    <t>AMAZON,AMAZONDS,CSNSTORES,KOHLDSN,TGTDVS</t>
  </si>
  <si>
    <t>3/22/2022</t>
  </si>
  <si>
    <t>TN20-0383</t>
  </si>
  <si>
    <t>Blue Forest</t>
  </si>
  <si>
    <t>PP000954;PF004392</t>
  </si>
  <si>
    <t>TN20-0385</t>
  </si>
  <si>
    <t>TN20-0386</t>
  </si>
  <si>
    <t>TN20-0387</t>
  </si>
  <si>
    <t>AMAZON,AMAZONDS,HSNDS,JCPENNEY01,KOHLDSN,MACY02,TGTDVS</t>
  </si>
  <si>
    <t>TN20-0245</t>
  </si>
  <si>
    <t>Blue Geo</t>
  </si>
  <si>
    <t>PF002292</t>
  </si>
  <si>
    <t>AMAZON,AMAZONDS,BLK01,FINGERHUTDS,JCPENNEY01,KOHLDSN,MACY02,TGTDVS,WALMARTDS</t>
  </si>
  <si>
    <t>TN20-0246</t>
  </si>
  <si>
    <t>AMAZON,BLK01,JCPENNEY01,OVERSTOCK01,WALMARTDS</t>
  </si>
  <si>
    <t>TN20-0247</t>
  </si>
  <si>
    <t>AMAZON,BLK01,FINGERHUTDS,JCPENNEY01,KOHLDSN,MACY02,TGTDVS</t>
  </si>
  <si>
    <t>TN20-0248</t>
  </si>
  <si>
    <t>AMAZONDS,BLK01,JCPENNEY01,KOHLDSN,MACY02,OVERSTOCK01,WALMARTDS</t>
  </si>
  <si>
    <t>TN20-0249</t>
  </si>
  <si>
    <t>AMAZON,BLK01,JCPENNEY01,KOHLDSN</t>
  </si>
  <si>
    <t>TN20-0424</t>
  </si>
  <si>
    <t>Reindeer</t>
  </si>
  <si>
    <t>Close-out</t>
  </si>
  <si>
    <t>PP000954;PF004716</t>
  </si>
  <si>
    <t>11/29/2019</t>
  </si>
  <si>
    <t>TN20-0589</t>
  </si>
  <si>
    <t>Micro Fleece</t>
  </si>
  <si>
    <t>Sheet Set</t>
  </si>
  <si>
    <t>Aqua</t>
  </si>
  <si>
    <t>PP001622;PF006393</t>
  </si>
  <si>
    <t>Fleece</t>
  </si>
  <si>
    <t>Modern/Contemporary</t>
  </si>
  <si>
    <t>8/31/2024</t>
  </si>
  <si>
    <t>9/5/2024</t>
  </si>
  <si>
    <t>TN20-0590</t>
  </si>
  <si>
    <t>10/9/2024</t>
  </si>
  <si>
    <t>TN20-0591</t>
  </si>
  <si>
    <t>10/11/2024</t>
  </si>
  <si>
    <t>TN20-0592</t>
  </si>
  <si>
    <t>TN20-0593</t>
  </si>
  <si>
    <t>TN20-0594</t>
  </si>
  <si>
    <t>AMAZON,KOHLDSN,MACY02,OVERSTOCK01,TGTDVS</t>
  </si>
  <si>
    <t>11/5/2024</t>
  </si>
  <si>
    <t>PC20-124</t>
  </si>
  <si>
    <t>Ivory</t>
  </si>
  <si>
    <t>PF001746</t>
  </si>
  <si>
    <t>KOHLDSN,MACY02</t>
  </si>
  <si>
    <t>10/11/2018</t>
  </si>
  <si>
    <t>SHET20-747</t>
  </si>
  <si>
    <t>HSNDS,KOHLDSN,OVERSTOCK01</t>
  </si>
  <si>
    <t>10/10/2018</t>
  </si>
  <si>
    <t>PC20-125</t>
  </si>
  <si>
    <t>PC20-126</t>
  </si>
  <si>
    <t>AMAZON,HSNDS,JCPENNEY01,KOHLDSN,MACY02</t>
  </si>
  <si>
    <t>9/21/2018</t>
  </si>
  <si>
    <t>PC20-127</t>
  </si>
  <si>
    <t>AMAZON,HSNDS,KOHLDSN,MACY02,OVERSTOCK01</t>
  </si>
  <si>
    <t>SHET20-748</t>
  </si>
  <si>
    <t>AMAZONDS,MACY02,OLLIIX,TGTDVS</t>
  </si>
  <si>
    <t>10/7/2018</t>
  </si>
  <si>
    <t>SHET20-526</t>
  </si>
  <si>
    <t>Grey</t>
  </si>
  <si>
    <t>PF001774</t>
  </si>
  <si>
    <t>SHET20-735</t>
  </si>
  <si>
    <t>SHET20-527</t>
  </si>
  <si>
    <t>10/15/2018</t>
  </si>
  <si>
    <t>SHET20-528</t>
  </si>
  <si>
    <t>9/25/2018</t>
  </si>
  <si>
    <t>SHET20-529</t>
  </si>
  <si>
    <t>AMAZON,CSNSTORES,KOHLDSN,MACY02</t>
  </si>
  <si>
    <t>SHET20-736</t>
  </si>
  <si>
    <t>10/17/2018</t>
  </si>
  <si>
    <t>PC20-001</t>
  </si>
  <si>
    <t>Khaki</t>
  </si>
  <si>
    <t>PF001674</t>
  </si>
  <si>
    <t>AMAZON,MACY02</t>
  </si>
  <si>
    <t>10/22/2018</t>
  </si>
  <si>
    <t>SHET20-741</t>
  </si>
  <si>
    <t>JCPENNEY01,KOHLDSN,MACY02</t>
  </si>
  <si>
    <t>PC20-002</t>
  </si>
  <si>
    <t>PC20-003</t>
  </si>
  <si>
    <t>AMAZON,CSNSTORES,JCPENNEY01,KOHLDSN,MACY02,OVERSTOCK01</t>
  </si>
  <si>
    <t>PC20-004</t>
  </si>
  <si>
    <t>AMAZON,CSNSTORES,JCPENNEY01,KOHLDSN,MACY02,OLLIIX</t>
  </si>
  <si>
    <t>10/21/2018</t>
  </si>
  <si>
    <t>SHET20-742</t>
  </si>
  <si>
    <t>PC20-009</t>
  </si>
  <si>
    <t>Blue</t>
  </si>
  <si>
    <t>PF001563</t>
  </si>
  <si>
    <t>SHET20-745</t>
  </si>
  <si>
    <t>PC20-010</t>
  </si>
  <si>
    <t>AMAZONDS,JCPENNEY01,KOHLDSN,MACY02,OVERSTOCK01</t>
  </si>
  <si>
    <t>10/24/2018</t>
  </si>
  <si>
    <t>PC20-011</t>
  </si>
  <si>
    <t>AMAZON,AMAZONDS,JCPENNEY01,KOHLDSN,MACY02,OVERSTOCK01</t>
  </si>
  <si>
    <t>PC20-012</t>
  </si>
  <si>
    <t>10/19/2018</t>
  </si>
  <si>
    <t>SHET20-746</t>
  </si>
  <si>
    <t>TN20-0528</t>
  </si>
  <si>
    <t>PP001622;PF006087</t>
  </si>
  <si>
    <t>10/25/2023</t>
  </si>
  <si>
    <t>AMAZON,MACY02,OVERSTOCK01</t>
  </si>
  <si>
    <t>6/12/2024</t>
  </si>
  <si>
    <t>TN20-0529</t>
  </si>
  <si>
    <t>TN20-0530</t>
  </si>
  <si>
    <t>AMAZON,AMAZONDS,CSNSTORES,KOHLDSN,MACY02</t>
  </si>
  <si>
    <t>7/3/2024</t>
  </si>
  <si>
    <t>TN20-0531</t>
  </si>
  <si>
    <t>TN20-0532</t>
  </si>
  <si>
    <t>Grey Snowflake</t>
  </si>
  <si>
    <t>PP001622;PF006088</t>
  </si>
  <si>
    <t>TN20-0533</t>
  </si>
  <si>
    <t>TN20-0534</t>
  </si>
  <si>
    <t>AMAZON,KOHLDSN</t>
  </si>
  <si>
    <t>7/2/2024</t>
  </si>
  <si>
    <t>TN20-0535</t>
  </si>
  <si>
    <t>TN20-0448</t>
  </si>
  <si>
    <t>Navy</t>
  </si>
  <si>
    <t>PP001622;PF005446</t>
  </si>
  <si>
    <t>5/27/2021</t>
  </si>
  <si>
    <t>3/21/2022</t>
  </si>
  <si>
    <t>TN20-0449</t>
  </si>
  <si>
    <t>3/15/2022</t>
  </si>
  <si>
    <t>TN20-0450</t>
  </si>
  <si>
    <t>5/28/2021</t>
  </si>
  <si>
    <t>TN20-0451</t>
  </si>
  <si>
    <t>HDDS,JCPENNEY01,KOHLDSN,MACY02,TGTDVS</t>
  </si>
  <si>
    <t>3/9/2022</t>
  </si>
  <si>
    <t>TN20-0452</t>
  </si>
  <si>
    <t>AMAZON,CSNSTORES,KOHLDSN,MACY02,OLLIIX,OVERSTOCK01</t>
  </si>
  <si>
    <t>4/20/2022</t>
  </si>
  <si>
    <t>TN20-0453</t>
  </si>
  <si>
    <t>SHET20-792</t>
  </si>
  <si>
    <t>Lavender</t>
  </si>
  <si>
    <t>PF001777</t>
  </si>
  <si>
    <t>SHET20-796</t>
  </si>
  <si>
    <t>SHET20-793</t>
  </si>
  <si>
    <t>SHET20-794</t>
  </si>
  <si>
    <t>AMAZON,CSNSTORES,DESINC,JCPENNEY01,KOHLDSN,MACY02,OVERSTOCK01,TGTDVS</t>
  </si>
  <si>
    <t>SHET20-795</t>
  </si>
  <si>
    <t>CSNSTORES,KOHLDSN,MACY02,TGTDVS</t>
  </si>
  <si>
    <t>SHET20-797</t>
  </si>
  <si>
    <t>SHET20-996</t>
  </si>
  <si>
    <t>Grey Plaid</t>
  </si>
  <si>
    <t>PF002215</t>
  </si>
  <si>
    <t>SHET20-997</t>
  </si>
  <si>
    <t>SHET20-998</t>
  </si>
  <si>
    <t>SHET20-999</t>
  </si>
  <si>
    <t>10/9/2018</t>
  </si>
  <si>
    <t>SHET20-534</t>
  </si>
  <si>
    <t>Red</t>
  </si>
  <si>
    <t>PF001776</t>
  </si>
  <si>
    <t>SHET20-739</t>
  </si>
  <si>
    <t>AMAZON,FINGERHUTDS,KOHLDSN,MACY02</t>
  </si>
  <si>
    <t>SHET20-535</t>
  </si>
  <si>
    <t>11/15/2018</t>
  </si>
  <si>
    <t>SHET20-536</t>
  </si>
  <si>
    <t>10/23/2018</t>
  </si>
  <si>
    <t>SHET20-537</t>
  </si>
  <si>
    <t>SHET20-740</t>
  </si>
  <si>
    <t>10/26/2018</t>
  </si>
  <si>
    <t>PC20-005</t>
  </si>
  <si>
    <t>Green</t>
  </si>
  <si>
    <t>PF001735</t>
  </si>
  <si>
    <t>10/25/2018</t>
  </si>
  <si>
    <t>SHET20-743</t>
  </si>
  <si>
    <t>AMAZON,JCPENNEY01,MACY02,WALMARTDS</t>
  </si>
  <si>
    <t>PC20-006</t>
  </si>
  <si>
    <t>PC20-007</t>
  </si>
  <si>
    <t>AMAZON,BLK01,HDDS,JCPENNEY01,KOHLDSN,MACY02</t>
  </si>
  <si>
    <t>PC20-008</t>
  </si>
  <si>
    <t>AMAZON,BLK01,CSNSTORES,KOHLDSN,MACY02</t>
  </si>
  <si>
    <t>SHET20-744</t>
  </si>
  <si>
    <t>9/26/2018</t>
  </si>
  <si>
    <t>TN20-0522</t>
  </si>
  <si>
    <t>Blush</t>
  </si>
  <si>
    <t>PP001622;PF006086</t>
  </si>
  <si>
    <t>10/26/2023</t>
  </si>
  <si>
    <t>TN20-0523</t>
  </si>
  <si>
    <t>TN20-0524</t>
  </si>
  <si>
    <t>TN20-0525</t>
  </si>
  <si>
    <t>TN20-0526</t>
  </si>
  <si>
    <t>KOHLDSN,MACY02,OVERSTOCK01</t>
  </si>
  <si>
    <t>TN20-0527</t>
  </si>
  <si>
    <t>11/6/2024</t>
  </si>
  <si>
    <t>TN20-0460</t>
  </si>
  <si>
    <t>Black</t>
  </si>
  <si>
    <t>PP001622;PF005448</t>
  </si>
  <si>
    <t>9/23/2022</t>
  </si>
  <si>
    <t>TN20-0461</t>
  </si>
  <si>
    <t>5/11/2022</t>
  </si>
  <si>
    <t>TN20-0462</t>
  </si>
  <si>
    <t>TN20-0463</t>
  </si>
  <si>
    <t>4/5/2022</t>
  </si>
  <si>
    <t>TN20-0464</t>
  </si>
  <si>
    <t>4/12/2022</t>
  </si>
  <si>
    <t>TN20-0465</t>
  </si>
  <si>
    <t>9/13/2022</t>
  </si>
  <si>
    <t>SHET20-530</t>
  </si>
  <si>
    <t>Brown</t>
  </si>
  <si>
    <t>PF001775</t>
  </si>
  <si>
    <t>SHET20-737</t>
  </si>
  <si>
    <t>AMAZON,JCPENNEY01,KOHLDSN,MACY02,OLLIIX</t>
  </si>
  <si>
    <t>SHET20-531</t>
  </si>
  <si>
    <t>SHET20-532</t>
  </si>
  <si>
    <t>SHET20-533</t>
  </si>
  <si>
    <t>AMAZON,BLK01,CSNSTORES,DESINC,JCPENNEY01,KOHLDSN,MACY02</t>
  </si>
  <si>
    <t>SHET20-738</t>
  </si>
  <si>
    <t>KOHLDSN,MACY02,OLLIIX</t>
  </si>
  <si>
    <t>SHET20-842</t>
  </si>
  <si>
    <t>Grey Diamond</t>
  </si>
  <si>
    <t>PF001782</t>
  </si>
  <si>
    <t>KOHLDSN</t>
  </si>
  <si>
    <t>7/30/2016</t>
  </si>
  <si>
    <t>12/19/2016</t>
  </si>
  <si>
    <t>TN20-0585</t>
  </si>
  <si>
    <t>Soloft Plush</t>
  </si>
  <si>
    <t>Micro Plush Sheet Set</t>
  </si>
  <si>
    <t>Taupe</t>
  </si>
  <si>
    <t>PP001621;PF006392</t>
  </si>
  <si>
    <t>Plush</t>
  </si>
  <si>
    <t>9/14/2024</t>
  </si>
  <si>
    <t>TN20-0586</t>
  </si>
  <si>
    <t>9/16/2024</t>
  </si>
  <si>
    <t>TN20-0587</t>
  </si>
  <si>
    <t>AMAZON,AMAZONDS,DESINC,KOHLDSN,MACY02,TGTDVS</t>
  </si>
  <si>
    <t>TN20-0588</t>
  </si>
  <si>
    <t>TN20-0581</t>
  </si>
  <si>
    <t>Burgundy</t>
  </si>
  <si>
    <t>PP001621;PF006391</t>
  </si>
  <si>
    <t>AMAZON,AMAZONDS,KOHLDSN,MACY02,OVERSTOCK01</t>
  </si>
  <si>
    <t>10/16/2024</t>
  </si>
  <si>
    <t>TN20-0582</t>
  </si>
  <si>
    <t>TN20-0583</t>
  </si>
  <si>
    <t>TN20-0584</t>
  </si>
  <si>
    <t>10/25/2024</t>
  </si>
  <si>
    <t>BL20-0445</t>
  </si>
  <si>
    <t>PF001663</t>
  </si>
  <si>
    <t>AMAZONDS,KOHLDSN,MACY02</t>
  </si>
  <si>
    <t>12/3/2018</t>
  </si>
  <si>
    <t>BL20-0446</t>
  </si>
  <si>
    <t>BL20-0447</t>
  </si>
  <si>
    <t>AMAZONDS,BEALLSDS,CSNSTORES,JCPENNEY01,KOHLDSN,MACY02</t>
  </si>
  <si>
    <t>BL20-0448</t>
  </si>
  <si>
    <t>BL20-0869</t>
  </si>
  <si>
    <t>PF001719</t>
  </si>
  <si>
    <t>CSNSTORES,KOHLDSN,MACY02</t>
  </si>
  <si>
    <t>BL20-0870</t>
  </si>
  <si>
    <t>AMAZONDS,CSNSTORES,DESINC,KOHLDSN,MACY02</t>
  </si>
  <si>
    <t>BL20-0871</t>
  </si>
  <si>
    <t>1/4/2025</t>
  </si>
  <si>
    <t>BLK01,KOHLDSN,MACY02</t>
  </si>
  <si>
    <t>BL20-0872</t>
  </si>
  <si>
    <t>AMAZON,AMAZONDS,CSNSTORES,KOHLDSN,MACY02,OLLIIX</t>
  </si>
  <si>
    <t>BL20-0453</t>
  </si>
  <si>
    <t>PF001697</t>
  </si>
  <si>
    <t>AMAZONDS,CSNSTORES,KOHLDSN,MACY02,OLLIIX</t>
  </si>
  <si>
    <t>BL20-0454</t>
  </si>
  <si>
    <t>AMAZONDS,KOHLDSN,MACY02,OVERSTOCK01</t>
  </si>
  <si>
    <t>BL20-0455</t>
  </si>
  <si>
    <t>AMAZONDS,CSNSTORES,KOHLDSN,MACY02,OVERSTOCK01</t>
  </si>
  <si>
    <t>BL20-0456</t>
  </si>
  <si>
    <t>9/24/2018</t>
  </si>
  <si>
    <t>BL20-0601</t>
  </si>
  <si>
    <t>PF001708</t>
  </si>
  <si>
    <t>BL20-0602</t>
  </si>
  <si>
    <t>BL20-0603</t>
  </si>
  <si>
    <t>AMAZONDS,CSNSTORES,KOHLDSN,MACY02</t>
  </si>
  <si>
    <t>BL20-0604</t>
  </si>
  <si>
    <t>BL20-0449</t>
  </si>
  <si>
    <t>PF001675</t>
  </si>
  <si>
    <t>BL20-0450</t>
  </si>
  <si>
    <t>8/2/2017</t>
  </si>
  <si>
    <t>BL20-0451</t>
  </si>
  <si>
    <t>4/6/2017</t>
  </si>
  <si>
    <t>BL20-0452</t>
  </si>
  <si>
    <t>AMAZON,DESINC,KOHLDSN,MACY02,OVERSTOCK01</t>
  </si>
  <si>
    <t>BL20-0457</t>
  </si>
  <si>
    <t>PF001686</t>
  </si>
  <si>
    <t>BL20-0458</t>
  </si>
  <si>
    <t>BL20-0459</t>
  </si>
  <si>
    <t>AMAZONDS,DESINC,KOHLDSN,MACY02,OVERSTOCK01</t>
  </si>
  <si>
    <t>11/18/2018</t>
  </si>
  <si>
    <t>BL20-0460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</si>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</sst>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14.89</v>
      </c>
      <c r="M6" s="3">
        <v>15.63</v>
      </c>
      <c r="N6" s="3">
        <v>36.99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653</v>
      </c>
      <c r="AA6" s="4">
        <f>=ROUNDDOWN(28.3913043478261,0)</f>
      </c>
      <c r="AB6" s="5">
        <v>23</v>
      </c>
      <c r="AC6" s="2" t="s">
        <v>98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40</v>
      </c>
      <c r="AQ6" s="8">
        <v>700</v>
      </c>
      <c r="AR6" s="4"/>
      <c r="AS6" s="8"/>
      <c r="AT6" s="7"/>
      <c r="AU6" s="7"/>
      <c r="AV6" s="4">
        <v>298</v>
      </c>
      <c r="AW6" s="8">
        <v>8160.42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0.0858</v>
      </c>
      <c r="BC6" s="4">
        <v>1608</v>
      </c>
      <c r="BD6" s="8">
        <v>40478.4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0.2016</v>
      </c>
      <c r="BJ6" s="4">
        <v>91</v>
      </c>
      <c r="BK6" s="8">
        <v>1518.73</v>
      </c>
      <c r="BL6" s="2" t="s">
        <v>106</v>
      </c>
      <c r="BM6" s="7">
        <v>0.4396</v>
      </c>
      <c r="BN6" s="7">
        <v>0.4609</v>
      </c>
      <c r="BO6" s="4">
        <v>40</v>
      </c>
      <c r="BP6" s="8">
        <v>700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16.16</v>
      </c>
      <c r="M7" s="3">
        <v>16.97</v>
      </c>
      <c r="N7" s="3">
        <v>39.99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113</v>
      </c>
      <c r="Z7" s="4">
        <v>109</v>
      </c>
      <c r="AA7" s="4">
        <f>=ROUNDDOWN(27.25,0)</f>
      </c>
      <c r="AB7" s="5">
        <v>4</v>
      </c>
      <c r="AC7" s="2" t="s">
        <v>98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24</v>
      </c>
      <c r="AQ7" s="8">
        <v>456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0.0559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127</v>
      </c>
      <c r="BK7" s="8">
        <v>2346.28</v>
      </c>
      <c r="BL7" s="2" t="s">
        <v>114</v>
      </c>
      <c r="BM7" s="7">
        <v>0.189</v>
      </c>
      <c r="BN7" s="7">
        <v>0.1944</v>
      </c>
      <c r="BO7" s="4">
        <v>24</v>
      </c>
      <c r="BP7" s="8">
        <v>456</v>
      </c>
      <c r="BQ7" s="4"/>
      <c r="BR7" s="8"/>
      <c r="BS7" s="7"/>
      <c r="BT7" s="7"/>
      <c r="BU7" s="2" t="s">
        <v>107</v>
      </c>
      <c r="BV7" s="2" t="s">
        <v>95</v>
      </c>
      <c r="BW7" s="2" t="s">
        <v>105</v>
      </c>
      <c r="BX7" s="2" t="s">
        <v>115</v>
      </c>
      <c r="BY7" s="2" t="s">
        <v>110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117</v>
      </c>
      <c r="K8" s="2" t="s">
        <v>94</v>
      </c>
      <c r="L8" s="3">
        <v>19.57</v>
      </c>
      <c r="M8" s="3">
        <v>20.55</v>
      </c>
      <c r="N8" s="3">
        <v>47.99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118</v>
      </c>
      <c r="V8" s="2" t="s">
        <v>102</v>
      </c>
      <c r="W8" s="2" t="s">
        <v>103</v>
      </c>
      <c r="X8" s="2" t="s">
        <v>104</v>
      </c>
      <c r="Y8" s="2" t="s">
        <v>113</v>
      </c>
      <c r="Z8" s="4"/>
      <c r="AA8" s="4">
        <f>=ROUNDDOWN({0},0)</f>
      </c>
      <c r="AB8" s="5">
        <v>5</v>
      </c>
      <c r="AC8" s="2" t="s">
        <v>98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45</v>
      </c>
      <c r="AQ8" s="8">
        <v>1052.55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0.129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66</v>
      </c>
      <c r="BK8" s="8">
        <v>1501.67</v>
      </c>
      <c r="BL8" s="2" t="s">
        <v>119</v>
      </c>
      <c r="BM8" s="7">
        <v>0.6818</v>
      </c>
      <c r="BN8" s="7">
        <v>0.7009</v>
      </c>
      <c r="BO8" s="4">
        <v>45</v>
      </c>
      <c r="BP8" s="8">
        <v>1052.55</v>
      </c>
      <c r="BQ8" s="4"/>
      <c r="BR8" s="8"/>
      <c r="BS8" s="7"/>
      <c r="BT8" s="7"/>
      <c r="BU8" s="2" t="s">
        <v>107</v>
      </c>
      <c r="BV8" s="2" t="s">
        <v>95</v>
      </c>
      <c r="BW8" s="2" t="s">
        <v>105</v>
      </c>
      <c r="BX8" s="2" t="s">
        <v>120</v>
      </c>
      <c r="BY8" s="2" t="s">
        <v>110</v>
      </c>
      <c r="BZ8" s="2" t="s">
        <v>98</v>
      </c>
    </row>
    <row r="9">
      <c r="A9" s="2" t="s">
        <v>121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122</v>
      </c>
      <c r="K9" s="2" t="s">
        <v>94</v>
      </c>
      <c r="L9" s="3">
        <v>22.21</v>
      </c>
      <c r="M9" s="3">
        <v>23.32</v>
      </c>
      <c r="N9" s="3">
        <v>52.99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118</v>
      </c>
      <c r="V9" s="2" t="s">
        <v>102</v>
      </c>
      <c r="W9" s="2" t="s">
        <v>103</v>
      </c>
      <c r="X9" s="2" t="s">
        <v>104</v>
      </c>
      <c r="Y9" s="2" t="s">
        <v>113</v>
      </c>
      <c r="Z9" s="4"/>
      <c r="AA9" s="4">
        <f>=ROUNDDOWN({0},0)</f>
      </c>
      <c r="AB9" s="5">
        <v>19</v>
      </c>
      <c r="AC9" s="2" t="s">
        <v>98</v>
      </c>
      <c r="AD9" s="4"/>
      <c r="AE9" s="4"/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38</v>
      </c>
      <c r="AQ9" s="8">
        <v>1006.62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0.1234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167</v>
      </c>
      <c r="BK9" s="8">
        <v>4277.8</v>
      </c>
      <c r="BL9" s="2" t="s">
        <v>123</v>
      </c>
      <c r="BM9" s="7">
        <v>0.2275</v>
      </c>
      <c r="BN9" s="7">
        <v>0.2353</v>
      </c>
      <c r="BO9" s="4">
        <v>38</v>
      </c>
      <c r="BP9" s="8">
        <v>1006.62</v>
      </c>
      <c r="BQ9" s="4"/>
      <c r="BR9" s="8"/>
      <c r="BS9" s="7"/>
      <c r="BT9" s="7"/>
      <c r="BU9" s="2" t="s">
        <v>107</v>
      </c>
      <c r="BV9" s="2" t="s">
        <v>95</v>
      </c>
      <c r="BW9" s="2" t="s">
        <v>105</v>
      </c>
      <c r="BX9" s="2" t="s">
        <v>120</v>
      </c>
      <c r="BY9" s="2" t="s">
        <v>110</v>
      </c>
      <c r="BZ9" s="2" t="s">
        <v>98</v>
      </c>
    </row>
    <row r="10">
      <c r="A10" s="2" t="s">
        <v>124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125</v>
      </c>
      <c r="K10" s="2" t="s">
        <v>94</v>
      </c>
      <c r="L10" s="3">
        <v>27.39</v>
      </c>
      <c r="M10" s="3">
        <v>28.76</v>
      </c>
      <c r="N10" s="3">
        <v>67.99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100</v>
      </c>
      <c r="U10" s="2" t="s">
        <v>118</v>
      </c>
      <c r="V10" s="2" t="s">
        <v>102</v>
      </c>
      <c r="W10" s="2" t="s">
        <v>103</v>
      </c>
      <c r="X10" s="2" t="s">
        <v>104</v>
      </c>
      <c r="Y10" s="2" t="s">
        <v>113</v>
      </c>
      <c r="Z10" s="4"/>
      <c r="AA10" s="4">
        <f>=ROUNDDOWN({0},0)</f>
      </c>
      <c r="AB10" s="5">
        <v>1</v>
      </c>
      <c r="AC10" s="2" t="s">
        <v>98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131</v>
      </c>
      <c r="AQ10" s="8">
        <v>4290.25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0.5257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148</v>
      </c>
      <c r="BK10" s="8">
        <v>4800.45</v>
      </c>
      <c r="BL10" s="2" t="s">
        <v>126</v>
      </c>
      <c r="BM10" s="7">
        <v>0.8851</v>
      </c>
      <c r="BN10" s="7">
        <v>0.8937</v>
      </c>
      <c r="BO10" s="4">
        <v>131</v>
      </c>
      <c r="BP10" s="8">
        <v>4290.25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105</v>
      </c>
      <c r="BX10" s="2" t="s">
        <v>127</v>
      </c>
      <c r="BY10" s="2" t="s">
        <v>110</v>
      </c>
      <c r="BZ10" s="2" t="s">
        <v>98</v>
      </c>
    </row>
    <row r="11">
      <c r="A11" s="2" t="s">
        <v>128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129</v>
      </c>
      <c r="K11" s="2" t="s">
        <v>94</v>
      </c>
      <c r="L11" s="3">
        <v>27.39</v>
      </c>
      <c r="M11" s="3">
        <v>28.76</v>
      </c>
      <c r="N11" s="3">
        <v>67.99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99</v>
      </c>
      <c r="T11" s="2" t="s">
        <v>100</v>
      </c>
      <c r="U11" s="2" t="s">
        <v>118</v>
      </c>
      <c r="V11" s="2" t="s">
        <v>102</v>
      </c>
      <c r="W11" s="2" t="s">
        <v>103</v>
      </c>
      <c r="X11" s="2" t="s">
        <v>104</v>
      </c>
      <c r="Y11" s="2" t="s">
        <v>113</v>
      </c>
      <c r="Z11" s="4">
        <v>307</v>
      </c>
      <c r="AA11" s="4">
        <f>=ROUNDDOWN(23.6153846153846,0)</f>
      </c>
      <c r="AB11" s="5">
        <v>13</v>
      </c>
      <c r="AC11" s="2" t="s">
        <v>98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20</v>
      </c>
      <c r="AQ11" s="8">
        <v>655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0.0803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58</v>
      </c>
      <c r="BK11" s="8">
        <v>1835.4</v>
      </c>
      <c r="BL11" s="2" t="s">
        <v>130</v>
      </c>
      <c r="BM11" s="7">
        <v>0.3448</v>
      </c>
      <c r="BN11" s="7">
        <v>0.3569</v>
      </c>
      <c r="BO11" s="4">
        <v>20</v>
      </c>
      <c r="BP11" s="8">
        <v>655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105</v>
      </c>
      <c r="BX11" s="2" t="s">
        <v>131</v>
      </c>
      <c r="BY11" s="2" t="s">
        <v>110</v>
      </c>
      <c r="BZ11" s="2" t="s">
        <v>98</v>
      </c>
    </row>
    <row r="12">
      <c r="A12" s="2" t="s">
        <v>132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133</v>
      </c>
      <c r="L12" s="3">
        <v>14.89</v>
      </c>
      <c r="M12" s="3">
        <v>15.63</v>
      </c>
      <c r="N12" s="3">
        <v>36.99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134</v>
      </c>
      <c r="T12" s="2" t="s">
        <v>100</v>
      </c>
      <c r="U12" s="2" t="s">
        <v>101</v>
      </c>
      <c r="V12" s="2" t="s">
        <v>135</v>
      </c>
      <c r="W12" s="2" t="s">
        <v>103</v>
      </c>
      <c r="X12" s="2" t="s">
        <v>104</v>
      </c>
      <c r="Y12" s="2" t="s">
        <v>136</v>
      </c>
      <c r="Z12" s="4">
        <v>1830</v>
      </c>
      <c r="AA12" s="4">
        <f>=ROUNDDOWN({0},0)</f>
      </c>
      <c r="AB12" s="5"/>
      <c r="AC12" s="2" t="s">
        <v>98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8</v>
      </c>
      <c r="AQ12" s="8">
        <v>140</v>
      </c>
      <c r="AR12" s="4"/>
      <c r="AS12" s="8"/>
      <c r="AT12" s="7"/>
      <c r="AU12" s="7"/>
      <c r="AV12" s="4">
        <v>112</v>
      </c>
      <c r="AW12" s="8">
        <v>3102.82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0.0451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0.0767</v>
      </c>
      <c r="BJ12" s="4">
        <v>67</v>
      </c>
      <c r="BK12" s="8">
        <v>1143.57</v>
      </c>
      <c r="BL12" s="2" t="s">
        <v>137</v>
      </c>
      <c r="BM12" s="7">
        <v>0.1194</v>
      </c>
      <c r="BN12" s="7">
        <v>0.1224</v>
      </c>
      <c r="BO12" s="4">
        <v>8</v>
      </c>
      <c r="BP12" s="8">
        <v>140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138</v>
      </c>
      <c r="BX12" s="2" t="s">
        <v>139</v>
      </c>
      <c r="BY12" s="2" t="s">
        <v>110</v>
      </c>
      <c r="BZ12" s="2" t="s">
        <v>98</v>
      </c>
    </row>
    <row r="13">
      <c r="A13" s="2" t="s">
        <v>140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112</v>
      </c>
      <c r="K13" s="2" t="s">
        <v>133</v>
      </c>
      <c r="L13" s="3">
        <v>16.16</v>
      </c>
      <c r="M13" s="3">
        <v>16.97</v>
      </c>
      <c r="N13" s="3">
        <v>39.99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134</v>
      </c>
      <c r="T13" s="2" t="s">
        <v>100</v>
      </c>
      <c r="U13" s="2" t="s">
        <v>101</v>
      </c>
      <c r="V13" s="2" t="s">
        <v>135</v>
      </c>
      <c r="W13" s="2" t="s">
        <v>103</v>
      </c>
      <c r="X13" s="2" t="s">
        <v>104</v>
      </c>
      <c r="Y13" s="2" t="s">
        <v>136</v>
      </c>
      <c r="Z13" s="4">
        <v>1953</v>
      </c>
      <c r="AA13" s="4">
        <f>=ROUNDDOWN({0},0)</f>
      </c>
      <c r="AB13" s="5"/>
      <c r="AC13" s="2" t="s">
        <v>98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12</v>
      </c>
      <c r="AQ13" s="8">
        <v>228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0.0735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63</v>
      </c>
      <c r="BK13" s="8">
        <v>1152.24</v>
      </c>
      <c r="BL13" s="2" t="s">
        <v>141</v>
      </c>
      <c r="BM13" s="7">
        <v>0.1905</v>
      </c>
      <c r="BN13" s="7">
        <v>0.1979</v>
      </c>
      <c r="BO13" s="4">
        <v>12</v>
      </c>
      <c r="BP13" s="8">
        <v>228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138</v>
      </c>
      <c r="BX13" s="2" t="s">
        <v>142</v>
      </c>
      <c r="BY13" s="2" t="s">
        <v>110</v>
      </c>
      <c r="BZ13" s="2" t="s">
        <v>98</v>
      </c>
    </row>
    <row r="14">
      <c r="A14" s="2" t="s">
        <v>143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117</v>
      </c>
      <c r="K14" s="2" t="s">
        <v>133</v>
      </c>
      <c r="L14" s="3">
        <v>19.57</v>
      </c>
      <c r="M14" s="3">
        <v>20.55</v>
      </c>
      <c r="N14" s="3">
        <v>47.99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134</v>
      </c>
      <c r="T14" s="2" t="s">
        <v>100</v>
      </c>
      <c r="U14" s="2" t="s">
        <v>118</v>
      </c>
      <c r="V14" s="2" t="s">
        <v>135</v>
      </c>
      <c r="W14" s="2" t="s">
        <v>103</v>
      </c>
      <c r="X14" s="2" t="s">
        <v>104</v>
      </c>
      <c r="Y14" s="2" t="s">
        <v>136</v>
      </c>
      <c r="Z14" s="4">
        <v>1417</v>
      </c>
      <c r="AA14" s="4">
        <f>=ROUNDDOWN(67.4761904761905,0)</f>
      </c>
      <c r="AB14" s="5">
        <v>21</v>
      </c>
      <c r="AC14" s="2" t="s">
        <v>98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13</v>
      </c>
      <c r="AQ14" s="8">
        <v>304.07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0.098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25</v>
      </c>
      <c r="BK14" s="8">
        <v>556.2</v>
      </c>
      <c r="BL14" s="2" t="s">
        <v>144</v>
      </c>
      <c r="BM14" s="7">
        <v>0.52</v>
      </c>
      <c r="BN14" s="7">
        <v>0.5467</v>
      </c>
      <c r="BO14" s="4">
        <v>13</v>
      </c>
      <c r="BP14" s="8">
        <v>304.07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145</v>
      </c>
      <c r="BX14" s="2" t="s">
        <v>146</v>
      </c>
      <c r="BY14" s="2" t="s">
        <v>110</v>
      </c>
      <c r="BZ14" s="2" t="s">
        <v>98</v>
      </c>
    </row>
    <row r="15">
      <c r="A15" s="2" t="s">
        <v>147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92</v>
      </c>
      <c r="J15" s="2" t="s">
        <v>122</v>
      </c>
      <c r="K15" s="2" t="s">
        <v>133</v>
      </c>
      <c r="L15" s="3">
        <v>22.21</v>
      </c>
      <c r="M15" s="3">
        <v>23.32</v>
      </c>
      <c r="N15" s="3">
        <v>52.99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134</v>
      </c>
      <c r="T15" s="2" t="s">
        <v>100</v>
      </c>
      <c r="U15" s="2" t="s">
        <v>118</v>
      </c>
      <c r="V15" s="2" t="s">
        <v>135</v>
      </c>
      <c r="W15" s="2" t="s">
        <v>103</v>
      </c>
      <c r="X15" s="2" t="s">
        <v>104</v>
      </c>
      <c r="Y15" s="2" t="s">
        <v>148</v>
      </c>
      <c r="Z15" s="4">
        <v>2223</v>
      </c>
      <c r="AA15" s="4">
        <f>=ROUNDDOWN(2223,0)</f>
      </c>
      <c r="AB15" s="5">
        <v>1</v>
      </c>
      <c r="AC15" s="2" t="s">
        <v>98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25</v>
      </c>
      <c r="AQ15" s="8">
        <v>662.25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0.2134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49</v>
      </c>
      <c r="BK15" s="8">
        <v>1243.45</v>
      </c>
      <c r="BL15" s="2" t="s">
        <v>149</v>
      </c>
      <c r="BM15" s="7">
        <v>0.5102</v>
      </c>
      <c r="BN15" s="7">
        <v>0.5326</v>
      </c>
      <c r="BO15" s="4">
        <v>25</v>
      </c>
      <c r="BP15" s="8">
        <v>662.25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145</v>
      </c>
      <c r="BX15" s="2" t="s">
        <v>150</v>
      </c>
      <c r="BY15" s="2" t="s">
        <v>110</v>
      </c>
      <c r="BZ15" s="2" t="s">
        <v>98</v>
      </c>
    </row>
    <row r="16">
      <c r="A16" s="2" t="s">
        <v>151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125</v>
      </c>
      <c r="K16" s="2" t="s">
        <v>133</v>
      </c>
      <c r="L16" s="3">
        <v>27.39</v>
      </c>
      <c r="M16" s="3">
        <v>28.76</v>
      </c>
      <c r="N16" s="3">
        <v>67.99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134</v>
      </c>
      <c r="T16" s="2" t="s">
        <v>100</v>
      </c>
      <c r="U16" s="2" t="s">
        <v>118</v>
      </c>
      <c r="V16" s="2" t="s">
        <v>135</v>
      </c>
      <c r="W16" s="2" t="s">
        <v>103</v>
      </c>
      <c r="X16" s="2" t="s">
        <v>104</v>
      </c>
      <c r="Y16" s="2" t="s">
        <v>136</v>
      </c>
      <c r="Z16" s="4">
        <v>1044</v>
      </c>
      <c r="AA16" s="4">
        <f>=ROUNDDOWN(1044,0)</f>
      </c>
      <c r="AB16" s="5">
        <v>1</v>
      </c>
      <c r="AC16" s="2" t="s">
        <v>98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44</v>
      </c>
      <c r="AQ16" s="8">
        <v>1441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0.4644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73</v>
      </c>
      <c r="BK16" s="8">
        <v>2331.35</v>
      </c>
      <c r="BL16" s="2" t="s">
        <v>141</v>
      </c>
      <c r="BM16" s="7">
        <v>0.6027</v>
      </c>
      <c r="BN16" s="7">
        <v>0.6181</v>
      </c>
      <c r="BO16" s="4">
        <v>44</v>
      </c>
      <c r="BP16" s="8">
        <v>1441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136</v>
      </c>
      <c r="BX16" s="2" t="s">
        <v>146</v>
      </c>
      <c r="BY16" s="2" t="s">
        <v>110</v>
      </c>
      <c r="BZ16" s="2" t="s">
        <v>98</v>
      </c>
    </row>
    <row r="17">
      <c r="A17" s="2" t="s">
        <v>152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129</v>
      </c>
      <c r="K17" s="2" t="s">
        <v>133</v>
      </c>
      <c r="L17" s="3">
        <v>27.39</v>
      </c>
      <c r="M17" s="3">
        <v>28.76</v>
      </c>
      <c r="N17" s="3">
        <v>67.99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134</v>
      </c>
      <c r="T17" s="2" t="s">
        <v>100</v>
      </c>
      <c r="U17" s="2" t="s">
        <v>118</v>
      </c>
      <c r="V17" s="2" t="s">
        <v>135</v>
      </c>
      <c r="W17" s="2" t="s">
        <v>103</v>
      </c>
      <c r="X17" s="2" t="s">
        <v>104</v>
      </c>
      <c r="Y17" s="2" t="s">
        <v>136</v>
      </c>
      <c r="Z17" s="4">
        <v>730</v>
      </c>
      <c r="AA17" s="4">
        <f>=ROUNDDOWN({0},0)</f>
      </c>
      <c r="AB17" s="5"/>
      <c r="AC17" s="2" t="s">
        <v>98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10</v>
      </c>
      <c r="AQ17" s="8">
        <v>327.5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0.1055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44</v>
      </c>
      <c r="BK17" s="8">
        <v>1381</v>
      </c>
      <c r="BL17" s="2" t="s">
        <v>130</v>
      </c>
      <c r="BM17" s="7">
        <v>0.2273</v>
      </c>
      <c r="BN17" s="7">
        <v>0.2371</v>
      </c>
      <c r="BO17" s="4">
        <v>10</v>
      </c>
      <c r="BP17" s="8">
        <v>327.5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138</v>
      </c>
      <c r="BX17" s="2" t="s">
        <v>153</v>
      </c>
      <c r="BY17" s="2" t="s">
        <v>110</v>
      </c>
      <c r="BZ17" s="2" t="s">
        <v>98</v>
      </c>
    </row>
    <row r="18">
      <c r="A18" s="2" t="s">
        <v>154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155</v>
      </c>
      <c r="L18" s="3">
        <v>14.89</v>
      </c>
      <c r="M18" s="3">
        <v>15.63</v>
      </c>
      <c r="N18" s="3">
        <v>31.99</v>
      </c>
      <c r="O18" s="2" t="s">
        <v>95</v>
      </c>
      <c r="P18" s="2" t="s">
        <v>156</v>
      </c>
      <c r="Q18" s="2" t="s">
        <v>97</v>
      </c>
      <c r="R18" s="2" t="s">
        <v>98</v>
      </c>
      <c r="S18" s="2" t="s">
        <v>157</v>
      </c>
      <c r="T18" s="2" t="s">
        <v>100</v>
      </c>
      <c r="U18" s="2" t="s">
        <v>101</v>
      </c>
      <c r="V18" s="2" t="s">
        <v>158</v>
      </c>
      <c r="W18" s="2" t="s">
        <v>104</v>
      </c>
      <c r="X18" s="2" t="s">
        <v>103</v>
      </c>
      <c r="Y18" s="2" t="s">
        <v>159</v>
      </c>
      <c r="Z18" s="4">
        <v>14</v>
      </c>
      <c r="AA18" s="4">
        <f>=ROUNDDOWN(1.16666666666667,0)</f>
      </c>
      <c r="AB18" s="5">
        <v>12</v>
      </c>
      <c r="AC18" s="2" t="s">
        <v>98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8</v>
      </c>
      <c r="AQ18" s="8">
        <v>140</v>
      </c>
      <c r="AR18" s="4"/>
      <c r="AS18" s="8"/>
      <c r="AT18" s="7"/>
      <c r="AU18" s="7"/>
      <c r="AV18" s="4">
        <v>101</v>
      </c>
      <c r="AW18" s="8">
        <v>2742.52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0.051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0.0678</v>
      </c>
      <c r="BJ18" s="4">
        <v>53</v>
      </c>
      <c r="BK18" s="8">
        <v>950.24</v>
      </c>
      <c r="BL18" s="2" t="s">
        <v>160</v>
      </c>
      <c r="BM18" s="7">
        <v>0.1509</v>
      </c>
      <c r="BN18" s="7">
        <v>0.1473</v>
      </c>
      <c r="BO18" s="4">
        <v>8</v>
      </c>
      <c r="BP18" s="8">
        <v>140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161</v>
      </c>
      <c r="BX18" s="2" t="s">
        <v>162</v>
      </c>
      <c r="BY18" s="2" t="s">
        <v>110</v>
      </c>
      <c r="BZ18" s="2" t="s">
        <v>98</v>
      </c>
    </row>
    <row r="19">
      <c r="A19" s="2" t="s">
        <v>163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112</v>
      </c>
      <c r="K19" s="2" t="s">
        <v>155</v>
      </c>
      <c r="L19" s="3">
        <v>16.16</v>
      </c>
      <c r="M19" s="3">
        <v>16.97</v>
      </c>
      <c r="N19" s="3">
        <v>34.99</v>
      </c>
      <c r="O19" s="2" t="s">
        <v>95</v>
      </c>
      <c r="P19" s="2" t="s">
        <v>156</v>
      </c>
      <c r="Q19" s="2" t="s">
        <v>97</v>
      </c>
      <c r="R19" s="2" t="s">
        <v>98</v>
      </c>
      <c r="S19" s="2" t="s">
        <v>157</v>
      </c>
      <c r="T19" s="2" t="s">
        <v>100</v>
      </c>
      <c r="U19" s="2" t="s">
        <v>101</v>
      </c>
      <c r="V19" s="2" t="s">
        <v>158</v>
      </c>
      <c r="W19" s="2" t="s">
        <v>104</v>
      </c>
      <c r="X19" s="2" t="s">
        <v>103</v>
      </c>
      <c r="Y19" s="2" t="s">
        <v>159</v>
      </c>
      <c r="Z19" s="4">
        <v>87</v>
      </c>
      <c r="AA19" s="4">
        <f>=ROUNDDOWN(8.7,0)</f>
      </c>
      <c r="AB19" s="5">
        <v>10</v>
      </c>
      <c r="AC19" s="2" t="s">
        <v>98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7</v>
      </c>
      <c r="AQ19" s="8">
        <v>133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0.0485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27</v>
      </c>
      <c r="BK19" s="8">
        <v>500.46</v>
      </c>
      <c r="BL19" s="2" t="s">
        <v>141</v>
      </c>
      <c r="BM19" s="7">
        <v>0.2593</v>
      </c>
      <c r="BN19" s="7">
        <v>0.2658</v>
      </c>
      <c r="BO19" s="4">
        <v>7</v>
      </c>
      <c r="BP19" s="8">
        <v>133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161</v>
      </c>
      <c r="BX19" s="2" t="s">
        <v>162</v>
      </c>
      <c r="BY19" s="2" t="s">
        <v>110</v>
      </c>
      <c r="BZ19" s="2" t="s">
        <v>98</v>
      </c>
    </row>
    <row r="20">
      <c r="A20" s="2" t="s">
        <v>164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117</v>
      </c>
      <c r="K20" s="2" t="s">
        <v>155</v>
      </c>
      <c r="L20" s="3">
        <v>19.57</v>
      </c>
      <c r="M20" s="3">
        <v>20.55</v>
      </c>
      <c r="N20" s="3">
        <v>42.99</v>
      </c>
      <c r="O20" s="2" t="s">
        <v>95</v>
      </c>
      <c r="P20" s="2" t="s">
        <v>156</v>
      </c>
      <c r="Q20" s="2" t="s">
        <v>97</v>
      </c>
      <c r="R20" s="2" t="s">
        <v>98</v>
      </c>
      <c r="S20" s="2" t="s">
        <v>157</v>
      </c>
      <c r="T20" s="2" t="s">
        <v>100</v>
      </c>
      <c r="U20" s="2" t="s">
        <v>118</v>
      </c>
      <c r="V20" s="2" t="s">
        <v>158</v>
      </c>
      <c r="W20" s="2" t="s">
        <v>104</v>
      </c>
      <c r="X20" s="2" t="s">
        <v>103</v>
      </c>
      <c r="Y20" s="2" t="s">
        <v>159</v>
      </c>
      <c r="Z20" s="4">
        <v>177</v>
      </c>
      <c r="AA20" s="4">
        <f>=ROUNDDOWN(17.7,0)</f>
      </c>
      <c r="AB20" s="5">
        <v>10</v>
      </c>
      <c r="AC20" s="2" t="s">
        <v>98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15</v>
      </c>
      <c r="AQ20" s="8">
        <v>350.85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0.1279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44</v>
      </c>
      <c r="BK20" s="8">
        <v>986.02</v>
      </c>
      <c r="BL20" s="2" t="s">
        <v>165</v>
      </c>
      <c r="BM20" s="7">
        <v>0.3409</v>
      </c>
      <c r="BN20" s="7">
        <v>0.3558</v>
      </c>
      <c r="BO20" s="4">
        <v>15</v>
      </c>
      <c r="BP20" s="8">
        <v>350.85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161</v>
      </c>
      <c r="BX20" s="2" t="s">
        <v>166</v>
      </c>
      <c r="BY20" s="2" t="s">
        <v>110</v>
      </c>
      <c r="BZ20" s="2" t="s">
        <v>98</v>
      </c>
    </row>
    <row r="21">
      <c r="A21" s="2" t="s">
        <v>167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122</v>
      </c>
      <c r="K21" s="2" t="s">
        <v>155</v>
      </c>
      <c r="L21" s="3">
        <v>22.21</v>
      </c>
      <c r="M21" s="3">
        <v>23.32</v>
      </c>
      <c r="N21" s="3">
        <v>47.99</v>
      </c>
      <c r="O21" s="2" t="s">
        <v>95</v>
      </c>
      <c r="P21" s="2" t="s">
        <v>168</v>
      </c>
      <c r="Q21" s="2" t="s">
        <v>97</v>
      </c>
      <c r="R21" s="2" t="s">
        <v>98</v>
      </c>
      <c r="S21" s="2" t="s">
        <v>157</v>
      </c>
      <c r="T21" s="2" t="s">
        <v>100</v>
      </c>
      <c r="U21" s="2" t="s">
        <v>118</v>
      </c>
      <c r="V21" s="2" t="s">
        <v>158</v>
      </c>
      <c r="W21" s="2" t="s">
        <v>104</v>
      </c>
      <c r="X21" s="2" t="s">
        <v>103</v>
      </c>
      <c r="Y21" s="2" t="s">
        <v>159</v>
      </c>
      <c r="Z21" s="4">
        <v>79</v>
      </c>
      <c r="AA21" s="4">
        <f>=ROUNDDOWN(4.64705882352941,0)</f>
      </c>
      <c r="AB21" s="5">
        <v>17</v>
      </c>
      <c r="AC21" s="2" t="s">
        <v>98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33</v>
      </c>
      <c r="AQ21" s="8">
        <v>874.17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0.3187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68</v>
      </c>
      <c r="BK21" s="8">
        <v>1727.89</v>
      </c>
      <c r="BL21" s="2" t="s">
        <v>130</v>
      </c>
      <c r="BM21" s="7">
        <v>0.4853</v>
      </c>
      <c r="BN21" s="7">
        <v>0.5059</v>
      </c>
      <c r="BO21" s="4">
        <v>33</v>
      </c>
      <c r="BP21" s="8">
        <v>874.17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161</v>
      </c>
      <c r="BX21" s="2" t="s">
        <v>162</v>
      </c>
      <c r="BY21" s="2" t="s">
        <v>110</v>
      </c>
      <c r="BZ21" s="2" t="s">
        <v>98</v>
      </c>
    </row>
    <row r="22">
      <c r="A22" s="2" t="s">
        <v>169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125</v>
      </c>
      <c r="K22" s="2" t="s">
        <v>155</v>
      </c>
      <c r="L22" s="3">
        <v>27.39</v>
      </c>
      <c r="M22" s="3">
        <v>28.76</v>
      </c>
      <c r="N22" s="3">
        <v>62.99</v>
      </c>
      <c r="O22" s="2" t="s">
        <v>95</v>
      </c>
      <c r="P22" s="2" t="s">
        <v>156</v>
      </c>
      <c r="Q22" s="2" t="s">
        <v>97</v>
      </c>
      <c r="R22" s="2" t="s">
        <v>98</v>
      </c>
      <c r="S22" s="2" t="s">
        <v>157</v>
      </c>
      <c r="T22" s="2" t="s">
        <v>100</v>
      </c>
      <c r="U22" s="2" t="s">
        <v>118</v>
      </c>
      <c r="V22" s="2" t="s">
        <v>158</v>
      </c>
      <c r="W22" s="2" t="s">
        <v>104</v>
      </c>
      <c r="X22" s="2" t="s">
        <v>103</v>
      </c>
      <c r="Y22" s="2" t="s">
        <v>159</v>
      </c>
      <c r="Z22" s="4">
        <v>58</v>
      </c>
      <c r="AA22" s="4">
        <f>=ROUNDDOWN(8.28571428571428,0)</f>
      </c>
      <c r="AB22" s="5">
        <v>7</v>
      </c>
      <c r="AC22" s="2" t="s">
        <v>98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31</v>
      </c>
      <c r="AQ22" s="8">
        <v>1015.25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0.3702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44</v>
      </c>
      <c r="BK22" s="8">
        <v>1408.85</v>
      </c>
      <c r="BL22" s="2" t="s">
        <v>170</v>
      </c>
      <c r="BM22" s="7">
        <v>0.7045</v>
      </c>
      <c r="BN22" s="7">
        <v>0.7206</v>
      </c>
      <c r="BO22" s="4">
        <v>31</v>
      </c>
      <c r="BP22" s="8">
        <v>1015.25</v>
      </c>
      <c r="BQ22" s="4"/>
      <c r="BR22" s="8"/>
      <c r="BS22" s="7"/>
      <c r="BT22" s="7"/>
      <c r="BU22" s="2" t="s">
        <v>107</v>
      </c>
      <c r="BV22" s="2" t="s">
        <v>95</v>
      </c>
      <c r="BW22" s="2" t="s">
        <v>161</v>
      </c>
      <c r="BX22" s="2" t="s">
        <v>171</v>
      </c>
      <c r="BY22" s="2" t="s">
        <v>110</v>
      </c>
      <c r="BZ22" s="2" t="s">
        <v>98</v>
      </c>
    </row>
    <row r="23">
      <c r="A23" s="2" t="s">
        <v>172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91</v>
      </c>
      <c r="H23" s="2" t="s">
        <v>91</v>
      </c>
      <c r="I23" s="2" t="s">
        <v>92</v>
      </c>
      <c r="J23" s="2" t="s">
        <v>129</v>
      </c>
      <c r="K23" s="2" t="s">
        <v>155</v>
      </c>
      <c r="L23" s="3">
        <v>27.39</v>
      </c>
      <c r="M23" s="3">
        <v>28.76</v>
      </c>
      <c r="N23" s="3">
        <v>62.99</v>
      </c>
      <c r="O23" s="2" t="s">
        <v>95</v>
      </c>
      <c r="P23" s="2" t="s">
        <v>156</v>
      </c>
      <c r="Q23" s="2" t="s">
        <v>97</v>
      </c>
      <c r="R23" s="2" t="s">
        <v>98</v>
      </c>
      <c r="S23" s="2" t="s">
        <v>157</v>
      </c>
      <c r="T23" s="2" t="s">
        <v>100</v>
      </c>
      <c r="U23" s="2" t="s">
        <v>118</v>
      </c>
      <c r="V23" s="2" t="s">
        <v>158</v>
      </c>
      <c r="W23" s="2" t="s">
        <v>104</v>
      </c>
      <c r="X23" s="2" t="s">
        <v>103</v>
      </c>
      <c r="Y23" s="2" t="s">
        <v>159</v>
      </c>
      <c r="Z23" s="4">
        <v>193</v>
      </c>
      <c r="AA23" s="4">
        <f>=ROUNDDOWN(48.25,0)</f>
      </c>
      <c r="AB23" s="5">
        <v>4</v>
      </c>
      <c r="AC23" s="2" t="s">
        <v>98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>
        <v>7</v>
      </c>
      <c r="AQ23" s="8">
        <v>229.25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0.0836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10</v>
      </c>
      <c r="BK23" s="8">
        <v>322.44</v>
      </c>
      <c r="BL23" s="2" t="s">
        <v>173</v>
      </c>
      <c r="BM23" s="7">
        <v>0.7</v>
      </c>
      <c r="BN23" s="7">
        <v>0.711</v>
      </c>
      <c r="BO23" s="4">
        <v>7</v>
      </c>
      <c r="BP23" s="8">
        <v>229.25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161</v>
      </c>
      <c r="BX23" s="2" t="s">
        <v>174</v>
      </c>
      <c r="BY23" s="2" t="s">
        <v>110</v>
      </c>
      <c r="BZ23" s="2" t="s">
        <v>98</v>
      </c>
    </row>
    <row r="24">
      <c r="A24" s="2" t="s">
        <v>175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91</v>
      </c>
      <c r="H24" s="2" t="s">
        <v>91</v>
      </c>
      <c r="I24" s="2" t="s">
        <v>92</v>
      </c>
      <c r="J24" s="2" t="s">
        <v>93</v>
      </c>
      <c r="K24" s="2" t="s">
        <v>176</v>
      </c>
      <c r="L24" s="3">
        <v>14.89</v>
      </c>
      <c r="M24" s="3">
        <v>15.63</v>
      </c>
      <c r="N24" s="3">
        <v>31.99</v>
      </c>
      <c r="O24" s="2" t="s">
        <v>95</v>
      </c>
      <c r="P24" s="2" t="s">
        <v>177</v>
      </c>
      <c r="Q24" s="2" t="s">
        <v>97</v>
      </c>
      <c r="R24" s="2" t="s">
        <v>98</v>
      </c>
      <c r="S24" s="2" t="s">
        <v>178</v>
      </c>
      <c r="T24" s="2" t="s">
        <v>100</v>
      </c>
      <c r="U24" s="2" t="s">
        <v>98</v>
      </c>
      <c r="V24" s="2" t="s">
        <v>158</v>
      </c>
      <c r="W24" s="2" t="s">
        <v>103</v>
      </c>
      <c r="X24" s="2" t="s">
        <v>98</v>
      </c>
      <c r="Y24" s="2" t="s">
        <v>179</v>
      </c>
      <c r="Z24" s="4">
        <v>871</v>
      </c>
      <c r="AA24" s="4">
        <f>=ROUNDDOWN(15.280701754386,0)</f>
      </c>
      <c r="AB24" s="5">
        <v>57</v>
      </c>
      <c r="AC24" s="2" t="s">
        <v>7</v>
      </c>
      <c r="AD24" s="4">
        <v>329</v>
      </c>
      <c r="AE24" s="4">
        <v>329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>
        <v>24</v>
      </c>
      <c r="AQ24" s="8">
        <v>420</v>
      </c>
      <c r="AR24" s="4"/>
      <c r="AS24" s="8"/>
      <c r="AT24" s="7"/>
      <c r="AU24" s="7"/>
      <c r="AV24" s="4">
        <v>91</v>
      </c>
      <c r="AW24" s="8">
        <v>2101.86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0.1998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0.0519</v>
      </c>
      <c r="BJ24" s="4">
        <v>125</v>
      </c>
      <c r="BK24" s="8">
        <v>2002.09</v>
      </c>
      <c r="BL24" s="2" t="s">
        <v>180</v>
      </c>
      <c r="BM24" s="7">
        <v>0.192</v>
      </c>
      <c r="BN24" s="7">
        <v>0.2098</v>
      </c>
      <c r="BO24" s="4">
        <v>24</v>
      </c>
      <c r="BP24" s="8">
        <v>420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181</v>
      </c>
      <c r="BX24" s="2" t="s">
        <v>182</v>
      </c>
      <c r="BY24" s="2" t="s">
        <v>110</v>
      </c>
      <c r="BZ24" s="2" t="s">
        <v>98</v>
      </c>
    </row>
    <row r="25">
      <c r="A25" s="2" t="s">
        <v>183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91</v>
      </c>
      <c r="H25" s="2" t="s">
        <v>91</v>
      </c>
      <c r="I25" s="2" t="s">
        <v>92</v>
      </c>
      <c r="J25" s="2" t="s">
        <v>112</v>
      </c>
      <c r="K25" s="2" t="s">
        <v>176</v>
      </c>
      <c r="L25" s="3">
        <v>16.16</v>
      </c>
      <c r="M25" s="3">
        <v>16.97</v>
      </c>
      <c r="N25" s="3">
        <v>34.99</v>
      </c>
      <c r="O25" s="2" t="s">
        <v>95</v>
      </c>
      <c r="P25" s="2" t="s">
        <v>184</v>
      </c>
      <c r="Q25" s="2" t="s">
        <v>97</v>
      </c>
      <c r="R25" s="2" t="s">
        <v>98</v>
      </c>
      <c r="S25" s="2" t="s">
        <v>178</v>
      </c>
      <c r="T25" s="2" t="s">
        <v>100</v>
      </c>
      <c r="U25" s="2" t="s">
        <v>98</v>
      </c>
      <c r="V25" s="2" t="s">
        <v>158</v>
      </c>
      <c r="W25" s="2" t="s">
        <v>103</v>
      </c>
      <c r="X25" s="2" t="s">
        <v>98</v>
      </c>
      <c r="Y25" s="2" t="s">
        <v>179</v>
      </c>
      <c r="Z25" s="4">
        <v>1149</v>
      </c>
      <c r="AA25" s="4">
        <f>=ROUNDDOWN(33.7941176470588,0)</f>
      </c>
      <c r="AB25" s="5">
        <v>34</v>
      </c>
      <c r="AC25" s="2" t="s">
        <v>7</v>
      </c>
      <c r="AD25" s="4">
        <v>231</v>
      </c>
      <c r="AE25" s="4">
        <v>231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>
        <v>15</v>
      </c>
      <c r="AQ25" s="8">
        <v>285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0.1356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65</v>
      </c>
      <c r="BK25" s="8">
        <v>1171.42</v>
      </c>
      <c r="BL25" s="2" t="s">
        <v>185</v>
      </c>
      <c r="BM25" s="7">
        <v>0.2308</v>
      </c>
      <c r="BN25" s="7">
        <v>0.2433</v>
      </c>
      <c r="BO25" s="4">
        <v>15</v>
      </c>
      <c r="BP25" s="8">
        <v>285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181</v>
      </c>
      <c r="BX25" s="2" t="s">
        <v>186</v>
      </c>
      <c r="BY25" s="2" t="s">
        <v>110</v>
      </c>
      <c r="BZ25" s="2" t="s">
        <v>98</v>
      </c>
    </row>
    <row r="26">
      <c r="A26" s="2" t="s">
        <v>187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91</v>
      </c>
      <c r="H26" s="2" t="s">
        <v>91</v>
      </c>
      <c r="I26" s="2" t="s">
        <v>92</v>
      </c>
      <c r="J26" s="2" t="s">
        <v>117</v>
      </c>
      <c r="K26" s="2" t="s">
        <v>176</v>
      </c>
      <c r="L26" s="3">
        <v>19.57</v>
      </c>
      <c r="M26" s="3">
        <v>20.55</v>
      </c>
      <c r="N26" s="3">
        <v>42.99</v>
      </c>
      <c r="O26" s="2" t="s">
        <v>95</v>
      </c>
      <c r="P26" s="2" t="s">
        <v>156</v>
      </c>
      <c r="Q26" s="2" t="s">
        <v>97</v>
      </c>
      <c r="R26" s="2" t="s">
        <v>98</v>
      </c>
      <c r="S26" s="2" t="s">
        <v>178</v>
      </c>
      <c r="T26" s="2" t="s">
        <v>100</v>
      </c>
      <c r="U26" s="2" t="s">
        <v>98</v>
      </c>
      <c r="V26" s="2" t="s">
        <v>158</v>
      </c>
      <c r="W26" s="2" t="s">
        <v>103</v>
      </c>
      <c r="X26" s="2" t="s">
        <v>98</v>
      </c>
      <c r="Y26" s="2" t="s">
        <v>179</v>
      </c>
      <c r="Z26" s="4">
        <v>259</v>
      </c>
      <c r="AA26" s="4">
        <f>=ROUNDDOWN(7.61764705882353,0)</f>
      </c>
      <c r="AB26" s="5">
        <v>34</v>
      </c>
      <c r="AC26" s="2" t="s">
        <v>7</v>
      </c>
      <c r="AD26" s="4">
        <v>94</v>
      </c>
      <c r="AE26" s="4">
        <v>94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20</v>
      </c>
      <c r="AQ26" s="8">
        <v>467.8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0.2226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139</v>
      </c>
      <c r="BK26" s="8">
        <v>2951.93</v>
      </c>
      <c r="BL26" s="2" t="s">
        <v>188</v>
      </c>
      <c r="BM26" s="7">
        <v>0.1439</v>
      </c>
      <c r="BN26" s="7">
        <v>0.1585</v>
      </c>
      <c r="BO26" s="4">
        <v>20</v>
      </c>
      <c r="BP26" s="8">
        <v>467.8</v>
      </c>
      <c r="BQ26" s="4"/>
      <c r="BR26" s="8"/>
      <c r="BS26" s="7"/>
      <c r="BT26" s="7"/>
      <c r="BU26" s="2" t="s">
        <v>107</v>
      </c>
      <c r="BV26" s="2" t="s">
        <v>95</v>
      </c>
      <c r="BW26" s="2" t="s">
        <v>181</v>
      </c>
      <c r="BX26" s="2" t="s">
        <v>189</v>
      </c>
      <c r="BY26" s="2" t="s">
        <v>110</v>
      </c>
      <c r="BZ26" s="2" t="s">
        <v>98</v>
      </c>
    </row>
    <row r="27">
      <c r="A27" s="2" t="s">
        <v>190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91</v>
      </c>
      <c r="H27" s="2" t="s">
        <v>91</v>
      </c>
      <c r="I27" s="2" t="s">
        <v>92</v>
      </c>
      <c r="J27" s="2" t="s">
        <v>122</v>
      </c>
      <c r="K27" s="2" t="s">
        <v>176</v>
      </c>
      <c r="L27" s="3">
        <v>22.21</v>
      </c>
      <c r="M27" s="3">
        <v>23.32</v>
      </c>
      <c r="N27" s="3">
        <v>47.99</v>
      </c>
      <c r="O27" s="2" t="s">
        <v>95</v>
      </c>
      <c r="P27" s="2" t="s">
        <v>177</v>
      </c>
      <c r="Q27" s="2" t="s">
        <v>97</v>
      </c>
      <c r="R27" s="2" t="s">
        <v>98</v>
      </c>
      <c r="S27" s="2" t="s">
        <v>178</v>
      </c>
      <c r="T27" s="2" t="s">
        <v>100</v>
      </c>
      <c r="U27" s="2" t="s">
        <v>98</v>
      </c>
      <c r="V27" s="2" t="s">
        <v>158</v>
      </c>
      <c r="W27" s="2" t="s">
        <v>103</v>
      </c>
      <c r="X27" s="2" t="s">
        <v>98</v>
      </c>
      <c r="Y27" s="2" t="s">
        <v>179</v>
      </c>
      <c r="Z27" s="4">
        <v>1338</v>
      </c>
      <c r="AA27" s="4">
        <f>=ROUNDDOWN(41.8125,0)</f>
      </c>
      <c r="AB27" s="5">
        <v>32</v>
      </c>
      <c r="AC27" s="2" t="s">
        <v>7</v>
      </c>
      <c r="AD27" s="4">
        <v>184</v>
      </c>
      <c r="AE27" s="4">
        <v>184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19</v>
      </c>
      <c r="AQ27" s="8">
        <v>503.31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0.2395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136</v>
      </c>
      <c r="BK27" s="8">
        <v>3242.3</v>
      </c>
      <c r="BL27" s="2" t="s">
        <v>191</v>
      </c>
      <c r="BM27" s="7">
        <v>0.1397</v>
      </c>
      <c r="BN27" s="7">
        <v>0.1552</v>
      </c>
      <c r="BO27" s="4">
        <v>19</v>
      </c>
      <c r="BP27" s="8">
        <v>503.31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181</v>
      </c>
      <c r="BX27" s="2" t="s">
        <v>192</v>
      </c>
      <c r="BY27" s="2" t="s">
        <v>110</v>
      </c>
      <c r="BZ27" s="2" t="s">
        <v>98</v>
      </c>
    </row>
    <row r="28">
      <c r="A28" s="2" t="s">
        <v>193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91</v>
      </c>
      <c r="H28" s="2" t="s">
        <v>91</v>
      </c>
      <c r="I28" s="2" t="s">
        <v>92</v>
      </c>
      <c r="J28" s="2" t="s">
        <v>125</v>
      </c>
      <c r="K28" s="2" t="s">
        <v>176</v>
      </c>
      <c r="L28" s="3">
        <v>27.39</v>
      </c>
      <c r="M28" s="3">
        <v>28.76</v>
      </c>
      <c r="N28" s="3">
        <v>62.99</v>
      </c>
      <c r="O28" s="2" t="s">
        <v>95</v>
      </c>
      <c r="P28" s="2" t="s">
        <v>168</v>
      </c>
      <c r="Q28" s="2" t="s">
        <v>97</v>
      </c>
      <c r="R28" s="2" t="s">
        <v>98</v>
      </c>
      <c r="S28" s="2" t="s">
        <v>178</v>
      </c>
      <c r="T28" s="2" t="s">
        <v>100</v>
      </c>
      <c r="U28" s="2" t="s">
        <v>98</v>
      </c>
      <c r="V28" s="2" t="s">
        <v>158</v>
      </c>
      <c r="W28" s="2" t="s">
        <v>103</v>
      </c>
      <c r="X28" s="2" t="s">
        <v>98</v>
      </c>
      <c r="Y28" s="2" t="s">
        <v>194</v>
      </c>
      <c r="Z28" s="4">
        <v>1491</v>
      </c>
      <c r="AA28" s="4">
        <f>=ROUNDDOWN(82.8333333333333,0)</f>
      </c>
      <c r="AB28" s="5">
        <v>18</v>
      </c>
      <c r="AC28" s="2" t="s">
        <v>7</v>
      </c>
      <c r="AD28" s="4">
        <v>52</v>
      </c>
      <c r="AE28" s="4">
        <v>52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13</v>
      </c>
      <c r="AQ28" s="8">
        <v>425.75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0.2026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68</v>
      </c>
      <c r="BK28" s="8">
        <v>2006.36</v>
      </c>
      <c r="BL28" s="2" t="s">
        <v>195</v>
      </c>
      <c r="BM28" s="7">
        <v>0.1912</v>
      </c>
      <c r="BN28" s="7">
        <v>0.2122</v>
      </c>
      <c r="BO28" s="4">
        <v>13</v>
      </c>
      <c r="BP28" s="8">
        <v>425.75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181</v>
      </c>
      <c r="BX28" s="2" t="s">
        <v>196</v>
      </c>
      <c r="BY28" s="2" t="s">
        <v>110</v>
      </c>
      <c r="BZ28" s="2" t="s">
        <v>98</v>
      </c>
    </row>
    <row r="29">
      <c r="A29" s="2" t="s">
        <v>197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91</v>
      </c>
      <c r="H29" s="2" t="s">
        <v>91</v>
      </c>
      <c r="I29" s="2" t="s">
        <v>92</v>
      </c>
      <c r="J29" s="2" t="s">
        <v>93</v>
      </c>
      <c r="K29" s="2" t="s">
        <v>198</v>
      </c>
      <c r="L29" s="3">
        <v>14.89</v>
      </c>
      <c r="M29" s="3">
        <v>15.63</v>
      </c>
      <c r="N29" s="3">
        <v>31.99</v>
      </c>
      <c r="O29" s="2" t="s">
        <v>95</v>
      </c>
      <c r="P29" s="2" t="s">
        <v>177</v>
      </c>
      <c r="Q29" s="2" t="s">
        <v>97</v>
      </c>
      <c r="R29" s="2" t="s">
        <v>98</v>
      </c>
      <c r="S29" s="2" t="s">
        <v>199</v>
      </c>
      <c r="T29" s="2" t="s">
        <v>100</v>
      </c>
      <c r="U29" s="2" t="s">
        <v>98</v>
      </c>
      <c r="V29" s="2" t="s">
        <v>200</v>
      </c>
      <c r="W29" s="2" t="s">
        <v>103</v>
      </c>
      <c r="X29" s="2" t="s">
        <v>98</v>
      </c>
      <c r="Y29" s="2" t="s">
        <v>201</v>
      </c>
      <c r="Z29" s="4">
        <v>1195</v>
      </c>
      <c r="AA29" s="4">
        <f>=ROUNDDOWN(30.6410256410256,0)</f>
      </c>
      <c r="AB29" s="5">
        <v>39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25</v>
      </c>
      <c r="AQ29" s="8">
        <v>437.5</v>
      </c>
      <c r="AR29" s="4"/>
      <c r="AS29" s="8"/>
      <c r="AT29" s="7"/>
      <c r="AU29" s="7"/>
      <c r="AV29" s="4">
        <v>95</v>
      </c>
      <c r="AW29" s="8">
        <v>2097.02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0.2086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0.0518</v>
      </c>
      <c r="BJ29" s="4">
        <v>88</v>
      </c>
      <c r="BK29" s="8">
        <v>1432.13</v>
      </c>
      <c r="BL29" s="2" t="s">
        <v>202</v>
      </c>
      <c r="BM29" s="7">
        <v>0.2841</v>
      </c>
      <c r="BN29" s="7">
        <v>0.3055</v>
      </c>
      <c r="BO29" s="4">
        <v>25</v>
      </c>
      <c r="BP29" s="8">
        <v>437.5</v>
      </c>
      <c r="BQ29" s="4"/>
      <c r="BR29" s="8"/>
      <c r="BS29" s="7"/>
      <c r="BT29" s="7"/>
      <c r="BU29" s="2" t="s">
        <v>107</v>
      </c>
      <c r="BV29" s="2" t="s">
        <v>95</v>
      </c>
      <c r="BW29" s="2" t="s">
        <v>181</v>
      </c>
      <c r="BX29" s="2" t="s">
        <v>192</v>
      </c>
      <c r="BY29" s="2" t="s">
        <v>110</v>
      </c>
      <c r="BZ29" s="2" t="s">
        <v>98</v>
      </c>
    </row>
    <row r="30">
      <c r="A30" s="2" t="s">
        <v>203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91</v>
      </c>
      <c r="H30" s="2" t="s">
        <v>91</v>
      </c>
      <c r="I30" s="2" t="s">
        <v>92</v>
      </c>
      <c r="J30" s="2" t="s">
        <v>112</v>
      </c>
      <c r="K30" s="2" t="s">
        <v>198</v>
      </c>
      <c r="L30" s="3">
        <v>16.16</v>
      </c>
      <c r="M30" s="3">
        <v>16.97</v>
      </c>
      <c r="N30" s="3">
        <v>34.99</v>
      </c>
      <c r="O30" s="2" t="s">
        <v>95</v>
      </c>
      <c r="P30" s="2" t="s">
        <v>168</v>
      </c>
      <c r="Q30" s="2" t="s">
        <v>97</v>
      </c>
      <c r="R30" s="2" t="s">
        <v>98</v>
      </c>
      <c r="S30" s="2" t="s">
        <v>199</v>
      </c>
      <c r="T30" s="2" t="s">
        <v>100</v>
      </c>
      <c r="U30" s="2" t="s">
        <v>101</v>
      </c>
      <c r="V30" s="2" t="s">
        <v>200</v>
      </c>
      <c r="W30" s="2" t="s">
        <v>103</v>
      </c>
      <c r="X30" s="2" t="s">
        <v>98</v>
      </c>
      <c r="Y30" s="2" t="s">
        <v>179</v>
      </c>
      <c r="Z30" s="4">
        <v>475</v>
      </c>
      <c r="AA30" s="4">
        <f>=ROUNDDOWN(7.30769230769231,0)</f>
      </c>
      <c r="AB30" s="5">
        <v>65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24</v>
      </c>
      <c r="AQ30" s="8">
        <v>456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0.2175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326</v>
      </c>
      <c r="BK30" s="8">
        <v>5956.36</v>
      </c>
      <c r="BL30" s="2" t="s">
        <v>204</v>
      </c>
      <c r="BM30" s="7">
        <v>0.0736</v>
      </c>
      <c r="BN30" s="7">
        <v>0.0766</v>
      </c>
      <c r="BO30" s="4">
        <v>24</v>
      </c>
      <c r="BP30" s="8">
        <v>456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181</v>
      </c>
      <c r="BX30" s="2" t="s">
        <v>205</v>
      </c>
      <c r="BY30" s="2" t="s">
        <v>110</v>
      </c>
      <c r="BZ30" s="2" t="s">
        <v>98</v>
      </c>
    </row>
    <row r="31">
      <c r="A31" s="2" t="s">
        <v>206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91</v>
      </c>
      <c r="H31" s="2" t="s">
        <v>91</v>
      </c>
      <c r="I31" s="2" t="s">
        <v>92</v>
      </c>
      <c r="J31" s="2" t="s">
        <v>117</v>
      </c>
      <c r="K31" s="2" t="s">
        <v>198</v>
      </c>
      <c r="L31" s="3">
        <v>19.57</v>
      </c>
      <c r="M31" s="3">
        <v>20.55</v>
      </c>
      <c r="N31" s="3">
        <v>42.99</v>
      </c>
      <c r="O31" s="2" t="s">
        <v>95</v>
      </c>
      <c r="P31" s="2" t="s">
        <v>177</v>
      </c>
      <c r="Q31" s="2" t="s">
        <v>97</v>
      </c>
      <c r="R31" s="2" t="s">
        <v>98</v>
      </c>
      <c r="S31" s="2" t="s">
        <v>199</v>
      </c>
      <c r="T31" s="2" t="s">
        <v>100</v>
      </c>
      <c r="U31" s="2" t="s">
        <v>98</v>
      </c>
      <c r="V31" s="2" t="s">
        <v>200</v>
      </c>
      <c r="W31" s="2" t="s">
        <v>103</v>
      </c>
      <c r="X31" s="2" t="s">
        <v>98</v>
      </c>
      <c r="Y31" s="2" t="s">
        <v>207</v>
      </c>
      <c r="Z31" s="4">
        <v>1452</v>
      </c>
      <c r="AA31" s="4">
        <f>=ROUNDDOWN(55.8461538461538,0)</f>
      </c>
      <c r="AB31" s="5">
        <v>26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21</v>
      </c>
      <c r="AQ31" s="8">
        <v>491.19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0.2342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53</v>
      </c>
      <c r="BK31" s="8">
        <v>1149.99</v>
      </c>
      <c r="BL31" s="2" t="s">
        <v>208</v>
      </c>
      <c r="BM31" s="7">
        <v>0.3962</v>
      </c>
      <c r="BN31" s="7">
        <v>0.4271</v>
      </c>
      <c r="BO31" s="4">
        <v>21</v>
      </c>
      <c r="BP31" s="8">
        <v>491.19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181</v>
      </c>
      <c r="BX31" s="2" t="s">
        <v>209</v>
      </c>
      <c r="BY31" s="2" t="s">
        <v>110</v>
      </c>
      <c r="BZ31" s="2" t="s">
        <v>98</v>
      </c>
    </row>
    <row r="32">
      <c r="A32" s="2" t="s">
        <v>210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91</v>
      </c>
      <c r="H32" s="2" t="s">
        <v>91</v>
      </c>
      <c r="I32" s="2" t="s">
        <v>92</v>
      </c>
      <c r="J32" s="2" t="s">
        <v>122</v>
      </c>
      <c r="K32" s="2" t="s">
        <v>198</v>
      </c>
      <c r="L32" s="3">
        <v>22.21</v>
      </c>
      <c r="M32" s="3">
        <v>23.32</v>
      </c>
      <c r="N32" s="3">
        <v>47.99</v>
      </c>
      <c r="O32" s="2" t="s">
        <v>95</v>
      </c>
      <c r="P32" s="2" t="s">
        <v>211</v>
      </c>
      <c r="Q32" s="2" t="s">
        <v>97</v>
      </c>
      <c r="R32" s="2" t="s">
        <v>98</v>
      </c>
      <c r="S32" s="2" t="s">
        <v>199</v>
      </c>
      <c r="T32" s="2" t="s">
        <v>100</v>
      </c>
      <c r="U32" s="2" t="s">
        <v>98</v>
      </c>
      <c r="V32" s="2" t="s">
        <v>200</v>
      </c>
      <c r="W32" s="2" t="s">
        <v>103</v>
      </c>
      <c r="X32" s="2" t="s">
        <v>98</v>
      </c>
      <c r="Y32" s="2" t="s">
        <v>207</v>
      </c>
      <c r="Z32" s="4">
        <v>2371</v>
      </c>
      <c r="AA32" s="4">
        <f>=ROUNDDOWN(64.0810810810811,0)</f>
      </c>
      <c r="AB32" s="5">
        <v>37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17</v>
      </c>
      <c r="AQ32" s="8">
        <v>450.33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0.2147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64</v>
      </c>
      <c r="BK32" s="8">
        <v>1642.11</v>
      </c>
      <c r="BL32" s="2" t="s">
        <v>212</v>
      </c>
      <c r="BM32" s="7">
        <v>0.2656</v>
      </c>
      <c r="BN32" s="7">
        <v>0.2742</v>
      </c>
      <c r="BO32" s="4">
        <v>17</v>
      </c>
      <c r="BP32" s="8">
        <v>450.33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181</v>
      </c>
      <c r="BX32" s="2" t="s">
        <v>196</v>
      </c>
      <c r="BY32" s="2" t="s">
        <v>110</v>
      </c>
      <c r="BZ32" s="2" t="s">
        <v>98</v>
      </c>
    </row>
    <row r="33">
      <c r="A33" s="2" t="s">
        <v>213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91</v>
      </c>
      <c r="H33" s="2" t="s">
        <v>91</v>
      </c>
      <c r="I33" s="2" t="s">
        <v>92</v>
      </c>
      <c r="J33" s="2" t="s">
        <v>125</v>
      </c>
      <c r="K33" s="2" t="s">
        <v>198</v>
      </c>
      <c r="L33" s="3">
        <v>27.39</v>
      </c>
      <c r="M33" s="3">
        <v>28.76</v>
      </c>
      <c r="N33" s="3">
        <v>62.99</v>
      </c>
      <c r="O33" s="2" t="s">
        <v>95</v>
      </c>
      <c r="P33" s="2" t="s">
        <v>156</v>
      </c>
      <c r="Q33" s="2" t="s">
        <v>97</v>
      </c>
      <c r="R33" s="2" t="s">
        <v>98</v>
      </c>
      <c r="S33" s="2" t="s">
        <v>199</v>
      </c>
      <c r="T33" s="2" t="s">
        <v>100</v>
      </c>
      <c r="U33" s="2" t="s">
        <v>98</v>
      </c>
      <c r="V33" s="2" t="s">
        <v>200</v>
      </c>
      <c r="W33" s="2" t="s">
        <v>103</v>
      </c>
      <c r="X33" s="2" t="s">
        <v>98</v>
      </c>
      <c r="Y33" s="2" t="s">
        <v>207</v>
      </c>
      <c r="Z33" s="4">
        <v>1214</v>
      </c>
      <c r="AA33" s="4">
        <f>=ROUNDDOWN(48.56,0)</f>
      </c>
      <c r="AB33" s="5">
        <v>25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5</v>
      </c>
      <c r="AQ33" s="8">
        <v>163.75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0.0781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71</v>
      </c>
      <c r="BK33" s="8">
        <v>2059.67</v>
      </c>
      <c r="BL33" s="2" t="s">
        <v>214</v>
      </c>
      <c r="BM33" s="7">
        <v>0.0704</v>
      </c>
      <c r="BN33" s="7">
        <v>0.0795</v>
      </c>
      <c r="BO33" s="4">
        <v>5</v>
      </c>
      <c r="BP33" s="8">
        <v>163.75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181</v>
      </c>
      <c r="BX33" s="2" t="s">
        <v>215</v>
      </c>
      <c r="BY33" s="2" t="s">
        <v>110</v>
      </c>
      <c r="BZ33" s="2" t="s">
        <v>98</v>
      </c>
    </row>
    <row r="34">
      <c r="A34" s="2" t="s">
        <v>216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91</v>
      </c>
      <c r="H34" s="2" t="s">
        <v>91</v>
      </c>
      <c r="I34" s="2" t="s">
        <v>92</v>
      </c>
      <c r="J34" s="2" t="s">
        <v>129</v>
      </c>
      <c r="K34" s="2" t="s">
        <v>198</v>
      </c>
      <c r="L34" s="3">
        <v>27.39</v>
      </c>
      <c r="M34" s="3">
        <v>28.76</v>
      </c>
      <c r="N34" s="3">
        <v>62.99</v>
      </c>
      <c r="O34" s="2" t="s">
        <v>95</v>
      </c>
      <c r="P34" s="2" t="s">
        <v>156</v>
      </c>
      <c r="Q34" s="2" t="s">
        <v>97</v>
      </c>
      <c r="R34" s="2" t="s">
        <v>98</v>
      </c>
      <c r="S34" s="2" t="s">
        <v>199</v>
      </c>
      <c r="T34" s="2" t="s">
        <v>100</v>
      </c>
      <c r="U34" s="2" t="s">
        <v>98</v>
      </c>
      <c r="V34" s="2" t="s">
        <v>200</v>
      </c>
      <c r="W34" s="2" t="s">
        <v>103</v>
      </c>
      <c r="X34" s="2" t="s">
        <v>98</v>
      </c>
      <c r="Y34" s="2" t="s">
        <v>179</v>
      </c>
      <c r="Z34" s="4">
        <v>1049</v>
      </c>
      <c r="AA34" s="4">
        <f>=ROUNDDOWN(116.555555555556,0)</f>
      </c>
      <c r="AB34" s="5">
        <v>9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3</v>
      </c>
      <c r="AQ34" s="8">
        <v>98.25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0.0469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9</v>
      </c>
      <c r="BK34" s="8">
        <v>271.71</v>
      </c>
      <c r="BL34" s="2" t="s">
        <v>217</v>
      </c>
      <c r="BM34" s="7">
        <v>0.3333</v>
      </c>
      <c r="BN34" s="7">
        <v>0.3616</v>
      </c>
      <c r="BO34" s="4">
        <v>3</v>
      </c>
      <c r="BP34" s="8">
        <v>98.25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181</v>
      </c>
      <c r="BX34" s="2" t="s">
        <v>218</v>
      </c>
      <c r="BY34" s="2" t="s">
        <v>110</v>
      </c>
      <c r="BZ34" s="2" t="s">
        <v>98</v>
      </c>
    </row>
    <row r="35">
      <c r="A35" s="2" t="s">
        <v>219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91</v>
      </c>
      <c r="H35" s="2" t="s">
        <v>91</v>
      </c>
      <c r="I35" s="2" t="s">
        <v>92</v>
      </c>
      <c r="J35" s="2" t="s">
        <v>93</v>
      </c>
      <c r="K35" s="2" t="s">
        <v>220</v>
      </c>
      <c r="L35" s="3">
        <v>14.89</v>
      </c>
      <c r="M35" s="3">
        <v>15.63</v>
      </c>
      <c r="N35" s="3">
        <v>31.99</v>
      </c>
      <c r="O35" s="2" t="s">
        <v>95</v>
      </c>
      <c r="P35" s="2" t="s">
        <v>156</v>
      </c>
      <c r="Q35" s="2" t="s">
        <v>97</v>
      </c>
      <c r="R35" s="2" t="s">
        <v>98</v>
      </c>
      <c r="S35" s="2" t="s">
        <v>221</v>
      </c>
      <c r="T35" s="2" t="s">
        <v>100</v>
      </c>
      <c r="U35" s="2" t="s">
        <v>98</v>
      </c>
      <c r="V35" s="2" t="s">
        <v>200</v>
      </c>
      <c r="W35" s="2" t="s">
        <v>103</v>
      </c>
      <c r="X35" s="2" t="s">
        <v>98</v>
      </c>
      <c r="Y35" s="2" t="s">
        <v>207</v>
      </c>
      <c r="Z35" s="4">
        <v>1050</v>
      </c>
      <c r="AA35" s="4">
        <f>=ROUNDDOWN(50,0)</f>
      </c>
      <c r="AB35" s="5">
        <v>21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25</v>
      </c>
      <c r="AQ35" s="8">
        <v>437.5</v>
      </c>
      <c r="AR35" s="4"/>
      <c r="AS35" s="8"/>
      <c r="AT35" s="7"/>
      <c r="AU35" s="7"/>
      <c r="AV35" s="4">
        <v>80</v>
      </c>
      <c r="AW35" s="8">
        <v>1776.32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0.2463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0.0439</v>
      </c>
      <c r="BJ35" s="4">
        <v>36</v>
      </c>
      <c r="BK35" s="8">
        <v>610.13</v>
      </c>
      <c r="BL35" s="2" t="s">
        <v>222</v>
      </c>
      <c r="BM35" s="7">
        <v>0.6944</v>
      </c>
      <c r="BN35" s="7">
        <v>0.7171</v>
      </c>
      <c r="BO35" s="4">
        <v>25</v>
      </c>
      <c r="BP35" s="8">
        <v>437.5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181</v>
      </c>
      <c r="BX35" s="2" t="s">
        <v>223</v>
      </c>
      <c r="BY35" s="2" t="s">
        <v>110</v>
      </c>
      <c r="BZ35" s="2" t="s">
        <v>98</v>
      </c>
    </row>
    <row r="36">
      <c r="A36" s="2" t="s">
        <v>224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91</v>
      </c>
      <c r="G36" s="2" t="s">
        <v>91</v>
      </c>
      <c r="H36" s="2" t="s">
        <v>91</v>
      </c>
      <c r="I36" s="2" t="s">
        <v>92</v>
      </c>
      <c r="J36" s="2" t="s">
        <v>112</v>
      </c>
      <c r="K36" s="2" t="s">
        <v>220</v>
      </c>
      <c r="L36" s="3">
        <v>16.16</v>
      </c>
      <c r="M36" s="3">
        <v>16.97</v>
      </c>
      <c r="N36" s="3">
        <v>34.99</v>
      </c>
      <c r="O36" s="2" t="s">
        <v>95</v>
      </c>
      <c r="P36" s="2" t="s">
        <v>184</v>
      </c>
      <c r="Q36" s="2" t="s">
        <v>97</v>
      </c>
      <c r="R36" s="2" t="s">
        <v>98</v>
      </c>
      <c r="S36" s="2" t="s">
        <v>221</v>
      </c>
      <c r="T36" s="2" t="s">
        <v>100</v>
      </c>
      <c r="U36" s="2" t="s">
        <v>98</v>
      </c>
      <c r="V36" s="2" t="s">
        <v>200</v>
      </c>
      <c r="W36" s="2" t="s">
        <v>103</v>
      </c>
      <c r="X36" s="2" t="s">
        <v>98</v>
      </c>
      <c r="Y36" s="2" t="s">
        <v>179</v>
      </c>
      <c r="Z36" s="4">
        <v>908</v>
      </c>
      <c r="AA36" s="4">
        <f>=ROUNDDOWN(23.2820512820513,0)</f>
      </c>
      <c r="AB36" s="5">
        <v>39</v>
      </c>
      <c r="AC36" s="2" t="s">
        <v>7</v>
      </c>
      <c r="AD36" s="4">
        <v>8</v>
      </c>
      <c r="AE36" s="4">
        <v>8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15</v>
      </c>
      <c r="AQ36" s="8">
        <v>285</v>
      </c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0.1604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62</v>
      </c>
      <c r="BK36" s="8">
        <v>1095.79</v>
      </c>
      <c r="BL36" s="2" t="s">
        <v>225</v>
      </c>
      <c r="BM36" s="7">
        <v>0.2419</v>
      </c>
      <c r="BN36" s="7">
        <v>0.2601</v>
      </c>
      <c r="BO36" s="4">
        <v>15</v>
      </c>
      <c r="BP36" s="8">
        <v>285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181</v>
      </c>
      <c r="BX36" s="2" t="s">
        <v>226</v>
      </c>
      <c r="BY36" s="2" t="s">
        <v>110</v>
      </c>
      <c r="BZ36" s="2" t="s">
        <v>98</v>
      </c>
    </row>
    <row r="37">
      <c r="A37" s="2" t="s">
        <v>227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91</v>
      </c>
      <c r="G37" s="2" t="s">
        <v>91</v>
      </c>
      <c r="H37" s="2" t="s">
        <v>91</v>
      </c>
      <c r="I37" s="2" t="s">
        <v>92</v>
      </c>
      <c r="J37" s="2" t="s">
        <v>117</v>
      </c>
      <c r="K37" s="2" t="s">
        <v>220</v>
      </c>
      <c r="L37" s="3">
        <v>19.57</v>
      </c>
      <c r="M37" s="3">
        <v>20.55</v>
      </c>
      <c r="N37" s="3">
        <v>42.99</v>
      </c>
      <c r="O37" s="2" t="s">
        <v>95</v>
      </c>
      <c r="P37" s="2" t="s">
        <v>168</v>
      </c>
      <c r="Q37" s="2" t="s">
        <v>97</v>
      </c>
      <c r="R37" s="2" t="s">
        <v>98</v>
      </c>
      <c r="S37" s="2" t="s">
        <v>221</v>
      </c>
      <c r="T37" s="2" t="s">
        <v>100</v>
      </c>
      <c r="U37" s="2" t="s">
        <v>98</v>
      </c>
      <c r="V37" s="2" t="s">
        <v>200</v>
      </c>
      <c r="W37" s="2" t="s">
        <v>103</v>
      </c>
      <c r="X37" s="2" t="s">
        <v>98</v>
      </c>
      <c r="Y37" s="2" t="s">
        <v>207</v>
      </c>
      <c r="Z37" s="4">
        <v>1053</v>
      </c>
      <c r="AA37" s="4">
        <f>=ROUNDDOWN(55.4210526315789,0)</f>
      </c>
      <c r="AB37" s="5">
        <v>19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16</v>
      </c>
      <c r="AQ37" s="8">
        <v>374.24</v>
      </c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0.2107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36</v>
      </c>
      <c r="BK37" s="8">
        <v>788.45</v>
      </c>
      <c r="BL37" s="2" t="s">
        <v>228</v>
      </c>
      <c r="BM37" s="7">
        <v>0.4444</v>
      </c>
      <c r="BN37" s="7">
        <v>0.4747</v>
      </c>
      <c r="BO37" s="4">
        <v>16</v>
      </c>
      <c r="BP37" s="8">
        <v>374.24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181</v>
      </c>
      <c r="BX37" s="2" t="s">
        <v>229</v>
      </c>
      <c r="BY37" s="2" t="s">
        <v>110</v>
      </c>
      <c r="BZ37" s="2" t="s">
        <v>98</v>
      </c>
    </row>
    <row r="38">
      <c r="A38" s="2" t="s">
        <v>230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91</v>
      </c>
      <c r="G38" s="2" t="s">
        <v>91</v>
      </c>
      <c r="H38" s="2" t="s">
        <v>91</v>
      </c>
      <c r="I38" s="2" t="s">
        <v>92</v>
      </c>
      <c r="J38" s="2" t="s">
        <v>122</v>
      </c>
      <c r="K38" s="2" t="s">
        <v>220</v>
      </c>
      <c r="L38" s="3">
        <v>22.21</v>
      </c>
      <c r="M38" s="3">
        <v>23.32</v>
      </c>
      <c r="N38" s="3">
        <v>47.99</v>
      </c>
      <c r="O38" s="2" t="s">
        <v>95</v>
      </c>
      <c r="P38" s="2" t="s">
        <v>168</v>
      </c>
      <c r="Q38" s="2" t="s">
        <v>97</v>
      </c>
      <c r="R38" s="2" t="s">
        <v>98</v>
      </c>
      <c r="S38" s="2" t="s">
        <v>221</v>
      </c>
      <c r="T38" s="2" t="s">
        <v>100</v>
      </c>
      <c r="U38" s="2" t="s">
        <v>98</v>
      </c>
      <c r="V38" s="2" t="s">
        <v>200</v>
      </c>
      <c r="W38" s="2" t="s">
        <v>103</v>
      </c>
      <c r="X38" s="2" t="s">
        <v>98</v>
      </c>
      <c r="Y38" s="2" t="s">
        <v>207</v>
      </c>
      <c r="Z38" s="4">
        <v>1503</v>
      </c>
      <c r="AA38" s="4">
        <f>=ROUNDDOWN(46.96875,0)</f>
      </c>
      <c r="AB38" s="5">
        <v>32</v>
      </c>
      <c r="AC38" s="2" t="s">
        <v>7</v>
      </c>
      <c r="AD38" s="4">
        <v>10</v>
      </c>
      <c r="AE38" s="4">
        <v>10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17</v>
      </c>
      <c r="AQ38" s="8">
        <v>450.33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0.2535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72</v>
      </c>
      <c r="BK38" s="8">
        <v>1742.06</v>
      </c>
      <c r="BL38" s="2" t="s">
        <v>231</v>
      </c>
      <c r="BM38" s="7">
        <v>0.2361</v>
      </c>
      <c r="BN38" s="7">
        <v>0.2585</v>
      </c>
      <c r="BO38" s="4">
        <v>17</v>
      </c>
      <c r="BP38" s="8">
        <v>450.33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181</v>
      </c>
      <c r="BX38" s="2" t="s">
        <v>232</v>
      </c>
      <c r="BY38" s="2" t="s">
        <v>110</v>
      </c>
      <c r="BZ38" s="2" t="s">
        <v>98</v>
      </c>
    </row>
    <row r="39">
      <c r="A39" s="2" t="s">
        <v>233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91</v>
      </c>
      <c r="G39" s="2" t="s">
        <v>91</v>
      </c>
      <c r="H39" s="2" t="s">
        <v>91</v>
      </c>
      <c r="I39" s="2" t="s">
        <v>92</v>
      </c>
      <c r="J39" s="2" t="s">
        <v>125</v>
      </c>
      <c r="K39" s="2" t="s">
        <v>220</v>
      </c>
      <c r="L39" s="3">
        <v>27.39</v>
      </c>
      <c r="M39" s="3">
        <v>28.76</v>
      </c>
      <c r="N39" s="3">
        <v>62.99</v>
      </c>
      <c r="O39" s="2" t="s">
        <v>95</v>
      </c>
      <c r="P39" s="2" t="s">
        <v>156</v>
      </c>
      <c r="Q39" s="2" t="s">
        <v>97</v>
      </c>
      <c r="R39" s="2" t="s">
        <v>98</v>
      </c>
      <c r="S39" s="2" t="s">
        <v>221</v>
      </c>
      <c r="T39" s="2" t="s">
        <v>100</v>
      </c>
      <c r="U39" s="2" t="s">
        <v>98</v>
      </c>
      <c r="V39" s="2" t="s">
        <v>200</v>
      </c>
      <c r="W39" s="2" t="s">
        <v>103</v>
      </c>
      <c r="X39" s="2" t="s">
        <v>98</v>
      </c>
      <c r="Y39" s="2" t="s">
        <v>207</v>
      </c>
      <c r="Z39" s="4">
        <v>710</v>
      </c>
      <c r="AA39" s="4">
        <f>=ROUNDDOWN(44.375,0)</f>
      </c>
      <c r="AB39" s="5">
        <v>16</v>
      </c>
      <c r="AC39" s="2" t="s">
        <v>7</v>
      </c>
      <c r="AD39" s="4">
        <v>15</v>
      </c>
      <c r="AE39" s="4">
        <v>15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3</v>
      </c>
      <c r="AQ39" s="8">
        <v>98.25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0.0553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29</v>
      </c>
      <c r="BK39" s="8">
        <v>873.7</v>
      </c>
      <c r="BL39" s="2" t="s">
        <v>234</v>
      </c>
      <c r="BM39" s="7">
        <v>0.1034</v>
      </c>
      <c r="BN39" s="7">
        <v>0.1125</v>
      </c>
      <c r="BO39" s="4">
        <v>3</v>
      </c>
      <c r="BP39" s="8">
        <v>98.25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181</v>
      </c>
      <c r="BX39" s="2" t="s">
        <v>235</v>
      </c>
      <c r="BY39" s="2" t="s">
        <v>110</v>
      </c>
      <c r="BZ39" s="2" t="s">
        <v>98</v>
      </c>
    </row>
    <row r="40">
      <c r="A40" s="2" t="s">
        <v>236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91</v>
      </c>
      <c r="G40" s="2" t="s">
        <v>91</v>
      </c>
      <c r="H40" s="2" t="s">
        <v>91</v>
      </c>
      <c r="I40" s="2" t="s">
        <v>92</v>
      </c>
      <c r="J40" s="2" t="s">
        <v>129</v>
      </c>
      <c r="K40" s="2" t="s">
        <v>220</v>
      </c>
      <c r="L40" s="3">
        <v>27.39</v>
      </c>
      <c r="M40" s="3">
        <v>28.76</v>
      </c>
      <c r="N40" s="3">
        <v>62.99</v>
      </c>
      <c r="O40" s="2" t="s">
        <v>95</v>
      </c>
      <c r="P40" s="2" t="s">
        <v>156</v>
      </c>
      <c r="Q40" s="2" t="s">
        <v>97</v>
      </c>
      <c r="R40" s="2" t="s">
        <v>98</v>
      </c>
      <c r="S40" s="2" t="s">
        <v>221</v>
      </c>
      <c r="T40" s="2" t="s">
        <v>100</v>
      </c>
      <c r="U40" s="2" t="s">
        <v>98</v>
      </c>
      <c r="V40" s="2" t="s">
        <v>200</v>
      </c>
      <c r="W40" s="2" t="s">
        <v>103</v>
      </c>
      <c r="X40" s="2" t="s">
        <v>98</v>
      </c>
      <c r="Y40" s="2" t="s">
        <v>179</v>
      </c>
      <c r="Z40" s="4">
        <v>239</v>
      </c>
      <c r="AA40" s="4">
        <f>=ROUNDDOWN(23.9,0)</f>
      </c>
      <c r="AB40" s="5">
        <v>10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4</v>
      </c>
      <c r="AQ40" s="8">
        <v>131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0.0737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48</v>
      </c>
      <c r="BK40" s="8">
        <v>1426.38</v>
      </c>
      <c r="BL40" s="2" t="s">
        <v>237</v>
      </c>
      <c r="BM40" s="7">
        <v>0.0833</v>
      </c>
      <c r="BN40" s="7">
        <v>0.0918</v>
      </c>
      <c r="BO40" s="4">
        <v>4</v>
      </c>
      <c r="BP40" s="8">
        <v>131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181</v>
      </c>
      <c r="BX40" s="2" t="s">
        <v>218</v>
      </c>
      <c r="BY40" s="2" t="s">
        <v>110</v>
      </c>
      <c r="BZ40" s="2" t="s">
        <v>98</v>
      </c>
    </row>
    <row r="41">
      <c r="A41" s="2" t="s">
        <v>238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91</v>
      </c>
      <c r="G41" s="2" t="s">
        <v>91</v>
      </c>
      <c r="H41" s="2" t="s">
        <v>91</v>
      </c>
      <c r="I41" s="2" t="s">
        <v>92</v>
      </c>
      <c r="J41" s="2" t="s">
        <v>93</v>
      </c>
      <c r="K41" s="2" t="s">
        <v>239</v>
      </c>
      <c r="L41" s="3">
        <v>14.89</v>
      </c>
      <c r="M41" s="3">
        <v>15.63</v>
      </c>
      <c r="N41" s="3">
        <v>31.99</v>
      </c>
      <c r="O41" s="2" t="s">
        <v>95</v>
      </c>
      <c r="P41" s="2" t="s">
        <v>184</v>
      </c>
      <c r="Q41" s="2" t="s">
        <v>97</v>
      </c>
      <c r="R41" s="2" t="s">
        <v>98</v>
      </c>
      <c r="S41" s="2" t="s">
        <v>240</v>
      </c>
      <c r="T41" s="2" t="s">
        <v>100</v>
      </c>
      <c r="U41" s="2" t="s">
        <v>98</v>
      </c>
      <c r="V41" s="2" t="s">
        <v>158</v>
      </c>
      <c r="W41" s="2" t="s">
        <v>103</v>
      </c>
      <c r="X41" s="2" t="s">
        <v>98</v>
      </c>
      <c r="Y41" s="2" t="s">
        <v>241</v>
      </c>
      <c r="Z41" s="4">
        <v>345</v>
      </c>
      <c r="AA41" s="4">
        <f>=ROUNDDOWN(15,0)</f>
      </c>
      <c r="AB41" s="5">
        <v>23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25</v>
      </c>
      <c r="AQ41" s="8">
        <v>437.5</v>
      </c>
      <c r="AR41" s="4"/>
      <c r="AS41" s="8"/>
      <c r="AT41" s="7"/>
      <c r="AU41" s="7"/>
      <c r="AV41" s="4">
        <v>74</v>
      </c>
      <c r="AW41" s="8">
        <v>1659.68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0.2636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0.041</v>
      </c>
      <c r="BJ41" s="4">
        <v>68</v>
      </c>
      <c r="BK41" s="8">
        <v>1119.99</v>
      </c>
      <c r="BL41" s="2" t="s">
        <v>242</v>
      </c>
      <c r="BM41" s="7">
        <v>0.3676</v>
      </c>
      <c r="BN41" s="7">
        <v>0.3906</v>
      </c>
      <c r="BO41" s="4">
        <v>25</v>
      </c>
      <c r="BP41" s="8">
        <v>437.5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181</v>
      </c>
      <c r="BX41" s="2" t="s">
        <v>243</v>
      </c>
      <c r="BY41" s="2" t="s">
        <v>110</v>
      </c>
      <c r="BZ41" s="2" t="s">
        <v>98</v>
      </c>
    </row>
    <row r="42">
      <c r="A42" s="2" t="s">
        <v>244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91</v>
      </c>
      <c r="G42" s="2" t="s">
        <v>91</v>
      </c>
      <c r="H42" s="2" t="s">
        <v>91</v>
      </c>
      <c r="I42" s="2" t="s">
        <v>92</v>
      </c>
      <c r="J42" s="2" t="s">
        <v>112</v>
      </c>
      <c r="K42" s="2" t="s">
        <v>239</v>
      </c>
      <c r="L42" s="3">
        <v>16.16</v>
      </c>
      <c r="M42" s="3">
        <v>16.97</v>
      </c>
      <c r="N42" s="3">
        <v>34.99</v>
      </c>
      <c r="O42" s="2" t="s">
        <v>95</v>
      </c>
      <c r="P42" s="2" t="s">
        <v>156</v>
      </c>
      <c r="Q42" s="2" t="s">
        <v>97</v>
      </c>
      <c r="R42" s="2" t="s">
        <v>98</v>
      </c>
      <c r="S42" s="2" t="s">
        <v>240</v>
      </c>
      <c r="T42" s="2" t="s">
        <v>100</v>
      </c>
      <c r="U42" s="2" t="s">
        <v>98</v>
      </c>
      <c r="V42" s="2" t="s">
        <v>158</v>
      </c>
      <c r="W42" s="2" t="s">
        <v>103</v>
      </c>
      <c r="X42" s="2" t="s">
        <v>98</v>
      </c>
      <c r="Y42" s="2" t="s">
        <v>241</v>
      </c>
      <c r="Z42" s="4">
        <v>565</v>
      </c>
      <c r="AA42" s="4">
        <f>=ROUNDDOWN(29.7368421052632,0)</f>
      </c>
      <c r="AB42" s="5">
        <v>19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11</v>
      </c>
      <c r="AQ42" s="8">
        <v>209</v>
      </c>
      <c r="AR42" s="4"/>
      <c r="AS42" s="8"/>
      <c r="AT42" s="7"/>
      <c r="AU42" s="7"/>
      <c r="AV42" s="4" t="s">
        <v>98</v>
      </c>
      <c r="AW42" s="8" t="s">
        <v>98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0.1259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 t="s">
        <v>98</v>
      </c>
      <c r="BJ42" s="4">
        <v>30</v>
      </c>
      <c r="BK42" s="8">
        <v>572.58</v>
      </c>
      <c r="BL42" s="2" t="s">
        <v>245</v>
      </c>
      <c r="BM42" s="7">
        <v>0.3667</v>
      </c>
      <c r="BN42" s="7">
        <v>0.365</v>
      </c>
      <c r="BO42" s="4">
        <v>11</v>
      </c>
      <c r="BP42" s="8">
        <v>209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181</v>
      </c>
      <c r="BX42" s="2" t="s">
        <v>246</v>
      </c>
      <c r="BY42" s="2" t="s">
        <v>110</v>
      </c>
      <c r="BZ42" s="2" t="s">
        <v>98</v>
      </c>
    </row>
    <row r="43">
      <c r="A43" s="2" t="s">
        <v>247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91</v>
      </c>
      <c r="G43" s="2" t="s">
        <v>91</v>
      </c>
      <c r="H43" s="2" t="s">
        <v>91</v>
      </c>
      <c r="I43" s="2" t="s">
        <v>92</v>
      </c>
      <c r="J43" s="2" t="s">
        <v>117</v>
      </c>
      <c r="K43" s="2" t="s">
        <v>239</v>
      </c>
      <c r="L43" s="3">
        <v>19.57</v>
      </c>
      <c r="M43" s="3">
        <v>20.55</v>
      </c>
      <c r="N43" s="3">
        <v>42.99</v>
      </c>
      <c r="O43" s="2" t="s">
        <v>95</v>
      </c>
      <c r="P43" s="2" t="s">
        <v>168</v>
      </c>
      <c r="Q43" s="2" t="s">
        <v>97</v>
      </c>
      <c r="R43" s="2" t="s">
        <v>98</v>
      </c>
      <c r="S43" s="2" t="s">
        <v>240</v>
      </c>
      <c r="T43" s="2" t="s">
        <v>100</v>
      </c>
      <c r="U43" s="2" t="s">
        <v>98</v>
      </c>
      <c r="V43" s="2" t="s">
        <v>158</v>
      </c>
      <c r="W43" s="2" t="s">
        <v>103</v>
      </c>
      <c r="X43" s="2" t="s">
        <v>98</v>
      </c>
      <c r="Y43" s="2" t="s">
        <v>241</v>
      </c>
      <c r="Z43" s="4">
        <v>951</v>
      </c>
      <c r="AA43" s="4">
        <f>=ROUNDDOWN(33.9642857142857,0)</f>
      </c>
      <c r="AB43" s="5">
        <v>28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10</v>
      </c>
      <c r="AQ43" s="8">
        <v>233.9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0.1409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31</v>
      </c>
      <c r="BK43" s="8">
        <v>720.87</v>
      </c>
      <c r="BL43" s="2" t="s">
        <v>248</v>
      </c>
      <c r="BM43" s="7">
        <v>0.3226</v>
      </c>
      <c r="BN43" s="7">
        <v>0.3245</v>
      </c>
      <c r="BO43" s="4">
        <v>10</v>
      </c>
      <c r="BP43" s="8">
        <v>233.9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181</v>
      </c>
      <c r="BX43" s="2" t="s">
        <v>249</v>
      </c>
      <c r="BY43" s="2" t="s">
        <v>110</v>
      </c>
      <c r="BZ43" s="2" t="s">
        <v>98</v>
      </c>
    </row>
    <row r="44">
      <c r="A44" s="2" t="s">
        <v>250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91</v>
      </c>
      <c r="G44" s="2" t="s">
        <v>91</v>
      </c>
      <c r="H44" s="2" t="s">
        <v>91</v>
      </c>
      <c r="I44" s="2" t="s">
        <v>92</v>
      </c>
      <c r="J44" s="2" t="s">
        <v>122</v>
      </c>
      <c r="K44" s="2" t="s">
        <v>239</v>
      </c>
      <c r="L44" s="3">
        <v>22.21</v>
      </c>
      <c r="M44" s="3">
        <v>23.32</v>
      </c>
      <c r="N44" s="3">
        <v>47.99</v>
      </c>
      <c r="O44" s="2" t="s">
        <v>95</v>
      </c>
      <c r="P44" s="2" t="s">
        <v>168</v>
      </c>
      <c r="Q44" s="2" t="s">
        <v>97</v>
      </c>
      <c r="R44" s="2" t="s">
        <v>98</v>
      </c>
      <c r="S44" s="2" t="s">
        <v>240</v>
      </c>
      <c r="T44" s="2" t="s">
        <v>100</v>
      </c>
      <c r="U44" s="2" t="s">
        <v>98</v>
      </c>
      <c r="V44" s="2" t="s">
        <v>158</v>
      </c>
      <c r="W44" s="2" t="s">
        <v>103</v>
      </c>
      <c r="X44" s="2" t="s">
        <v>98</v>
      </c>
      <c r="Y44" s="2" t="s">
        <v>241</v>
      </c>
      <c r="Z44" s="4">
        <v>607</v>
      </c>
      <c r="AA44" s="4">
        <f>=ROUNDDOWN(40.4666666666667,0)</f>
      </c>
      <c r="AB44" s="5">
        <v>15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22</v>
      </c>
      <c r="AQ44" s="8">
        <v>582.78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0.3511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68</v>
      </c>
      <c r="BK44" s="8">
        <v>1660.58</v>
      </c>
      <c r="BL44" s="2" t="s">
        <v>251</v>
      </c>
      <c r="BM44" s="7">
        <v>0.3235</v>
      </c>
      <c r="BN44" s="7">
        <v>0.3509</v>
      </c>
      <c r="BO44" s="4">
        <v>22</v>
      </c>
      <c r="BP44" s="8">
        <v>582.78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181</v>
      </c>
      <c r="BX44" s="2" t="s">
        <v>223</v>
      </c>
      <c r="BY44" s="2" t="s">
        <v>110</v>
      </c>
      <c r="BZ44" s="2" t="s">
        <v>98</v>
      </c>
    </row>
    <row r="45">
      <c r="A45" s="2" t="s">
        <v>252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91</v>
      </c>
      <c r="G45" s="2" t="s">
        <v>91</v>
      </c>
      <c r="H45" s="2" t="s">
        <v>91</v>
      </c>
      <c r="I45" s="2" t="s">
        <v>92</v>
      </c>
      <c r="J45" s="2" t="s">
        <v>125</v>
      </c>
      <c r="K45" s="2" t="s">
        <v>239</v>
      </c>
      <c r="L45" s="3">
        <v>27.39</v>
      </c>
      <c r="M45" s="3">
        <v>28.76</v>
      </c>
      <c r="N45" s="3">
        <v>62.99</v>
      </c>
      <c r="O45" s="2" t="s">
        <v>95</v>
      </c>
      <c r="P45" s="2" t="s">
        <v>156</v>
      </c>
      <c r="Q45" s="2" t="s">
        <v>97</v>
      </c>
      <c r="R45" s="2" t="s">
        <v>98</v>
      </c>
      <c r="S45" s="2" t="s">
        <v>240</v>
      </c>
      <c r="T45" s="2" t="s">
        <v>100</v>
      </c>
      <c r="U45" s="2" t="s">
        <v>98</v>
      </c>
      <c r="V45" s="2" t="s">
        <v>158</v>
      </c>
      <c r="W45" s="2" t="s">
        <v>103</v>
      </c>
      <c r="X45" s="2" t="s">
        <v>98</v>
      </c>
      <c r="Y45" s="2" t="s">
        <v>241</v>
      </c>
      <c r="Z45" s="4">
        <v>48</v>
      </c>
      <c r="AA45" s="4">
        <f>=ROUNDDOWN(2.4,0)</f>
      </c>
      <c r="AB45" s="5">
        <v>20</v>
      </c>
      <c r="AC45" s="2" t="s">
        <v>98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6</v>
      </c>
      <c r="AQ45" s="8">
        <v>196.5</v>
      </c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0.1184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18</v>
      </c>
      <c r="BK45" s="8">
        <v>549.46</v>
      </c>
      <c r="BL45" s="2" t="s">
        <v>253</v>
      </c>
      <c r="BM45" s="7">
        <v>0.3333</v>
      </c>
      <c r="BN45" s="7">
        <v>0.3576</v>
      </c>
      <c r="BO45" s="4">
        <v>6</v>
      </c>
      <c r="BP45" s="8">
        <v>196.5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181</v>
      </c>
      <c r="BX45" s="2" t="s">
        <v>254</v>
      </c>
      <c r="BY45" s="2" t="s">
        <v>110</v>
      </c>
      <c r="BZ45" s="2" t="s">
        <v>98</v>
      </c>
    </row>
    <row r="46">
      <c r="A46" s="2" t="s">
        <v>255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91</v>
      </c>
      <c r="G46" s="2" t="s">
        <v>91</v>
      </c>
      <c r="H46" s="2" t="s">
        <v>91</v>
      </c>
      <c r="I46" s="2" t="s">
        <v>92</v>
      </c>
      <c r="J46" s="2" t="s">
        <v>93</v>
      </c>
      <c r="K46" s="2" t="s">
        <v>256</v>
      </c>
      <c r="L46" s="3">
        <v>14.89</v>
      </c>
      <c r="M46" s="3">
        <v>15.63</v>
      </c>
      <c r="N46" s="3">
        <v>36.99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257</v>
      </c>
      <c r="T46" s="2" t="s">
        <v>100</v>
      </c>
      <c r="U46" s="2" t="s">
        <v>101</v>
      </c>
      <c r="V46" s="2" t="s">
        <v>158</v>
      </c>
      <c r="W46" s="2" t="s">
        <v>103</v>
      </c>
      <c r="X46" s="2" t="s">
        <v>104</v>
      </c>
      <c r="Y46" s="2" t="s">
        <v>105</v>
      </c>
      <c r="Z46" s="4">
        <v>1429</v>
      </c>
      <c r="AA46" s="4">
        <f>=ROUNDDOWN(109.923076923077,0)</f>
      </c>
      <c r="AB46" s="5">
        <v>13</v>
      </c>
      <c r="AC46" s="2" t="s">
        <v>98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5</v>
      </c>
      <c r="AQ46" s="8">
        <v>87.5</v>
      </c>
      <c r="AR46" s="4"/>
      <c r="AS46" s="8"/>
      <c r="AT46" s="7"/>
      <c r="AU46" s="7"/>
      <c r="AV46" s="4">
        <v>56</v>
      </c>
      <c r="AW46" s="8">
        <v>1543.98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0.0567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0.0381</v>
      </c>
      <c r="BJ46" s="4">
        <v>22</v>
      </c>
      <c r="BK46" s="8">
        <v>354.84</v>
      </c>
      <c r="BL46" s="2" t="s">
        <v>258</v>
      </c>
      <c r="BM46" s="7">
        <v>0.2273</v>
      </c>
      <c r="BN46" s="7">
        <v>0.2466</v>
      </c>
      <c r="BO46" s="4">
        <v>5</v>
      </c>
      <c r="BP46" s="8">
        <v>87.5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105</v>
      </c>
      <c r="BX46" s="2" t="s">
        <v>109</v>
      </c>
      <c r="BY46" s="2" t="s">
        <v>110</v>
      </c>
      <c r="BZ46" s="2" t="s">
        <v>98</v>
      </c>
    </row>
    <row r="47">
      <c r="A47" s="2" t="s">
        <v>259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91</v>
      </c>
      <c r="G47" s="2" t="s">
        <v>91</v>
      </c>
      <c r="H47" s="2" t="s">
        <v>91</v>
      </c>
      <c r="I47" s="2" t="s">
        <v>92</v>
      </c>
      <c r="J47" s="2" t="s">
        <v>112</v>
      </c>
      <c r="K47" s="2" t="s">
        <v>256</v>
      </c>
      <c r="L47" s="3">
        <v>16.16</v>
      </c>
      <c r="M47" s="3">
        <v>16.97</v>
      </c>
      <c r="N47" s="3">
        <v>39.99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257</v>
      </c>
      <c r="T47" s="2" t="s">
        <v>100</v>
      </c>
      <c r="U47" s="2" t="s">
        <v>101</v>
      </c>
      <c r="V47" s="2" t="s">
        <v>158</v>
      </c>
      <c r="W47" s="2" t="s">
        <v>103</v>
      </c>
      <c r="X47" s="2" t="s">
        <v>104</v>
      </c>
      <c r="Y47" s="2" t="s">
        <v>105</v>
      </c>
      <c r="Z47" s="4">
        <v>1607</v>
      </c>
      <c r="AA47" s="4">
        <f>=ROUNDDOWN({0},0)</f>
      </c>
      <c r="AB47" s="5"/>
      <c r="AC47" s="2" t="s">
        <v>98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1</v>
      </c>
      <c r="AQ47" s="8">
        <v>19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0.0123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7</v>
      </c>
      <c r="BK47" s="8">
        <v>120.52</v>
      </c>
      <c r="BL47" s="2" t="s">
        <v>260</v>
      </c>
      <c r="BM47" s="7">
        <v>0.1429</v>
      </c>
      <c r="BN47" s="7">
        <v>0.1577</v>
      </c>
      <c r="BO47" s="4">
        <v>1</v>
      </c>
      <c r="BP47" s="8">
        <v>19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105</v>
      </c>
      <c r="BX47" s="2" t="s">
        <v>261</v>
      </c>
      <c r="BY47" s="2" t="s">
        <v>110</v>
      </c>
      <c r="BZ47" s="2" t="s">
        <v>98</v>
      </c>
    </row>
    <row r="48">
      <c r="A48" s="2" t="s">
        <v>262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91</v>
      </c>
      <c r="G48" s="2" t="s">
        <v>91</v>
      </c>
      <c r="H48" s="2" t="s">
        <v>91</v>
      </c>
      <c r="I48" s="2" t="s">
        <v>92</v>
      </c>
      <c r="J48" s="2" t="s">
        <v>117</v>
      </c>
      <c r="K48" s="2" t="s">
        <v>256</v>
      </c>
      <c r="L48" s="3">
        <v>19.57</v>
      </c>
      <c r="M48" s="3">
        <v>20.55</v>
      </c>
      <c r="N48" s="3">
        <v>47.99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257</v>
      </c>
      <c r="T48" s="2" t="s">
        <v>100</v>
      </c>
      <c r="U48" s="2" t="s">
        <v>118</v>
      </c>
      <c r="V48" s="2" t="s">
        <v>158</v>
      </c>
      <c r="W48" s="2" t="s">
        <v>103</v>
      </c>
      <c r="X48" s="2" t="s">
        <v>104</v>
      </c>
      <c r="Y48" s="2" t="s">
        <v>105</v>
      </c>
      <c r="Z48" s="4">
        <v>1778</v>
      </c>
      <c r="AA48" s="4">
        <f>=ROUNDDOWN({0},0)</f>
      </c>
      <c r="AB48" s="5"/>
      <c r="AC48" s="2" t="s">
        <v>98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>
        <v>10</v>
      </c>
      <c r="AQ48" s="8">
        <v>233.9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0.1515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21</v>
      </c>
      <c r="BK48" s="8">
        <v>462.06</v>
      </c>
      <c r="BL48" s="2" t="s">
        <v>263</v>
      </c>
      <c r="BM48" s="7">
        <v>0.4762</v>
      </c>
      <c r="BN48" s="7">
        <v>0.5062</v>
      </c>
      <c r="BO48" s="4">
        <v>10</v>
      </c>
      <c r="BP48" s="8">
        <v>233.9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105</v>
      </c>
      <c r="BX48" s="2" t="s">
        <v>264</v>
      </c>
      <c r="BY48" s="2" t="s">
        <v>110</v>
      </c>
      <c r="BZ48" s="2" t="s">
        <v>98</v>
      </c>
    </row>
    <row r="49">
      <c r="A49" s="2" t="s">
        <v>265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91</v>
      </c>
      <c r="G49" s="2" t="s">
        <v>91</v>
      </c>
      <c r="H49" s="2" t="s">
        <v>91</v>
      </c>
      <c r="I49" s="2" t="s">
        <v>92</v>
      </c>
      <c r="J49" s="2" t="s">
        <v>122</v>
      </c>
      <c r="K49" s="2" t="s">
        <v>256</v>
      </c>
      <c r="L49" s="3">
        <v>22.21</v>
      </c>
      <c r="M49" s="3">
        <v>23.32</v>
      </c>
      <c r="N49" s="3">
        <v>52.99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257</v>
      </c>
      <c r="T49" s="2" t="s">
        <v>100</v>
      </c>
      <c r="U49" s="2" t="s">
        <v>118</v>
      </c>
      <c r="V49" s="2" t="s">
        <v>158</v>
      </c>
      <c r="W49" s="2" t="s">
        <v>103</v>
      </c>
      <c r="X49" s="2" t="s">
        <v>104</v>
      </c>
      <c r="Y49" s="2" t="s">
        <v>148</v>
      </c>
      <c r="Z49" s="4">
        <v>4414</v>
      </c>
      <c r="AA49" s="4">
        <f>=ROUNDDOWN({0},0)</f>
      </c>
      <c r="AB49" s="5"/>
      <c r="AC49" s="2" t="s">
        <v>98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>
        <v>17</v>
      </c>
      <c r="AQ49" s="8">
        <v>450.33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0.2917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64</v>
      </c>
      <c r="BK49" s="8">
        <v>1624.13</v>
      </c>
      <c r="BL49" s="2" t="s">
        <v>141</v>
      </c>
      <c r="BM49" s="7">
        <v>0.2656</v>
      </c>
      <c r="BN49" s="7">
        <v>0.2773</v>
      </c>
      <c r="BO49" s="4">
        <v>17</v>
      </c>
      <c r="BP49" s="8">
        <v>450.33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266</v>
      </c>
      <c r="BX49" s="2" t="s">
        <v>267</v>
      </c>
      <c r="BY49" s="2" t="s">
        <v>110</v>
      </c>
      <c r="BZ49" s="2" t="s">
        <v>98</v>
      </c>
    </row>
    <row r="50">
      <c r="A50" s="2" t="s">
        <v>268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91</v>
      </c>
      <c r="G50" s="2" t="s">
        <v>91</v>
      </c>
      <c r="H50" s="2" t="s">
        <v>91</v>
      </c>
      <c r="I50" s="2" t="s">
        <v>92</v>
      </c>
      <c r="J50" s="2" t="s">
        <v>125</v>
      </c>
      <c r="K50" s="2" t="s">
        <v>256</v>
      </c>
      <c r="L50" s="3">
        <v>27.39</v>
      </c>
      <c r="M50" s="3">
        <v>28.76</v>
      </c>
      <c r="N50" s="3">
        <v>67.99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257</v>
      </c>
      <c r="T50" s="2" t="s">
        <v>100</v>
      </c>
      <c r="U50" s="2" t="s">
        <v>118</v>
      </c>
      <c r="V50" s="2" t="s">
        <v>158</v>
      </c>
      <c r="W50" s="2" t="s">
        <v>103</v>
      </c>
      <c r="X50" s="2" t="s">
        <v>104</v>
      </c>
      <c r="Y50" s="2" t="s">
        <v>105</v>
      </c>
      <c r="Z50" s="4">
        <v>1220</v>
      </c>
      <c r="AA50" s="4">
        <f>=ROUNDDOWN({0},0)</f>
      </c>
      <c r="AB50" s="5"/>
      <c r="AC50" s="2" t="s">
        <v>98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>
        <v>19</v>
      </c>
      <c r="AQ50" s="8">
        <v>622.25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0.403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68</v>
      </c>
      <c r="BK50" s="8">
        <v>2152.85</v>
      </c>
      <c r="BL50" s="2" t="s">
        <v>269</v>
      </c>
      <c r="BM50" s="7">
        <v>0.2794</v>
      </c>
      <c r="BN50" s="7">
        <v>0.289</v>
      </c>
      <c r="BO50" s="4">
        <v>19</v>
      </c>
      <c r="BP50" s="8">
        <v>622.25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105</v>
      </c>
      <c r="BX50" s="2" t="s">
        <v>267</v>
      </c>
      <c r="BY50" s="2" t="s">
        <v>110</v>
      </c>
      <c r="BZ50" s="2" t="s">
        <v>98</v>
      </c>
    </row>
    <row r="51">
      <c r="A51" s="2" t="s">
        <v>270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91</v>
      </c>
      <c r="G51" s="2" t="s">
        <v>91</v>
      </c>
      <c r="H51" s="2" t="s">
        <v>91</v>
      </c>
      <c r="I51" s="2" t="s">
        <v>92</v>
      </c>
      <c r="J51" s="2" t="s">
        <v>129</v>
      </c>
      <c r="K51" s="2" t="s">
        <v>256</v>
      </c>
      <c r="L51" s="3">
        <v>27.39</v>
      </c>
      <c r="M51" s="3">
        <v>28.76</v>
      </c>
      <c r="N51" s="3">
        <v>67.99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257</v>
      </c>
      <c r="T51" s="2" t="s">
        <v>100</v>
      </c>
      <c r="U51" s="2" t="s">
        <v>118</v>
      </c>
      <c r="V51" s="2" t="s">
        <v>158</v>
      </c>
      <c r="W51" s="2" t="s">
        <v>103</v>
      </c>
      <c r="X51" s="2" t="s">
        <v>104</v>
      </c>
      <c r="Y51" s="2" t="s">
        <v>113</v>
      </c>
      <c r="Z51" s="4">
        <v>869</v>
      </c>
      <c r="AA51" s="4">
        <f>=ROUNDDOWN({0},0)</f>
      </c>
      <c r="AB51" s="5"/>
      <c r="AC51" s="2" t="s">
        <v>98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>
        <v>4</v>
      </c>
      <c r="AQ51" s="8">
        <v>131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0.0848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9</v>
      </c>
      <c r="BK51" s="8">
        <v>284.9</v>
      </c>
      <c r="BL51" s="2" t="s">
        <v>271</v>
      </c>
      <c r="BM51" s="7">
        <v>0.4444</v>
      </c>
      <c r="BN51" s="7">
        <v>0.4598</v>
      </c>
      <c r="BO51" s="4">
        <v>4</v>
      </c>
      <c r="BP51" s="8">
        <v>131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272</v>
      </c>
      <c r="BX51" s="2" t="s">
        <v>153</v>
      </c>
      <c r="BY51" s="2" t="s">
        <v>110</v>
      </c>
      <c r="BZ51" s="2" t="s">
        <v>98</v>
      </c>
    </row>
    <row r="52">
      <c r="A52" s="2" t="s">
        <v>273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91</v>
      </c>
      <c r="G52" s="2" t="s">
        <v>91</v>
      </c>
      <c r="H52" s="2" t="s">
        <v>91</v>
      </c>
      <c r="I52" s="2" t="s">
        <v>92</v>
      </c>
      <c r="J52" s="2" t="s">
        <v>93</v>
      </c>
      <c r="K52" s="2" t="s">
        <v>274</v>
      </c>
      <c r="L52" s="3">
        <v>14.89</v>
      </c>
      <c r="M52" s="3">
        <v>15.63</v>
      </c>
      <c r="N52" s="3">
        <v>31.99</v>
      </c>
      <c r="O52" s="2" t="s">
        <v>95</v>
      </c>
      <c r="P52" s="2" t="s">
        <v>156</v>
      </c>
      <c r="Q52" s="2" t="s">
        <v>97</v>
      </c>
      <c r="R52" s="2" t="s">
        <v>98</v>
      </c>
      <c r="S52" s="2" t="s">
        <v>275</v>
      </c>
      <c r="T52" s="2" t="s">
        <v>100</v>
      </c>
      <c r="U52" s="2" t="s">
        <v>98</v>
      </c>
      <c r="V52" s="2" t="s">
        <v>200</v>
      </c>
      <c r="W52" s="2" t="s">
        <v>103</v>
      </c>
      <c r="X52" s="2" t="s">
        <v>98</v>
      </c>
      <c r="Y52" s="2" t="s">
        <v>276</v>
      </c>
      <c r="Z52" s="4">
        <v>1560</v>
      </c>
      <c r="AA52" s="4">
        <f>=ROUNDDOWN(45.8823529411765,0)</f>
      </c>
      <c r="AB52" s="5">
        <v>34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>
        <v>14</v>
      </c>
      <c r="AQ52" s="8">
        <v>245</v>
      </c>
      <c r="AR52" s="4"/>
      <c r="AS52" s="8"/>
      <c r="AT52" s="7"/>
      <c r="AU52" s="7"/>
      <c r="AV52" s="4">
        <v>67</v>
      </c>
      <c r="AW52" s="8">
        <v>1485.27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0.165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0.0367</v>
      </c>
      <c r="BJ52" s="4">
        <v>113</v>
      </c>
      <c r="BK52" s="8">
        <v>1808.84</v>
      </c>
      <c r="BL52" s="2" t="s">
        <v>204</v>
      </c>
      <c r="BM52" s="7">
        <v>0.1239</v>
      </c>
      <c r="BN52" s="7">
        <v>0.1354</v>
      </c>
      <c r="BO52" s="4">
        <v>14</v>
      </c>
      <c r="BP52" s="8">
        <v>245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181</v>
      </c>
      <c r="BX52" s="2" t="s">
        <v>277</v>
      </c>
      <c r="BY52" s="2" t="s">
        <v>110</v>
      </c>
      <c r="BZ52" s="2" t="s">
        <v>98</v>
      </c>
    </row>
    <row r="53">
      <c r="A53" s="2" t="s">
        <v>278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91</v>
      </c>
      <c r="G53" s="2" t="s">
        <v>91</v>
      </c>
      <c r="H53" s="2" t="s">
        <v>91</v>
      </c>
      <c r="I53" s="2" t="s">
        <v>92</v>
      </c>
      <c r="J53" s="2" t="s">
        <v>112</v>
      </c>
      <c r="K53" s="2" t="s">
        <v>274</v>
      </c>
      <c r="L53" s="3">
        <v>16.16</v>
      </c>
      <c r="M53" s="3">
        <v>16.97</v>
      </c>
      <c r="N53" s="3">
        <v>34.99</v>
      </c>
      <c r="O53" s="2" t="s">
        <v>95</v>
      </c>
      <c r="P53" s="2" t="s">
        <v>156</v>
      </c>
      <c r="Q53" s="2" t="s">
        <v>97</v>
      </c>
      <c r="R53" s="2" t="s">
        <v>98</v>
      </c>
      <c r="S53" s="2" t="s">
        <v>275</v>
      </c>
      <c r="T53" s="2" t="s">
        <v>100</v>
      </c>
      <c r="U53" s="2" t="s">
        <v>98</v>
      </c>
      <c r="V53" s="2" t="s">
        <v>200</v>
      </c>
      <c r="W53" s="2" t="s">
        <v>103</v>
      </c>
      <c r="X53" s="2" t="s">
        <v>98</v>
      </c>
      <c r="Y53" s="2" t="s">
        <v>276</v>
      </c>
      <c r="Z53" s="4">
        <v>580</v>
      </c>
      <c r="AA53" s="4">
        <f>=ROUNDDOWN(14.1463414634146,0)</f>
      </c>
      <c r="AB53" s="5">
        <v>41</v>
      </c>
      <c r="AC53" s="2" t="s">
        <v>98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>
        <v>14</v>
      </c>
      <c r="AQ53" s="8">
        <v>266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0.1791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32</v>
      </c>
      <c r="BK53" s="8">
        <v>575.3</v>
      </c>
      <c r="BL53" s="2" t="s">
        <v>279</v>
      </c>
      <c r="BM53" s="7">
        <v>0.4375</v>
      </c>
      <c r="BN53" s="7">
        <v>0.4624</v>
      </c>
      <c r="BO53" s="4">
        <v>14</v>
      </c>
      <c r="BP53" s="8">
        <v>266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181</v>
      </c>
      <c r="BX53" s="2" t="s">
        <v>226</v>
      </c>
      <c r="BY53" s="2" t="s">
        <v>110</v>
      </c>
      <c r="BZ53" s="2" t="s">
        <v>98</v>
      </c>
    </row>
    <row r="54">
      <c r="A54" s="2" t="s">
        <v>280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91</v>
      </c>
      <c r="G54" s="2" t="s">
        <v>91</v>
      </c>
      <c r="H54" s="2" t="s">
        <v>91</v>
      </c>
      <c r="I54" s="2" t="s">
        <v>92</v>
      </c>
      <c r="J54" s="2" t="s">
        <v>117</v>
      </c>
      <c r="K54" s="2" t="s">
        <v>274</v>
      </c>
      <c r="L54" s="3">
        <v>19.57</v>
      </c>
      <c r="M54" s="3">
        <v>20.55</v>
      </c>
      <c r="N54" s="3">
        <v>42.99</v>
      </c>
      <c r="O54" s="2" t="s">
        <v>95</v>
      </c>
      <c r="P54" s="2" t="s">
        <v>156</v>
      </c>
      <c r="Q54" s="2" t="s">
        <v>97</v>
      </c>
      <c r="R54" s="2" t="s">
        <v>98</v>
      </c>
      <c r="S54" s="2" t="s">
        <v>275</v>
      </c>
      <c r="T54" s="2" t="s">
        <v>100</v>
      </c>
      <c r="U54" s="2" t="s">
        <v>98</v>
      </c>
      <c r="V54" s="2" t="s">
        <v>200</v>
      </c>
      <c r="W54" s="2" t="s">
        <v>103</v>
      </c>
      <c r="X54" s="2" t="s">
        <v>98</v>
      </c>
      <c r="Y54" s="2" t="s">
        <v>276</v>
      </c>
      <c r="Z54" s="4">
        <v>1303</v>
      </c>
      <c r="AA54" s="4">
        <f>=ROUNDDOWN(59.2272727272727,0)</f>
      </c>
      <c r="AB54" s="5">
        <v>22</v>
      </c>
      <c r="AC54" s="2" t="s">
        <v>98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>
        <v>21</v>
      </c>
      <c r="AQ54" s="8">
        <v>491.19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0.3307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74</v>
      </c>
      <c r="BK54" s="8">
        <v>1622.2</v>
      </c>
      <c r="BL54" s="2" t="s">
        <v>281</v>
      </c>
      <c r="BM54" s="7">
        <v>0.2838</v>
      </c>
      <c r="BN54" s="7">
        <v>0.3028</v>
      </c>
      <c r="BO54" s="4">
        <v>21</v>
      </c>
      <c r="BP54" s="8">
        <v>491.19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181</v>
      </c>
      <c r="BX54" s="2" t="s">
        <v>229</v>
      </c>
      <c r="BY54" s="2" t="s">
        <v>110</v>
      </c>
      <c r="BZ54" s="2" t="s">
        <v>98</v>
      </c>
    </row>
    <row r="55">
      <c r="A55" s="2" t="s">
        <v>282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91</v>
      </c>
      <c r="G55" s="2" t="s">
        <v>91</v>
      </c>
      <c r="H55" s="2" t="s">
        <v>91</v>
      </c>
      <c r="I55" s="2" t="s">
        <v>92</v>
      </c>
      <c r="J55" s="2" t="s">
        <v>122</v>
      </c>
      <c r="K55" s="2" t="s">
        <v>274</v>
      </c>
      <c r="L55" s="3">
        <v>22.21</v>
      </c>
      <c r="M55" s="3">
        <v>23.32</v>
      </c>
      <c r="N55" s="3">
        <v>47.99</v>
      </c>
      <c r="O55" s="2" t="s">
        <v>95</v>
      </c>
      <c r="P55" s="2" t="s">
        <v>168</v>
      </c>
      <c r="Q55" s="2" t="s">
        <v>97</v>
      </c>
      <c r="R55" s="2" t="s">
        <v>98</v>
      </c>
      <c r="S55" s="2" t="s">
        <v>275</v>
      </c>
      <c r="T55" s="2" t="s">
        <v>100</v>
      </c>
      <c r="U55" s="2" t="s">
        <v>98</v>
      </c>
      <c r="V55" s="2" t="s">
        <v>200</v>
      </c>
      <c r="W55" s="2" t="s">
        <v>103</v>
      </c>
      <c r="X55" s="2" t="s">
        <v>98</v>
      </c>
      <c r="Y55" s="2" t="s">
        <v>276</v>
      </c>
      <c r="Z55" s="4">
        <v>1135</v>
      </c>
      <c r="AA55" s="4">
        <f>=ROUNDDOWN(32.4285714285714,0)</f>
      </c>
      <c r="AB55" s="5">
        <v>35</v>
      </c>
      <c r="AC55" s="2" t="s">
        <v>98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>
        <v>17</v>
      </c>
      <c r="AQ55" s="8">
        <v>450.33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0.3032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100</v>
      </c>
      <c r="BK55" s="8">
        <v>2421.19</v>
      </c>
      <c r="BL55" s="2" t="s">
        <v>283</v>
      </c>
      <c r="BM55" s="7">
        <v>0.17</v>
      </c>
      <c r="BN55" s="7">
        <v>0.186</v>
      </c>
      <c r="BO55" s="4">
        <v>17</v>
      </c>
      <c r="BP55" s="8">
        <v>450.33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181</v>
      </c>
      <c r="BX55" s="2" t="s">
        <v>284</v>
      </c>
      <c r="BY55" s="2" t="s">
        <v>110</v>
      </c>
      <c r="BZ55" s="2" t="s">
        <v>98</v>
      </c>
    </row>
    <row r="56">
      <c r="A56" s="2" t="s">
        <v>285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91</v>
      </c>
      <c r="G56" s="2" t="s">
        <v>91</v>
      </c>
      <c r="H56" s="2" t="s">
        <v>91</v>
      </c>
      <c r="I56" s="2" t="s">
        <v>92</v>
      </c>
      <c r="J56" s="2" t="s">
        <v>125</v>
      </c>
      <c r="K56" s="2" t="s">
        <v>274</v>
      </c>
      <c r="L56" s="3">
        <v>27.39</v>
      </c>
      <c r="M56" s="3">
        <v>28.76</v>
      </c>
      <c r="N56" s="3">
        <v>62.99</v>
      </c>
      <c r="O56" s="2" t="s">
        <v>95</v>
      </c>
      <c r="P56" s="2" t="s">
        <v>156</v>
      </c>
      <c r="Q56" s="2" t="s">
        <v>97</v>
      </c>
      <c r="R56" s="2" t="s">
        <v>98</v>
      </c>
      <c r="S56" s="2" t="s">
        <v>275</v>
      </c>
      <c r="T56" s="2" t="s">
        <v>100</v>
      </c>
      <c r="U56" s="2" t="s">
        <v>98</v>
      </c>
      <c r="V56" s="2" t="s">
        <v>200</v>
      </c>
      <c r="W56" s="2" t="s">
        <v>103</v>
      </c>
      <c r="X56" s="2" t="s">
        <v>98</v>
      </c>
      <c r="Y56" s="2" t="s">
        <v>276</v>
      </c>
      <c r="Z56" s="4">
        <v>780</v>
      </c>
      <c r="AA56" s="4">
        <f>=ROUNDDOWN(65,0)</f>
      </c>
      <c r="AB56" s="5">
        <v>12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>
        <v>1</v>
      </c>
      <c r="AQ56" s="8">
        <v>32.75</v>
      </c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0.022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19</v>
      </c>
      <c r="BK56" s="8">
        <v>559.91</v>
      </c>
      <c r="BL56" s="2" t="s">
        <v>286</v>
      </c>
      <c r="BM56" s="7">
        <v>0.0526</v>
      </c>
      <c r="BN56" s="7">
        <v>0.0585</v>
      </c>
      <c r="BO56" s="4">
        <v>1</v>
      </c>
      <c r="BP56" s="8">
        <v>32.75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181</v>
      </c>
      <c r="BX56" s="2" t="s">
        <v>196</v>
      </c>
      <c r="BY56" s="2" t="s">
        <v>110</v>
      </c>
      <c r="BZ56" s="2" t="s">
        <v>98</v>
      </c>
    </row>
    <row r="57">
      <c r="A57" s="2" t="s">
        <v>287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91</v>
      </c>
      <c r="G57" s="2" t="s">
        <v>91</v>
      </c>
      <c r="H57" s="2" t="s">
        <v>91</v>
      </c>
      <c r="I57" s="2" t="s">
        <v>92</v>
      </c>
      <c r="J57" s="2" t="s">
        <v>93</v>
      </c>
      <c r="K57" s="2" t="s">
        <v>288</v>
      </c>
      <c r="L57" s="3">
        <v>14.89</v>
      </c>
      <c r="M57" s="3">
        <v>15.63</v>
      </c>
      <c r="N57" s="3">
        <v>31.99</v>
      </c>
      <c r="O57" s="2" t="s">
        <v>95</v>
      </c>
      <c r="P57" s="2" t="s">
        <v>177</v>
      </c>
      <c r="Q57" s="2" t="s">
        <v>97</v>
      </c>
      <c r="R57" s="2" t="s">
        <v>98</v>
      </c>
      <c r="S57" s="2" t="s">
        <v>289</v>
      </c>
      <c r="T57" s="2" t="s">
        <v>100</v>
      </c>
      <c r="U57" s="2" t="s">
        <v>101</v>
      </c>
      <c r="V57" s="2" t="s">
        <v>290</v>
      </c>
      <c r="W57" s="2" t="s">
        <v>103</v>
      </c>
      <c r="X57" s="2" t="s">
        <v>291</v>
      </c>
      <c r="Y57" s="2" t="s">
        <v>292</v>
      </c>
      <c r="Z57" s="4">
        <v>867</v>
      </c>
      <c r="AA57" s="4">
        <f>=ROUNDDOWN(22.2307692307692,0)</f>
      </c>
      <c r="AB57" s="5">
        <v>39</v>
      </c>
      <c r="AC57" s="2" t="s">
        <v>98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21</v>
      </c>
      <c r="AQ57" s="8">
        <v>367.5</v>
      </c>
      <c r="AR57" s="4"/>
      <c r="AS57" s="8"/>
      <c r="AT57" s="7"/>
      <c r="AU57" s="7"/>
      <c r="AV57" s="4">
        <v>62</v>
      </c>
      <c r="AW57" s="8">
        <v>1444.59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0.2544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0.0357</v>
      </c>
      <c r="BJ57" s="4">
        <v>67</v>
      </c>
      <c r="BK57" s="8">
        <v>1114.82</v>
      </c>
      <c r="BL57" s="2" t="s">
        <v>293</v>
      </c>
      <c r="BM57" s="7">
        <v>0.3134</v>
      </c>
      <c r="BN57" s="7">
        <v>0.3296</v>
      </c>
      <c r="BO57" s="4">
        <v>21</v>
      </c>
      <c r="BP57" s="8">
        <v>367.5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294</v>
      </c>
      <c r="BX57" s="2" t="s">
        <v>295</v>
      </c>
      <c r="BY57" s="2" t="s">
        <v>110</v>
      </c>
      <c r="BZ57" s="2" t="s">
        <v>98</v>
      </c>
    </row>
    <row r="58">
      <c r="A58" s="2" t="s">
        <v>296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91</v>
      </c>
      <c r="G58" s="2" t="s">
        <v>91</v>
      </c>
      <c r="H58" s="2" t="s">
        <v>91</v>
      </c>
      <c r="I58" s="2" t="s">
        <v>92</v>
      </c>
      <c r="J58" s="2" t="s">
        <v>117</v>
      </c>
      <c r="K58" s="2" t="s">
        <v>288</v>
      </c>
      <c r="L58" s="3">
        <v>19.57</v>
      </c>
      <c r="M58" s="3">
        <v>20.55</v>
      </c>
      <c r="N58" s="3">
        <v>42.99</v>
      </c>
      <c r="O58" s="2" t="s">
        <v>95</v>
      </c>
      <c r="P58" s="2" t="s">
        <v>211</v>
      </c>
      <c r="Q58" s="2" t="s">
        <v>97</v>
      </c>
      <c r="R58" s="2" t="s">
        <v>98</v>
      </c>
      <c r="S58" s="2" t="s">
        <v>289</v>
      </c>
      <c r="T58" s="2" t="s">
        <v>100</v>
      </c>
      <c r="U58" s="2" t="s">
        <v>118</v>
      </c>
      <c r="V58" s="2" t="s">
        <v>290</v>
      </c>
      <c r="W58" s="2" t="s">
        <v>103</v>
      </c>
      <c r="X58" s="2" t="s">
        <v>291</v>
      </c>
      <c r="Y58" s="2" t="s">
        <v>292</v>
      </c>
      <c r="Z58" s="4">
        <v>966</v>
      </c>
      <c r="AA58" s="4">
        <f>=ROUNDDOWN(26.1081081081081,0)</f>
      </c>
      <c r="AB58" s="5">
        <v>37</v>
      </c>
      <c r="AC58" s="2" t="s">
        <v>98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13</v>
      </c>
      <c r="AQ58" s="8">
        <v>304.07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0.2105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153</v>
      </c>
      <c r="BK58" s="8">
        <v>3401.77</v>
      </c>
      <c r="BL58" s="2" t="s">
        <v>297</v>
      </c>
      <c r="BM58" s="7">
        <v>0.085</v>
      </c>
      <c r="BN58" s="7">
        <v>0.0894</v>
      </c>
      <c r="BO58" s="4">
        <v>13</v>
      </c>
      <c r="BP58" s="8">
        <v>304.07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294</v>
      </c>
      <c r="BX58" s="2" t="s">
        <v>298</v>
      </c>
      <c r="BY58" s="2" t="s">
        <v>110</v>
      </c>
      <c r="BZ58" s="2" t="s">
        <v>98</v>
      </c>
    </row>
    <row r="59">
      <c r="A59" s="2" t="s">
        <v>299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91</v>
      </c>
      <c r="G59" s="2" t="s">
        <v>91</v>
      </c>
      <c r="H59" s="2" t="s">
        <v>91</v>
      </c>
      <c r="I59" s="2" t="s">
        <v>92</v>
      </c>
      <c r="J59" s="2" t="s">
        <v>122</v>
      </c>
      <c r="K59" s="2" t="s">
        <v>288</v>
      </c>
      <c r="L59" s="3">
        <v>22.21</v>
      </c>
      <c r="M59" s="3">
        <v>23.32</v>
      </c>
      <c r="N59" s="3">
        <v>47.99</v>
      </c>
      <c r="O59" s="2" t="s">
        <v>95</v>
      </c>
      <c r="P59" s="2" t="s">
        <v>177</v>
      </c>
      <c r="Q59" s="2" t="s">
        <v>97</v>
      </c>
      <c r="R59" s="2" t="s">
        <v>98</v>
      </c>
      <c r="S59" s="2" t="s">
        <v>289</v>
      </c>
      <c r="T59" s="2" t="s">
        <v>100</v>
      </c>
      <c r="U59" s="2" t="s">
        <v>118</v>
      </c>
      <c r="V59" s="2" t="s">
        <v>290</v>
      </c>
      <c r="W59" s="2" t="s">
        <v>103</v>
      </c>
      <c r="X59" s="2" t="s">
        <v>291</v>
      </c>
      <c r="Y59" s="2" t="s">
        <v>292</v>
      </c>
      <c r="Z59" s="4">
        <v>1421</v>
      </c>
      <c r="AA59" s="4">
        <f>=ROUNDDOWN(28.42,0)</f>
      </c>
      <c r="AB59" s="5">
        <v>50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23</v>
      </c>
      <c r="AQ59" s="8">
        <v>609.27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0.4218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69</v>
      </c>
      <c r="BK59" s="8">
        <v>1727.31</v>
      </c>
      <c r="BL59" s="2" t="s">
        <v>300</v>
      </c>
      <c r="BM59" s="7">
        <v>0.3333</v>
      </c>
      <c r="BN59" s="7">
        <v>0.3527</v>
      </c>
      <c r="BO59" s="4">
        <v>23</v>
      </c>
      <c r="BP59" s="8">
        <v>609.27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294</v>
      </c>
      <c r="BX59" s="2" t="s">
        <v>301</v>
      </c>
      <c r="BY59" s="2" t="s">
        <v>110</v>
      </c>
      <c r="BZ59" s="2" t="s">
        <v>98</v>
      </c>
    </row>
    <row r="60">
      <c r="A60" s="2" t="s">
        <v>302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91</v>
      </c>
      <c r="G60" s="2" t="s">
        <v>91</v>
      </c>
      <c r="H60" s="2" t="s">
        <v>91</v>
      </c>
      <c r="I60" s="2" t="s">
        <v>92</v>
      </c>
      <c r="J60" s="2" t="s">
        <v>125</v>
      </c>
      <c r="K60" s="2" t="s">
        <v>288</v>
      </c>
      <c r="L60" s="3">
        <v>27.39</v>
      </c>
      <c r="M60" s="3">
        <v>28.76</v>
      </c>
      <c r="N60" s="3">
        <v>62.99</v>
      </c>
      <c r="O60" s="2" t="s">
        <v>95</v>
      </c>
      <c r="P60" s="2" t="s">
        <v>168</v>
      </c>
      <c r="Q60" s="2" t="s">
        <v>97</v>
      </c>
      <c r="R60" s="2" t="s">
        <v>98</v>
      </c>
      <c r="S60" s="2" t="s">
        <v>289</v>
      </c>
      <c r="T60" s="2" t="s">
        <v>100</v>
      </c>
      <c r="U60" s="2" t="s">
        <v>118</v>
      </c>
      <c r="V60" s="2" t="s">
        <v>290</v>
      </c>
      <c r="W60" s="2" t="s">
        <v>103</v>
      </c>
      <c r="X60" s="2" t="s">
        <v>291</v>
      </c>
      <c r="Y60" s="2" t="s">
        <v>292</v>
      </c>
      <c r="Z60" s="4">
        <v>973</v>
      </c>
      <c r="AA60" s="4">
        <f>=ROUNDDOWN(74.8461538461539,0)</f>
      </c>
      <c r="AB60" s="5">
        <v>13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5</v>
      </c>
      <c r="AQ60" s="8">
        <v>163.75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0.1134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18</v>
      </c>
      <c r="BK60" s="8">
        <v>576.29</v>
      </c>
      <c r="BL60" s="2" t="s">
        <v>303</v>
      </c>
      <c r="BM60" s="7">
        <v>0.2778</v>
      </c>
      <c r="BN60" s="7">
        <v>0.2841</v>
      </c>
      <c r="BO60" s="4">
        <v>5</v>
      </c>
      <c r="BP60" s="8">
        <v>163.75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294</v>
      </c>
      <c r="BX60" s="2" t="s">
        <v>304</v>
      </c>
      <c r="BY60" s="2" t="s">
        <v>110</v>
      </c>
      <c r="BZ60" s="2" t="s">
        <v>98</v>
      </c>
    </row>
    <row r="61">
      <c r="A61" s="2" t="s">
        <v>305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91</v>
      </c>
      <c r="G61" s="2" t="s">
        <v>91</v>
      </c>
      <c r="H61" s="2" t="s">
        <v>91</v>
      </c>
      <c r="I61" s="2" t="s">
        <v>92</v>
      </c>
      <c r="J61" s="2" t="s">
        <v>93</v>
      </c>
      <c r="K61" s="2" t="s">
        <v>306</v>
      </c>
      <c r="L61" s="3">
        <v>14.89</v>
      </c>
      <c r="M61" s="3">
        <v>15.63</v>
      </c>
      <c r="N61" s="3">
        <v>31.99</v>
      </c>
      <c r="O61" s="2" t="s">
        <v>95</v>
      </c>
      <c r="P61" s="2" t="s">
        <v>156</v>
      </c>
      <c r="Q61" s="2" t="s">
        <v>97</v>
      </c>
      <c r="R61" s="2" t="s">
        <v>98</v>
      </c>
      <c r="S61" s="2" t="s">
        <v>307</v>
      </c>
      <c r="T61" s="2" t="s">
        <v>100</v>
      </c>
      <c r="U61" s="2" t="s">
        <v>98</v>
      </c>
      <c r="V61" s="2" t="s">
        <v>158</v>
      </c>
      <c r="W61" s="2" t="s">
        <v>103</v>
      </c>
      <c r="X61" s="2" t="s">
        <v>98</v>
      </c>
      <c r="Y61" s="2" t="s">
        <v>207</v>
      </c>
      <c r="Z61" s="4">
        <v>1281</v>
      </c>
      <c r="AA61" s="4">
        <f>=ROUNDDOWN(98.5384615384615,0)</f>
      </c>
      <c r="AB61" s="5">
        <v>13</v>
      </c>
      <c r="AC61" s="2" t="s">
        <v>7</v>
      </c>
      <c r="AD61" s="4">
        <v>72</v>
      </c>
      <c r="AE61" s="4">
        <v>72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12</v>
      </c>
      <c r="AQ61" s="8">
        <v>210</v>
      </c>
      <c r="AR61" s="4"/>
      <c r="AS61" s="8"/>
      <c r="AT61" s="7"/>
      <c r="AU61" s="7"/>
      <c r="AV61" s="4">
        <v>50</v>
      </c>
      <c r="AW61" s="8">
        <v>1241.96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0.1691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0.0307</v>
      </c>
      <c r="BJ61" s="4">
        <v>108</v>
      </c>
      <c r="BK61" s="8">
        <v>1721.41</v>
      </c>
      <c r="BL61" s="2" t="s">
        <v>308</v>
      </c>
      <c r="BM61" s="7">
        <v>0.1111</v>
      </c>
      <c r="BN61" s="7">
        <v>0.122</v>
      </c>
      <c r="BO61" s="4">
        <v>12</v>
      </c>
      <c r="BP61" s="8">
        <v>210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181</v>
      </c>
      <c r="BX61" s="2" t="s">
        <v>309</v>
      </c>
      <c r="BY61" s="2" t="s">
        <v>110</v>
      </c>
      <c r="BZ61" s="2" t="s">
        <v>98</v>
      </c>
    </row>
    <row r="62">
      <c r="A62" s="2" t="s">
        <v>310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91</v>
      </c>
      <c r="G62" s="2" t="s">
        <v>91</v>
      </c>
      <c r="H62" s="2" t="s">
        <v>91</v>
      </c>
      <c r="I62" s="2" t="s">
        <v>92</v>
      </c>
      <c r="J62" s="2" t="s">
        <v>117</v>
      </c>
      <c r="K62" s="2" t="s">
        <v>306</v>
      </c>
      <c r="L62" s="3">
        <v>19.57</v>
      </c>
      <c r="M62" s="3">
        <v>20.55</v>
      </c>
      <c r="N62" s="3">
        <v>42.99</v>
      </c>
      <c r="O62" s="2" t="s">
        <v>95</v>
      </c>
      <c r="P62" s="2" t="s">
        <v>168</v>
      </c>
      <c r="Q62" s="2" t="s">
        <v>97</v>
      </c>
      <c r="R62" s="2" t="s">
        <v>98</v>
      </c>
      <c r="S62" s="2" t="s">
        <v>307</v>
      </c>
      <c r="T62" s="2" t="s">
        <v>100</v>
      </c>
      <c r="U62" s="2" t="s">
        <v>98</v>
      </c>
      <c r="V62" s="2" t="s">
        <v>158</v>
      </c>
      <c r="W62" s="2" t="s">
        <v>103</v>
      </c>
      <c r="X62" s="2" t="s">
        <v>98</v>
      </c>
      <c r="Y62" s="2" t="s">
        <v>179</v>
      </c>
      <c r="Z62" s="4">
        <v>1029</v>
      </c>
      <c r="AA62" s="4">
        <f>=ROUNDDOWN(85.75,0)</f>
      </c>
      <c r="AB62" s="5">
        <v>12</v>
      </c>
      <c r="AC62" s="2" t="s">
        <v>7</v>
      </c>
      <c r="AD62" s="4">
        <v>67</v>
      </c>
      <c r="AE62" s="4">
        <v>67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>
        <v>10</v>
      </c>
      <c r="AQ62" s="8">
        <v>233.9</v>
      </c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0.1883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43</v>
      </c>
      <c r="BK62" s="8">
        <v>921.84</v>
      </c>
      <c r="BL62" s="2" t="s">
        <v>311</v>
      </c>
      <c r="BM62" s="7">
        <v>0.2326</v>
      </c>
      <c r="BN62" s="7">
        <v>0.2537</v>
      </c>
      <c r="BO62" s="4">
        <v>10</v>
      </c>
      <c r="BP62" s="8">
        <v>233.9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181</v>
      </c>
      <c r="BX62" s="2" t="s">
        <v>229</v>
      </c>
      <c r="BY62" s="2" t="s">
        <v>110</v>
      </c>
      <c r="BZ62" s="2" t="s">
        <v>98</v>
      </c>
    </row>
    <row r="63">
      <c r="A63" s="2" t="s">
        <v>312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91</v>
      </c>
      <c r="G63" s="2" t="s">
        <v>91</v>
      </c>
      <c r="H63" s="2" t="s">
        <v>91</v>
      </c>
      <c r="I63" s="2" t="s">
        <v>92</v>
      </c>
      <c r="J63" s="2" t="s">
        <v>122</v>
      </c>
      <c r="K63" s="2" t="s">
        <v>306</v>
      </c>
      <c r="L63" s="3">
        <v>22.21</v>
      </c>
      <c r="M63" s="3">
        <v>23.32</v>
      </c>
      <c r="N63" s="3">
        <v>47.99</v>
      </c>
      <c r="O63" s="2" t="s">
        <v>95</v>
      </c>
      <c r="P63" s="2" t="s">
        <v>156</v>
      </c>
      <c r="Q63" s="2" t="s">
        <v>97</v>
      </c>
      <c r="R63" s="2" t="s">
        <v>98</v>
      </c>
      <c r="S63" s="2" t="s">
        <v>307</v>
      </c>
      <c r="T63" s="2" t="s">
        <v>100</v>
      </c>
      <c r="U63" s="2" t="s">
        <v>98</v>
      </c>
      <c r="V63" s="2" t="s">
        <v>158</v>
      </c>
      <c r="W63" s="2" t="s">
        <v>103</v>
      </c>
      <c r="X63" s="2" t="s">
        <v>98</v>
      </c>
      <c r="Y63" s="2" t="s">
        <v>207</v>
      </c>
      <c r="Z63" s="4">
        <v>1046</v>
      </c>
      <c r="AA63" s="4">
        <f>=ROUNDDOWN(61.5294117647059,0)</f>
      </c>
      <c r="AB63" s="5">
        <v>17</v>
      </c>
      <c r="AC63" s="2" t="s">
        <v>7</v>
      </c>
      <c r="AD63" s="4">
        <v>27</v>
      </c>
      <c r="AE63" s="4">
        <v>27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19</v>
      </c>
      <c r="AQ63" s="8">
        <v>503.31</v>
      </c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0.4053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>
        <v>70</v>
      </c>
      <c r="BK63" s="8">
        <v>1730.99</v>
      </c>
      <c r="BL63" s="2" t="s">
        <v>313</v>
      </c>
      <c r="BM63" s="7">
        <v>0.2714</v>
      </c>
      <c r="BN63" s="7">
        <v>0.2908</v>
      </c>
      <c r="BO63" s="4">
        <v>19</v>
      </c>
      <c r="BP63" s="8">
        <v>503.31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181</v>
      </c>
      <c r="BX63" s="2" t="s">
        <v>314</v>
      </c>
      <c r="BY63" s="2" t="s">
        <v>110</v>
      </c>
      <c r="BZ63" s="2" t="s">
        <v>98</v>
      </c>
    </row>
    <row r="64">
      <c r="A64" s="2" t="s">
        <v>315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91</v>
      </c>
      <c r="G64" s="2" t="s">
        <v>91</v>
      </c>
      <c r="H64" s="2" t="s">
        <v>91</v>
      </c>
      <c r="I64" s="2" t="s">
        <v>92</v>
      </c>
      <c r="J64" s="2" t="s">
        <v>125</v>
      </c>
      <c r="K64" s="2" t="s">
        <v>306</v>
      </c>
      <c r="L64" s="3">
        <v>27.39</v>
      </c>
      <c r="M64" s="3">
        <v>28.76</v>
      </c>
      <c r="N64" s="3">
        <v>62.99</v>
      </c>
      <c r="O64" s="2" t="s">
        <v>95</v>
      </c>
      <c r="P64" s="2" t="s">
        <v>156</v>
      </c>
      <c r="Q64" s="2" t="s">
        <v>97</v>
      </c>
      <c r="R64" s="2" t="s">
        <v>98</v>
      </c>
      <c r="S64" s="2" t="s">
        <v>307</v>
      </c>
      <c r="T64" s="2" t="s">
        <v>100</v>
      </c>
      <c r="U64" s="2" t="s">
        <v>98</v>
      </c>
      <c r="V64" s="2" t="s">
        <v>158</v>
      </c>
      <c r="W64" s="2" t="s">
        <v>103</v>
      </c>
      <c r="X64" s="2" t="s">
        <v>98</v>
      </c>
      <c r="Y64" s="2" t="s">
        <v>207</v>
      </c>
      <c r="Z64" s="4">
        <v>560</v>
      </c>
      <c r="AA64" s="4">
        <f>=ROUNDDOWN(37.3333333333333,0)</f>
      </c>
      <c r="AB64" s="5">
        <v>15</v>
      </c>
      <c r="AC64" s="2" t="s">
        <v>7</v>
      </c>
      <c r="AD64" s="4">
        <v>20</v>
      </c>
      <c r="AE64" s="4">
        <v>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9</v>
      </c>
      <c r="AQ64" s="8">
        <v>294.75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0.2373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32</v>
      </c>
      <c r="BK64" s="8">
        <v>952.61</v>
      </c>
      <c r="BL64" s="2" t="s">
        <v>316</v>
      </c>
      <c r="BM64" s="7">
        <v>0.2812</v>
      </c>
      <c r="BN64" s="7">
        <v>0.3094</v>
      </c>
      <c r="BO64" s="4">
        <v>9</v>
      </c>
      <c r="BP64" s="8">
        <v>294.75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181</v>
      </c>
      <c r="BX64" s="2" t="s">
        <v>209</v>
      </c>
      <c r="BY64" s="2" t="s">
        <v>110</v>
      </c>
      <c r="BZ64" s="2" t="s">
        <v>98</v>
      </c>
    </row>
    <row r="65">
      <c r="A65" s="2" t="s">
        <v>317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91</v>
      </c>
      <c r="G65" s="2" t="s">
        <v>91</v>
      </c>
      <c r="H65" s="2" t="s">
        <v>91</v>
      </c>
      <c r="I65" s="2" t="s">
        <v>92</v>
      </c>
      <c r="J65" s="2" t="s">
        <v>93</v>
      </c>
      <c r="K65" s="2" t="s">
        <v>318</v>
      </c>
      <c r="L65" s="3">
        <v>14.89</v>
      </c>
      <c r="M65" s="3">
        <v>15.63</v>
      </c>
      <c r="N65" s="3">
        <v>31.99</v>
      </c>
      <c r="O65" s="2" t="s">
        <v>95</v>
      </c>
      <c r="P65" s="2" t="s">
        <v>184</v>
      </c>
      <c r="Q65" s="2" t="s">
        <v>97</v>
      </c>
      <c r="R65" s="2" t="s">
        <v>98</v>
      </c>
      <c r="S65" s="2" t="s">
        <v>319</v>
      </c>
      <c r="T65" s="2" t="s">
        <v>100</v>
      </c>
      <c r="U65" s="2" t="s">
        <v>101</v>
      </c>
      <c r="V65" s="2" t="s">
        <v>290</v>
      </c>
      <c r="W65" s="2" t="s">
        <v>103</v>
      </c>
      <c r="X65" s="2" t="s">
        <v>291</v>
      </c>
      <c r="Y65" s="2" t="s">
        <v>320</v>
      </c>
      <c r="Z65" s="4">
        <v>834</v>
      </c>
      <c r="AA65" s="4">
        <f>=ROUNDDOWN(21.9473684210526,0)</f>
      </c>
      <c r="AB65" s="5">
        <v>38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15</v>
      </c>
      <c r="AQ65" s="8">
        <v>262.5</v>
      </c>
      <c r="AR65" s="4"/>
      <c r="AS65" s="8"/>
      <c r="AT65" s="7"/>
      <c r="AU65" s="7"/>
      <c r="AV65" s="4">
        <v>49</v>
      </c>
      <c r="AW65" s="8">
        <v>1128.47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0.2326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0.0279</v>
      </c>
      <c r="BJ65" s="4">
        <v>61</v>
      </c>
      <c r="BK65" s="8">
        <v>981.14</v>
      </c>
      <c r="BL65" s="2" t="s">
        <v>269</v>
      </c>
      <c r="BM65" s="7">
        <v>0.2459</v>
      </c>
      <c r="BN65" s="7">
        <v>0.2675</v>
      </c>
      <c r="BO65" s="4">
        <v>15</v>
      </c>
      <c r="BP65" s="8">
        <v>262.5</v>
      </c>
      <c r="BQ65" s="4"/>
      <c r="BR65" s="8"/>
      <c r="BS65" s="7"/>
      <c r="BT65" s="7"/>
      <c r="BU65" s="2" t="s">
        <v>107</v>
      </c>
      <c r="BV65" s="2" t="s">
        <v>95</v>
      </c>
      <c r="BW65" s="2" t="s">
        <v>294</v>
      </c>
      <c r="BX65" s="2" t="s">
        <v>321</v>
      </c>
      <c r="BY65" s="2" t="s">
        <v>110</v>
      </c>
      <c r="BZ65" s="2" t="s">
        <v>98</v>
      </c>
    </row>
    <row r="66">
      <c r="A66" s="2" t="s">
        <v>322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91</v>
      </c>
      <c r="G66" s="2" t="s">
        <v>91</v>
      </c>
      <c r="H66" s="2" t="s">
        <v>91</v>
      </c>
      <c r="I66" s="2" t="s">
        <v>92</v>
      </c>
      <c r="J66" s="2" t="s">
        <v>112</v>
      </c>
      <c r="K66" s="2" t="s">
        <v>318</v>
      </c>
      <c r="L66" s="3">
        <v>16.16</v>
      </c>
      <c r="M66" s="3">
        <v>16.97</v>
      </c>
      <c r="N66" s="3">
        <v>34.99</v>
      </c>
      <c r="O66" s="2" t="s">
        <v>95</v>
      </c>
      <c r="P66" s="2" t="s">
        <v>156</v>
      </c>
      <c r="Q66" s="2" t="s">
        <v>97</v>
      </c>
      <c r="R66" s="2" t="s">
        <v>98</v>
      </c>
      <c r="S66" s="2" t="s">
        <v>319</v>
      </c>
      <c r="T66" s="2" t="s">
        <v>100</v>
      </c>
      <c r="U66" s="2" t="s">
        <v>101</v>
      </c>
      <c r="V66" s="2" t="s">
        <v>290</v>
      </c>
      <c r="W66" s="2" t="s">
        <v>103</v>
      </c>
      <c r="X66" s="2" t="s">
        <v>291</v>
      </c>
      <c r="Y66" s="2" t="s">
        <v>320</v>
      </c>
      <c r="Z66" s="4">
        <v>361</v>
      </c>
      <c r="AA66" s="4">
        <f>=ROUNDDOWN(20.0555555555556,0)</f>
      </c>
      <c r="AB66" s="5">
        <v>18</v>
      </c>
      <c r="AC66" s="2" t="s">
        <v>323</v>
      </c>
      <c r="AD66" s="4">
        <v>76</v>
      </c>
      <c r="AE66" s="4">
        <v>76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3</v>
      </c>
      <c r="AQ66" s="8">
        <v>57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0.0505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47</v>
      </c>
      <c r="BK66" s="8">
        <v>859.05</v>
      </c>
      <c r="BL66" s="2" t="s">
        <v>324</v>
      </c>
      <c r="BM66" s="7">
        <v>0.0638</v>
      </c>
      <c r="BN66" s="7">
        <v>0.0664</v>
      </c>
      <c r="BO66" s="4">
        <v>3</v>
      </c>
      <c r="BP66" s="8">
        <v>57</v>
      </c>
      <c r="BQ66" s="4"/>
      <c r="BR66" s="8"/>
      <c r="BS66" s="7"/>
      <c r="BT66" s="7"/>
      <c r="BU66" s="2" t="s">
        <v>107</v>
      </c>
      <c r="BV66" s="2" t="s">
        <v>95</v>
      </c>
      <c r="BW66" s="2" t="s">
        <v>294</v>
      </c>
      <c r="BX66" s="2" t="s">
        <v>325</v>
      </c>
      <c r="BY66" s="2" t="s">
        <v>110</v>
      </c>
      <c r="BZ66" s="2" t="s">
        <v>98</v>
      </c>
    </row>
    <row r="67">
      <c r="A67" s="2" t="s">
        <v>326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91</v>
      </c>
      <c r="G67" s="2" t="s">
        <v>91</v>
      </c>
      <c r="H67" s="2" t="s">
        <v>91</v>
      </c>
      <c r="I67" s="2" t="s">
        <v>92</v>
      </c>
      <c r="J67" s="2" t="s">
        <v>117</v>
      </c>
      <c r="K67" s="2" t="s">
        <v>318</v>
      </c>
      <c r="L67" s="3">
        <v>19.57</v>
      </c>
      <c r="M67" s="3">
        <v>20.55</v>
      </c>
      <c r="N67" s="3">
        <v>42.99</v>
      </c>
      <c r="O67" s="2" t="s">
        <v>95</v>
      </c>
      <c r="P67" s="2" t="s">
        <v>168</v>
      </c>
      <c r="Q67" s="2" t="s">
        <v>97</v>
      </c>
      <c r="R67" s="2" t="s">
        <v>98</v>
      </c>
      <c r="S67" s="2" t="s">
        <v>319</v>
      </c>
      <c r="T67" s="2" t="s">
        <v>100</v>
      </c>
      <c r="U67" s="2" t="s">
        <v>118</v>
      </c>
      <c r="V67" s="2" t="s">
        <v>290</v>
      </c>
      <c r="W67" s="2" t="s">
        <v>103</v>
      </c>
      <c r="X67" s="2" t="s">
        <v>291</v>
      </c>
      <c r="Y67" s="2" t="s">
        <v>320</v>
      </c>
      <c r="Z67" s="4">
        <v>1</v>
      </c>
      <c r="AA67" s="4">
        <f>=ROUNDDOWN(0.0333333333333333,0)</f>
      </c>
      <c r="AB67" s="5">
        <v>30</v>
      </c>
      <c r="AC67" s="2" t="s">
        <v>323</v>
      </c>
      <c r="AD67" s="4">
        <v>125</v>
      </c>
      <c r="AE67" s="4">
        <v>125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>
        <v>10</v>
      </c>
      <c r="AQ67" s="8">
        <v>233.9</v>
      </c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0.2073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68</v>
      </c>
      <c r="BK67" s="8">
        <v>1451.12</v>
      </c>
      <c r="BL67" s="2" t="s">
        <v>327</v>
      </c>
      <c r="BM67" s="7">
        <v>0.1471</v>
      </c>
      <c r="BN67" s="7">
        <v>0.1612</v>
      </c>
      <c r="BO67" s="4">
        <v>10</v>
      </c>
      <c r="BP67" s="8">
        <v>233.9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294</v>
      </c>
      <c r="BX67" s="2" t="s">
        <v>304</v>
      </c>
      <c r="BY67" s="2" t="s">
        <v>110</v>
      </c>
      <c r="BZ67" s="2" t="s">
        <v>98</v>
      </c>
    </row>
    <row r="68">
      <c r="A68" s="2" t="s">
        <v>328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91</v>
      </c>
      <c r="G68" s="2" t="s">
        <v>91</v>
      </c>
      <c r="H68" s="2" t="s">
        <v>91</v>
      </c>
      <c r="I68" s="2" t="s">
        <v>92</v>
      </c>
      <c r="J68" s="2" t="s">
        <v>122</v>
      </c>
      <c r="K68" s="2" t="s">
        <v>318</v>
      </c>
      <c r="L68" s="3">
        <v>22.21</v>
      </c>
      <c r="M68" s="3">
        <v>23.32</v>
      </c>
      <c r="N68" s="3">
        <v>47.99</v>
      </c>
      <c r="O68" s="2" t="s">
        <v>95</v>
      </c>
      <c r="P68" s="2" t="s">
        <v>211</v>
      </c>
      <c r="Q68" s="2" t="s">
        <v>97</v>
      </c>
      <c r="R68" s="2" t="s">
        <v>98</v>
      </c>
      <c r="S68" s="2" t="s">
        <v>319</v>
      </c>
      <c r="T68" s="2" t="s">
        <v>100</v>
      </c>
      <c r="U68" s="2" t="s">
        <v>118</v>
      </c>
      <c r="V68" s="2" t="s">
        <v>290</v>
      </c>
      <c r="W68" s="2" t="s">
        <v>103</v>
      </c>
      <c r="X68" s="2" t="s">
        <v>291</v>
      </c>
      <c r="Y68" s="2" t="s">
        <v>320</v>
      </c>
      <c r="Z68" s="4">
        <v>2163</v>
      </c>
      <c r="AA68" s="4">
        <f>=ROUNDDOWN(41.5961538461538,0)</f>
      </c>
      <c r="AB68" s="5">
        <v>52</v>
      </c>
      <c r="AC68" s="2" t="s">
        <v>323</v>
      </c>
      <c r="AD68" s="4">
        <v>746</v>
      </c>
      <c r="AE68" s="4">
        <v>746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>
        <v>18</v>
      </c>
      <c r="AQ68" s="8">
        <v>476.82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0.4225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47</v>
      </c>
      <c r="BK68" s="8">
        <v>1198.23</v>
      </c>
      <c r="BL68" s="2" t="s">
        <v>329</v>
      </c>
      <c r="BM68" s="7">
        <v>0.383</v>
      </c>
      <c r="BN68" s="7">
        <v>0.3979</v>
      </c>
      <c r="BO68" s="4">
        <v>18</v>
      </c>
      <c r="BP68" s="8">
        <v>476.82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294</v>
      </c>
      <c r="BX68" s="2" t="s">
        <v>330</v>
      </c>
      <c r="BY68" s="2" t="s">
        <v>110</v>
      </c>
      <c r="BZ68" s="2" t="s">
        <v>98</v>
      </c>
    </row>
    <row r="69">
      <c r="A69" s="2" t="s">
        <v>331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91</v>
      </c>
      <c r="G69" s="2" t="s">
        <v>91</v>
      </c>
      <c r="H69" s="2" t="s">
        <v>91</v>
      </c>
      <c r="I69" s="2" t="s">
        <v>92</v>
      </c>
      <c r="J69" s="2" t="s">
        <v>125</v>
      </c>
      <c r="K69" s="2" t="s">
        <v>318</v>
      </c>
      <c r="L69" s="3">
        <v>27.39</v>
      </c>
      <c r="M69" s="3">
        <v>28.76</v>
      </c>
      <c r="N69" s="3">
        <v>62.99</v>
      </c>
      <c r="O69" s="2" t="s">
        <v>95</v>
      </c>
      <c r="P69" s="2" t="s">
        <v>156</v>
      </c>
      <c r="Q69" s="2" t="s">
        <v>97</v>
      </c>
      <c r="R69" s="2" t="s">
        <v>98</v>
      </c>
      <c r="S69" s="2" t="s">
        <v>319</v>
      </c>
      <c r="T69" s="2" t="s">
        <v>100</v>
      </c>
      <c r="U69" s="2" t="s">
        <v>118</v>
      </c>
      <c r="V69" s="2" t="s">
        <v>290</v>
      </c>
      <c r="W69" s="2" t="s">
        <v>103</v>
      </c>
      <c r="X69" s="2" t="s">
        <v>291</v>
      </c>
      <c r="Y69" s="2" t="s">
        <v>320</v>
      </c>
      <c r="Z69" s="4">
        <v>679</v>
      </c>
      <c r="AA69" s="4">
        <f>=ROUNDDOWN(42.4375,0)</f>
      </c>
      <c r="AB69" s="5">
        <v>16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>
        <v>3</v>
      </c>
      <c r="AQ69" s="8">
        <v>98.25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0.0871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12</v>
      </c>
      <c r="BK69" s="8">
        <v>357.85</v>
      </c>
      <c r="BL69" s="2" t="s">
        <v>332</v>
      </c>
      <c r="BM69" s="7">
        <v>0.25</v>
      </c>
      <c r="BN69" s="7">
        <v>0.2746</v>
      </c>
      <c r="BO69" s="4">
        <v>3</v>
      </c>
      <c r="BP69" s="8">
        <v>98.25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294</v>
      </c>
      <c r="BX69" s="2" t="s">
        <v>304</v>
      </c>
      <c r="BY69" s="2" t="s">
        <v>110</v>
      </c>
      <c r="BZ69" s="2" t="s">
        <v>98</v>
      </c>
    </row>
    <row r="70">
      <c r="A70" s="2" t="s">
        <v>333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91</v>
      </c>
      <c r="G70" s="2" t="s">
        <v>91</v>
      </c>
      <c r="H70" s="2" t="s">
        <v>91</v>
      </c>
      <c r="I70" s="2" t="s">
        <v>92</v>
      </c>
      <c r="J70" s="2" t="s">
        <v>93</v>
      </c>
      <c r="K70" s="2" t="s">
        <v>334</v>
      </c>
      <c r="L70" s="3">
        <v>14.89</v>
      </c>
      <c r="M70" s="3">
        <v>15.63</v>
      </c>
      <c r="N70" s="3">
        <v>31.99</v>
      </c>
      <c r="O70" s="2" t="s">
        <v>95</v>
      </c>
      <c r="P70" s="2" t="s">
        <v>156</v>
      </c>
      <c r="Q70" s="2" t="s">
        <v>97</v>
      </c>
      <c r="R70" s="2" t="s">
        <v>98</v>
      </c>
      <c r="S70" s="2" t="s">
        <v>335</v>
      </c>
      <c r="T70" s="2" t="s">
        <v>100</v>
      </c>
      <c r="U70" s="2" t="s">
        <v>98</v>
      </c>
      <c r="V70" s="2" t="s">
        <v>336</v>
      </c>
      <c r="W70" s="2" t="s">
        <v>103</v>
      </c>
      <c r="X70" s="2" t="s">
        <v>98</v>
      </c>
      <c r="Y70" s="2" t="s">
        <v>337</v>
      </c>
      <c r="Z70" s="4">
        <v>1228</v>
      </c>
      <c r="AA70" s="4">
        <f>=ROUNDDOWN(40.9333333333333,0)</f>
      </c>
      <c r="AB70" s="5">
        <v>30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>
        <v>11</v>
      </c>
      <c r="AQ70" s="8">
        <v>192.5</v>
      </c>
      <c r="AR70" s="4"/>
      <c r="AS70" s="8"/>
      <c r="AT70" s="7"/>
      <c r="AU70" s="7"/>
      <c r="AV70" s="4">
        <v>45</v>
      </c>
      <c r="AW70" s="8">
        <v>1112.24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0.1731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0.0275</v>
      </c>
      <c r="BJ70" s="4">
        <v>27</v>
      </c>
      <c r="BK70" s="8">
        <v>445.52</v>
      </c>
      <c r="BL70" s="2" t="s">
        <v>338</v>
      </c>
      <c r="BM70" s="7">
        <v>0.4074</v>
      </c>
      <c r="BN70" s="7">
        <v>0.4321</v>
      </c>
      <c r="BO70" s="4">
        <v>11</v>
      </c>
      <c r="BP70" s="8">
        <v>192.5</v>
      </c>
      <c r="BQ70" s="4"/>
      <c r="BR70" s="8"/>
      <c r="BS70" s="7"/>
      <c r="BT70" s="7"/>
      <c r="BU70" s="2" t="s">
        <v>107</v>
      </c>
      <c r="BV70" s="2" t="s">
        <v>95</v>
      </c>
      <c r="BW70" s="2" t="s">
        <v>181</v>
      </c>
      <c r="BX70" s="2" t="s">
        <v>284</v>
      </c>
      <c r="BY70" s="2" t="s">
        <v>110</v>
      </c>
      <c r="BZ70" s="2" t="s">
        <v>98</v>
      </c>
    </row>
    <row r="71">
      <c r="A71" s="2" t="s">
        <v>339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91</v>
      </c>
      <c r="G71" s="2" t="s">
        <v>91</v>
      </c>
      <c r="H71" s="2" t="s">
        <v>91</v>
      </c>
      <c r="I71" s="2" t="s">
        <v>92</v>
      </c>
      <c r="J71" s="2" t="s">
        <v>117</v>
      </c>
      <c r="K71" s="2" t="s">
        <v>334</v>
      </c>
      <c r="L71" s="3">
        <v>19.57</v>
      </c>
      <c r="M71" s="3">
        <v>20.55</v>
      </c>
      <c r="N71" s="3">
        <v>42.99</v>
      </c>
      <c r="O71" s="2" t="s">
        <v>95</v>
      </c>
      <c r="P71" s="2" t="s">
        <v>168</v>
      </c>
      <c r="Q71" s="2" t="s">
        <v>97</v>
      </c>
      <c r="R71" s="2" t="s">
        <v>98</v>
      </c>
      <c r="S71" s="2" t="s">
        <v>335</v>
      </c>
      <c r="T71" s="2" t="s">
        <v>100</v>
      </c>
      <c r="U71" s="2" t="s">
        <v>98</v>
      </c>
      <c r="V71" s="2" t="s">
        <v>336</v>
      </c>
      <c r="W71" s="2" t="s">
        <v>103</v>
      </c>
      <c r="X71" s="2" t="s">
        <v>98</v>
      </c>
      <c r="Y71" s="2" t="s">
        <v>207</v>
      </c>
      <c r="Z71" s="4">
        <v>150</v>
      </c>
      <c r="AA71" s="4">
        <f>=ROUNDDOWN(5.35714285714286,0)</f>
      </c>
      <c r="AB71" s="5">
        <v>28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>
        <v>10</v>
      </c>
      <c r="AQ71" s="8">
        <v>233.9</v>
      </c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0.2103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83</v>
      </c>
      <c r="BK71" s="8">
        <v>1779.65</v>
      </c>
      <c r="BL71" s="2" t="s">
        <v>340</v>
      </c>
      <c r="BM71" s="7">
        <v>0.1205</v>
      </c>
      <c r="BN71" s="7">
        <v>0.1314</v>
      </c>
      <c r="BO71" s="4">
        <v>10</v>
      </c>
      <c r="BP71" s="8">
        <v>233.9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181</v>
      </c>
      <c r="BX71" s="2" t="s">
        <v>309</v>
      </c>
      <c r="BY71" s="2" t="s">
        <v>110</v>
      </c>
      <c r="BZ71" s="2" t="s">
        <v>98</v>
      </c>
    </row>
    <row r="72">
      <c r="A72" s="2" t="s">
        <v>341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91</v>
      </c>
      <c r="G72" s="2" t="s">
        <v>91</v>
      </c>
      <c r="H72" s="2" t="s">
        <v>91</v>
      </c>
      <c r="I72" s="2" t="s">
        <v>92</v>
      </c>
      <c r="J72" s="2" t="s">
        <v>122</v>
      </c>
      <c r="K72" s="2" t="s">
        <v>334</v>
      </c>
      <c r="L72" s="3">
        <v>22.21</v>
      </c>
      <c r="M72" s="3">
        <v>23.32</v>
      </c>
      <c r="N72" s="3">
        <v>47.99</v>
      </c>
      <c r="O72" s="2" t="s">
        <v>95</v>
      </c>
      <c r="P72" s="2" t="s">
        <v>156</v>
      </c>
      <c r="Q72" s="2" t="s">
        <v>97</v>
      </c>
      <c r="R72" s="2" t="s">
        <v>98</v>
      </c>
      <c r="S72" s="2" t="s">
        <v>335</v>
      </c>
      <c r="T72" s="2" t="s">
        <v>100</v>
      </c>
      <c r="U72" s="2" t="s">
        <v>98</v>
      </c>
      <c r="V72" s="2" t="s">
        <v>336</v>
      </c>
      <c r="W72" s="2" t="s">
        <v>98</v>
      </c>
      <c r="X72" s="2" t="s">
        <v>98</v>
      </c>
      <c r="Y72" s="2" t="s">
        <v>207</v>
      </c>
      <c r="Z72" s="4">
        <v>1020</v>
      </c>
      <c r="AA72" s="4">
        <f>=ROUNDDOWN(24.2857142857143,0)</f>
      </c>
      <c r="AB72" s="5">
        <v>42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>
        <v>16</v>
      </c>
      <c r="AQ72" s="8">
        <v>423.84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0.3811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46</v>
      </c>
      <c r="BK72" s="8">
        <v>1148.29</v>
      </c>
      <c r="BL72" s="2" t="s">
        <v>342</v>
      </c>
      <c r="BM72" s="7">
        <v>0.3478</v>
      </c>
      <c r="BN72" s="7">
        <v>0.3691</v>
      </c>
      <c r="BO72" s="4">
        <v>16</v>
      </c>
      <c r="BP72" s="8">
        <v>423.84</v>
      </c>
      <c r="BQ72" s="4"/>
      <c r="BR72" s="8"/>
      <c r="BS72" s="7"/>
      <c r="BT72" s="7"/>
      <c r="BU72" s="2" t="s">
        <v>107</v>
      </c>
      <c r="BV72" s="2" t="s">
        <v>95</v>
      </c>
      <c r="BW72" s="2" t="s">
        <v>181</v>
      </c>
      <c r="BX72" s="2" t="s">
        <v>343</v>
      </c>
      <c r="BY72" s="2" t="s">
        <v>110</v>
      </c>
      <c r="BZ72" s="2" t="s">
        <v>98</v>
      </c>
    </row>
    <row r="73">
      <c r="A73" s="2" t="s">
        <v>344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91</v>
      </c>
      <c r="G73" s="2" t="s">
        <v>91</v>
      </c>
      <c r="H73" s="2" t="s">
        <v>91</v>
      </c>
      <c r="I73" s="2" t="s">
        <v>92</v>
      </c>
      <c r="J73" s="2" t="s">
        <v>125</v>
      </c>
      <c r="K73" s="2" t="s">
        <v>334</v>
      </c>
      <c r="L73" s="3">
        <v>27.39</v>
      </c>
      <c r="M73" s="3">
        <v>28.76</v>
      </c>
      <c r="N73" s="3">
        <v>62.99</v>
      </c>
      <c r="O73" s="2" t="s">
        <v>95</v>
      </c>
      <c r="P73" s="2" t="s">
        <v>156</v>
      </c>
      <c r="Q73" s="2" t="s">
        <v>97</v>
      </c>
      <c r="R73" s="2" t="s">
        <v>98</v>
      </c>
      <c r="S73" s="2" t="s">
        <v>335</v>
      </c>
      <c r="T73" s="2" t="s">
        <v>100</v>
      </c>
      <c r="U73" s="2" t="s">
        <v>98</v>
      </c>
      <c r="V73" s="2" t="s">
        <v>336</v>
      </c>
      <c r="W73" s="2" t="s">
        <v>103</v>
      </c>
      <c r="X73" s="2" t="s">
        <v>98</v>
      </c>
      <c r="Y73" s="2" t="s">
        <v>207</v>
      </c>
      <c r="Z73" s="4">
        <v>492</v>
      </c>
      <c r="AA73" s="4">
        <f>=ROUNDDOWN(18.2222222222222,0)</f>
      </c>
      <c r="AB73" s="5">
        <v>27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>
        <v>6</v>
      </c>
      <c r="AQ73" s="8">
        <v>196.5</v>
      </c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0.1767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68</v>
      </c>
      <c r="BK73" s="8">
        <v>2010.77</v>
      </c>
      <c r="BL73" s="2" t="s">
        <v>345</v>
      </c>
      <c r="BM73" s="7">
        <v>0.0882</v>
      </c>
      <c r="BN73" s="7">
        <v>0.0977</v>
      </c>
      <c r="BO73" s="4">
        <v>6</v>
      </c>
      <c r="BP73" s="8">
        <v>196.5</v>
      </c>
      <c r="BQ73" s="4"/>
      <c r="BR73" s="8"/>
      <c r="BS73" s="7"/>
      <c r="BT73" s="7"/>
      <c r="BU73" s="2" t="s">
        <v>107</v>
      </c>
      <c r="BV73" s="2" t="s">
        <v>95</v>
      </c>
      <c r="BW73" s="2" t="s">
        <v>181</v>
      </c>
      <c r="BX73" s="2" t="s">
        <v>346</v>
      </c>
      <c r="BY73" s="2" t="s">
        <v>110</v>
      </c>
      <c r="BZ73" s="2" t="s">
        <v>98</v>
      </c>
    </row>
    <row r="74">
      <c r="A74" s="2" t="s">
        <v>347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91</v>
      </c>
      <c r="G74" s="2" t="s">
        <v>91</v>
      </c>
      <c r="H74" s="2" t="s">
        <v>91</v>
      </c>
      <c r="I74" s="2" t="s">
        <v>92</v>
      </c>
      <c r="J74" s="2" t="s">
        <v>129</v>
      </c>
      <c r="K74" s="2" t="s">
        <v>334</v>
      </c>
      <c r="L74" s="3">
        <v>27.39</v>
      </c>
      <c r="M74" s="3">
        <v>28.76</v>
      </c>
      <c r="N74" s="3">
        <v>62.99</v>
      </c>
      <c r="O74" s="2" t="s">
        <v>95</v>
      </c>
      <c r="P74" s="2" t="s">
        <v>156</v>
      </c>
      <c r="Q74" s="2" t="s">
        <v>97</v>
      </c>
      <c r="R74" s="2" t="s">
        <v>98</v>
      </c>
      <c r="S74" s="2" t="s">
        <v>335</v>
      </c>
      <c r="T74" s="2" t="s">
        <v>100</v>
      </c>
      <c r="U74" s="2" t="s">
        <v>98</v>
      </c>
      <c r="V74" s="2" t="s">
        <v>336</v>
      </c>
      <c r="W74" s="2" t="s">
        <v>103</v>
      </c>
      <c r="X74" s="2" t="s">
        <v>98</v>
      </c>
      <c r="Y74" s="2" t="s">
        <v>207</v>
      </c>
      <c r="Z74" s="4">
        <v>659</v>
      </c>
      <c r="AA74" s="4">
        <f>=ROUNDDOWN(219.666666666667,0)</f>
      </c>
      <c r="AB74" s="5">
        <v>3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2</v>
      </c>
      <c r="AQ74" s="8">
        <v>65.5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0.0589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13</v>
      </c>
      <c r="BK74" s="8">
        <v>387.69</v>
      </c>
      <c r="BL74" s="2" t="s">
        <v>348</v>
      </c>
      <c r="BM74" s="7">
        <v>0.1538</v>
      </c>
      <c r="BN74" s="7">
        <v>0.1689</v>
      </c>
      <c r="BO74" s="4">
        <v>2</v>
      </c>
      <c r="BP74" s="8">
        <v>65.5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181</v>
      </c>
      <c r="BX74" s="2" t="s">
        <v>349</v>
      </c>
      <c r="BY74" s="2" t="s">
        <v>110</v>
      </c>
      <c r="BZ74" s="2" t="s">
        <v>98</v>
      </c>
    </row>
    <row r="75">
      <c r="A75" s="2" t="s">
        <v>350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91</v>
      </c>
      <c r="G75" s="2" t="s">
        <v>91</v>
      </c>
      <c r="H75" s="2" t="s">
        <v>91</v>
      </c>
      <c r="I75" s="2" t="s">
        <v>92</v>
      </c>
      <c r="J75" s="2" t="s">
        <v>93</v>
      </c>
      <c r="K75" s="2" t="s">
        <v>351</v>
      </c>
      <c r="L75" s="3">
        <v>14.89</v>
      </c>
      <c r="M75" s="3">
        <v>15.63</v>
      </c>
      <c r="N75" s="3">
        <v>31.99</v>
      </c>
      <c r="O75" s="2" t="s">
        <v>95</v>
      </c>
      <c r="P75" s="2" t="s">
        <v>156</v>
      </c>
      <c r="Q75" s="2" t="s">
        <v>97</v>
      </c>
      <c r="R75" s="2" t="s">
        <v>98</v>
      </c>
      <c r="S75" s="2" t="s">
        <v>352</v>
      </c>
      <c r="T75" s="2" t="s">
        <v>100</v>
      </c>
      <c r="U75" s="2" t="s">
        <v>98</v>
      </c>
      <c r="V75" s="2" t="s">
        <v>158</v>
      </c>
      <c r="W75" s="2" t="s">
        <v>103</v>
      </c>
      <c r="X75" s="2" t="s">
        <v>98</v>
      </c>
      <c r="Y75" s="2" t="s">
        <v>241</v>
      </c>
      <c r="Z75" s="4">
        <v>946</v>
      </c>
      <c r="AA75" s="4">
        <f>=ROUNDDOWN(24.8947368421053,0)</f>
      </c>
      <c r="AB75" s="5">
        <v>38</v>
      </c>
      <c r="AC75" s="2" t="s">
        <v>353</v>
      </c>
      <c r="AD75" s="4">
        <v>200</v>
      </c>
      <c r="AE75" s="4">
        <v>200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8</v>
      </c>
      <c r="AQ75" s="8">
        <v>140</v>
      </c>
      <c r="AR75" s="4"/>
      <c r="AS75" s="8"/>
      <c r="AT75" s="7"/>
      <c r="AU75" s="7"/>
      <c r="AV75" s="4">
        <v>44</v>
      </c>
      <c r="AW75" s="8">
        <v>1090.77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0.1283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0.0269</v>
      </c>
      <c r="BJ75" s="4">
        <v>18</v>
      </c>
      <c r="BK75" s="8">
        <v>301.32</v>
      </c>
      <c r="BL75" s="2" t="s">
        <v>141</v>
      </c>
      <c r="BM75" s="7">
        <v>0.4444</v>
      </c>
      <c r="BN75" s="7">
        <v>0.4646</v>
      </c>
      <c r="BO75" s="4">
        <v>8</v>
      </c>
      <c r="BP75" s="8">
        <v>140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181</v>
      </c>
      <c r="BX75" s="2" t="s">
        <v>354</v>
      </c>
      <c r="BY75" s="2" t="s">
        <v>110</v>
      </c>
      <c r="BZ75" s="2" t="s">
        <v>98</v>
      </c>
    </row>
    <row r="76">
      <c r="A76" s="2" t="s">
        <v>355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91</v>
      </c>
      <c r="G76" s="2" t="s">
        <v>91</v>
      </c>
      <c r="H76" s="2" t="s">
        <v>91</v>
      </c>
      <c r="I76" s="2" t="s">
        <v>92</v>
      </c>
      <c r="J76" s="2" t="s">
        <v>112</v>
      </c>
      <c r="K76" s="2" t="s">
        <v>351</v>
      </c>
      <c r="L76" s="3">
        <v>16.16</v>
      </c>
      <c r="M76" s="3">
        <v>16.97</v>
      </c>
      <c r="N76" s="3">
        <v>34.99</v>
      </c>
      <c r="O76" s="2" t="s">
        <v>95</v>
      </c>
      <c r="P76" s="2" t="s">
        <v>184</v>
      </c>
      <c r="Q76" s="2" t="s">
        <v>97</v>
      </c>
      <c r="R76" s="2" t="s">
        <v>98</v>
      </c>
      <c r="S76" s="2" t="s">
        <v>352</v>
      </c>
      <c r="T76" s="2" t="s">
        <v>100</v>
      </c>
      <c r="U76" s="2" t="s">
        <v>98</v>
      </c>
      <c r="V76" s="2" t="s">
        <v>158</v>
      </c>
      <c r="W76" s="2" t="s">
        <v>103</v>
      </c>
      <c r="X76" s="2" t="s">
        <v>98</v>
      </c>
      <c r="Y76" s="2" t="s">
        <v>356</v>
      </c>
      <c r="Z76" s="4">
        <v>264</v>
      </c>
      <c r="AA76" s="4">
        <f>=ROUNDDOWN(5.38775510204082,0)</f>
      </c>
      <c r="AB76" s="5">
        <v>49</v>
      </c>
      <c r="AC76" s="2" t="s">
        <v>353</v>
      </c>
      <c r="AD76" s="4">
        <v>178</v>
      </c>
      <c r="AE76" s="4">
        <v>276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5</v>
      </c>
      <c r="AQ76" s="8">
        <v>95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0.0871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26</v>
      </c>
      <c r="BK76" s="8">
        <v>455.6</v>
      </c>
      <c r="BL76" s="2" t="s">
        <v>357</v>
      </c>
      <c r="BM76" s="7">
        <v>0.1923</v>
      </c>
      <c r="BN76" s="7">
        <v>0.2085</v>
      </c>
      <c r="BO76" s="4">
        <v>5</v>
      </c>
      <c r="BP76" s="8">
        <v>95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181</v>
      </c>
      <c r="BX76" s="2" t="s">
        <v>246</v>
      </c>
      <c r="BY76" s="2" t="s">
        <v>110</v>
      </c>
      <c r="BZ76" s="2" t="s">
        <v>98</v>
      </c>
    </row>
    <row r="77">
      <c r="A77" s="2" t="s">
        <v>358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91</v>
      </c>
      <c r="G77" s="2" t="s">
        <v>91</v>
      </c>
      <c r="H77" s="2" t="s">
        <v>91</v>
      </c>
      <c r="I77" s="2" t="s">
        <v>92</v>
      </c>
      <c r="J77" s="2" t="s">
        <v>117</v>
      </c>
      <c r="K77" s="2" t="s">
        <v>351</v>
      </c>
      <c r="L77" s="3">
        <v>19.57</v>
      </c>
      <c r="M77" s="3">
        <v>20.55</v>
      </c>
      <c r="N77" s="3">
        <v>42.99</v>
      </c>
      <c r="O77" s="2" t="s">
        <v>95</v>
      </c>
      <c r="P77" s="2" t="s">
        <v>168</v>
      </c>
      <c r="Q77" s="2" t="s">
        <v>97</v>
      </c>
      <c r="R77" s="2" t="s">
        <v>98</v>
      </c>
      <c r="S77" s="2" t="s">
        <v>352</v>
      </c>
      <c r="T77" s="2" t="s">
        <v>100</v>
      </c>
      <c r="U77" s="2" t="s">
        <v>98</v>
      </c>
      <c r="V77" s="2" t="s">
        <v>158</v>
      </c>
      <c r="W77" s="2" t="s">
        <v>103</v>
      </c>
      <c r="X77" s="2" t="s">
        <v>98</v>
      </c>
      <c r="Y77" s="2" t="s">
        <v>241</v>
      </c>
      <c r="Z77" s="4">
        <v>966</v>
      </c>
      <c r="AA77" s="4">
        <f>=ROUNDDOWN(24.15,0)</f>
      </c>
      <c r="AB77" s="5">
        <v>40</v>
      </c>
      <c r="AC77" s="2" t="s">
        <v>353</v>
      </c>
      <c r="AD77" s="4">
        <v>252</v>
      </c>
      <c r="AE77" s="4">
        <v>252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>
        <v>5</v>
      </c>
      <c r="AQ77" s="8">
        <v>116.95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0.1072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25</v>
      </c>
      <c r="BK77" s="8">
        <v>534.72</v>
      </c>
      <c r="BL77" s="2" t="s">
        <v>359</v>
      </c>
      <c r="BM77" s="7">
        <v>0.2</v>
      </c>
      <c r="BN77" s="7">
        <v>0.2187</v>
      </c>
      <c r="BO77" s="4">
        <v>5</v>
      </c>
      <c r="BP77" s="8">
        <v>116.95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181</v>
      </c>
      <c r="BX77" s="2" t="s">
        <v>354</v>
      </c>
      <c r="BY77" s="2" t="s">
        <v>110</v>
      </c>
      <c r="BZ77" s="2" t="s">
        <v>98</v>
      </c>
    </row>
    <row r="78">
      <c r="A78" s="2" t="s">
        <v>360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91</v>
      </c>
      <c r="G78" s="2" t="s">
        <v>91</v>
      </c>
      <c r="H78" s="2" t="s">
        <v>91</v>
      </c>
      <c r="I78" s="2" t="s">
        <v>92</v>
      </c>
      <c r="J78" s="2" t="s">
        <v>122</v>
      </c>
      <c r="K78" s="2" t="s">
        <v>351</v>
      </c>
      <c r="L78" s="3">
        <v>22.21</v>
      </c>
      <c r="M78" s="3">
        <v>23.32</v>
      </c>
      <c r="N78" s="3">
        <v>47.99</v>
      </c>
      <c r="O78" s="2" t="s">
        <v>95</v>
      </c>
      <c r="P78" s="2" t="s">
        <v>211</v>
      </c>
      <c r="Q78" s="2" t="s">
        <v>97</v>
      </c>
      <c r="R78" s="2" t="s">
        <v>98</v>
      </c>
      <c r="S78" s="2" t="s">
        <v>352</v>
      </c>
      <c r="T78" s="2" t="s">
        <v>100</v>
      </c>
      <c r="U78" s="2" t="s">
        <v>98</v>
      </c>
      <c r="V78" s="2" t="s">
        <v>158</v>
      </c>
      <c r="W78" s="2" t="s">
        <v>103</v>
      </c>
      <c r="X78" s="2" t="s">
        <v>98</v>
      </c>
      <c r="Y78" s="2" t="s">
        <v>356</v>
      </c>
      <c r="Z78" s="4">
        <v>1</v>
      </c>
      <c r="AA78" s="4">
        <f>=ROUNDDOWN(0.0151515151515152,0)</f>
      </c>
      <c r="AB78" s="5">
        <v>66</v>
      </c>
      <c r="AC78" s="2" t="s">
        <v>353</v>
      </c>
      <c r="AD78" s="4">
        <v>525</v>
      </c>
      <c r="AE78" s="4">
        <v>852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18</v>
      </c>
      <c r="AQ78" s="8">
        <v>476.82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0.4371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201</v>
      </c>
      <c r="BK78" s="8">
        <v>4850.51</v>
      </c>
      <c r="BL78" s="2" t="s">
        <v>361</v>
      </c>
      <c r="BM78" s="7">
        <v>0.0896</v>
      </c>
      <c r="BN78" s="7">
        <v>0.0983</v>
      </c>
      <c r="BO78" s="4">
        <v>18</v>
      </c>
      <c r="BP78" s="8">
        <v>476.82</v>
      </c>
      <c r="BQ78" s="4"/>
      <c r="BR78" s="8"/>
      <c r="BS78" s="7"/>
      <c r="BT78" s="7"/>
      <c r="BU78" s="2" t="s">
        <v>107</v>
      </c>
      <c r="BV78" s="2" t="s">
        <v>95</v>
      </c>
      <c r="BW78" s="2" t="s">
        <v>181</v>
      </c>
      <c r="BX78" s="2" t="s">
        <v>215</v>
      </c>
      <c r="BY78" s="2" t="s">
        <v>110</v>
      </c>
      <c r="BZ78" s="2" t="s">
        <v>98</v>
      </c>
    </row>
    <row r="79">
      <c r="A79" s="2" t="s">
        <v>362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91</v>
      </c>
      <c r="G79" s="2" t="s">
        <v>91</v>
      </c>
      <c r="H79" s="2" t="s">
        <v>91</v>
      </c>
      <c r="I79" s="2" t="s">
        <v>92</v>
      </c>
      <c r="J79" s="2" t="s">
        <v>125</v>
      </c>
      <c r="K79" s="2" t="s">
        <v>351</v>
      </c>
      <c r="L79" s="3">
        <v>27.39</v>
      </c>
      <c r="M79" s="3">
        <v>28.76</v>
      </c>
      <c r="N79" s="3">
        <v>62.99</v>
      </c>
      <c r="O79" s="2" t="s">
        <v>95</v>
      </c>
      <c r="P79" s="2" t="s">
        <v>156</v>
      </c>
      <c r="Q79" s="2" t="s">
        <v>97</v>
      </c>
      <c r="R79" s="2" t="s">
        <v>98</v>
      </c>
      <c r="S79" s="2" t="s">
        <v>352</v>
      </c>
      <c r="T79" s="2" t="s">
        <v>100</v>
      </c>
      <c r="U79" s="2" t="s">
        <v>98</v>
      </c>
      <c r="V79" s="2" t="s">
        <v>158</v>
      </c>
      <c r="W79" s="2" t="s">
        <v>103</v>
      </c>
      <c r="X79" s="2" t="s">
        <v>98</v>
      </c>
      <c r="Y79" s="2" t="s">
        <v>241</v>
      </c>
      <c r="Z79" s="4">
        <v>670</v>
      </c>
      <c r="AA79" s="4">
        <f>=ROUNDDOWN(21.6129032258064,0)</f>
      </c>
      <c r="AB79" s="5">
        <v>31</v>
      </c>
      <c r="AC79" s="2" t="s">
        <v>323</v>
      </c>
      <c r="AD79" s="4">
        <v>82</v>
      </c>
      <c r="AE79" s="4">
        <v>82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6</v>
      </c>
      <c r="AQ79" s="8">
        <v>196.5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0.1801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69</v>
      </c>
      <c r="BK79" s="8">
        <v>2017.87</v>
      </c>
      <c r="BL79" s="2" t="s">
        <v>363</v>
      </c>
      <c r="BM79" s="7">
        <v>0.087</v>
      </c>
      <c r="BN79" s="7">
        <v>0.0974</v>
      </c>
      <c r="BO79" s="4">
        <v>6</v>
      </c>
      <c r="BP79" s="8">
        <v>196.5</v>
      </c>
      <c r="BQ79" s="4"/>
      <c r="BR79" s="8"/>
      <c r="BS79" s="7"/>
      <c r="BT79" s="7"/>
      <c r="BU79" s="2" t="s">
        <v>107</v>
      </c>
      <c r="BV79" s="2" t="s">
        <v>95</v>
      </c>
      <c r="BW79" s="2" t="s">
        <v>181</v>
      </c>
      <c r="BX79" s="2" t="s">
        <v>354</v>
      </c>
      <c r="BY79" s="2" t="s">
        <v>110</v>
      </c>
      <c r="BZ79" s="2" t="s">
        <v>98</v>
      </c>
    </row>
    <row r="80">
      <c r="A80" s="2" t="s">
        <v>364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91</v>
      </c>
      <c r="G80" s="2" t="s">
        <v>91</v>
      </c>
      <c r="H80" s="2" t="s">
        <v>91</v>
      </c>
      <c r="I80" s="2" t="s">
        <v>92</v>
      </c>
      <c r="J80" s="2" t="s">
        <v>129</v>
      </c>
      <c r="K80" s="2" t="s">
        <v>351</v>
      </c>
      <c r="L80" s="3">
        <v>27.39</v>
      </c>
      <c r="M80" s="3">
        <v>28.76</v>
      </c>
      <c r="N80" s="3">
        <v>62.99</v>
      </c>
      <c r="O80" s="2" t="s">
        <v>95</v>
      </c>
      <c r="P80" s="2" t="s">
        <v>156</v>
      </c>
      <c r="Q80" s="2" t="s">
        <v>97</v>
      </c>
      <c r="R80" s="2" t="s">
        <v>98</v>
      </c>
      <c r="S80" s="2" t="s">
        <v>352</v>
      </c>
      <c r="T80" s="2" t="s">
        <v>100</v>
      </c>
      <c r="U80" s="2" t="s">
        <v>98</v>
      </c>
      <c r="V80" s="2" t="s">
        <v>158</v>
      </c>
      <c r="W80" s="2" t="s">
        <v>103</v>
      </c>
      <c r="X80" s="2" t="s">
        <v>98</v>
      </c>
      <c r="Y80" s="2" t="s">
        <v>241</v>
      </c>
      <c r="Z80" s="4">
        <v>628</v>
      </c>
      <c r="AA80" s="4">
        <f>=ROUNDDOWN(34.8888888888889,0)</f>
      </c>
      <c r="AB80" s="5">
        <v>18</v>
      </c>
      <c r="AC80" s="2" t="s">
        <v>98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2</v>
      </c>
      <c r="AQ80" s="8">
        <v>65.5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0.06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18</v>
      </c>
      <c r="BK80" s="8">
        <v>524.74</v>
      </c>
      <c r="BL80" s="2" t="s">
        <v>271</v>
      </c>
      <c r="BM80" s="7">
        <v>0.1111</v>
      </c>
      <c r="BN80" s="7">
        <v>0.1248</v>
      </c>
      <c r="BO80" s="4">
        <v>2</v>
      </c>
      <c r="BP80" s="8">
        <v>65.5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181</v>
      </c>
      <c r="BX80" s="2" t="s">
        <v>284</v>
      </c>
      <c r="BY80" s="2" t="s">
        <v>110</v>
      </c>
      <c r="BZ80" s="2" t="s">
        <v>98</v>
      </c>
    </row>
    <row r="81">
      <c r="A81" s="2" t="s">
        <v>365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91</v>
      </c>
      <c r="G81" s="2" t="s">
        <v>91</v>
      </c>
      <c r="H81" s="2" t="s">
        <v>91</v>
      </c>
      <c r="I81" s="2" t="s">
        <v>92</v>
      </c>
      <c r="J81" s="2" t="s">
        <v>93</v>
      </c>
      <c r="K81" s="2" t="s">
        <v>366</v>
      </c>
      <c r="L81" s="3">
        <v>14.89</v>
      </c>
      <c r="M81" s="3">
        <v>15.63</v>
      </c>
      <c r="N81" s="3">
        <v>31.99</v>
      </c>
      <c r="O81" s="2" t="s">
        <v>95</v>
      </c>
      <c r="P81" s="2" t="s">
        <v>168</v>
      </c>
      <c r="Q81" s="2" t="s">
        <v>97</v>
      </c>
      <c r="R81" s="2" t="s">
        <v>98</v>
      </c>
      <c r="S81" s="2" t="s">
        <v>367</v>
      </c>
      <c r="T81" s="2" t="s">
        <v>100</v>
      </c>
      <c r="U81" s="2" t="s">
        <v>101</v>
      </c>
      <c r="V81" s="2" t="s">
        <v>158</v>
      </c>
      <c r="W81" s="2" t="s">
        <v>103</v>
      </c>
      <c r="X81" s="2" t="s">
        <v>104</v>
      </c>
      <c r="Y81" s="2" t="s">
        <v>368</v>
      </c>
      <c r="Z81" s="4">
        <v>328</v>
      </c>
      <c r="AA81" s="4">
        <f>=ROUNDDOWN(13.12,0)</f>
      </c>
      <c r="AB81" s="5">
        <v>25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>
        <v>13</v>
      </c>
      <c r="AQ81" s="8">
        <v>227.5</v>
      </c>
      <c r="AR81" s="4"/>
      <c r="AS81" s="8"/>
      <c r="AT81" s="7"/>
      <c r="AU81" s="7"/>
      <c r="AV81" s="4">
        <v>43</v>
      </c>
      <c r="AW81" s="8">
        <v>1035.02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0.2198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0.0256</v>
      </c>
      <c r="BJ81" s="4">
        <v>105</v>
      </c>
      <c r="BK81" s="8">
        <v>1741.46</v>
      </c>
      <c r="BL81" s="2" t="s">
        <v>369</v>
      </c>
      <c r="BM81" s="7">
        <v>0.1238</v>
      </c>
      <c r="BN81" s="7">
        <v>0.1306</v>
      </c>
      <c r="BO81" s="4">
        <v>13</v>
      </c>
      <c r="BP81" s="8">
        <v>227.5</v>
      </c>
      <c r="BQ81" s="4"/>
      <c r="BR81" s="8"/>
      <c r="BS81" s="7"/>
      <c r="BT81" s="7"/>
      <c r="BU81" s="2" t="s">
        <v>107</v>
      </c>
      <c r="BV81" s="2" t="s">
        <v>95</v>
      </c>
      <c r="BW81" s="2" t="s">
        <v>370</v>
      </c>
      <c r="BX81" s="2" t="s">
        <v>371</v>
      </c>
      <c r="BY81" s="2" t="s">
        <v>110</v>
      </c>
      <c r="BZ81" s="2" t="s">
        <v>98</v>
      </c>
    </row>
    <row r="82">
      <c r="A82" s="2" t="s">
        <v>372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91</v>
      </c>
      <c r="G82" s="2" t="s">
        <v>91</v>
      </c>
      <c r="H82" s="2" t="s">
        <v>91</v>
      </c>
      <c r="I82" s="2" t="s">
        <v>92</v>
      </c>
      <c r="J82" s="2" t="s">
        <v>117</v>
      </c>
      <c r="K82" s="2" t="s">
        <v>366</v>
      </c>
      <c r="L82" s="3">
        <v>19.57</v>
      </c>
      <c r="M82" s="3">
        <v>20.55</v>
      </c>
      <c r="N82" s="3">
        <v>42.99</v>
      </c>
      <c r="O82" s="2" t="s">
        <v>95</v>
      </c>
      <c r="P82" s="2" t="s">
        <v>177</v>
      </c>
      <c r="Q82" s="2" t="s">
        <v>97</v>
      </c>
      <c r="R82" s="2" t="s">
        <v>98</v>
      </c>
      <c r="S82" s="2" t="s">
        <v>367</v>
      </c>
      <c r="T82" s="2" t="s">
        <v>100</v>
      </c>
      <c r="U82" s="2" t="s">
        <v>118</v>
      </c>
      <c r="V82" s="2" t="s">
        <v>158</v>
      </c>
      <c r="W82" s="2" t="s">
        <v>103</v>
      </c>
      <c r="X82" s="2" t="s">
        <v>104</v>
      </c>
      <c r="Y82" s="2" t="s">
        <v>368</v>
      </c>
      <c r="Z82" s="4">
        <v>615</v>
      </c>
      <c r="AA82" s="4">
        <f>=ROUNDDOWN(38.4375,0)</f>
      </c>
      <c r="AB82" s="5">
        <v>16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>
        <v>10</v>
      </c>
      <c r="AQ82" s="8">
        <v>233.9</v>
      </c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0.226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24</v>
      </c>
      <c r="BK82" s="8">
        <v>522.42</v>
      </c>
      <c r="BL82" s="2" t="s">
        <v>144</v>
      </c>
      <c r="BM82" s="7">
        <v>0.4167</v>
      </c>
      <c r="BN82" s="7">
        <v>0.4477</v>
      </c>
      <c r="BO82" s="4">
        <v>10</v>
      </c>
      <c r="BP82" s="8">
        <v>233.9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370</v>
      </c>
      <c r="BX82" s="2" t="s">
        <v>373</v>
      </c>
      <c r="BY82" s="2" t="s">
        <v>110</v>
      </c>
      <c r="BZ82" s="2" t="s">
        <v>98</v>
      </c>
    </row>
    <row r="83">
      <c r="A83" s="2" t="s">
        <v>374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91</v>
      </c>
      <c r="G83" s="2" t="s">
        <v>91</v>
      </c>
      <c r="H83" s="2" t="s">
        <v>91</v>
      </c>
      <c r="I83" s="2" t="s">
        <v>92</v>
      </c>
      <c r="J83" s="2" t="s">
        <v>122</v>
      </c>
      <c r="K83" s="2" t="s">
        <v>366</v>
      </c>
      <c r="L83" s="3">
        <v>22.21</v>
      </c>
      <c r="M83" s="3">
        <v>23.32</v>
      </c>
      <c r="N83" s="3">
        <v>47.99</v>
      </c>
      <c r="O83" s="2" t="s">
        <v>95</v>
      </c>
      <c r="P83" s="2" t="s">
        <v>168</v>
      </c>
      <c r="Q83" s="2" t="s">
        <v>97</v>
      </c>
      <c r="R83" s="2" t="s">
        <v>98</v>
      </c>
      <c r="S83" s="2" t="s">
        <v>367</v>
      </c>
      <c r="T83" s="2" t="s">
        <v>100</v>
      </c>
      <c r="U83" s="2" t="s">
        <v>118</v>
      </c>
      <c r="V83" s="2" t="s">
        <v>158</v>
      </c>
      <c r="W83" s="2" t="s">
        <v>103</v>
      </c>
      <c r="X83" s="2" t="s">
        <v>104</v>
      </c>
      <c r="Y83" s="2" t="s">
        <v>368</v>
      </c>
      <c r="Z83" s="4">
        <v>429</v>
      </c>
      <c r="AA83" s="4">
        <f>=ROUNDDOWN(14.7931034482759,0)</f>
      </c>
      <c r="AB83" s="5">
        <v>29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>
        <v>13</v>
      </c>
      <c r="AQ83" s="8">
        <v>344.37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0.3327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128</v>
      </c>
      <c r="BK83" s="8">
        <v>3216.04</v>
      </c>
      <c r="BL83" s="2" t="s">
        <v>375</v>
      </c>
      <c r="BM83" s="7">
        <v>0.1016</v>
      </c>
      <c r="BN83" s="7">
        <v>0.1071</v>
      </c>
      <c r="BO83" s="4">
        <v>13</v>
      </c>
      <c r="BP83" s="8">
        <v>344.37</v>
      </c>
      <c r="BQ83" s="4"/>
      <c r="BR83" s="8"/>
      <c r="BS83" s="7"/>
      <c r="BT83" s="7"/>
      <c r="BU83" s="2" t="s">
        <v>107</v>
      </c>
      <c r="BV83" s="2" t="s">
        <v>95</v>
      </c>
      <c r="BW83" s="2" t="s">
        <v>370</v>
      </c>
      <c r="BX83" s="2" t="s">
        <v>376</v>
      </c>
      <c r="BY83" s="2" t="s">
        <v>110</v>
      </c>
      <c r="BZ83" s="2" t="s">
        <v>98</v>
      </c>
    </row>
    <row r="84">
      <c r="A84" s="2" t="s">
        <v>377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91</v>
      </c>
      <c r="G84" s="2" t="s">
        <v>91</v>
      </c>
      <c r="H84" s="2" t="s">
        <v>91</v>
      </c>
      <c r="I84" s="2" t="s">
        <v>92</v>
      </c>
      <c r="J84" s="2" t="s">
        <v>125</v>
      </c>
      <c r="K84" s="2" t="s">
        <v>366</v>
      </c>
      <c r="L84" s="3">
        <v>27.39</v>
      </c>
      <c r="M84" s="3">
        <v>28.76</v>
      </c>
      <c r="N84" s="3">
        <v>62.99</v>
      </c>
      <c r="O84" s="2" t="s">
        <v>95</v>
      </c>
      <c r="P84" s="2" t="s">
        <v>156</v>
      </c>
      <c r="Q84" s="2" t="s">
        <v>97</v>
      </c>
      <c r="R84" s="2" t="s">
        <v>98</v>
      </c>
      <c r="S84" s="2" t="s">
        <v>367</v>
      </c>
      <c r="T84" s="2" t="s">
        <v>100</v>
      </c>
      <c r="U84" s="2" t="s">
        <v>118</v>
      </c>
      <c r="V84" s="2" t="s">
        <v>158</v>
      </c>
      <c r="W84" s="2" t="s">
        <v>103</v>
      </c>
      <c r="X84" s="2" t="s">
        <v>104</v>
      </c>
      <c r="Y84" s="2" t="s">
        <v>368</v>
      </c>
      <c r="Z84" s="4">
        <v>163</v>
      </c>
      <c r="AA84" s="4">
        <f>=ROUNDDOWN(14.8181818181818,0)</f>
      </c>
      <c r="AB84" s="5">
        <v>11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>
        <v>7</v>
      </c>
      <c r="AQ84" s="8">
        <v>229.25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0.2215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83</v>
      </c>
      <c r="BK84" s="8">
        <v>2527.83</v>
      </c>
      <c r="BL84" s="2" t="s">
        <v>378</v>
      </c>
      <c r="BM84" s="7">
        <v>0.0843</v>
      </c>
      <c r="BN84" s="7">
        <v>0.0907</v>
      </c>
      <c r="BO84" s="4">
        <v>7</v>
      </c>
      <c r="BP84" s="8">
        <v>229.25</v>
      </c>
      <c r="BQ84" s="4"/>
      <c r="BR84" s="8"/>
      <c r="BS84" s="7"/>
      <c r="BT84" s="7"/>
      <c r="BU84" s="2" t="s">
        <v>107</v>
      </c>
      <c r="BV84" s="2" t="s">
        <v>95</v>
      </c>
      <c r="BW84" s="2" t="s">
        <v>370</v>
      </c>
      <c r="BX84" s="2" t="s">
        <v>376</v>
      </c>
      <c r="BY84" s="2" t="s">
        <v>110</v>
      </c>
      <c r="BZ84" s="2" t="s">
        <v>98</v>
      </c>
    </row>
    <row r="85">
      <c r="A85" s="2" t="s">
        <v>379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91</v>
      </c>
      <c r="G85" s="2" t="s">
        <v>91</v>
      </c>
      <c r="H85" s="2" t="s">
        <v>91</v>
      </c>
      <c r="I85" s="2" t="s">
        <v>92</v>
      </c>
      <c r="J85" s="2" t="s">
        <v>93</v>
      </c>
      <c r="K85" s="2" t="s">
        <v>380</v>
      </c>
      <c r="L85" s="3">
        <v>14.89</v>
      </c>
      <c r="M85" s="3">
        <v>15.63</v>
      </c>
      <c r="N85" s="3">
        <v>31.99</v>
      </c>
      <c r="O85" s="2" t="s">
        <v>95</v>
      </c>
      <c r="P85" s="2" t="s">
        <v>168</v>
      </c>
      <c r="Q85" s="2" t="s">
        <v>97</v>
      </c>
      <c r="R85" s="2" t="s">
        <v>98</v>
      </c>
      <c r="S85" s="2" t="s">
        <v>381</v>
      </c>
      <c r="T85" s="2" t="s">
        <v>100</v>
      </c>
      <c r="U85" s="2" t="s">
        <v>101</v>
      </c>
      <c r="V85" s="2" t="s">
        <v>382</v>
      </c>
      <c r="W85" s="2" t="s">
        <v>103</v>
      </c>
      <c r="X85" s="2" t="s">
        <v>104</v>
      </c>
      <c r="Y85" s="2" t="s">
        <v>383</v>
      </c>
      <c r="Z85" s="4">
        <v>942</v>
      </c>
      <c r="AA85" s="4">
        <f>=ROUNDDOWN(60.7741935483871,0)</f>
      </c>
      <c r="AB85" s="5">
        <v>15.5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>
        <v>10</v>
      </c>
      <c r="AQ85" s="8">
        <v>175</v>
      </c>
      <c r="AR85" s="4"/>
      <c r="AS85" s="8"/>
      <c r="AT85" s="7"/>
      <c r="AU85" s="7"/>
      <c r="AV85" s="4">
        <v>38</v>
      </c>
      <c r="AW85" s="8">
        <v>935.62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0.187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0.0231</v>
      </c>
      <c r="BJ85" s="4">
        <v>36</v>
      </c>
      <c r="BK85" s="8">
        <v>593.22</v>
      </c>
      <c r="BL85" s="2" t="s">
        <v>384</v>
      </c>
      <c r="BM85" s="7">
        <v>0.2778</v>
      </c>
      <c r="BN85" s="7">
        <v>0.295</v>
      </c>
      <c r="BO85" s="4">
        <v>10</v>
      </c>
      <c r="BP85" s="8">
        <v>175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385</v>
      </c>
      <c r="BX85" s="2" t="s">
        <v>386</v>
      </c>
      <c r="BY85" s="2" t="s">
        <v>110</v>
      </c>
      <c r="BZ85" s="2" t="s">
        <v>98</v>
      </c>
    </row>
    <row r="86">
      <c r="A86" s="2" t="s">
        <v>387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91</v>
      </c>
      <c r="G86" s="2" t="s">
        <v>91</v>
      </c>
      <c r="H86" s="2" t="s">
        <v>91</v>
      </c>
      <c r="I86" s="2" t="s">
        <v>92</v>
      </c>
      <c r="J86" s="2" t="s">
        <v>117</v>
      </c>
      <c r="K86" s="2" t="s">
        <v>380</v>
      </c>
      <c r="L86" s="3">
        <v>19.57</v>
      </c>
      <c r="M86" s="3">
        <v>20.55</v>
      </c>
      <c r="N86" s="3">
        <v>42.99</v>
      </c>
      <c r="O86" s="2" t="s">
        <v>95</v>
      </c>
      <c r="P86" s="2" t="s">
        <v>177</v>
      </c>
      <c r="Q86" s="2" t="s">
        <v>97</v>
      </c>
      <c r="R86" s="2" t="s">
        <v>98</v>
      </c>
      <c r="S86" s="2" t="s">
        <v>381</v>
      </c>
      <c r="T86" s="2" t="s">
        <v>100</v>
      </c>
      <c r="U86" s="2" t="s">
        <v>118</v>
      </c>
      <c r="V86" s="2" t="s">
        <v>382</v>
      </c>
      <c r="W86" s="2" t="s">
        <v>103</v>
      </c>
      <c r="X86" s="2" t="s">
        <v>104</v>
      </c>
      <c r="Y86" s="2" t="s">
        <v>383</v>
      </c>
      <c r="Z86" s="4">
        <v>1091</v>
      </c>
      <c r="AA86" s="4">
        <f>=ROUNDDOWN(49.5909090909091,0)</f>
      </c>
      <c r="AB86" s="5">
        <v>22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4</v>
      </c>
      <c r="AQ86" s="8">
        <v>93.56</v>
      </c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94</v>
      </c>
      <c r="BK86" s="8">
        <v>2129.59</v>
      </c>
      <c r="BL86" s="2" t="s">
        <v>204</v>
      </c>
      <c r="BM86" s="7">
        <v>0.0426</v>
      </c>
      <c r="BN86" s="7">
        <v>0.0439</v>
      </c>
      <c r="BO86" s="4">
        <v>4</v>
      </c>
      <c r="BP86" s="8">
        <v>93.56</v>
      </c>
      <c r="BQ86" s="4"/>
      <c r="BR86" s="8"/>
      <c r="BS86" s="7"/>
      <c r="BT86" s="7"/>
      <c r="BU86" s="2" t="s">
        <v>107</v>
      </c>
      <c r="BV86" s="2" t="s">
        <v>95</v>
      </c>
      <c r="BW86" s="2" t="s">
        <v>388</v>
      </c>
      <c r="BX86" s="2" t="s">
        <v>389</v>
      </c>
      <c r="BY86" s="2" t="s">
        <v>110</v>
      </c>
      <c r="BZ86" s="2" t="s">
        <v>98</v>
      </c>
    </row>
    <row r="87">
      <c r="A87" s="2" t="s">
        <v>390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91</v>
      </c>
      <c r="G87" s="2" t="s">
        <v>91</v>
      </c>
      <c r="H87" s="2" t="s">
        <v>91</v>
      </c>
      <c r="I87" s="2" t="s">
        <v>92</v>
      </c>
      <c r="J87" s="2" t="s">
        <v>122</v>
      </c>
      <c r="K87" s="2" t="s">
        <v>380</v>
      </c>
      <c r="L87" s="3">
        <v>22.21</v>
      </c>
      <c r="M87" s="3">
        <v>23.32</v>
      </c>
      <c r="N87" s="3">
        <v>47.99</v>
      </c>
      <c r="O87" s="2" t="s">
        <v>95</v>
      </c>
      <c r="P87" s="2" t="s">
        <v>184</v>
      </c>
      <c r="Q87" s="2" t="s">
        <v>97</v>
      </c>
      <c r="R87" s="2" t="s">
        <v>98</v>
      </c>
      <c r="S87" s="2" t="s">
        <v>381</v>
      </c>
      <c r="T87" s="2" t="s">
        <v>100</v>
      </c>
      <c r="U87" s="2" t="s">
        <v>118</v>
      </c>
      <c r="V87" s="2" t="s">
        <v>382</v>
      </c>
      <c r="W87" s="2" t="s">
        <v>103</v>
      </c>
      <c r="X87" s="2" t="s">
        <v>104</v>
      </c>
      <c r="Y87" s="2" t="s">
        <v>383</v>
      </c>
      <c r="Z87" s="4">
        <v>1312</v>
      </c>
      <c r="AA87" s="4">
        <f>=ROUNDDOWN(32.8,0)</f>
      </c>
      <c r="AB87" s="5">
        <v>40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19</v>
      </c>
      <c r="AQ87" s="8">
        <v>503.31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0.5379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59</v>
      </c>
      <c r="BK87" s="8">
        <v>1428.54</v>
      </c>
      <c r="BL87" s="2" t="s">
        <v>391</v>
      </c>
      <c r="BM87" s="7">
        <v>0.322</v>
      </c>
      <c r="BN87" s="7">
        <v>0.3523</v>
      </c>
      <c r="BO87" s="4">
        <v>19</v>
      </c>
      <c r="BP87" s="8">
        <v>503.31</v>
      </c>
      <c r="BQ87" s="4"/>
      <c r="BR87" s="8"/>
      <c r="BS87" s="7"/>
      <c r="BT87" s="7"/>
      <c r="BU87" s="2" t="s">
        <v>107</v>
      </c>
      <c r="BV87" s="2" t="s">
        <v>95</v>
      </c>
      <c r="BW87" s="2" t="s">
        <v>370</v>
      </c>
      <c r="BX87" s="2" t="s">
        <v>392</v>
      </c>
      <c r="BY87" s="2" t="s">
        <v>110</v>
      </c>
      <c r="BZ87" s="2" t="s">
        <v>98</v>
      </c>
    </row>
    <row r="88">
      <c r="A88" s="2" t="s">
        <v>393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91</v>
      </c>
      <c r="G88" s="2" t="s">
        <v>91</v>
      </c>
      <c r="H88" s="2" t="s">
        <v>91</v>
      </c>
      <c r="I88" s="2" t="s">
        <v>92</v>
      </c>
      <c r="J88" s="2" t="s">
        <v>125</v>
      </c>
      <c r="K88" s="2" t="s">
        <v>380</v>
      </c>
      <c r="L88" s="3">
        <v>27.39</v>
      </c>
      <c r="M88" s="3">
        <v>28.76</v>
      </c>
      <c r="N88" s="3">
        <v>62.99</v>
      </c>
      <c r="O88" s="2" t="s">
        <v>95</v>
      </c>
      <c r="P88" s="2" t="s">
        <v>156</v>
      </c>
      <c r="Q88" s="2" t="s">
        <v>97</v>
      </c>
      <c r="R88" s="2" t="s">
        <v>98</v>
      </c>
      <c r="S88" s="2" t="s">
        <v>381</v>
      </c>
      <c r="T88" s="2" t="s">
        <v>100</v>
      </c>
      <c r="U88" s="2" t="s">
        <v>118</v>
      </c>
      <c r="V88" s="2" t="s">
        <v>382</v>
      </c>
      <c r="W88" s="2" t="s">
        <v>103</v>
      </c>
      <c r="X88" s="2" t="s">
        <v>104</v>
      </c>
      <c r="Y88" s="2" t="s">
        <v>383</v>
      </c>
      <c r="Z88" s="4">
        <v>628</v>
      </c>
      <c r="AA88" s="4">
        <f>=ROUNDDOWN(36.9411764705882,0)</f>
      </c>
      <c r="AB88" s="5">
        <v>17</v>
      </c>
      <c r="AC88" s="2" t="s">
        <v>98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>
        <v>5</v>
      </c>
      <c r="AQ88" s="8">
        <v>163.75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0.175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32</v>
      </c>
      <c r="BK88" s="8">
        <v>968.31</v>
      </c>
      <c r="BL88" s="2" t="s">
        <v>394</v>
      </c>
      <c r="BM88" s="7">
        <v>0.1562</v>
      </c>
      <c r="BN88" s="7">
        <v>0.1691</v>
      </c>
      <c r="BO88" s="4">
        <v>5</v>
      </c>
      <c r="BP88" s="8">
        <v>163.75</v>
      </c>
      <c r="BQ88" s="4"/>
      <c r="BR88" s="8"/>
      <c r="BS88" s="7"/>
      <c r="BT88" s="7"/>
      <c r="BU88" s="2" t="s">
        <v>107</v>
      </c>
      <c r="BV88" s="2" t="s">
        <v>95</v>
      </c>
      <c r="BW88" s="2" t="s">
        <v>388</v>
      </c>
      <c r="BX88" s="2" t="s">
        <v>395</v>
      </c>
      <c r="BY88" s="2" t="s">
        <v>110</v>
      </c>
      <c r="BZ88" s="2" t="s">
        <v>98</v>
      </c>
    </row>
    <row r="89">
      <c r="A89" s="2" t="s">
        <v>396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91</v>
      </c>
      <c r="G89" s="2" t="s">
        <v>91</v>
      </c>
      <c r="H89" s="2" t="s">
        <v>91</v>
      </c>
      <c r="I89" s="2" t="s">
        <v>92</v>
      </c>
      <c r="J89" s="2" t="s">
        <v>93</v>
      </c>
      <c r="K89" s="2" t="s">
        <v>397</v>
      </c>
      <c r="L89" s="3">
        <v>14.89</v>
      </c>
      <c r="M89" s="3">
        <v>15.63</v>
      </c>
      <c r="N89" s="3">
        <v>31.99</v>
      </c>
      <c r="O89" s="2" t="s">
        <v>95</v>
      </c>
      <c r="P89" s="2" t="s">
        <v>211</v>
      </c>
      <c r="Q89" s="2" t="s">
        <v>97</v>
      </c>
      <c r="R89" s="2" t="s">
        <v>98</v>
      </c>
      <c r="S89" s="2" t="s">
        <v>398</v>
      </c>
      <c r="T89" s="2" t="s">
        <v>100</v>
      </c>
      <c r="U89" s="2" t="s">
        <v>101</v>
      </c>
      <c r="V89" s="2" t="s">
        <v>158</v>
      </c>
      <c r="W89" s="2" t="s">
        <v>103</v>
      </c>
      <c r="X89" s="2" t="s">
        <v>104</v>
      </c>
      <c r="Y89" s="2" t="s">
        <v>383</v>
      </c>
      <c r="Z89" s="4"/>
      <c r="AA89" s="4">
        <f>=ROUNDDOWN({0},0)</f>
      </c>
      <c r="AB89" s="5">
        <v>49</v>
      </c>
      <c r="AC89" s="2" t="s">
        <v>353</v>
      </c>
      <c r="AD89" s="4">
        <v>350</v>
      </c>
      <c r="AE89" s="4">
        <v>643</v>
      </c>
      <c r="AF89" s="6">
        <v>65</v>
      </c>
      <c r="AG89" s="6"/>
      <c r="AH89" s="7">
        <v>0.2857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/>
      <c r="AQ89" s="8"/>
      <c r="AR89" s="4"/>
      <c r="AS89" s="8"/>
      <c r="AT89" s="7"/>
      <c r="AU89" s="7"/>
      <c r="AV89" s="4">
        <v>34</v>
      </c>
      <c r="AW89" s="8">
        <v>888.86</v>
      </c>
      <c r="AX89" s="4" t="s">
        <v>98</v>
      </c>
      <c r="AY89" s="8" t="s">
        <v>98</v>
      </c>
      <c r="AZ89" s="7" t="s">
        <v>98</v>
      </c>
      <c r="BA89" s="7" t="s">
        <v>98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0.022</v>
      </c>
      <c r="BJ89" s="4">
        <v>94</v>
      </c>
      <c r="BK89" s="8">
        <v>1645.68</v>
      </c>
      <c r="BL89" s="2" t="s">
        <v>399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388</v>
      </c>
      <c r="BX89" s="2" t="s">
        <v>400</v>
      </c>
      <c r="BY89" s="2" t="s">
        <v>110</v>
      </c>
      <c r="BZ89" s="2" t="s">
        <v>98</v>
      </c>
    </row>
    <row r="90">
      <c r="A90" s="2" t="s">
        <v>401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91</v>
      </c>
      <c r="G90" s="2" t="s">
        <v>91</v>
      </c>
      <c r="H90" s="2" t="s">
        <v>91</v>
      </c>
      <c r="I90" s="2" t="s">
        <v>92</v>
      </c>
      <c r="J90" s="2" t="s">
        <v>117</v>
      </c>
      <c r="K90" s="2" t="s">
        <v>397</v>
      </c>
      <c r="L90" s="3">
        <v>19.57</v>
      </c>
      <c r="M90" s="3">
        <v>20.55</v>
      </c>
      <c r="N90" s="3">
        <v>42.99</v>
      </c>
      <c r="O90" s="2" t="s">
        <v>95</v>
      </c>
      <c r="P90" s="2" t="s">
        <v>177</v>
      </c>
      <c r="Q90" s="2" t="s">
        <v>97</v>
      </c>
      <c r="R90" s="2" t="s">
        <v>98</v>
      </c>
      <c r="S90" s="2" t="s">
        <v>398</v>
      </c>
      <c r="T90" s="2" t="s">
        <v>100</v>
      </c>
      <c r="U90" s="2" t="s">
        <v>118</v>
      </c>
      <c r="V90" s="2" t="s">
        <v>158</v>
      </c>
      <c r="W90" s="2" t="s">
        <v>103</v>
      </c>
      <c r="X90" s="2" t="s">
        <v>104</v>
      </c>
      <c r="Y90" s="2" t="s">
        <v>383</v>
      </c>
      <c r="Z90" s="4">
        <v>1357</v>
      </c>
      <c r="AA90" s="4">
        <f>=ROUNDDOWN(37.6944444444444,0)</f>
      </c>
      <c r="AB90" s="5">
        <v>36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24</v>
      </c>
      <c r="AQ90" s="8">
        <v>561.36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0.6316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55</v>
      </c>
      <c r="BK90" s="8">
        <v>1236.53</v>
      </c>
      <c r="BL90" s="2" t="s">
        <v>402</v>
      </c>
      <c r="BM90" s="7">
        <v>0.4364</v>
      </c>
      <c r="BN90" s="7">
        <v>0.454</v>
      </c>
      <c r="BO90" s="4">
        <v>24</v>
      </c>
      <c r="BP90" s="8">
        <v>561.36</v>
      </c>
      <c r="BQ90" s="4"/>
      <c r="BR90" s="8"/>
      <c r="BS90" s="7"/>
      <c r="BT90" s="7"/>
      <c r="BU90" s="2" t="s">
        <v>107</v>
      </c>
      <c r="BV90" s="2" t="s">
        <v>95</v>
      </c>
      <c r="BW90" s="2" t="s">
        <v>388</v>
      </c>
      <c r="BX90" s="2" t="s">
        <v>403</v>
      </c>
      <c r="BY90" s="2" t="s">
        <v>110</v>
      </c>
      <c r="BZ90" s="2" t="s">
        <v>98</v>
      </c>
    </row>
    <row r="91">
      <c r="A91" s="2" t="s">
        <v>404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91</v>
      </c>
      <c r="G91" s="2" t="s">
        <v>91</v>
      </c>
      <c r="H91" s="2" t="s">
        <v>91</v>
      </c>
      <c r="I91" s="2" t="s">
        <v>92</v>
      </c>
      <c r="J91" s="2" t="s">
        <v>122</v>
      </c>
      <c r="K91" s="2" t="s">
        <v>397</v>
      </c>
      <c r="L91" s="3">
        <v>22.21</v>
      </c>
      <c r="M91" s="3">
        <v>23.32</v>
      </c>
      <c r="N91" s="3">
        <v>47.99</v>
      </c>
      <c r="O91" s="2" t="s">
        <v>95</v>
      </c>
      <c r="P91" s="2" t="s">
        <v>177</v>
      </c>
      <c r="Q91" s="2" t="s">
        <v>97</v>
      </c>
      <c r="R91" s="2" t="s">
        <v>98</v>
      </c>
      <c r="S91" s="2" t="s">
        <v>398</v>
      </c>
      <c r="T91" s="2" t="s">
        <v>100</v>
      </c>
      <c r="U91" s="2" t="s">
        <v>118</v>
      </c>
      <c r="V91" s="2" t="s">
        <v>158</v>
      </c>
      <c r="W91" s="2" t="s">
        <v>103</v>
      </c>
      <c r="X91" s="2" t="s">
        <v>104</v>
      </c>
      <c r="Y91" s="2" t="s">
        <v>383</v>
      </c>
      <c r="Z91" s="4">
        <v>1</v>
      </c>
      <c r="AA91" s="4">
        <f>=ROUNDDOWN(0.02,0)</f>
      </c>
      <c r="AB91" s="5">
        <v>50</v>
      </c>
      <c r="AC91" s="2" t="s">
        <v>353</v>
      </c>
      <c r="AD91" s="4">
        <v>375</v>
      </c>
      <c r="AE91" s="4">
        <v>535</v>
      </c>
      <c r="AF91" s="6">
        <v>65</v>
      </c>
      <c r="AG91" s="6"/>
      <c r="AH91" s="7">
        <v>0.2857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69</v>
      </c>
      <c r="BK91" s="8">
        <v>1635.3</v>
      </c>
      <c r="BL91" s="2" t="s">
        <v>405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370</v>
      </c>
      <c r="BX91" s="2" t="s">
        <v>395</v>
      </c>
      <c r="BY91" s="2" t="s">
        <v>110</v>
      </c>
      <c r="BZ91" s="2" t="s">
        <v>98</v>
      </c>
    </row>
    <row r="92">
      <c r="A92" s="2" t="s">
        <v>406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91</v>
      </c>
      <c r="G92" s="2" t="s">
        <v>91</v>
      </c>
      <c r="H92" s="2" t="s">
        <v>91</v>
      </c>
      <c r="I92" s="2" t="s">
        <v>92</v>
      </c>
      <c r="J92" s="2" t="s">
        <v>125</v>
      </c>
      <c r="K92" s="2" t="s">
        <v>397</v>
      </c>
      <c r="L92" s="3">
        <v>27.39</v>
      </c>
      <c r="M92" s="3">
        <v>28.76</v>
      </c>
      <c r="N92" s="3">
        <v>62.99</v>
      </c>
      <c r="O92" s="2" t="s">
        <v>95</v>
      </c>
      <c r="P92" s="2" t="s">
        <v>156</v>
      </c>
      <c r="Q92" s="2" t="s">
        <v>97</v>
      </c>
      <c r="R92" s="2" t="s">
        <v>98</v>
      </c>
      <c r="S92" s="2" t="s">
        <v>398</v>
      </c>
      <c r="T92" s="2" t="s">
        <v>100</v>
      </c>
      <c r="U92" s="2" t="s">
        <v>118</v>
      </c>
      <c r="V92" s="2" t="s">
        <v>158</v>
      </c>
      <c r="W92" s="2" t="s">
        <v>103</v>
      </c>
      <c r="X92" s="2" t="s">
        <v>104</v>
      </c>
      <c r="Y92" s="2" t="s">
        <v>383</v>
      </c>
      <c r="Z92" s="4">
        <v>237</v>
      </c>
      <c r="AA92" s="4">
        <f>=ROUNDDOWN(15.8,0)</f>
      </c>
      <c r="AB92" s="5">
        <v>15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10</v>
      </c>
      <c r="AQ92" s="8">
        <v>327.5</v>
      </c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0.3684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89</v>
      </c>
      <c r="BK92" s="8">
        <v>2695.78</v>
      </c>
      <c r="BL92" s="2" t="s">
        <v>237</v>
      </c>
      <c r="BM92" s="7">
        <v>0.1124</v>
      </c>
      <c r="BN92" s="7">
        <v>0.1215</v>
      </c>
      <c r="BO92" s="4">
        <v>10</v>
      </c>
      <c r="BP92" s="8">
        <v>327.5</v>
      </c>
      <c r="BQ92" s="4"/>
      <c r="BR92" s="8"/>
      <c r="BS92" s="7"/>
      <c r="BT92" s="7"/>
      <c r="BU92" s="2" t="s">
        <v>107</v>
      </c>
      <c r="BV92" s="2" t="s">
        <v>95</v>
      </c>
      <c r="BW92" s="2" t="s">
        <v>388</v>
      </c>
      <c r="BX92" s="2" t="s">
        <v>400</v>
      </c>
      <c r="BY92" s="2" t="s">
        <v>110</v>
      </c>
      <c r="BZ92" s="2" t="s">
        <v>98</v>
      </c>
    </row>
    <row r="93">
      <c r="A93" s="2" t="s">
        <v>407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91</v>
      </c>
      <c r="G93" s="2" t="s">
        <v>91</v>
      </c>
      <c r="H93" s="2" t="s">
        <v>91</v>
      </c>
      <c r="I93" s="2" t="s">
        <v>92</v>
      </c>
      <c r="J93" s="2" t="s">
        <v>93</v>
      </c>
      <c r="K93" s="2" t="s">
        <v>408</v>
      </c>
      <c r="L93" s="3">
        <v>14.89</v>
      </c>
      <c r="M93" s="3">
        <v>15.63</v>
      </c>
      <c r="N93" s="3">
        <v>31.99</v>
      </c>
      <c r="O93" s="2" t="s">
        <v>95</v>
      </c>
      <c r="P93" s="2" t="s">
        <v>156</v>
      </c>
      <c r="Q93" s="2" t="s">
        <v>97</v>
      </c>
      <c r="R93" s="2" t="s">
        <v>98</v>
      </c>
      <c r="S93" s="2" t="s">
        <v>409</v>
      </c>
      <c r="T93" s="2" t="s">
        <v>100</v>
      </c>
      <c r="U93" s="2" t="s">
        <v>98</v>
      </c>
      <c r="V93" s="2" t="s">
        <v>336</v>
      </c>
      <c r="W93" s="2" t="s">
        <v>103</v>
      </c>
      <c r="X93" s="2" t="s">
        <v>98</v>
      </c>
      <c r="Y93" s="2" t="s">
        <v>207</v>
      </c>
      <c r="Z93" s="4">
        <v>1089</v>
      </c>
      <c r="AA93" s="4">
        <f>=ROUNDDOWN(27.9230769230769,0)</f>
      </c>
      <c r="AB93" s="5">
        <v>39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7</v>
      </c>
      <c r="AQ93" s="8">
        <v>122.5</v>
      </c>
      <c r="AR93" s="4"/>
      <c r="AS93" s="8"/>
      <c r="AT93" s="7"/>
      <c r="AU93" s="7"/>
      <c r="AV93" s="4">
        <v>30</v>
      </c>
      <c r="AW93" s="8">
        <v>750.73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0.1632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0.0185</v>
      </c>
      <c r="BJ93" s="4">
        <v>50</v>
      </c>
      <c r="BK93" s="8">
        <v>806.31</v>
      </c>
      <c r="BL93" s="2" t="s">
        <v>410</v>
      </c>
      <c r="BM93" s="7">
        <v>0.14</v>
      </c>
      <c r="BN93" s="7">
        <v>0.1519</v>
      </c>
      <c r="BO93" s="4">
        <v>7</v>
      </c>
      <c r="BP93" s="8">
        <v>122.5</v>
      </c>
      <c r="BQ93" s="4"/>
      <c r="BR93" s="8"/>
      <c r="BS93" s="7"/>
      <c r="BT93" s="7"/>
      <c r="BU93" s="2" t="s">
        <v>107</v>
      </c>
      <c r="BV93" s="2" t="s">
        <v>95</v>
      </c>
      <c r="BW93" s="2" t="s">
        <v>181</v>
      </c>
      <c r="BX93" s="2" t="s">
        <v>295</v>
      </c>
      <c r="BY93" s="2" t="s">
        <v>110</v>
      </c>
      <c r="BZ93" s="2" t="s">
        <v>98</v>
      </c>
    </row>
    <row r="94">
      <c r="A94" s="2" t="s">
        <v>411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91</v>
      </c>
      <c r="G94" s="2" t="s">
        <v>91</v>
      </c>
      <c r="H94" s="2" t="s">
        <v>91</v>
      </c>
      <c r="I94" s="2" t="s">
        <v>92</v>
      </c>
      <c r="J94" s="2" t="s">
        <v>117</v>
      </c>
      <c r="K94" s="2" t="s">
        <v>408</v>
      </c>
      <c r="L94" s="3">
        <v>19.57</v>
      </c>
      <c r="M94" s="3">
        <v>20.55</v>
      </c>
      <c r="N94" s="3">
        <v>42.99</v>
      </c>
      <c r="O94" s="2" t="s">
        <v>95</v>
      </c>
      <c r="P94" s="2" t="s">
        <v>168</v>
      </c>
      <c r="Q94" s="2" t="s">
        <v>97</v>
      </c>
      <c r="R94" s="2" t="s">
        <v>98</v>
      </c>
      <c r="S94" s="2" t="s">
        <v>409</v>
      </c>
      <c r="T94" s="2" t="s">
        <v>100</v>
      </c>
      <c r="U94" s="2" t="s">
        <v>98</v>
      </c>
      <c r="V94" s="2" t="s">
        <v>336</v>
      </c>
      <c r="W94" s="2" t="s">
        <v>103</v>
      </c>
      <c r="X94" s="2" t="s">
        <v>98</v>
      </c>
      <c r="Y94" s="2" t="s">
        <v>207</v>
      </c>
      <c r="Z94" s="4">
        <v>1068</v>
      </c>
      <c r="AA94" s="4">
        <f>=ROUNDDOWN(34.4516129032258,0)</f>
      </c>
      <c r="AB94" s="5">
        <v>31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6</v>
      </c>
      <c r="AQ94" s="8">
        <v>140.34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0.1869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49</v>
      </c>
      <c r="BK94" s="8">
        <v>1065.3</v>
      </c>
      <c r="BL94" s="2" t="s">
        <v>130</v>
      </c>
      <c r="BM94" s="7">
        <v>0.1224</v>
      </c>
      <c r="BN94" s="7">
        <v>0.1317</v>
      </c>
      <c r="BO94" s="4">
        <v>6</v>
      </c>
      <c r="BP94" s="8">
        <v>140.34</v>
      </c>
      <c r="BQ94" s="4"/>
      <c r="BR94" s="8"/>
      <c r="BS94" s="7"/>
      <c r="BT94" s="7"/>
      <c r="BU94" s="2" t="s">
        <v>107</v>
      </c>
      <c r="BV94" s="2" t="s">
        <v>95</v>
      </c>
      <c r="BW94" s="2" t="s">
        <v>181</v>
      </c>
      <c r="BX94" s="2" t="s">
        <v>412</v>
      </c>
      <c r="BY94" s="2" t="s">
        <v>110</v>
      </c>
      <c r="BZ94" s="2" t="s">
        <v>98</v>
      </c>
    </row>
    <row r="95">
      <c r="A95" s="2" t="s">
        <v>413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91</v>
      </c>
      <c r="G95" s="2" t="s">
        <v>91</v>
      </c>
      <c r="H95" s="2" t="s">
        <v>91</v>
      </c>
      <c r="I95" s="2" t="s">
        <v>92</v>
      </c>
      <c r="J95" s="2" t="s">
        <v>122</v>
      </c>
      <c r="K95" s="2" t="s">
        <v>408</v>
      </c>
      <c r="L95" s="3">
        <v>22.21</v>
      </c>
      <c r="M95" s="3">
        <v>23.32</v>
      </c>
      <c r="N95" s="3">
        <v>47.99</v>
      </c>
      <c r="O95" s="2" t="s">
        <v>95</v>
      </c>
      <c r="P95" s="2" t="s">
        <v>184</v>
      </c>
      <c r="Q95" s="2" t="s">
        <v>97</v>
      </c>
      <c r="R95" s="2" t="s">
        <v>98</v>
      </c>
      <c r="S95" s="2" t="s">
        <v>409</v>
      </c>
      <c r="T95" s="2" t="s">
        <v>100</v>
      </c>
      <c r="U95" s="2" t="s">
        <v>98</v>
      </c>
      <c r="V95" s="2" t="s">
        <v>336</v>
      </c>
      <c r="W95" s="2" t="s">
        <v>103</v>
      </c>
      <c r="X95" s="2" t="s">
        <v>98</v>
      </c>
      <c r="Y95" s="2" t="s">
        <v>207</v>
      </c>
      <c r="Z95" s="4">
        <v>2345</v>
      </c>
      <c r="AA95" s="4">
        <f>=ROUNDDOWN(80.8620689655172,0)</f>
      </c>
      <c r="AB95" s="5">
        <v>29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11</v>
      </c>
      <c r="AQ95" s="8">
        <v>291.39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0.3881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91</v>
      </c>
      <c r="BK95" s="8">
        <v>2195.57</v>
      </c>
      <c r="BL95" s="2" t="s">
        <v>414</v>
      </c>
      <c r="BM95" s="7">
        <v>0.1209</v>
      </c>
      <c r="BN95" s="7">
        <v>0.1327</v>
      </c>
      <c r="BO95" s="4">
        <v>11</v>
      </c>
      <c r="BP95" s="8">
        <v>291.39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181</v>
      </c>
      <c r="BX95" s="2" t="s">
        <v>415</v>
      </c>
      <c r="BY95" s="2" t="s">
        <v>110</v>
      </c>
      <c r="BZ95" s="2" t="s">
        <v>98</v>
      </c>
    </row>
    <row r="96">
      <c r="A96" s="2" t="s">
        <v>416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91</v>
      </c>
      <c r="G96" s="2" t="s">
        <v>91</v>
      </c>
      <c r="H96" s="2" t="s">
        <v>91</v>
      </c>
      <c r="I96" s="2" t="s">
        <v>92</v>
      </c>
      <c r="J96" s="2" t="s">
        <v>125</v>
      </c>
      <c r="K96" s="2" t="s">
        <v>408</v>
      </c>
      <c r="L96" s="3">
        <v>27.39</v>
      </c>
      <c r="M96" s="3">
        <v>28.76</v>
      </c>
      <c r="N96" s="3">
        <v>62.99</v>
      </c>
      <c r="O96" s="2" t="s">
        <v>95</v>
      </c>
      <c r="P96" s="2" t="s">
        <v>156</v>
      </c>
      <c r="Q96" s="2" t="s">
        <v>97</v>
      </c>
      <c r="R96" s="2" t="s">
        <v>98</v>
      </c>
      <c r="S96" s="2" t="s">
        <v>409</v>
      </c>
      <c r="T96" s="2" t="s">
        <v>100</v>
      </c>
      <c r="U96" s="2" t="s">
        <v>98</v>
      </c>
      <c r="V96" s="2" t="s">
        <v>336</v>
      </c>
      <c r="W96" s="2" t="s">
        <v>103</v>
      </c>
      <c r="X96" s="2" t="s">
        <v>98</v>
      </c>
      <c r="Y96" s="2" t="s">
        <v>207</v>
      </c>
      <c r="Z96" s="4">
        <v>603</v>
      </c>
      <c r="AA96" s="4">
        <f>=ROUNDDOWN(60.3,0)</f>
      </c>
      <c r="AB96" s="5">
        <v>10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6</v>
      </c>
      <c r="AQ96" s="8">
        <v>196.5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0.2617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21</v>
      </c>
      <c r="BK96" s="8">
        <v>635.54</v>
      </c>
      <c r="BL96" s="2" t="s">
        <v>417</v>
      </c>
      <c r="BM96" s="7">
        <v>0.2857</v>
      </c>
      <c r="BN96" s="7">
        <v>0.3092</v>
      </c>
      <c r="BO96" s="4">
        <v>6</v>
      </c>
      <c r="BP96" s="8">
        <v>196.5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181</v>
      </c>
      <c r="BX96" s="2" t="s">
        <v>235</v>
      </c>
      <c r="BY96" s="2" t="s">
        <v>110</v>
      </c>
      <c r="BZ96" s="2" t="s">
        <v>98</v>
      </c>
    </row>
    <row r="97">
      <c r="A97" s="2" t="s">
        <v>418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91</v>
      </c>
      <c r="G97" s="2" t="s">
        <v>91</v>
      </c>
      <c r="H97" s="2" t="s">
        <v>91</v>
      </c>
      <c r="I97" s="2" t="s">
        <v>92</v>
      </c>
      <c r="J97" s="2" t="s">
        <v>129</v>
      </c>
      <c r="K97" s="2" t="s">
        <v>408</v>
      </c>
      <c r="L97" s="3">
        <v>27.39</v>
      </c>
      <c r="M97" s="3">
        <v>28.76</v>
      </c>
      <c r="N97" s="3">
        <v>62.99</v>
      </c>
      <c r="O97" s="2" t="s">
        <v>95</v>
      </c>
      <c r="P97" s="2" t="s">
        <v>156</v>
      </c>
      <c r="Q97" s="2" t="s">
        <v>97</v>
      </c>
      <c r="R97" s="2" t="s">
        <v>98</v>
      </c>
      <c r="S97" s="2" t="s">
        <v>409</v>
      </c>
      <c r="T97" s="2" t="s">
        <v>100</v>
      </c>
      <c r="U97" s="2" t="s">
        <v>98</v>
      </c>
      <c r="V97" s="2" t="s">
        <v>336</v>
      </c>
      <c r="W97" s="2" t="s">
        <v>103</v>
      </c>
      <c r="X97" s="2" t="s">
        <v>98</v>
      </c>
      <c r="Y97" s="2" t="s">
        <v>207</v>
      </c>
      <c r="Z97" s="4">
        <v>391</v>
      </c>
      <c r="AA97" s="4">
        <f>=ROUNDDOWN(55.8571428571429,0)</f>
      </c>
      <c r="AB97" s="5">
        <v>7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18</v>
      </c>
      <c r="BK97" s="8">
        <v>520.6</v>
      </c>
      <c r="BL97" s="2" t="s">
        <v>419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181</v>
      </c>
      <c r="BX97" s="2" t="s">
        <v>420</v>
      </c>
      <c r="BY97" s="2" t="s">
        <v>110</v>
      </c>
      <c r="BZ97" s="2" t="s">
        <v>98</v>
      </c>
    </row>
    <row r="98">
      <c r="A98" s="2" t="s">
        <v>421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91</v>
      </c>
      <c r="G98" s="2" t="s">
        <v>91</v>
      </c>
      <c r="H98" s="2" t="s">
        <v>91</v>
      </c>
      <c r="I98" s="2" t="s">
        <v>92</v>
      </c>
      <c r="J98" s="2" t="s">
        <v>112</v>
      </c>
      <c r="K98" s="2" t="s">
        <v>422</v>
      </c>
      <c r="L98" s="3">
        <v>16.16</v>
      </c>
      <c r="M98" s="3">
        <v>16.97</v>
      </c>
      <c r="N98" s="3">
        <v>34.99</v>
      </c>
      <c r="O98" s="2" t="s">
        <v>95</v>
      </c>
      <c r="P98" s="2" t="s">
        <v>168</v>
      </c>
      <c r="Q98" s="2" t="s">
        <v>97</v>
      </c>
      <c r="R98" s="2" t="s">
        <v>98</v>
      </c>
      <c r="S98" s="2" t="s">
        <v>423</v>
      </c>
      <c r="T98" s="2" t="s">
        <v>100</v>
      </c>
      <c r="U98" s="2" t="s">
        <v>98</v>
      </c>
      <c r="V98" s="2" t="s">
        <v>200</v>
      </c>
      <c r="W98" s="2" t="s">
        <v>103</v>
      </c>
      <c r="X98" s="2" t="s">
        <v>98</v>
      </c>
      <c r="Y98" s="2" t="s">
        <v>179</v>
      </c>
      <c r="Z98" s="4">
        <v>622</v>
      </c>
      <c r="AA98" s="4">
        <f>=ROUNDDOWN(23.9230769230769,0)</f>
      </c>
      <c r="AB98" s="5">
        <v>26</v>
      </c>
      <c r="AC98" s="2" t="s">
        <v>7</v>
      </c>
      <c r="AD98" s="4">
        <v>13</v>
      </c>
      <c r="AE98" s="4">
        <v>13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1</v>
      </c>
      <c r="AQ98" s="8">
        <v>19</v>
      </c>
      <c r="AR98" s="4"/>
      <c r="AS98" s="8"/>
      <c r="AT98" s="7"/>
      <c r="AU98" s="7"/>
      <c r="AV98" s="4">
        <v>27</v>
      </c>
      <c r="AW98" s="8">
        <v>742.32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0.0256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0.0183</v>
      </c>
      <c r="BJ98" s="4">
        <v>31</v>
      </c>
      <c r="BK98" s="8">
        <v>546.26</v>
      </c>
      <c r="BL98" s="2" t="s">
        <v>424</v>
      </c>
      <c r="BM98" s="7">
        <v>0.0323</v>
      </c>
      <c r="BN98" s="7">
        <v>0.0348</v>
      </c>
      <c r="BO98" s="4">
        <v>1</v>
      </c>
      <c r="BP98" s="8">
        <v>19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181</v>
      </c>
      <c r="BX98" s="2" t="s">
        <v>425</v>
      </c>
      <c r="BY98" s="2" t="s">
        <v>110</v>
      </c>
      <c r="BZ98" s="2" t="s">
        <v>98</v>
      </c>
    </row>
    <row r="99">
      <c r="A99" s="2" t="s">
        <v>426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91</v>
      </c>
      <c r="G99" s="2" t="s">
        <v>91</v>
      </c>
      <c r="H99" s="2" t="s">
        <v>91</v>
      </c>
      <c r="I99" s="2" t="s">
        <v>92</v>
      </c>
      <c r="J99" s="2" t="s">
        <v>117</v>
      </c>
      <c r="K99" s="2" t="s">
        <v>422</v>
      </c>
      <c r="L99" s="3">
        <v>19.57</v>
      </c>
      <c r="M99" s="3">
        <v>20.55</v>
      </c>
      <c r="N99" s="3">
        <v>42.99</v>
      </c>
      <c r="O99" s="2" t="s">
        <v>95</v>
      </c>
      <c r="P99" s="2" t="s">
        <v>156</v>
      </c>
      <c r="Q99" s="2" t="s">
        <v>97</v>
      </c>
      <c r="R99" s="2" t="s">
        <v>98</v>
      </c>
      <c r="S99" s="2" t="s">
        <v>423</v>
      </c>
      <c r="T99" s="2" t="s">
        <v>100</v>
      </c>
      <c r="U99" s="2" t="s">
        <v>98</v>
      </c>
      <c r="V99" s="2" t="s">
        <v>200</v>
      </c>
      <c r="W99" s="2" t="s">
        <v>103</v>
      </c>
      <c r="X99" s="2" t="s">
        <v>98</v>
      </c>
      <c r="Y99" s="2" t="s">
        <v>207</v>
      </c>
      <c r="Z99" s="4">
        <v>946</v>
      </c>
      <c r="AA99" s="4">
        <f>=ROUNDDOWN(63.0666666666667,0)</f>
      </c>
      <c r="AB99" s="5">
        <v>15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5</v>
      </c>
      <c r="AQ99" s="8">
        <v>116.95</v>
      </c>
      <c r="AR99" s="4"/>
      <c r="AS99" s="8"/>
      <c r="AT99" s="7"/>
      <c r="AU99" s="7"/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0.1575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 t="s">
        <v>98</v>
      </c>
      <c r="BJ99" s="4">
        <v>17</v>
      </c>
      <c r="BK99" s="8">
        <v>370.5</v>
      </c>
      <c r="BL99" s="2" t="s">
        <v>427</v>
      </c>
      <c r="BM99" s="7">
        <v>0.2941</v>
      </c>
      <c r="BN99" s="7">
        <v>0.3157</v>
      </c>
      <c r="BO99" s="4">
        <v>5</v>
      </c>
      <c r="BP99" s="8">
        <v>116.95</v>
      </c>
      <c r="BQ99" s="4"/>
      <c r="BR99" s="8"/>
      <c r="BS99" s="7"/>
      <c r="BT99" s="7"/>
      <c r="BU99" s="2" t="s">
        <v>107</v>
      </c>
      <c r="BV99" s="2" t="s">
        <v>95</v>
      </c>
      <c r="BW99" s="2" t="s">
        <v>181</v>
      </c>
      <c r="BX99" s="2" t="s">
        <v>415</v>
      </c>
      <c r="BY99" s="2" t="s">
        <v>110</v>
      </c>
      <c r="BZ99" s="2" t="s">
        <v>98</v>
      </c>
    </row>
    <row r="100">
      <c r="A100" s="2" t="s">
        <v>428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91</v>
      </c>
      <c r="G100" s="2" t="s">
        <v>91</v>
      </c>
      <c r="H100" s="2" t="s">
        <v>91</v>
      </c>
      <c r="I100" s="2" t="s">
        <v>92</v>
      </c>
      <c r="J100" s="2" t="s">
        <v>122</v>
      </c>
      <c r="K100" s="2" t="s">
        <v>422</v>
      </c>
      <c r="L100" s="3">
        <v>22.21</v>
      </c>
      <c r="M100" s="3">
        <v>23.32</v>
      </c>
      <c r="N100" s="3">
        <v>47.99</v>
      </c>
      <c r="O100" s="2" t="s">
        <v>95</v>
      </c>
      <c r="P100" s="2" t="s">
        <v>184</v>
      </c>
      <c r="Q100" s="2" t="s">
        <v>97</v>
      </c>
      <c r="R100" s="2" t="s">
        <v>98</v>
      </c>
      <c r="S100" s="2" t="s">
        <v>423</v>
      </c>
      <c r="T100" s="2" t="s">
        <v>100</v>
      </c>
      <c r="U100" s="2" t="s">
        <v>98</v>
      </c>
      <c r="V100" s="2" t="s">
        <v>200</v>
      </c>
      <c r="W100" s="2" t="s">
        <v>103</v>
      </c>
      <c r="X100" s="2" t="s">
        <v>98</v>
      </c>
      <c r="Y100" s="2" t="s">
        <v>179</v>
      </c>
      <c r="Z100" s="4">
        <v>1219</v>
      </c>
      <c r="AA100" s="4">
        <f>=ROUNDDOWN(38.09375,0)</f>
      </c>
      <c r="AB100" s="5">
        <v>32</v>
      </c>
      <c r="AC100" s="2" t="s">
        <v>7</v>
      </c>
      <c r="AD100" s="4">
        <v>43</v>
      </c>
      <c r="AE100" s="4">
        <v>43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13</v>
      </c>
      <c r="AQ100" s="8">
        <v>344.37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0.4639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76</v>
      </c>
      <c r="BK100" s="8">
        <v>1856.28</v>
      </c>
      <c r="BL100" s="2" t="s">
        <v>429</v>
      </c>
      <c r="BM100" s="7">
        <v>0.1711</v>
      </c>
      <c r="BN100" s="7">
        <v>0.1855</v>
      </c>
      <c r="BO100" s="4">
        <v>13</v>
      </c>
      <c r="BP100" s="8">
        <v>344.37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181</v>
      </c>
      <c r="BX100" s="2" t="s">
        <v>314</v>
      </c>
      <c r="BY100" s="2" t="s">
        <v>110</v>
      </c>
      <c r="BZ100" s="2" t="s">
        <v>98</v>
      </c>
    </row>
    <row r="101">
      <c r="A101" s="2" t="s">
        <v>430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91</v>
      </c>
      <c r="G101" s="2" t="s">
        <v>91</v>
      </c>
      <c r="H101" s="2" t="s">
        <v>91</v>
      </c>
      <c r="I101" s="2" t="s">
        <v>92</v>
      </c>
      <c r="J101" s="2" t="s">
        <v>125</v>
      </c>
      <c r="K101" s="2" t="s">
        <v>422</v>
      </c>
      <c r="L101" s="3">
        <v>27.39</v>
      </c>
      <c r="M101" s="3">
        <v>28.76</v>
      </c>
      <c r="N101" s="3">
        <v>62.99</v>
      </c>
      <c r="O101" s="2" t="s">
        <v>95</v>
      </c>
      <c r="P101" s="2" t="s">
        <v>168</v>
      </c>
      <c r="Q101" s="2" t="s">
        <v>97</v>
      </c>
      <c r="R101" s="2" t="s">
        <v>98</v>
      </c>
      <c r="S101" s="2" t="s">
        <v>423</v>
      </c>
      <c r="T101" s="2" t="s">
        <v>100</v>
      </c>
      <c r="U101" s="2" t="s">
        <v>98</v>
      </c>
      <c r="V101" s="2" t="s">
        <v>200</v>
      </c>
      <c r="W101" s="2" t="s">
        <v>103</v>
      </c>
      <c r="X101" s="2" t="s">
        <v>98</v>
      </c>
      <c r="Y101" s="2" t="s">
        <v>179</v>
      </c>
      <c r="Z101" s="4">
        <v>721</v>
      </c>
      <c r="AA101" s="4">
        <f>=ROUNDDOWN(45.0625,0)</f>
      </c>
      <c r="AB101" s="5">
        <v>16</v>
      </c>
      <c r="AC101" s="2" t="s">
        <v>7</v>
      </c>
      <c r="AD101" s="4">
        <v>11</v>
      </c>
      <c r="AE101" s="4">
        <v>11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7</v>
      </c>
      <c r="AQ101" s="8">
        <v>229.25</v>
      </c>
      <c r="AR101" s="4"/>
      <c r="AS101" s="8"/>
      <c r="AT101" s="7"/>
      <c r="AU101" s="7"/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0.3088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 t="s">
        <v>98</v>
      </c>
      <c r="BJ101" s="4">
        <v>29</v>
      </c>
      <c r="BK101" s="8">
        <v>858.99</v>
      </c>
      <c r="BL101" s="2" t="s">
        <v>431</v>
      </c>
      <c r="BM101" s="7">
        <v>0.2414</v>
      </c>
      <c r="BN101" s="7">
        <v>0.2669</v>
      </c>
      <c r="BO101" s="4">
        <v>7</v>
      </c>
      <c r="BP101" s="8">
        <v>229.25</v>
      </c>
      <c r="BQ101" s="4"/>
      <c r="BR101" s="8"/>
      <c r="BS101" s="7"/>
      <c r="BT101" s="7"/>
      <c r="BU101" s="2" t="s">
        <v>107</v>
      </c>
      <c r="BV101" s="2" t="s">
        <v>95</v>
      </c>
      <c r="BW101" s="2" t="s">
        <v>181</v>
      </c>
      <c r="BX101" s="2" t="s">
        <v>209</v>
      </c>
      <c r="BY101" s="2" t="s">
        <v>110</v>
      </c>
      <c r="BZ101" s="2" t="s">
        <v>98</v>
      </c>
    </row>
    <row r="102">
      <c r="A102" s="2" t="s">
        <v>432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91</v>
      </c>
      <c r="G102" s="2" t="s">
        <v>91</v>
      </c>
      <c r="H102" s="2" t="s">
        <v>91</v>
      </c>
      <c r="I102" s="2" t="s">
        <v>92</v>
      </c>
      <c r="J102" s="2" t="s">
        <v>129</v>
      </c>
      <c r="K102" s="2" t="s">
        <v>422</v>
      </c>
      <c r="L102" s="3">
        <v>27.39</v>
      </c>
      <c r="M102" s="3">
        <v>28.76</v>
      </c>
      <c r="N102" s="3">
        <v>62.99</v>
      </c>
      <c r="O102" s="2" t="s">
        <v>95</v>
      </c>
      <c r="P102" s="2" t="s">
        <v>168</v>
      </c>
      <c r="Q102" s="2" t="s">
        <v>97</v>
      </c>
      <c r="R102" s="2" t="s">
        <v>98</v>
      </c>
      <c r="S102" s="2" t="s">
        <v>423</v>
      </c>
      <c r="T102" s="2" t="s">
        <v>100</v>
      </c>
      <c r="U102" s="2" t="s">
        <v>98</v>
      </c>
      <c r="V102" s="2" t="s">
        <v>200</v>
      </c>
      <c r="W102" s="2" t="s">
        <v>103</v>
      </c>
      <c r="X102" s="2" t="s">
        <v>98</v>
      </c>
      <c r="Y102" s="2" t="s">
        <v>433</v>
      </c>
      <c r="Z102" s="4">
        <v>749</v>
      </c>
      <c r="AA102" s="4">
        <f>=ROUNDDOWN(93.625,0)</f>
      </c>
      <c r="AB102" s="5">
        <v>8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1</v>
      </c>
      <c r="AQ102" s="8">
        <v>32.75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0.0441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22</v>
      </c>
      <c r="BK102" s="8">
        <v>643.58</v>
      </c>
      <c r="BL102" s="2" t="s">
        <v>434</v>
      </c>
      <c r="BM102" s="7">
        <v>0.0455</v>
      </c>
      <c r="BN102" s="7">
        <v>0.0509</v>
      </c>
      <c r="BO102" s="4">
        <v>1</v>
      </c>
      <c r="BP102" s="8">
        <v>32.75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181</v>
      </c>
      <c r="BX102" s="2" t="s">
        <v>226</v>
      </c>
      <c r="BY102" s="2" t="s">
        <v>110</v>
      </c>
      <c r="BZ102" s="2" t="s">
        <v>98</v>
      </c>
    </row>
    <row r="103">
      <c r="A103" s="2" t="s">
        <v>435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91</v>
      </c>
      <c r="G103" s="2" t="s">
        <v>91</v>
      </c>
      <c r="H103" s="2" t="s">
        <v>91</v>
      </c>
      <c r="I103" s="2" t="s">
        <v>92</v>
      </c>
      <c r="J103" s="2" t="s">
        <v>93</v>
      </c>
      <c r="K103" s="2" t="s">
        <v>436</v>
      </c>
      <c r="L103" s="3">
        <v>14.89</v>
      </c>
      <c r="M103" s="3">
        <v>15.63</v>
      </c>
      <c r="N103" s="3">
        <v>31.99</v>
      </c>
      <c r="O103" s="2" t="s">
        <v>95</v>
      </c>
      <c r="P103" s="2" t="s">
        <v>156</v>
      </c>
      <c r="Q103" s="2" t="s">
        <v>97</v>
      </c>
      <c r="R103" s="2" t="s">
        <v>98</v>
      </c>
      <c r="S103" s="2" t="s">
        <v>437</v>
      </c>
      <c r="T103" s="2" t="s">
        <v>100</v>
      </c>
      <c r="U103" s="2" t="s">
        <v>101</v>
      </c>
      <c r="V103" s="2" t="s">
        <v>290</v>
      </c>
      <c r="W103" s="2" t="s">
        <v>103</v>
      </c>
      <c r="X103" s="2" t="s">
        <v>291</v>
      </c>
      <c r="Y103" s="2" t="s">
        <v>320</v>
      </c>
      <c r="Z103" s="4">
        <v>134</v>
      </c>
      <c r="AA103" s="4">
        <f>=ROUNDDOWN(5.82608695652174,0)</f>
      </c>
      <c r="AB103" s="5">
        <v>23</v>
      </c>
      <c r="AC103" s="2" t="s">
        <v>98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>
        <v>12</v>
      </c>
      <c r="AQ103" s="8">
        <v>210</v>
      </c>
      <c r="AR103" s="4"/>
      <c r="AS103" s="8"/>
      <c r="AT103" s="7"/>
      <c r="AU103" s="7"/>
      <c r="AV103" s="4">
        <v>34</v>
      </c>
      <c r="AW103" s="8">
        <v>712.97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0.2945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0.0176</v>
      </c>
      <c r="BJ103" s="4">
        <v>40</v>
      </c>
      <c r="BK103" s="8">
        <v>672.93</v>
      </c>
      <c r="BL103" s="2" t="s">
        <v>438</v>
      </c>
      <c r="BM103" s="7">
        <v>0.3</v>
      </c>
      <c r="BN103" s="7">
        <v>0.3121</v>
      </c>
      <c r="BO103" s="4">
        <v>12</v>
      </c>
      <c r="BP103" s="8">
        <v>210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294</v>
      </c>
      <c r="BX103" s="2" t="s">
        <v>439</v>
      </c>
      <c r="BY103" s="2" t="s">
        <v>110</v>
      </c>
      <c r="BZ103" s="2" t="s">
        <v>98</v>
      </c>
    </row>
    <row r="104">
      <c r="A104" s="2" t="s">
        <v>440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91</v>
      </c>
      <c r="G104" s="2" t="s">
        <v>91</v>
      </c>
      <c r="H104" s="2" t="s">
        <v>91</v>
      </c>
      <c r="I104" s="2" t="s">
        <v>92</v>
      </c>
      <c r="J104" s="2" t="s">
        <v>112</v>
      </c>
      <c r="K104" s="2" t="s">
        <v>436</v>
      </c>
      <c r="L104" s="3">
        <v>16.16</v>
      </c>
      <c r="M104" s="3">
        <v>16.97</v>
      </c>
      <c r="N104" s="3">
        <v>34.99</v>
      </c>
      <c r="O104" s="2" t="s">
        <v>95</v>
      </c>
      <c r="P104" s="2" t="s">
        <v>156</v>
      </c>
      <c r="Q104" s="2" t="s">
        <v>97</v>
      </c>
      <c r="R104" s="2" t="s">
        <v>98</v>
      </c>
      <c r="S104" s="2" t="s">
        <v>437</v>
      </c>
      <c r="T104" s="2" t="s">
        <v>100</v>
      </c>
      <c r="U104" s="2" t="s">
        <v>101</v>
      </c>
      <c r="V104" s="2" t="s">
        <v>290</v>
      </c>
      <c r="W104" s="2" t="s">
        <v>103</v>
      </c>
      <c r="X104" s="2" t="s">
        <v>291</v>
      </c>
      <c r="Y104" s="2" t="s">
        <v>320</v>
      </c>
      <c r="Z104" s="4">
        <v>413</v>
      </c>
      <c r="AA104" s="4">
        <f>=ROUNDDOWN(18.7727272727273,0)</f>
      </c>
      <c r="AB104" s="5">
        <v>22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>
        <v>9</v>
      </c>
      <c r="AQ104" s="8">
        <v>171</v>
      </c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0.2398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26</v>
      </c>
      <c r="BK104" s="8">
        <v>466.7</v>
      </c>
      <c r="BL104" s="2" t="s">
        <v>130</v>
      </c>
      <c r="BM104" s="7">
        <v>0.3462</v>
      </c>
      <c r="BN104" s="7">
        <v>0.3664</v>
      </c>
      <c r="BO104" s="4">
        <v>9</v>
      </c>
      <c r="BP104" s="8">
        <v>171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294</v>
      </c>
      <c r="BX104" s="2" t="s">
        <v>441</v>
      </c>
      <c r="BY104" s="2" t="s">
        <v>110</v>
      </c>
      <c r="BZ104" s="2" t="s">
        <v>98</v>
      </c>
    </row>
    <row r="105">
      <c r="A105" s="2" t="s">
        <v>442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91</v>
      </c>
      <c r="G105" s="2" t="s">
        <v>91</v>
      </c>
      <c r="H105" s="2" t="s">
        <v>91</v>
      </c>
      <c r="I105" s="2" t="s">
        <v>92</v>
      </c>
      <c r="J105" s="2" t="s">
        <v>117</v>
      </c>
      <c r="K105" s="2" t="s">
        <v>436</v>
      </c>
      <c r="L105" s="3">
        <v>19.57</v>
      </c>
      <c r="M105" s="3">
        <v>20.55</v>
      </c>
      <c r="N105" s="3">
        <v>42.99</v>
      </c>
      <c r="O105" s="2" t="s">
        <v>95</v>
      </c>
      <c r="P105" s="2" t="s">
        <v>168</v>
      </c>
      <c r="Q105" s="2" t="s">
        <v>97</v>
      </c>
      <c r="R105" s="2" t="s">
        <v>98</v>
      </c>
      <c r="S105" s="2" t="s">
        <v>437</v>
      </c>
      <c r="T105" s="2" t="s">
        <v>100</v>
      </c>
      <c r="U105" s="2" t="s">
        <v>118</v>
      </c>
      <c r="V105" s="2" t="s">
        <v>290</v>
      </c>
      <c r="W105" s="2" t="s">
        <v>103</v>
      </c>
      <c r="X105" s="2" t="s">
        <v>291</v>
      </c>
      <c r="Y105" s="2" t="s">
        <v>320</v>
      </c>
      <c r="Z105" s="4">
        <v>931</v>
      </c>
      <c r="AA105" s="4">
        <f>=ROUNDDOWN(71.6153846153846,0)</f>
      </c>
      <c r="AB105" s="5">
        <v>13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4</v>
      </c>
      <c r="AQ105" s="8">
        <v>93.56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0.1312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39</v>
      </c>
      <c r="BK105" s="8">
        <v>828.91</v>
      </c>
      <c r="BL105" s="2" t="s">
        <v>269</v>
      </c>
      <c r="BM105" s="7">
        <v>0.1026</v>
      </c>
      <c r="BN105" s="7">
        <v>0.1129</v>
      </c>
      <c r="BO105" s="4">
        <v>4</v>
      </c>
      <c r="BP105" s="8">
        <v>93.56</v>
      </c>
      <c r="BQ105" s="4"/>
      <c r="BR105" s="8"/>
      <c r="BS105" s="7"/>
      <c r="BT105" s="7"/>
      <c r="BU105" s="2" t="s">
        <v>107</v>
      </c>
      <c r="BV105" s="2" t="s">
        <v>95</v>
      </c>
      <c r="BW105" s="2" t="s">
        <v>294</v>
      </c>
      <c r="BX105" s="2" t="s">
        <v>443</v>
      </c>
      <c r="BY105" s="2" t="s">
        <v>110</v>
      </c>
      <c r="BZ105" s="2" t="s">
        <v>98</v>
      </c>
    </row>
    <row r="106">
      <c r="A106" s="2" t="s">
        <v>444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91</v>
      </c>
      <c r="G106" s="2" t="s">
        <v>91</v>
      </c>
      <c r="H106" s="2" t="s">
        <v>91</v>
      </c>
      <c r="I106" s="2" t="s">
        <v>92</v>
      </c>
      <c r="J106" s="2" t="s">
        <v>122</v>
      </c>
      <c r="K106" s="2" t="s">
        <v>436</v>
      </c>
      <c r="L106" s="3">
        <v>22.21</v>
      </c>
      <c r="M106" s="3">
        <v>23.32</v>
      </c>
      <c r="N106" s="3">
        <v>47.99</v>
      </c>
      <c r="O106" s="2" t="s">
        <v>95</v>
      </c>
      <c r="P106" s="2" t="s">
        <v>168</v>
      </c>
      <c r="Q106" s="2" t="s">
        <v>97</v>
      </c>
      <c r="R106" s="2" t="s">
        <v>98</v>
      </c>
      <c r="S106" s="2" t="s">
        <v>437</v>
      </c>
      <c r="T106" s="2" t="s">
        <v>100</v>
      </c>
      <c r="U106" s="2" t="s">
        <v>118</v>
      </c>
      <c r="V106" s="2" t="s">
        <v>290</v>
      </c>
      <c r="W106" s="2" t="s">
        <v>103</v>
      </c>
      <c r="X106" s="2" t="s">
        <v>291</v>
      </c>
      <c r="Y106" s="2" t="s">
        <v>320</v>
      </c>
      <c r="Z106" s="4">
        <v>725</v>
      </c>
      <c r="AA106" s="4">
        <f>=ROUNDDOWN(32.9545454545455,0)</f>
      </c>
      <c r="AB106" s="5">
        <v>22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9</v>
      </c>
      <c r="AQ106" s="8">
        <v>238.41</v>
      </c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0.3344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130</v>
      </c>
      <c r="BK106" s="8">
        <v>3100.31</v>
      </c>
      <c r="BL106" s="2" t="s">
        <v>204</v>
      </c>
      <c r="BM106" s="7">
        <v>0.0692</v>
      </c>
      <c r="BN106" s="7">
        <v>0.0769</v>
      </c>
      <c r="BO106" s="4">
        <v>9</v>
      </c>
      <c r="BP106" s="8">
        <v>238.41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294</v>
      </c>
      <c r="BX106" s="2" t="s">
        <v>298</v>
      </c>
      <c r="BY106" s="2" t="s">
        <v>110</v>
      </c>
      <c r="BZ106" s="2" t="s">
        <v>98</v>
      </c>
    </row>
    <row r="107">
      <c r="A107" s="2" t="s">
        <v>445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91</v>
      </c>
      <c r="G107" s="2" t="s">
        <v>91</v>
      </c>
      <c r="H107" s="2" t="s">
        <v>91</v>
      </c>
      <c r="I107" s="2" t="s">
        <v>92</v>
      </c>
      <c r="J107" s="2" t="s">
        <v>125</v>
      </c>
      <c r="K107" s="2" t="s">
        <v>436</v>
      </c>
      <c r="L107" s="3">
        <v>27.39</v>
      </c>
      <c r="M107" s="3">
        <v>28.76</v>
      </c>
      <c r="N107" s="3">
        <v>62.99</v>
      </c>
      <c r="O107" s="2" t="s">
        <v>95</v>
      </c>
      <c r="P107" s="2" t="s">
        <v>156</v>
      </c>
      <c r="Q107" s="2" t="s">
        <v>97</v>
      </c>
      <c r="R107" s="2" t="s">
        <v>98</v>
      </c>
      <c r="S107" s="2" t="s">
        <v>437</v>
      </c>
      <c r="T107" s="2" t="s">
        <v>100</v>
      </c>
      <c r="U107" s="2" t="s">
        <v>118</v>
      </c>
      <c r="V107" s="2" t="s">
        <v>290</v>
      </c>
      <c r="W107" s="2" t="s">
        <v>103</v>
      </c>
      <c r="X107" s="2" t="s">
        <v>291</v>
      </c>
      <c r="Y107" s="2" t="s">
        <v>320</v>
      </c>
      <c r="Z107" s="4">
        <v>452</v>
      </c>
      <c r="AA107" s="4">
        <f>=ROUNDDOWN(45.2,0)</f>
      </c>
      <c r="AB107" s="5">
        <v>10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7</v>
      </c>
      <c r="BK107" s="8">
        <v>197.83</v>
      </c>
      <c r="BL107" s="2" t="s">
        <v>446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294</v>
      </c>
      <c r="BX107" s="2" t="s">
        <v>447</v>
      </c>
      <c r="BY107" s="2" t="s">
        <v>110</v>
      </c>
      <c r="BZ107" s="2" t="s">
        <v>98</v>
      </c>
    </row>
    <row r="108">
      <c r="A108" s="2" t="s">
        <v>448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91</v>
      </c>
      <c r="G108" s="2" t="s">
        <v>91</v>
      </c>
      <c r="H108" s="2" t="s">
        <v>91</v>
      </c>
      <c r="I108" s="2" t="s">
        <v>92</v>
      </c>
      <c r="J108" s="2" t="s">
        <v>93</v>
      </c>
      <c r="K108" s="2" t="s">
        <v>449</v>
      </c>
      <c r="L108" s="3">
        <v>14.89</v>
      </c>
      <c r="M108" s="3">
        <v>15.63</v>
      </c>
      <c r="N108" s="3">
        <v>31.99</v>
      </c>
      <c r="O108" s="2" t="s">
        <v>95</v>
      </c>
      <c r="P108" s="2" t="s">
        <v>184</v>
      </c>
      <c r="Q108" s="2" t="s">
        <v>97</v>
      </c>
      <c r="R108" s="2" t="s">
        <v>98</v>
      </c>
      <c r="S108" s="2" t="s">
        <v>450</v>
      </c>
      <c r="T108" s="2" t="s">
        <v>100</v>
      </c>
      <c r="U108" s="2" t="s">
        <v>101</v>
      </c>
      <c r="V108" s="2" t="s">
        <v>158</v>
      </c>
      <c r="W108" s="2" t="s">
        <v>103</v>
      </c>
      <c r="X108" s="2" t="s">
        <v>98</v>
      </c>
      <c r="Y108" s="2" t="s">
        <v>241</v>
      </c>
      <c r="Z108" s="4">
        <v>867</v>
      </c>
      <c r="AA108" s="4">
        <f>=ROUNDDOWN(26.2727272727273,0)</f>
      </c>
      <c r="AB108" s="5">
        <v>33</v>
      </c>
      <c r="AC108" s="2" t="s">
        <v>323</v>
      </c>
      <c r="AD108" s="4">
        <v>303</v>
      </c>
      <c r="AE108" s="4">
        <v>303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>
        <v>4</v>
      </c>
      <c r="AQ108" s="8">
        <v>70</v>
      </c>
      <c r="AR108" s="4"/>
      <c r="AS108" s="8"/>
      <c r="AT108" s="7"/>
      <c r="AU108" s="7"/>
      <c r="AV108" s="4">
        <v>24</v>
      </c>
      <c r="AW108" s="8">
        <v>623.79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0.1122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0.0154</v>
      </c>
      <c r="BJ108" s="4">
        <v>35</v>
      </c>
      <c r="BK108" s="8">
        <v>572.03</v>
      </c>
      <c r="BL108" s="2" t="s">
        <v>451</v>
      </c>
      <c r="BM108" s="7">
        <v>0.1143</v>
      </c>
      <c r="BN108" s="7">
        <v>0.1224</v>
      </c>
      <c r="BO108" s="4">
        <v>4</v>
      </c>
      <c r="BP108" s="8">
        <v>70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452</v>
      </c>
      <c r="BX108" s="2" t="s">
        <v>453</v>
      </c>
      <c r="BY108" s="2" t="s">
        <v>110</v>
      </c>
      <c r="BZ108" s="2" t="s">
        <v>98</v>
      </c>
    </row>
    <row r="109">
      <c r="A109" s="2" t="s">
        <v>454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91</v>
      </c>
      <c r="G109" s="2" t="s">
        <v>91</v>
      </c>
      <c r="H109" s="2" t="s">
        <v>91</v>
      </c>
      <c r="I109" s="2" t="s">
        <v>92</v>
      </c>
      <c r="J109" s="2" t="s">
        <v>112</v>
      </c>
      <c r="K109" s="2" t="s">
        <v>449</v>
      </c>
      <c r="L109" s="3">
        <v>16.16</v>
      </c>
      <c r="M109" s="3">
        <v>16.97</v>
      </c>
      <c r="N109" s="3">
        <v>34.99</v>
      </c>
      <c r="O109" s="2" t="s">
        <v>95</v>
      </c>
      <c r="P109" s="2" t="s">
        <v>156</v>
      </c>
      <c r="Q109" s="2" t="s">
        <v>97</v>
      </c>
      <c r="R109" s="2" t="s">
        <v>98</v>
      </c>
      <c r="S109" s="2" t="s">
        <v>450</v>
      </c>
      <c r="T109" s="2" t="s">
        <v>100</v>
      </c>
      <c r="U109" s="2" t="s">
        <v>98</v>
      </c>
      <c r="V109" s="2" t="s">
        <v>158</v>
      </c>
      <c r="W109" s="2" t="s">
        <v>103</v>
      </c>
      <c r="X109" s="2" t="s">
        <v>98</v>
      </c>
      <c r="Y109" s="2" t="s">
        <v>241</v>
      </c>
      <c r="Z109" s="4">
        <v>270</v>
      </c>
      <c r="AA109" s="4">
        <f>=ROUNDDOWN(16.875,0)</f>
      </c>
      <c r="AB109" s="5">
        <v>16</v>
      </c>
      <c r="AC109" s="2" t="s">
        <v>323</v>
      </c>
      <c r="AD109" s="4">
        <v>88</v>
      </c>
      <c r="AE109" s="4">
        <v>88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1</v>
      </c>
      <c r="AQ109" s="8">
        <v>19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0.0305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28</v>
      </c>
      <c r="BK109" s="8">
        <v>502.32</v>
      </c>
      <c r="BL109" s="2" t="s">
        <v>237</v>
      </c>
      <c r="BM109" s="7">
        <v>0.0357</v>
      </c>
      <c r="BN109" s="7">
        <v>0.0378</v>
      </c>
      <c r="BO109" s="4">
        <v>1</v>
      </c>
      <c r="BP109" s="8">
        <v>19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452</v>
      </c>
      <c r="BX109" s="2" t="s">
        <v>453</v>
      </c>
      <c r="BY109" s="2" t="s">
        <v>110</v>
      </c>
      <c r="BZ109" s="2" t="s">
        <v>98</v>
      </c>
    </row>
    <row r="110">
      <c r="A110" s="2" t="s">
        <v>455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91</v>
      </c>
      <c r="G110" s="2" t="s">
        <v>91</v>
      </c>
      <c r="H110" s="2" t="s">
        <v>91</v>
      </c>
      <c r="I110" s="2" t="s">
        <v>92</v>
      </c>
      <c r="J110" s="2" t="s">
        <v>117</v>
      </c>
      <c r="K110" s="2" t="s">
        <v>449</v>
      </c>
      <c r="L110" s="3">
        <v>19.57</v>
      </c>
      <c r="M110" s="3">
        <v>20.55</v>
      </c>
      <c r="N110" s="3">
        <v>42.99</v>
      </c>
      <c r="O110" s="2" t="s">
        <v>95</v>
      </c>
      <c r="P110" s="2" t="s">
        <v>156</v>
      </c>
      <c r="Q110" s="2" t="s">
        <v>97</v>
      </c>
      <c r="R110" s="2" t="s">
        <v>98</v>
      </c>
      <c r="S110" s="2" t="s">
        <v>450</v>
      </c>
      <c r="T110" s="2" t="s">
        <v>100</v>
      </c>
      <c r="U110" s="2" t="s">
        <v>118</v>
      </c>
      <c r="V110" s="2" t="s">
        <v>158</v>
      </c>
      <c r="W110" s="2" t="s">
        <v>103</v>
      </c>
      <c r="X110" s="2" t="s">
        <v>98</v>
      </c>
      <c r="Y110" s="2" t="s">
        <v>241</v>
      </c>
      <c r="Z110" s="4">
        <v>568</v>
      </c>
      <c r="AA110" s="4">
        <f>=ROUNDDOWN(27.047619047619,0)</f>
      </c>
      <c r="AB110" s="5">
        <v>21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>
        <v>6</v>
      </c>
      <c r="AQ110" s="8">
        <v>140.34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0.225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22</v>
      </c>
      <c r="BK110" s="8">
        <v>469.87</v>
      </c>
      <c r="BL110" s="2" t="s">
        <v>456</v>
      </c>
      <c r="BM110" s="7">
        <v>0.2727</v>
      </c>
      <c r="BN110" s="7">
        <v>0.2987</v>
      </c>
      <c r="BO110" s="4">
        <v>6</v>
      </c>
      <c r="BP110" s="8">
        <v>140.34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452</v>
      </c>
      <c r="BX110" s="2" t="s">
        <v>453</v>
      </c>
      <c r="BY110" s="2" t="s">
        <v>110</v>
      </c>
      <c r="BZ110" s="2" t="s">
        <v>98</v>
      </c>
    </row>
    <row r="111">
      <c r="A111" s="2" t="s">
        <v>457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91</v>
      </c>
      <c r="G111" s="2" t="s">
        <v>91</v>
      </c>
      <c r="H111" s="2" t="s">
        <v>91</v>
      </c>
      <c r="I111" s="2" t="s">
        <v>92</v>
      </c>
      <c r="J111" s="2" t="s">
        <v>122</v>
      </c>
      <c r="K111" s="2" t="s">
        <v>449</v>
      </c>
      <c r="L111" s="3">
        <v>22.21</v>
      </c>
      <c r="M111" s="3">
        <v>23.32</v>
      </c>
      <c r="N111" s="3">
        <v>47.99</v>
      </c>
      <c r="O111" s="2" t="s">
        <v>95</v>
      </c>
      <c r="P111" s="2" t="s">
        <v>168</v>
      </c>
      <c r="Q111" s="2" t="s">
        <v>97</v>
      </c>
      <c r="R111" s="2" t="s">
        <v>98</v>
      </c>
      <c r="S111" s="2" t="s">
        <v>450</v>
      </c>
      <c r="T111" s="2" t="s">
        <v>100</v>
      </c>
      <c r="U111" s="2" t="s">
        <v>118</v>
      </c>
      <c r="V111" s="2" t="s">
        <v>158</v>
      </c>
      <c r="W111" s="2" t="s">
        <v>103</v>
      </c>
      <c r="X111" s="2" t="s">
        <v>98</v>
      </c>
      <c r="Y111" s="2" t="s">
        <v>241</v>
      </c>
      <c r="Z111" s="4">
        <v>1086</v>
      </c>
      <c r="AA111" s="4">
        <f>=ROUNDDOWN(37.448275862069,0)</f>
      </c>
      <c r="AB111" s="5">
        <v>29</v>
      </c>
      <c r="AC111" s="2" t="s">
        <v>323</v>
      </c>
      <c r="AD111" s="4">
        <v>297</v>
      </c>
      <c r="AE111" s="4">
        <v>297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5</v>
      </c>
      <c r="AQ111" s="8">
        <v>132.45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0.2123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40</v>
      </c>
      <c r="BK111" s="8">
        <v>941.15</v>
      </c>
      <c r="BL111" s="2" t="s">
        <v>391</v>
      </c>
      <c r="BM111" s="7">
        <v>0.125</v>
      </c>
      <c r="BN111" s="7">
        <v>0.1407</v>
      </c>
      <c r="BO111" s="4">
        <v>5</v>
      </c>
      <c r="BP111" s="8">
        <v>132.45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452</v>
      </c>
      <c r="BX111" s="2" t="s">
        <v>453</v>
      </c>
      <c r="BY111" s="2" t="s">
        <v>110</v>
      </c>
      <c r="BZ111" s="2" t="s">
        <v>98</v>
      </c>
    </row>
    <row r="112">
      <c r="A112" s="2" t="s">
        <v>458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91</v>
      </c>
      <c r="G112" s="2" t="s">
        <v>91</v>
      </c>
      <c r="H112" s="2" t="s">
        <v>91</v>
      </c>
      <c r="I112" s="2" t="s">
        <v>92</v>
      </c>
      <c r="J112" s="2" t="s">
        <v>125</v>
      </c>
      <c r="K112" s="2" t="s">
        <v>449</v>
      </c>
      <c r="L112" s="3">
        <v>27.39</v>
      </c>
      <c r="M112" s="3">
        <v>28.76</v>
      </c>
      <c r="N112" s="3">
        <v>62.99</v>
      </c>
      <c r="O112" s="2" t="s">
        <v>95</v>
      </c>
      <c r="P112" s="2" t="s">
        <v>156</v>
      </c>
      <c r="Q112" s="2" t="s">
        <v>97</v>
      </c>
      <c r="R112" s="2" t="s">
        <v>98</v>
      </c>
      <c r="S112" s="2" t="s">
        <v>450</v>
      </c>
      <c r="T112" s="2" t="s">
        <v>100</v>
      </c>
      <c r="U112" s="2" t="s">
        <v>118</v>
      </c>
      <c r="V112" s="2" t="s">
        <v>158</v>
      </c>
      <c r="W112" s="2" t="s">
        <v>103</v>
      </c>
      <c r="X112" s="2" t="s">
        <v>98</v>
      </c>
      <c r="Y112" s="2" t="s">
        <v>241</v>
      </c>
      <c r="Z112" s="4">
        <v>153</v>
      </c>
      <c r="AA112" s="4">
        <f>=ROUNDDOWN(11.25,0)</f>
      </c>
      <c r="AB112" s="5">
        <v>13.6</v>
      </c>
      <c r="AC112" s="2" t="s">
        <v>323</v>
      </c>
      <c r="AD112" s="4">
        <v>23</v>
      </c>
      <c r="AE112" s="4">
        <v>23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4</v>
      </c>
      <c r="AQ112" s="8">
        <v>131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0.21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25</v>
      </c>
      <c r="BK112" s="8">
        <v>736.3</v>
      </c>
      <c r="BL112" s="2" t="s">
        <v>269</v>
      </c>
      <c r="BM112" s="7">
        <v>0.16</v>
      </c>
      <c r="BN112" s="7">
        <v>0.1779</v>
      </c>
      <c r="BO112" s="4">
        <v>4</v>
      </c>
      <c r="BP112" s="8">
        <v>131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452</v>
      </c>
      <c r="BX112" s="2" t="s">
        <v>453</v>
      </c>
      <c r="BY112" s="2" t="s">
        <v>110</v>
      </c>
      <c r="BZ112" s="2" t="s">
        <v>98</v>
      </c>
    </row>
    <row r="113">
      <c r="A113" s="2" t="s">
        <v>459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91</v>
      </c>
      <c r="G113" s="2" t="s">
        <v>91</v>
      </c>
      <c r="H113" s="2" t="s">
        <v>91</v>
      </c>
      <c r="I113" s="2" t="s">
        <v>92</v>
      </c>
      <c r="J113" s="2" t="s">
        <v>129</v>
      </c>
      <c r="K113" s="2" t="s">
        <v>449</v>
      </c>
      <c r="L113" s="3">
        <v>27.39</v>
      </c>
      <c r="M113" s="3">
        <v>28.76</v>
      </c>
      <c r="N113" s="3">
        <v>62.99</v>
      </c>
      <c r="O113" s="2" t="s">
        <v>95</v>
      </c>
      <c r="P113" s="2" t="s">
        <v>156</v>
      </c>
      <c r="Q113" s="2" t="s">
        <v>97</v>
      </c>
      <c r="R113" s="2" t="s">
        <v>98</v>
      </c>
      <c r="S113" s="2" t="s">
        <v>450</v>
      </c>
      <c r="T113" s="2" t="s">
        <v>100</v>
      </c>
      <c r="U113" s="2" t="s">
        <v>98</v>
      </c>
      <c r="V113" s="2" t="s">
        <v>158</v>
      </c>
      <c r="W113" s="2" t="s">
        <v>103</v>
      </c>
      <c r="X113" s="2" t="s">
        <v>98</v>
      </c>
      <c r="Y113" s="2" t="s">
        <v>241</v>
      </c>
      <c r="Z113" s="4">
        <v>235</v>
      </c>
      <c r="AA113" s="4">
        <f>=ROUNDDOWN(26.1111111111111,0)</f>
      </c>
      <c r="AB113" s="5">
        <v>9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>
        <v>4</v>
      </c>
      <c r="AQ113" s="8">
        <v>131</v>
      </c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0.21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21</v>
      </c>
      <c r="BK113" s="8">
        <v>622.52</v>
      </c>
      <c r="BL113" s="2" t="s">
        <v>195</v>
      </c>
      <c r="BM113" s="7">
        <v>0.1905</v>
      </c>
      <c r="BN113" s="7">
        <v>0.2104</v>
      </c>
      <c r="BO113" s="4">
        <v>4</v>
      </c>
      <c r="BP113" s="8">
        <v>131</v>
      </c>
      <c r="BQ113" s="4"/>
      <c r="BR113" s="8"/>
      <c r="BS113" s="7"/>
      <c r="BT113" s="7"/>
      <c r="BU113" s="2" t="s">
        <v>107</v>
      </c>
      <c r="BV113" s="2" t="s">
        <v>95</v>
      </c>
      <c r="BW113" s="2" t="s">
        <v>452</v>
      </c>
      <c r="BX113" s="2" t="s">
        <v>453</v>
      </c>
      <c r="BY113" s="2" t="s">
        <v>110</v>
      </c>
      <c r="BZ113" s="2" t="s">
        <v>98</v>
      </c>
    </row>
    <row r="114">
      <c r="A114" s="2" t="s">
        <v>460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91</v>
      </c>
      <c r="G114" s="2" t="s">
        <v>91</v>
      </c>
      <c r="H114" s="2" t="s">
        <v>91</v>
      </c>
      <c r="I114" s="2" t="s">
        <v>92</v>
      </c>
      <c r="J114" s="2" t="s">
        <v>93</v>
      </c>
      <c r="K114" s="2" t="s">
        <v>461</v>
      </c>
      <c r="L114" s="3">
        <v>14.89</v>
      </c>
      <c r="M114" s="3">
        <v>15.63</v>
      </c>
      <c r="N114" s="3">
        <v>31.99</v>
      </c>
      <c r="O114" s="2" t="s">
        <v>95</v>
      </c>
      <c r="P114" s="2" t="s">
        <v>156</v>
      </c>
      <c r="Q114" s="2" t="s">
        <v>97</v>
      </c>
      <c r="R114" s="2" t="s">
        <v>98</v>
      </c>
      <c r="S114" s="2" t="s">
        <v>462</v>
      </c>
      <c r="T114" s="2" t="s">
        <v>100</v>
      </c>
      <c r="U114" s="2" t="s">
        <v>101</v>
      </c>
      <c r="V114" s="2" t="s">
        <v>158</v>
      </c>
      <c r="W114" s="2" t="s">
        <v>104</v>
      </c>
      <c r="X114" s="2" t="s">
        <v>103</v>
      </c>
      <c r="Y114" s="2" t="s">
        <v>463</v>
      </c>
      <c r="Z114" s="4">
        <v>208</v>
      </c>
      <c r="AA114" s="4">
        <f>=ROUNDDOWN(13,0)</f>
      </c>
      <c r="AB114" s="5">
        <v>16</v>
      </c>
      <c r="AC114" s="2" t="s">
        <v>323</v>
      </c>
      <c r="AD114" s="4">
        <v>55</v>
      </c>
      <c r="AE114" s="4">
        <v>55</v>
      </c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>
        <v>3</v>
      </c>
      <c r="AQ114" s="8">
        <v>52.5</v>
      </c>
      <c r="AR114" s="4"/>
      <c r="AS114" s="8"/>
      <c r="AT114" s="7"/>
      <c r="AU114" s="7"/>
      <c r="AV114" s="4">
        <v>20</v>
      </c>
      <c r="AW114" s="8">
        <v>609.25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0.0862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0.0151</v>
      </c>
      <c r="BJ114" s="4">
        <v>24</v>
      </c>
      <c r="BK114" s="8">
        <v>405.29</v>
      </c>
      <c r="BL114" s="2" t="s">
        <v>464</v>
      </c>
      <c r="BM114" s="7">
        <v>0.125</v>
      </c>
      <c r="BN114" s="7">
        <v>0.1295</v>
      </c>
      <c r="BO114" s="4">
        <v>3</v>
      </c>
      <c r="BP114" s="8">
        <v>52.5</v>
      </c>
      <c r="BQ114" s="4"/>
      <c r="BR114" s="8"/>
      <c r="BS114" s="7"/>
      <c r="BT114" s="7"/>
      <c r="BU114" s="2" t="s">
        <v>107</v>
      </c>
      <c r="BV114" s="2" t="s">
        <v>95</v>
      </c>
      <c r="BW114" s="2" t="s">
        <v>161</v>
      </c>
      <c r="BX114" s="2" t="s">
        <v>465</v>
      </c>
      <c r="BY114" s="2" t="s">
        <v>110</v>
      </c>
      <c r="BZ114" s="2" t="s">
        <v>98</v>
      </c>
    </row>
    <row r="115">
      <c r="A115" s="2" t="s">
        <v>466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91</v>
      </c>
      <c r="G115" s="2" t="s">
        <v>91</v>
      </c>
      <c r="H115" s="2" t="s">
        <v>91</v>
      </c>
      <c r="I115" s="2" t="s">
        <v>92</v>
      </c>
      <c r="J115" s="2" t="s">
        <v>112</v>
      </c>
      <c r="K115" s="2" t="s">
        <v>461</v>
      </c>
      <c r="L115" s="3">
        <v>16.16</v>
      </c>
      <c r="M115" s="3">
        <v>16.97</v>
      </c>
      <c r="N115" s="3">
        <v>34.99</v>
      </c>
      <c r="O115" s="2" t="s">
        <v>95</v>
      </c>
      <c r="P115" s="2" t="s">
        <v>156</v>
      </c>
      <c r="Q115" s="2" t="s">
        <v>97</v>
      </c>
      <c r="R115" s="2" t="s">
        <v>98</v>
      </c>
      <c r="S115" s="2" t="s">
        <v>462</v>
      </c>
      <c r="T115" s="2" t="s">
        <v>100</v>
      </c>
      <c r="U115" s="2" t="s">
        <v>101</v>
      </c>
      <c r="V115" s="2" t="s">
        <v>158</v>
      </c>
      <c r="W115" s="2" t="s">
        <v>104</v>
      </c>
      <c r="X115" s="2" t="s">
        <v>103</v>
      </c>
      <c r="Y115" s="2" t="s">
        <v>463</v>
      </c>
      <c r="Z115" s="4"/>
      <c r="AA115" s="4">
        <f>=ROUNDDOWN({0},0)</f>
      </c>
      <c r="AB115" s="5">
        <v>31</v>
      </c>
      <c r="AC115" s="2" t="s">
        <v>353</v>
      </c>
      <c r="AD115" s="4">
        <v>262</v>
      </c>
      <c r="AE115" s="4">
        <v>262</v>
      </c>
      <c r="AF115" s="6">
        <v>74</v>
      </c>
      <c r="AG115" s="6"/>
      <c r="AH115" s="7">
        <v>0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/>
      <c r="BK115" s="8"/>
      <c r="BL115" s="2" t="s">
        <v>98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161</v>
      </c>
      <c r="BX115" s="2" t="s">
        <v>162</v>
      </c>
      <c r="BY115" s="2" t="s">
        <v>110</v>
      </c>
      <c r="BZ115" s="2" t="s">
        <v>98</v>
      </c>
    </row>
    <row r="116">
      <c r="A116" s="2" t="s">
        <v>467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91</v>
      </c>
      <c r="G116" s="2" t="s">
        <v>91</v>
      </c>
      <c r="H116" s="2" t="s">
        <v>91</v>
      </c>
      <c r="I116" s="2" t="s">
        <v>92</v>
      </c>
      <c r="J116" s="2" t="s">
        <v>117</v>
      </c>
      <c r="K116" s="2" t="s">
        <v>461</v>
      </c>
      <c r="L116" s="3">
        <v>19.57</v>
      </c>
      <c r="M116" s="3">
        <v>20.55</v>
      </c>
      <c r="N116" s="3">
        <v>42.99</v>
      </c>
      <c r="O116" s="2" t="s">
        <v>95</v>
      </c>
      <c r="P116" s="2" t="s">
        <v>156</v>
      </c>
      <c r="Q116" s="2" t="s">
        <v>97</v>
      </c>
      <c r="R116" s="2" t="s">
        <v>98</v>
      </c>
      <c r="S116" s="2" t="s">
        <v>462</v>
      </c>
      <c r="T116" s="2" t="s">
        <v>100</v>
      </c>
      <c r="U116" s="2" t="s">
        <v>118</v>
      </c>
      <c r="V116" s="2" t="s">
        <v>158</v>
      </c>
      <c r="W116" s="2" t="s">
        <v>104</v>
      </c>
      <c r="X116" s="2" t="s">
        <v>103</v>
      </c>
      <c r="Y116" s="2" t="s">
        <v>463</v>
      </c>
      <c r="Z116" s="4"/>
      <c r="AA116" s="4">
        <f>=ROUNDDOWN({0},0)</f>
      </c>
      <c r="AB116" s="5">
        <v>18</v>
      </c>
      <c r="AC116" s="2" t="s">
        <v>353</v>
      </c>
      <c r="AD116" s="4">
        <v>305</v>
      </c>
      <c r="AE116" s="4">
        <v>415</v>
      </c>
      <c r="AF116" s="6">
        <v>74</v>
      </c>
      <c r="AG116" s="6"/>
      <c r="AH116" s="7">
        <v>0.2857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30</v>
      </c>
      <c r="BK116" s="8">
        <v>675</v>
      </c>
      <c r="BL116" s="2" t="s">
        <v>405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95</v>
      </c>
      <c r="BW116" s="2" t="s">
        <v>161</v>
      </c>
      <c r="BX116" s="2" t="s">
        <v>468</v>
      </c>
      <c r="BY116" s="2" t="s">
        <v>110</v>
      </c>
      <c r="BZ116" s="2" t="s">
        <v>98</v>
      </c>
    </row>
    <row r="117">
      <c r="A117" s="2" t="s">
        <v>469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91</v>
      </c>
      <c r="G117" s="2" t="s">
        <v>91</v>
      </c>
      <c r="H117" s="2" t="s">
        <v>91</v>
      </c>
      <c r="I117" s="2" t="s">
        <v>92</v>
      </c>
      <c r="J117" s="2" t="s">
        <v>122</v>
      </c>
      <c r="K117" s="2" t="s">
        <v>461</v>
      </c>
      <c r="L117" s="3">
        <v>22.21</v>
      </c>
      <c r="M117" s="3">
        <v>23.32</v>
      </c>
      <c r="N117" s="3">
        <v>47.99</v>
      </c>
      <c r="O117" s="2" t="s">
        <v>95</v>
      </c>
      <c r="P117" s="2" t="s">
        <v>184</v>
      </c>
      <c r="Q117" s="2" t="s">
        <v>97</v>
      </c>
      <c r="R117" s="2" t="s">
        <v>98</v>
      </c>
      <c r="S117" s="2" t="s">
        <v>462</v>
      </c>
      <c r="T117" s="2" t="s">
        <v>100</v>
      </c>
      <c r="U117" s="2" t="s">
        <v>118</v>
      </c>
      <c r="V117" s="2" t="s">
        <v>158</v>
      </c>
      <c r="W117" s="2" t="s">
        <v>104</v>
      </c>
      <c r="X117" s="2" t="s">
        <v>103</v>
      </c>
      <c r="Y117" s="2" t="s">
        <v>470</v>
      </c>
      <c r="Z117" s="4"/>
      <c r="AA117" s="4">
        <f>=ROUNDDOWN({0},0)</f>
      </c>
      <c r="AB117" s="5">
        <v>72</v>
      </c>
      <c r="AC117" s="2" t="s">
        <v>353</v>
      </c>
      <c r="AD117" s="4">
        <v>396</v>
      </c>
      <c r="AE117" s="4">
        <v>824</v>
      </c>
      <c r="AF117" s="6">
        <v>74</v>
      </c>
      <c r="AG117" s="6"/>
      <c r="AH117" s="7">
        <v>0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/>
      <c r="BK117" s="8"/>
      <c r="BL117" s="2" t="s">
        <v>98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161</v>
      </c>
      <c r="BX117" s="2" t="s">
        <v>471</v>
      </c>
      <c r="BY117" s="2" t="s">
        <v>110</v>
      </c>
      <c r="BZ117" s="2" t="s">
        <v>98</v>
      </c>
    </row>
    <row r="118">
      <c r="A118" s="2" t="s">
        <v>472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91</v>
      </c>
      <c r="G118" s="2" t="s">
        <v>91</v>
      </c>
      <c r="H118" s="2" t="s">
        <v>91</v>
      </c>
      <c r="I118" s="2" t="s">
        <v>92</v>
      </c>
      <c r="J118" s="2" t="s">
        <v>125</v>
      </c>
      <c r="K118" s="2" t="s">
        <v>461</v>
      </c>
      <c r="L118" s="3">
        <v>27.39</v>
      </c>
      <c r="M118" s="3">
        <v>28.76</v>
      </c>
      <c r="N118" s="3">
        <v>62.99</v>
      </c>
      <c r="O118" s="2" t="s">
        <v>95</v>
      </c>
      <c r="P118" s="2" t="s">
        <v>156</v>
      </c>
      <c r="Q118" s="2" t="s">
        <v>97</v>
      </c>
      <c r="R118" s="2" t="s">
        <v>98</v>
      </c>
      <c r="S118" s="2" t="s">
        <v>462</v>
      </c>
      <c r="T118" s="2" t="s">
        <v>100</v>
      </c>
      <c r="U118" s="2" t="s">
        <v>118</v>
      </c>
      <c r="V118" s="2" t="s">
        <v>158</v>
      </c>
      <c r="W118" s="2" t="s">
        <v>104</v>
      </c>
      <c r="X118" s="2" t="s">
        <v>103</v>
      </c>
      <c r="Y118" s="2" t="s">
        <v>463</v>
      </c>
      <c r="Z118" s="4"/>
      <c r="AA118" s="4">
        <f>=ROUNDDOWN({0},0)</f>
      </c>
      <c r="AB118" s="5">
        <v>20</v>
      </c>
      <c r="AC118" s="2" t="s">
        <v>353</v>
      </c>
      <c r="AD118" s="4">
        <v>63</v>
      </c>
      <c r="AE118" s="4">
        <v>214</v>
      </c>
      <c r="AF118" s="6">
        <v>74</v>
      </c>
      <c r="AG118" s="6"/>
      <c r="AH118" s="7">
        <v>0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161</v>
      </c>
      <c r="BX118" s="2" t="s">
        <v>473</v>
      </c>
      <c r="BY118" s="2" t="s">
        <v>110</v>
      </c>
      <c r="BZ118" s="2" t="s">
        <v>98</v>
      </c>
    </row>
    <row r="119">
      <c r="A119" s="2" t="s">
        <v>474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91</v>
      </c>
      <c r="G119" s="2" t="s">
        <v>91</v>
      </c>
      <c r="H119" s="2" t="s">
        <v>91</v>
      </c>
      <c r="I119" s="2" t="s">
        <v>92</v>
      </c>
      <c r="J119" s="2" t="s">
        <v>129</v>
      </c>
      <c r="K119" s="2" t="s">
        <v>461</v>
      </c>
      <c r="L119" s="3">
        <v>27.39</v>
      </c>
      <c r="M119" s="3">
        <v>28.76</v>
      </c>
      <c r="N119" s="3">
        <v>62.99</v>
      </c>
      <c r="O119" s="2" t="s">
        <v>95</v>
      </c>
      <c r="P119" s="2" t="s">
        <v>156</v>
      </c>
      <c r="Q119" s="2" t="s">
        <v>97</v>
      </c>
      <c r="R119" s="2" t="s">
        <v>98</v>
      </c>
      <c r="S119" s="2" t="s">
        <v>462</v>
      </c>
      <c r="T119" s="2" t="s">
        <v>100</v>
      </c>
      <c r="U119" s="2" t="s">
        <v>118</v>
      </c>
      <c r="V119" s="2" t="s">
        <v>158</v>
      </c>
      <c r="W119" s="2" t="s">
        <v>104</v>
      </c>
      <c r="X119" s="2" t="s">
        <v>103</v>
      </c>
      <c r="Y119" s="2" t="s">
        <v>463</v>
      </c>
      <c r="Z119" s="4">
        <v>15</v>
      </c>
      <c r="AA119" s="4">
        <f>=ROUNDDOWN(1.66666666666667,0)</f>
      </c>
      <c r="AB119" s="5">
        <v>9</v>
      </c>
      <c r="AC119" s="2" t="s">
        <v>323</v>
      </c>
      <c r="AD119" s="4">
        <v>81</v>
      </c>
      <c r="AE119" s="4">
        <v>81</v>
      </c>
      <c r="AF119" s="6">
        <v>74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>
        <v>17</v>
      </c>
      <c r="AQ119" s="8">
        <v>556.75</v>
      </c>
      <c r="AR119" s="4"/>
      <c r="AS119" s="8"/>
      <c r="AT119" s="7"/>
      <c r="AU119" s="7"/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0.9138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35</v>
      </c>
      <c r="BK119" s="8">
        <v>1112.95</v>
      </c>
      <c r="BL119" s="2" t="s">
        <v>271</v>
      </c>
      <c r="BM119" s="7">
        <v>0.4857</v>
      </c>
      <c r="BN119" s="7">
        <v>0.5002</v>
      </c>
      <c r="BO119" s="4">
        <v>17</v>
      </c>
      <c r="BP119" s="8">
        <v>556.75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161</v>
      </c>
      <c r="BX119" s="2" t="s">
        <v>162</v>
      </c>
      <c r="BY119" s="2" t="s">
        <v>110</v>
      </c>
      <c r="BZ119" s="2" t="s">
        <v>98</v>
      </c>
    </row>
    <row r="120">
      <c r="A120" s="2" t="s">
        <v>475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91</v>
      </c>
      <c r="G120" s="2" t="s">
        <v>91</v>
      </c>
      <c r="H120" s="2" t="s">
        <v>91</v>
      </c>
      <c r="I120" s="2" t="s">
        <v>92</v>
      </c>
      <c r="J120" s="2" t="s">
        <v>93</v>
      </c>
      <c r="K120" s="2" t="s">
        <v>476</v>
      </c>
      <c r="L120" s="3">
        <v>14.89</v>
      </c>
      <c r="M120" s="3">
        <v>15.63</v>
      </c>
      <c r="N120" s="3">
        <v>31.99</v>
      </c>
      <c r="O120" s="2" t="s">
        <v>95</v>
      </c>
      <c r="P120" s="2" t="s">
        <v>156</v>
      </c>
      <c r="Q120" s="2" t="s">
        <v>97</v>
      </c>
      <c r="R120" s="2" t="s">
        <v>98</v>
      </c>
      <c r="S120" s="2" t="s">
        <v>477</v>
      </c>
      <c r="T120" s="2" t="s">
        <v>100</v>
      </c>
      <c r="U120" s="2" t="s">
        <v>101</v>
      </c>
      <c r="V120" s="2" t="s">
        <v>382</v>
      </c>
      <c r="W120" s="2" t="s">
        <v>103</v>
      </c>
      <c r="X120" s="2" t="s">
        <v>104</v>
      </c>
      <c r="Y120" s="2" t="s">
        <v>383</v>
      </c>
      <c r="Z120" s="4">
        <v>773</v>
      </c>
      <c r="AA120" s="4">
        <f>=ROUNDDOWN(45.4705882352941,0)</f>
      </c>
      <c r="AB120" s="5">
        <v>17</v>
      </c>
      <c r="AC120" s="2" t="s">
        <v>323</v>
      </c>
      <c r="AD120" s="4">
        <v>94</v>
      </c>
      <c r="AE120" s="4">
        <v>94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22</v>
      </c>
      <c r="AW120" s="8">
        <v>604.84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0.0149</v>
      </c>
      <c r="BJ120" s="4">
        <v>16</v>
      </c>
      <c r="BK120" s="8">
        <v>256.16</v>
      </c>
      <c r="BL120" s="2" t="s">
        <v>478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385</v>
      </c>
      <c r="BX120" s="2" t="s">
        <v>392</v>
      </c>
      <c r="BY120" s="2" t="s">
        <v>110</v>
      </c>
      <c r="BZ120" s="2" t="s">
        <v>98</v>
      </c>
    </row>
    <row r="121">
      <c r="A121" s="2" t="s">
        <v>479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91</v>
      </c>
      <c r="G121" s="2" t="s">
        <v>91</v>
      </c>
      <c r="H121" s="2" t="s">
        <v>91</v>
      </c>
      <c r="I121" s="2" t="s">
        <v>92</v>
      </c>
      <c r="J121" s="2" t="s">
        <v>117</v>
      </c>
      <c r="K121" s="2" t="s">
        <v>476</v>
      </c>
      <c r="L121" s="3">
        <v>19.57</v>
      </c>
      <c r="M121" s="3">
        <v>20.55</v>
      </c>
      <c r="N121" s="3">
        <v>42.99</v>
      </c>
      <c r="O121" s="2" t="s">
        <v>95</v>
      </c>
      <c r="P121" s="2" t="s">
        <v>184</v>
      </c>
      <c r="Q121" s="2" t="s">
        <v>97</v>
      </c>
      <c r="R121" s="2" t="s">
        <v>98</v>
      </c>
      <c r="S121" s="2" t="s">
        <v>477</v>
      </c>
      <c r="T121" s="2" t="s">
        <v>100</v>
      </c>
      <c r="U121" s="2" t="s">
        <v>118</v>
      </c>
      <c r="V121" s="2" t="s">
        <v>382</v>
      </c>
      <c r="W121" s="2" t="s">
        <v>103</v>
      </c>
      <c r="X121" s="2" t="s">
        <v>104</v>
      </c>
      <c r="Y121" s="2" t="s">
        <v>383</v>
      </c>
      <c r="Z121" s="4">
        <v>1324</v>
      </c>
      <c r="AA121" s="4">
        <f>=ROUNDDOWN(101.846153846154,0)</f>
      </c>
      <c r="AB121" s="5">
        <v>13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>
        <v>5</v>
      </c>
      <c r="AQ121" s="8">
        <v>116.95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0.1934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16</v>
      </c>
      <c r="BK121" s="8">
        <v>342.59</v>
      </c>
      <c r="BL121" s="2" t="s">
        <v>480</v>
      </c>
      <c r="BM121" s="7">
        <v>0.3125</v>
      </c>
      <c r="BN121" s="7">
        <v>0.3414</v>
      </c>
      <c r="BO121" s="4">
        <v>5</v>
      </c>
      <c r="BP121" s="8">
        <v>116.95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370</v>
      </c>
      <c r="BX121" s="2" t="s">
        <v>481</v>
      </c>
      <c r="BY121" s="2" t="s">
        <v>110</v>
      </c>
      <c r="BZ121" s="2" t="s">
        <v>98</v>
      </c>
    </row>
    <row r="122">
      <c r="A122" s="2" t="s">
        <v>482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91</v>
      </c>
      <c r="G122" s="2" t="s">
        <v>91</v>
      </c>
      <c r="H122" s="2" t="s">
        <v>91</v>
      </c>
      <c r="I122" s="2" t="s">
        <v>92</v>
      </c>
      <c r="J122" s="2" t="s">
        <v>122</v>
      </c>
      <c r="K122" s="2" t="s">
        <v>476</v>
      </c>
      <c r="L122" s="3">
        <v>22.21</v>
      </c>
      <c r="M122" s="3">
        <v>23.32</v>
      </c>
      <c r="N122" s="3">
        <v>47.99</v>
      </c>
      <c r="O122" s="2" t="s">
        <v>95</v>
      </c>
      <c r="P122" s="2" t="s">
        <v>177</v>
      </c>
      <c r="Q122" s="2" t="s">
        <v>97</v>
      </c>
      <c r="R122" s="2" t="s">
        <v>98</v>
      </c>
      <c r="S122" s="2" t="s">
        <v>477</v>
      </c>
      <c r="T122" s="2" t="s">
        <v>100</v>
      </c>
      <c r="U122" s="2" t="s">
        <v>118</v>
      </c>
      <c r="V122" s="2" t="s">
        <v>382</v>
      </c>
      <c r="W122" s="2" t="s">
        <v>103</v>
      </c>
      <c r="X122" s="2" t="s">
        <v>104</v>
      </c>
      <c r="Y122" s="2" t="s">
        <v>383</v>
      </c>
      <c r="Z122" s="4">
        <v>87</v>
      </c>
      <c r="AA122" s="4">
        <f>=ROUNDDOWN(1.89130434782609,0)</f>
      </c>
      <c r="AB122" s="5">
        <v>46</v>
      </c>
      <c r="AC122" s="2" t="s">
        <v>323</v>
      </c>
      <c r="AD122" s="4">
        <v>658</v>
      </c>
      <c r="AE122" s="4">
        <v>658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>
        <v>11</v>
      </c>
      <c r="AQ122" s="8">
        <v>291.39</v>
      </c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0.4818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302</v>
      </c>
      <c r="BK122" s="8">
        <v>7502.64</v>
      </c>
      <c r="BL122" s="2" t="s">
        <v>483</v>
      </c>
      <c r="BM122" s="7">
        <v>0.0364</v>
      </c>
      <c r="BN122" s="7">
        <v>0.0388</v>
      </c>
      <c r="BO122" s="4">
        <v>11</v>
      </c>
      <c r="BP122" s="8">
        <v>291.39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370</v>
      </c>
      <c r="BX122" s="2" t="s">
        <v>484</v>
      </c>
      <c r="BY122" s="2" t="s">
        <v>110</v>
      </c>
      <c r="BZ122" s="2" t="s">
        <v>98</v>
      </c>
    </row>
    <row r="123">
      <c r="A123" s="2" t="s">
        <v>485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91</v>
      </c>
      <c r="G123" s="2" t="s">
        <v>91</v>
      </c>
      <c r="H123" s="2" t="s">
        <v>91</v>
      </c>
      <c r="I123" s="2" t="s">
        <v>92</v>
      </c>
      <c r="J123" s="2" t="s">
        <v>125</v>
      </c>
      <c r="K123" s="2" t="s">
        <v>476</v>
      </c>
      <c r="L123" s="3">
        <v>27.39</v>
      </c>
      <c r="M123" s="3">
        <v>28.76</v>
      </c>
      <c r="N123" s="3">
        <v>62.99</v>
      </c>
      <c r="O123" s="2" t="s">
        <v>95</v>
      </c>
      <c r="P123" s="2" t="s">
        <v>156</v>
      </c>
      <c r="Q123" s="2" t="s">
        <v>97</v>
      </c>
      <c r="R123" s="2" t="s">
        <v>98</v>
      </c>
      <c r="S123" s="2" t="s">
        <v>477</v>
      </c>
      <c r="T123" s="2" t="s">
        <v>100</v>
      </c>
      <c r="U123" s="2" t="s">
        <v>118</v>
      </c>
      <c r="V123" s="2" t="s">
        <v>382</v>
      </c>
      <c r="W123" s="2" t="s">
        <v>103</v>
      </c>
      <c r="X123" s="2" t="s">
        <v>104</v>
      </c>
      <c r="Y123" s="2" t="s">
        <v>383</v>
      </c>
      <c r="Z123" s="4">
        <v>902</v>
      </c>
      <c r="AA123" s="4">
        <f>=ROUNDDOWN(50.1111111111111,0)</f>
      </c>
      <c r="AB123" s="5">
        <v>18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>
        <v>6</v>
      </c>
      <c r="AQ123" s="8">
        <v>196.5</v>
      </c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0.3249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67</v>
      </c>
      <c r="BK123" s="8">
        <v>2000.37</v>
      </c>
      <c r="BL123" s="2" t="s">
        <v>486</v>
      </c>
      <c r="BM123" s="7">
        <v>0.0896</v>
      </c>
      <c r="BN123" s="7">
        <v>0.0982</v>
      </c>
      <c r="BO123" s="4">
        <v>6</v>
      </c>
      <c r="BP123" s="8">
        <v>196.5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385</v>
      </c>
      <c r="BX123" s="2" t="s">
        <v>395</v>
      </c>
      <c r="BY123" s="2" t="s">
        <v>110</v>
      </c>
      <c r="BZ123" s="2" t="s">
        <v>98</v>
      </c>
    </row>
    <row r="124">
      <c r="A124" s="2" t="s">
        <v>487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91</v>
      </c>
      <c r="G124" s="2" t="s">
        <v>91</v>
      </c>
      <c r="H124" s="2" t="s">
        <v>91</v>
      </c>
      <c r="I124" s="2" t="s">
        <v>92</v>
      </c>
      <c r="J124" s="2" t="s">
        <v>93</v>
      </c>
      <c r="K124" s="2" t="s">
        <v>488</v>
      </c>
      <c r="L124" s="3">
        <v>14.89</v>
      </c>
      <c r="M124" s="3">
        <v>15.63</v>
      </c>
      <c r="N124" s="3">
        <v>31.99</v>
      </c>
      <c r="O124" s="2" t="s">
        <v>95</v>
      </c>
      <c r="P124" s="2" t="s">
        <v>156</v>
      </c>
      <c r="Q124" s="2" t="s">
        <v>97</v>
      </c>
      <c r="R124" s="2" t="s">
        <v>98</v>
      </c>
      <c r="S124" s="2" t="s">
        <v>489</v>
      </c>
      <c r="T124" s="2" t="s">
        <v>100</v>
      </c>
      <c r="U124" s="2" t="s">
        <v>98</v>
      </c>
      <c r="V124" s="2" t="s">
        <v>336</v>
      </c>
      <c r="W124" s="2" t="s">
        <v>103</v>
      </c>
      <c r="X124" s="2" t="s">
        <v>98</v>
      </c>
      <c r="Y124" s="2" t="s">
        <v>207</v>
      </c>
      <c r="Z124" s="4"/>
      <c r="AA124" s="4">
        <f>=ROUNDDOWN({0},0)</f>
      </c>
      <c r="AB124" s="5">
        <v>45</v>
      </c>
      <c r="AC124" s="2" t="s">
        <v>98</v>
      </c>
      <c r="AD124" s="4"/>
      <c r="AE124" s="4"/>
      <c r="AF124" s="6">
        <v>65</v>
      </c>
      <c r="AG124" s="6"/>
      <c r="AH124" s="7">
        <v>0.2857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3</v>
      </c>
      <c r="AQ124" s="8">
        <v>52.5</v>
      </c>
      <c r="AR124" s="4"/>
      <c r="AS124" s="8"/>
      <c r="AT124" s="7"/>
      <c r="AU124" s="7"/>
      <c r="AV124" s="4">
        <v>20</v>
      </c>
      <c r="AW124" s="8">
        <v>496.75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0.1057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0.0123</v>
      </c>
      <c r="BJ124" s="4">
        <v>116</v>
      </c>
      <c r="BK124" s="8">
        <v>1837.32</v>
      </c>
      <c r="BL124" s="2" t="s">
        <v>490</v>
      </c>
      <c r="BM124" s="7">
        <v>0.0259</v>
      </c>
      <c r="BN124" s="7">
        <v>0.0286</v>
      </c>
      <c r="BO124" s="4">
        <v>3</v>
      </c>
      <c r="BP124" s="8">
        <v>52.5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181</v>
      </c>
      <c r="BX124" s="2" t="s">
        <v>192</v>
      </c>
      <c r="BY124" s="2" t="s">
        <v>110</v>
      </c>
      <c r="BZ124" s="2" t="s">
        <v>98</v>
      </c>
    </row>
    <row r="125">
      <c r="A125" s="2" t="s">
        <v>491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91</v>
      </c>
      <c r="G125" s="2" t="s">
        <v>91</v>
      </c>
      <c r="H125" s="2" t="s">
        <v>91</v>
      </c>
      <c r="I125" s="2" t="s">
        <v>92</v>
      </c>
      <c r="J125" s="2" t="s">
        <v>117</v>
      </c>
      <c r="K125" s="2" t="s">
        <v>488</v>
      </c>
      <c r="L125" s="3">
        <v>19.57</v>
      </c>
      <c r="M125" s="3">
        <v>20.55</v>
      </c>
      <c r="N125" s="3">
        <v>42.99</v>
      </c>
      <c r="O125" s="2" t="s">
        <v>95</v>
      </c>
      <c r="P125" s="2" t="s">
        <v>168</v>
      </c>
      <c r="Q125" s="2" t="s">
        <v>97</v>
      </c>
      <c r="R125" s="2" t="s">
        <v>98</v>
      </c>
      <c r="S125" s="2" t="s">
        <v>489</v>
      </c>
      <c r="T125" s="2" t="s">
        <v>100</v>
      </c>
      <c r="U125" s="2" t="s">
        <v>98</v>
      </c>
      <c r="V125" s="2" t="s">
        <v>336</v>
      </c>
      <c r="W125" s="2" t="s">
        <v>103</v>
      </c>
      <c r="X125" s="2" t="s">
        <v>98</v>
      </c>
      <c r="Y125" s="2" t="s">
        <v>207</v>
      </c>
      <c r="Z125" s="4">
        <v>935</v>
      </c>
      <c r="AA125" s="4">
        <f>=ROUNDDOWN(42.5,0)</f>
      </c>
      <c r="AB125" s="5">
        <v>22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>
        <v>6</v>
      </c>
      <c r="AQ125" s="8">
        <v>140.34</v>
      </c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0.2825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27</v>
      </c>
      <c r="BK125" s="8">
        <v>575.99</v>
      </c>
      <c r="BL125" s="2" t="s">
        <v>492</v>
      </c>
      <c r="BM125" s="7">
        <v>0.2222</v>
      </c>
      <c r="BN125" s="7">
        <v>0.2437</v>
      </c>
      <c r="BO125" s="4">
        <v>6</v>
      </c>
      <c r="BP125" s="8">
        <v>140.34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181</v>
      </c>
      <c r="BX125" s="2" t="s">
        <v>321</v>
      </c>
      <c r="BY125" s="2" t="s">
        <v>110</v>
      </c>
      <c r="BZ125" s="2" t="s">
        <v>98</v>
      </c>
    </row>
    <row r="126">
      <c r="A126" s="2" t="s">
        <v>493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91</v>
      </c>
      <c r="G126" s="2" t="s">
        <v>91</v>
      </c>
      <c r="H126" s="2" t="s">
        <v>91</v>
      </c>
      <c r="I126" s="2" t="s">
        <v>92</v>
      </c>
      <c r="J126" s="2" t="s">
        <v>122</v>
      </c>
      <c r="K126" s="2" t="s">
        <v>488</v>
      </c>
      <c r="L126" s="3">
        <v>22.21</v>
      </c>
      <c r="M126" s="3">
        <v>23.32</v>
      </c>
      <c r="N126" s="3">
        <v>47.99</v>
      </c>
      <c r="O126" s="2" t="s">
        <v>95</v>
      </c>
      <c r="P126" s="2" t="s">
        <v>168</v>
      </c>
      <c r="Q126" s="2" t="s">
        <v>97</v>
      </c>
      <c r="R126" s="2" t="s">
        <v>98</v>
      </c>
      <c r="S126" s="2" t="s">
        <v>489</v>
      </c>
      <c r="T126" s="2" t="s">
        <v>100</v>
      </c>
      <c r="U126" s="2" t="s">
        <v>98</v>
      </c>
      <c r="V126" s="2" t="s">
        <v>336</v>
      </c>
      <c r="W126" s="2" t="s">
        <v>103</v>
      </c>
      <c r="X126" s="2" t="s">
        <v>98</v>
      </c>
      <c r="Y126" s="2" t="s">
        <v>207</v>
      </c>
      <c r="Z126" s="4">
        <v>672</v>
      </c>
      <c r="AA126" s="4">
        <f>=ROUNDDOWN(14.9333333333333,0)</f>
      </c>
      <c r="AB126" s="5">
        <v>45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>
        <v>9</v>
      </c>
      <c r="AQ126" s="8">
        <v>238.41</v>
      </c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0.4799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33</v>
      </c>
      <c r="BK126" s="8">
        <v>821.18</v>
      </c>
      <c r="BL126" s="2" t="s">
        <v>494</v>
      </c>
      <c r="BM126" s="7">
        <v>0.2727</v>
      </c>
      <c r="BN126" s="7">
        <v>0.2903</v>
      </c>
      <c r="BO126" s="4">
        <v>9</v>
      </c>
      <c r="BP126" s="8">
        <v>238.41</v>
      </c>
      <c r="BQ126" s="4"/>
      <c r="BR126" s="8"/>
      <c r="BS126" s="7"/>
      <c r="BT126" s="7"/>
      <c r="BU126" s="2" t="s">
        <v>107</v>
      </c>
      <c r="BV126" s="2" t="s">
        <v>95</v>
      </c>
      <c r="BW126" s="2" t="s">
        <v>181</v>
      </c>
      <c r="BX126" s="2" t="s">
        <v>218</v>
      </c>
      <c r="BY126" s="2" t="s">
        <v>110</v>
      </c>
      <c r="BZ126" s="2" t="s">
        <v>98</v>
      </c>
    </row>
    <row r="127">
      <c r="A127" s="2" t="s">
        <v>495</v>
      </c>
      <c r="B127" s="2" t="s">
        <v>87</v>
      </c>
      <c r="C127" s="2" t="s">
        <v>88</v>
      </c>
      <c r="D127" s="2" t="s">
        <v>89</v>
      </c>
      <c r="E127" s="2" t="s">
        <v>90</v>
      </c>
      <c r="F127" s="2" t="s">
        <v>91</v>
      </c>
      <c r="G127" s="2" t="s">
        <v>91</v>
      </c>
      <c r="H127" s="2" t="s">
        <v>91</v>
      </c>
      <c r="I127" s="2" t="s">
        <v>92</v>
      </c>
      <c r="J127" s="2" t="s">
        <v>125</v>
      </c>
      <c r="K127" s="2" t="s">
        <v>488</v>
      </c>
      <c r="L127" s="3">
        <v>27.39</v>
      </c>
      <c r="M127" s="3">
        <v>28.76</v>
      </c>
      <c r="N127" s="3">
        <v>62.99</v>
      </c>
      <c r="O127" s="2" t="s">
        <v>95</v>
      </c>
      <c r="P127" s="2" t="s">
        <v>156</v>
      </c>
      <c r="Q127" s="2" t="s">
        <v>97</v>
      </c>
      <c r="R127" s="2" t="s">
        <v>98</v>
      </c>
      <c r="S127" s="2" t="s">
        <v>489</v>
      </c>
      <c r="T127" s="2" t="s">
        <v>100</v>
      </c>
      <c r="U127" s="2" t="s">
        <v>98</v>
      </c>
      <c r="V127" s="2" t="s">
        <v>336</v>
      </c>
      <c r="W127" s="2" t="s">
        <v>103</v>
      </c>
      <c r="X127" s="2" t="s">
        <v>98</v>
      </c>
      <c r="Y127" s="2" t="s">
        <v>207</v>
      </c>
      <c r="Z127" s="4">
        <v>295</v>
      </c>
      <c r="AA127" s="4">
        <f>=ROUNDDOWN(12.8260869565217,0)</f>
      </c>
      <c r="AB127" s="5">
        <v>23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>
        <v>2</v>
      </c>
      <c r="AQ127" s="8">
        <v>65.5</v>
      </c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0.1319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61</v>
      </c>
      <c r="BK127" s="8">
        <v>1768.75</v>
      </c>
      <c r="BL127" s="2" t="s">
        <v>316</v>
      </c>
      <c r="BM127" s="7">
        <v>0.0328</v>
      </c>
      <c r="BN127" s="7">
        <v>0.037</v>
      </c>
      <c r="BO127" s="4">
        <v>2</v>
      </c>
      <c r="BP127" s="8">
        <v>65.5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181</v>
      </c>
      <c r="BX127" s="2" t="s">
        <v>249</v>
      </c>
      <c r="BY127" s="2" t="s">
        <v>110</v>
      </c>
      <c r="BZ127" s="2" t="s">
        <v>98</v>
      </c>
    </row>
    <row r="128">
      <c r="A128" s="2" t="s">
        <v>496</v>
      </c>
      <c r="B128" s="2" t="s">
        <v>87</v>
      </c>
      <c r="C128" s="2" t="s">
        <v>88</v>
      </c>
      <c r="D128" s="2" t="s">
        <v>89</v>
      </c>
      <c r="E128" s="2" t="s">
        <v>90</v>
      </c>
      <c r="F128" s="2" t="s">
        <v>91</v>
      </c>
      <c r="G128" s="2" t="s">
        <v>91</v>
      </c>
      <c r="H128" s="2" t="s">
        <v>91</v>
      </c>
      <c r="I128" s="2" t="s">
        <v>92</v>
      </c>
      <c r="J128" s="2" t="s">
        <v>93</v>
      </c>
      <c r="K128" s="2" t="s">
        <v>497</v>
      </c>
      <c r="L128" s="3">
        <v>14.89</v>
      </c>
      <c r="M128" s="3">
        <v>15.63</v>
      </c>
      <c r="N128" s="3">
        <v>31.99</v>
      </c>
      <c r="O128" s="2" t="s">
        <v>95</v>
      </c>
      <c r="P128" s="2" t="s">
        <v>156</v>
      </c>
      <c r="Q128" s="2" t="s">
        <v>97</v>
      </c>
      <c r="R128" s="2" t="s">
        <v>98</v>
      </c>
      <c r="S128" s="2" t="s">
        <v>498</v>
      </c>
      <c r="T128" s="2" t="s">
        <v>100</v>
      </c>
      <c r="U128" s="2" t="s">
        <v>98</v>
      </c>
      <c r="V128" s="2" t="s">
        <v>336</v>
      </c>
      <c r="W128" s="2" t="s">
        <v>103</v>
      </c>
      <c r="X128" s="2" t="s">
        <v>98</v>
      </c>
      <c r="Y128" s="2" t="s">
        <v>207</v>
      </c>
      <c r="Z128" s="4">
        <v>1351</v>
      </c>
      <c r="AA128" s="4">
        <f>=ROUNDDOWN(112.583333333333,0)</f>
      </c>
      <c r="AB128" s="5">
        <v>12</v>
      </c>
      <c r="AC128" s="2" t="s">
        <v>98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>
        <v>3</v>
      </c>
      <c r="AQ128" s="8">
        <v>52.5</v>
      </c>
      <c r="AR128" s="4"/>
      <c r="AS128" s="8"/>
      <c r="AT128" s="7"/>
      <c r="AU128" s="7"/>
      <c r="AV128" s="4">
        <v>19</v>
      </c>
      <c r="AW128" s="8">
        <v>495.24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0.106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0.0122</v>
      </c>
      <c r="BJ128" s="4">
        <v>12</v>
      </c>
      <c r="BK128" s="8">
        <v>196.28</v>
      </c>
      <c r="BL128" s="2" t="s">
        <v>144</v>
      </c>
      <c r="BM128" s="7">
        <v>0.25</v>
      </c>
      <c r="BN128" s="7">
        <v>0.2675</v>
      </c>
      <c r="BO128" s="4">
        <v>3</v>
      </c>
      <c r="BP128" s="8">
        <v>52.5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181</v>
      </c>
      <c r="BX128" s="2" t="s">
        <v>499</v>
      </c>
      <c r="BY128" s="2" t="s">
        <v>110</v>
      </c>
      <c r="BZ128" s="2" t="s">
        <v>98</v>
      </c>
    </row>
    <row r="129">
      <c r="A129" s="2" t="s">
        <v>500</v>
      </c>
      <c r="B129" s="2" t="s">
        <v>87</v>
      </c>
      <c r="C129" s="2" t="s">
        <v>88</v>
      </c>
      <c r="D129" s="2" t="s">
        <v>89</v>
      </c>
      <c r="E129" s="2" t="s">
        <v>90</v>
      </c>
      <c r="F129" s="2" t="s">
        <v>91</v>
      </c>
      <c r="G129" s="2" t="s">
        <v>91</v>
      </c>
      <c r="H129" s="2" t="s">
        <v>91</v>
      </c>
      <c r="I129" s="2" t="s">
        <v>92</v>
      </c>
      <c r="J129" s="2" t="s">
        <v>117</v>
      </c>
      <c r="K129" s="2" t="s">
        <v>497</v>
      </c>
      <c r="L129" s="3">
        <v>19.57</v>
      </c>
      <c r="M129" s="3">
        <v>20.55</v>
      </c>
      <c r="N129" s="3">
        <v>42.99</v>
      </c>
      <c r="O129" s="2" t="s">
        <v>95</v>
      </c>
      <c r="P129" s="2" t="s">
        <v>156</v>
      </c>
      <c r="Q129" s="2" t="s">
        <v>97</v>
      </c>
      <c r="R129" s="2" t="s">
        <v>98</v>
      </c>
      <c r="S129" s="2" t="s">
        <v>498</v>
      </c>
      <c r="T129" s="2" t="s">
        <v>100</v>
      </c>
      <c r="U129" s="2" t="s">
        <v>98</v>
      </c>
      <c r="V129" s="2" t="s">
        <v>336</v>
      </c>
      <c r="W129" s="2" t="s">
        <v>103</v>
      </c>
      <c r="X129" s="2" t="s">
        <v>98</v>
      </c>
      <c r="Y129" s="2" t="s">
        <v>207</v>
      </c>
      <c r="Z129" s="4">
        <v>725</v>
      </c>
      <c r="AA129" s="4">
        <f>=ROUNDDOWN(103.571428571429,0)</f>
      </c>
      <c r="AB129" s="5">
        <v>7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4</v>
      </c>
      <c r="AQ129" s="8">
        <v>93.56</v>
      </c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0.1889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7</v>
      </c>
      <c r="BK129" s="8">
        <v>156.78</v>
      </c>
      <c r="BL129" s="2" t="s">
        <v>501</v>
      </c>
      <c r="BM129" s="7">
        <v>0.5714</v>
      </c>
      <c r="BN129" s="7">
        <v>0.5968</v>
      </c>
      <c r="BO129" s="4">
        <v>4</v>
      </c>
      <c r="BP129" s="8">
        <v>93.56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181</v>
      </c>
      <c r="BX129" s="2" t="s">
        <v>254</v>
      </c>
      <c r="BY129" s="2" t="s">
        <v>110</v>
      </c>
      <c r="BZ129" s="2" t="s">
        <v>98</v>
      </c>
    </row>
    <row r="130">
      <c r="A130" s="2" t="s">
        <v>502</v>
      </c>
      <c r="B130" s="2" t="s">
        <v>87</v>
      </c>
      <c r="C130" s="2" t="s">
        <v>88</v>
      </c>
      <c r="D130" s="2" t="s">
        <v>89</v>
      </c>
      <c r="E130" s="2" t="s">
        <v>90</v>
      </c>
      <c r="F130" s="2" t="s">
        <v>91</v>
      </c>
      <c r="G130" s="2" t="s">
        <v>91</v>
      </c>
      <c r="H130" s="2" t="s">
        <v>91</v>
      </c>
      <c r="I130" s="2" t="s">
        <v>92</v>
      </c>
      <c r="J130" s="2" t="s">
        <v>122</v>
      </c>
      <c r="K130" s="2" t="s">
        <v>497</v>
      </c>
      <c r="L130" s="3">
        <v>22.21</v>
      </c>
      <c r="M130" s="3">
        <v>23.32</v>
      </c>
      <c r="N130" s="3">
        <v>47.99</v>
      </c>
      <c r="O130" s="2" t="s">
        <v>95</v>
      </c>
      <c r="P130" s="2" t="s">
        <v>156</v>
      </c>
      <c r="Q130" s="2" t="s">
        <v>97</v>
      </c>
      <c r="R130" s="2" t="s">
        <v>98</v>
      </c>
      <c r="S130" s="2" t="s">
        <v>498</v>
      </c>
      <c r="T130" s="2" t="s">
        <v>100</v>
      </c>
      <c r="U130" s="2" t="s">
        <v>98</v>
      </c>
      <c r="V130" s="2" t="s">
        <v>336</v>
      </c>
      <c r="W130" s="2" t="s">
        <v>103</v>
      </c>
      <c r="X130" s="2" t="s">
        <v>98</v>
      </c>
      <c r="Y130" s="2" t="s">
        <v>337</v>
      </c>
      <c r="Z130" s="4">
        <v>892</v>
      </c>
      <c r="AA130" s="4">
        <f>=ROUNDDOWN(59.4666666666667,0)</f>
      </c>
      <c r="AB130" s="5">
        <v>15</v>
      </c>
      <c r="AC130" s="2" t="s">
        <v>98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7</v>
      </c>
      <c r="AQ130" s="8">
        <v>185.43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0.3744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25</v>
      </c>
      <c r="BK130" s="8">
        <v>609.08</v>
      </c>
      <c r="BL130" s="2" t="s">
        <v>217</v>
      </c>
      <c r="BM130" s="7">
        <v>0.28</v>
      </c>
      <c r="BN130" s="7">
        <v>0.3044</v>
      </c>
      <c r="BO130" s="4">
        <v>7</v>
      </c>
      <c r="BP130" s="8">
        <v>185.43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181</v>
      </c>
      <c r="BX130" s="2" t="s">
        <v>314</v>
      </c>
      <c r="BY130" s="2" t="s">
        <v>110</v>
      </c>
      <c r="BZ130" s="2" t="s">
        <v>98</v>
      </c>
    </row>
    <row r="131">
      <c r="A131" s="2" t="s">
        <v>503</v>
      </c>
      <c r="B131" s="2" t="s">
        <v>87</v>
      </c>
      <c r="C131" s="2" t="s">
        <v>88</v>
      </c>
      <c r="D131" s="2" t="s">
        <v>89</v>
      </c>
      <c r="E131" s="2" t="s">
        <v>90</v>
      </c>
      <c r="F131" s="2" t="s">
        <v>91</v>
      </c>
      <c r="G131" s="2" t="s">
        <v>91</v>
      </c>
      <c r="H131" s="2" t="s">
        <v>91</v>
      </c>
      <c r="I131" s="2" t="s">
        <v>92</v>
      </c>
      <c r="J131" s="2" t="s">
        <v>125</v>
      </c>
      <c r="K131" s="2" t="s">
        <v>497</v>
      </c>
      <c r="L131" s="3">
        <v>27.39</v>
      </c>
      <c r="M131" s="3">
        <v>28.76</v>
      </c>
      <c r="N131" s="3">
        <v>62.99</v>
      </c>
      <c r="O131" s="2" t="s">
        <v>95</v>
      </c>
      <c r="P131" s="2" t="s">
        <v>156</v>
      </c>
      <c r="Q131" s="2" t="s">
        <v>97</v>
      </c>
      <c r="R131" s="2" t="s">
        <v>98</v>
      </c>
      <c r="S131" s="2" t="s">
        <v>498</v>
      </c>
      <c r="T131" s="2" t="s">
        <v>100</v>
      </c>
      <c r="U131" s="2" t="s">
        <v>98</v>
      </c>
      <c r="V131" s="2" t="s">
        <v>336</v>
      </c>
      <c r="W131" s="2" t="s">
        <v>103</v>
      </c>
      <c r="X131" s="2" t="s">
        <v>98</v>
      </c>
      <c r="Y131" s="2" t="s">
        <v>207</v>
      </c>
      <c r="Z131" s="4">
        <v>592</v>
      </c>
      <c r="AA131" s="4">
        <f>=ROUNDDOWN(65.7777777777778,0)</f>
      </c>
      <c r="AB131" s="5">
        <v>9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>
        <v>5</v>
      </c>
      <c r="AQ131" s="8">
        <v>163.75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0.3306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19</v>
      </c>
      <c r="BK131" s="8">
        <v>574.73</v>
      </c>
      <c r="BL131" s="2" t="s">
        <v>204</v>
      </c>
      <c r="BM131" s="7">
        <v>0.2632</v>
      </c>
      <c r="BN131" s="7">
        <v>0.2849</v>
      </c>
      <c r="BO131" s="4">
        <v>5</v>
      </c>
      <c r="BP131" s="8">
        <v>163.75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181</v>
      </c>
      <c r="BX131" s="2" t="s">
        <v>192</v>
      </c>
      <c r="BY131" s="2" t="s">
        <v>110</v>
      </c>
      <c r="BZ131" s="2" t="s">
        <v>98</v>
      </c>
    </row>
    <row r="132">
      <c r="A132" s="2" t="s">
        <v>504</v>
      </c>
      <c r="B132" s="2" t="s">
        <v>87</v>
      </c>
      <c r="C132" s="2" t="s">
        <v>88</v>
      </c>
      <c r="D132" s="2" t="s">
        <v>89</v>
      </c>
      <c r="E132" s="2" t="s">
        <v>90</v>
      </c>
      <c r="F132" s="2" t="s">
        <v>91</v>
      </c>
      <c r="G132" s="2" t="s">
        <v>91</v>
      </c>
      <c r="H132" s="2" t="s">
        <v>91</v>
      </c>
      <c r="I132" s="2" t="s">
        <v>92</v>
      </c>
      <c r="J132" s="2" t="s">
        <v>129</v>
      </c>
      <c r="K132" s="2" t="s">
        <v>497</v>
      </c>
      <c r="L132" s="3">
        <v>27.39</v>
      </c>
      <c r="M132" s="3">
        <v>28.76</v>
      </c>
      <c r="N132" s="3">
        <v>62.99</v>
      </c>
      <c r="O132" s="2" t="s">
        <v>95</v>
      </c>
      <c r="P132" s="2" t="s">
        <v>156</v>
      </c>
      <c r="Q132" s="2" t="s">
        <v>97</v>
      </c>
      <c r="R132" s="2" t="s">
        <v>98</v>
      </c>
      <c r="S132" s="2" t="s">
        <v>498</v>
      </c>
      <c r="T132" s="2" t="s">
        <v>100</v>
      </c>
      <c r="U132" s="2" t="s">
        <v>98</v>
      </c>
      <c r="V132" s="2" t="s">
        <v>336</v>
      </c>
      <c r="W132" s="2" t="s">
        <v>103</v>
      </c>
      <c r="X132" s="2" t="s">
        <v>98</v>
      </c>
      <c r="Y132" s="2" t="s">
        <v>207</v>
      </c>
      <c r="Z132" s="4">
        <v>294</v>
      </c>
      <c r="AA132" s="4">
        <f>=ROUNDDOWN(98,0)</f>
      </c>
      <c r="AB132" s="5">
        <v>3</v>
      </c>
      <c r="AC132" s="2" t="s">
        <v>98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12</v>
      </c>
      <c r="BK132" s="8">
        <v>349.03</v>
      </c>
      <c r="BL132" s="2" t="s">
        <v>505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181</v>
      </c>
      <c r="BX132" s="2" t="s">
        <v>506</v>
      </c>
      <c r="BY132" s="2" t="s">
        <v>110</v>
      </c>
      <c r="BZ132" s="2" t="s">
        <v>98</v>
      </c>
    </row>
    <row r="133">
      <c r="A133" s="2" t="s">
        <v>507</v>
      </c>
      <c r="B133" s="2" t="s">
        <v>87</v>
      </c>
      <c r="C133" s="2" t="s">
        <v>88</v>
      </c>
      <c r="D133" s="2" t="s">
        <v>89</v>
      </c>
      <c r="E133" s="2" t="s">
        <v>90</v>
      </c>
      <c r="F133" s="2" t="s">
        <v>91</v>
      </c>
      <c r="G133" s="2" t="s">
        <v>91</v>
      </c>
      <c r="H133" s="2" t="s">
        <v>91</v>
      </c>
      <c r="I133" s="2" t="s">
        <v>92</v>
      </c>
      <c r="J133" s="2" t="s">
        <v>93</v>
      </c>
      <c r="K133" s="2" t="s">
        <v>508</v>
      </c>
      <c r="L133" s="3">
        <v>14.89</v>
      </c>
      <c r="M133" s="3">
        <v>15.63</v>
      </c>
      <c r="N133" s="3">
        <v>31.99</v>
      </c>
      <c r="O133" s="2" t="s">
        <v>95</v>
      </c>
      <c r="P133" s="2" t="s">
        <v>156</v>
      </c>
      <c r="Q133" s="2" t="s">
        <v>97</v>
      </c>
      <c r="R133" s="2" t="s">
        <v>98</v>
      </c>
      <c r="S133" s="2" t="s">
        <v>509</v>
      </c>
      <c r="T133" s="2" t="s">
        <v>100</v>
      </c>
      <c r="U133" s="2" t="s">
        <v>101</v>
      </c>
      <c r="V133" s="2" t="s">
        <v>158</v>
      </c>
      <c r="W133" s="2" t="s">
        <v>103</v>
      </c>
      <c r="X133" s="2" t="s">
        <v>104</v>
      </c>
      <c r="Y133" s="2" t="s">
        <v>383</v>
      </c>
      <c r="Z133" s="4"/>
      <c r="AA133" s="4">
        <f>=ROUNDDOWN({0},0)</f>
      </c>
      <c r="AB133" s="5">
        <v>37</v>
      </c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18</v>
      </c>
      <c r="AW133" s="8">
        <v>467.7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/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0.0116</v>
      </c>
      <c r="BJ133" s="4">
        <v>53</v>
      </c>
      <c r="BK133" s="8">
        <v>891.99</v>
      </c>
      <c r="BL133" s="2" t="s">
        <v>405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370</v>
      </c>
      <c r="BX133" s="2" t="s">
        <v>510</v>
      </c>
      <c r="BY133" s="2" t="s">
        <v>110</v>
      </c>
      <c r="BZ133" s="2" t="s">
        <v>98</v>
      </c>
    </row>
    <row r="134">
      <c r="A134" s="2" t="s">
        <v>511</v>
      </c>
      <c r="B134" s="2" t="s">
        <v>87</v>
      </c>
      <c r="C134" s="2" t="s">
        <v>88</v>
      </c>
      <c r="D134" s="2" t="s">
        <v>89</v>
      </c>
      <c r="E134" s="2" t="s">
        <v>90</v>
      </c>
      <c r="F134" s="2" t="s">
        <v>91</v>
      </c>
      <c r="G134" s="2" t="s">
        <v>91</v>
      </c>
      <c r="H134" s="2" t="s">
        <v>91</v>
      </c>
      <c r="I134" s="2" t="s">
        <v>92</v>
      </c>
      <c r="J134" s="2" t="s">
        <v>117</v>
      </c>
      <c r="K134" s="2" t="s">
        <v>508</v>
      </c>
      <c r="L134" s="3">
        <v>19.57</v>
      </c>
      <c r="M134" s="3">
        <v>20.55</v>
      </c>
      <c r="N134" s="3">
        <v>42.99</v>
      </c>
      <c r="O134" s="2" t="s">
        <v>95</v>
      </c>
      <c r="P134" s="2" t="s">
        <v>168</v>
      </c>
      <c r="Q134" s="2" t="s">
        <v>97</v>
      </c>
      <c r="R134" s="2" t="s">
        <v>98</v>
      </c>
      <c r="S134" s="2" t="s">
        <v>509</v>
      </c>
      <c r="T134" s="2" t="s">
        <v>100</v>
      </c>
      <c r="U134" s="2" t="s">
        <v>118</v>
      </c>
      <c r="V134" s="2" t="s">
        <v>158</v>
      </c>
      <c r="W134" s="2" t="s">
        <v>103</v>
      </c>
      <c r="X134" s="2" t="s">
        <v>104</v>
      </c>
      <c r="Y134" s="2" t="s">
        <v>383</v>
      </c>
      <c r="Z134" s="4">
        <v>391</v>
      </c>
      <c r="AA134" s="4">
        <f>=ROUNDDOWN(15.0384615384615,0)</f>
      </c>
      <c r="AB134" s="5">
        <v>26</v>
      </c>
      <c r="AC134" s="2" t="s">
        <v>98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9</v>
      </c>
      <c r="AQ134" s="8">
        <v>210.51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0.4501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66</v>
      </c>
      <c r="BK134" s="8">
        <v>1429.85</v>
      </c>
      <c r="BL134" s="2" t="s">
        <v>512</v>
      </c>
      <c r="BM134" s="7">
        <v>0.1364</v>
      </c>
      <c r="BN134" s="7">
        <v>0.1472</v>
      </c>
      <c r="BO134" s="4">
        <v>9</v>
      </c>
      <c r="BP134" s="8">
        <v>210.51</v>
      </c>
      <c r="BQ134" s="4"/>
      <c r="BR134" s="8"/>
      <c r="BS134" s="7"/>
      <c r="BT134" s="7"/>
      <c r="BU134" s="2" t="s">
        <v>107</v>
      </c>
      <c r="BV134" s="2" t="s">
        <v>95</v>
      </c>
      <c r="BW134" s="2" t="s">
        <v>388</v>
      </c>
      <c r="BX134" s="2" t="s">
        <v>400</v>
      </c>
      <c r="BY134" s="2" t="s">
        <v>110</v>
      </c>
      <c r="BZ134" s="2" t="s">
        <v>98</v>
      </c>
    </row>
    <row r="135">
      <c r="A135" s="2" t="s">
        <v>513</v>
      </c>
      <c r="B135" s="2" t="s">
        <v>87</v>
      </c>
      <c r="C135" s="2" t="s">
        <v>88</v>
      </c>
      <c r="D135" s="2" t="s">
        <v>89</v>
      </c>
      <c r="E135" s="2" t="s">
        <v>90</v>
      </c>
      <c r="F135" s="2" t="s">
        <v>91</v>
      </c>
      <c r="G135" s="2" t="s">
        <v>91</v>
      </c>
      <c r="H135" s="2" t="s">
        <v>91</v>
      </c>
      <c r="I135" s="2" t="s">
        <v>92</v>
      </c>
      <c r="J135" s="2" t="s">
        <v>122</v>
      </c>
      <c r="K135" s="2" t="s">
        <v>508</v>
      </c>
      <c r="L135" s="3">
        <v>22.21</v>
      </c>
      <c r="M135" s="3">
        <v>23.32</v>
      </c>
      <c r="N135" s="3">
        <v>47.99</v>
      </c>
      <c r="O135" s="2" t="s">
        <v>95</v>
      </c>
      <c r="P135" s="2" t="s">
        <v>168</v>
      </c>
      <c r="Q135" s="2" t="s">
        <v>97</v>
      </c>
      <c r="R135" s="2" t="s">
        <v>98</v>
      </c>
      <c r="S135" s="2" t="s">
        <v>509</v>
      </c>
      <c r="T135" s="2" t="s">
        <v>100</v>
      </c>
      <c r="U135" s="2" t="s">
        <v>118</v>
      </c>
      <c r="V135" s="2" t="s">
        <v>158</v>
      </c>
      <c r="W135" s="2" t="s">
        <v>103</v>
      </c>
      <c r="X135" s="2" t="s">
        <v>104</v>
      </c>
      <c r="Y135" s="2" t="s">
        <v>383</v>
      </c>
      <c r="Z135" s="4"/>
      <c r="AA135" s="4">
        <f>=ROUNDDOWN({0},0)</f>
      </c>
      <c r="AB135" s="5">
        <v>39</v>
      </c>
      <c r="AC135" s="2" t="s">
        <v>98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6</v>
      </c>
      <c r="AQ135" s="8">
        <v>158.94</v>
      </c>
      <c r="AR135" s="4"/>
      <c r="AS135" s="8"/>
      <c r="AT135" s="7"/>
      <c r="AU135" s="7"/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0.3398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 t="s">
        <v>98</v>
      </c>
      <c r="BJ135" s="4">
        <v>106</v>
      </c>
      <c r="BK135" s="8">
        <v>2593.26</v>
      </c>
      <c r="BL135" s="2" t="s">
        <v>514</v>
      </c>
      <c r="BM135" s="7">
        <v>0.0566</v>
      </c>
      <c r="BN135" s="7">
        <v>0.0613</v>
      </c>
      <c r="BO135" s="4">
        <v>6</v>
      </c>
      <c r="BP135" s="8">
        <v>158.94</v>
      </c>
      <c r="BQ135" s="4"/>
      <c r="BR135" s="8"/>
      <c r="BS135" s="7"/>
      <c r="BT135" s="7"/>
      <c r="BU135" s="2" t="s">
        <v>107</v>
      </c>
      <c r="BV135" s="2" t="s">
        <v>95</v>
      </c>
      <c r="BW135" s="2" t="s">
        <v>370</v>
      </c>
      <c r="BX135" s="2" t="s">
        <v>403</v>
      </c>
      <c r="BY135" s="2" t="s">
        <v>110</v>
      </c>
      <c r="BZ135" s="2" t="s">
        <v>98</v>
      </c>
    </row>
    <row r="136">
      <c r="A136" s="2" t="s">
        <v>515</v>
      </c>
      <c r="B136" s="2" t="s">
        <v>87</v>
      </c>
      <c r="C136" s="2" t="s">
        <v>88</v>
      </c>
      <c r="D136" s="2" t="s">
        <v>89</v>
      </c>
      <c r="E136" s="2" t="s">
        <v>90</v>
      </c>
      <c r="F136" s="2" t="s">
        <v>91</v>
      </c>
      <c r="G136" s="2" t="s">
        <v>91</v>
      </c>
      <c r="H136" s="2" t="s">
        <v>91</v>
      </c>
      <c r="I136" s="2" t="s">
        <v>92</v>
      </c>
      <c r="J136" s="2" t="s">
        <v>125</v>
      </c>
      <c r="K136" s="2" t="s">
        <v>508</v>
      </c>
      <c r="L136" s="3">
        <v>27.39</v>
      </c>
      <c r="M136" s="3">
        <v>28.76</v>
      </c>
      <c r="N136" s="3">
        <v>62.99</v>
      </c>
      <c r="O136" s="2" t="s">
        <v>95</v>
      </c>
      <c r="P136" s="2" t="s">
        <v>156</v>
      </c>
      <c r="Q136" s="2" t="s">
        <v>97</v>
      </c>
      <c r="R136" s="2" t="s">
        <v>98</v>
      </c>
      <c r="S136" s="2" t="s">
        <v>509</v>
      </c>
      <c r="T136" s="2" t="s">
        <v>100</v>
      </c>
      <c r="U136" s="2" t="s">
        <v>118</v>
      </c>
      <c r="V136" s="2" t="s">
        <v>158</v>
      </c>
      <c r="W136" s="2" t="s">
        <v>103</v>
      </c>
      <c r="X136" s="2" t="s">
        <v>104</v>
      </c>
      <c r="Y136" s="2" t="s">
        <v>383</v>
      </c>
      <c r="Z136" s="4">
        <v>399</v>
      </c>
      <c r="AA136" s="4">
        <f>=ROUNDDOWN(30.6923076923077,0)</f>
      </c>
      <c r="AB136" s="5">
        <v>13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3</v>
      </c>
      <c r="AQ136" s="8">
        <v>98.25</v>
      </c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0.2101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73</v>
      </c>
      <c r="BK136" s="8">
        <v>2209.85</v>
      </c>
      <c r="BL136" s="2" t="s">
        <v>516</v>
      </c>
      <c r="BM136" s="7">
        <v>0.0411</v>
      </c>
      <c r="BN136" s="7">
        <v>0.0445</v>
      </c>
      <c r="BO136" s="4">
        <v>3</v>
      </c>
      <c r="BP136" s="8">
        <v>98.25</v>
      </c>
      <c r="BQ136" s="4"/>
      <c r="BR136" s="8"/>
      <c r="BS136" s="7"/>
      <c r="BT136" s="7"/>
      <c r="BU136" s="2" t="s">
        <v>107</v>
      </c>
      <c r="BV136" s="2" t="s">
        <v>95</v>
      </c>
      <c r="BW136" s="2" t="s">
        <v>388</v>
      </c>
      <c r="BX136" s="2" t="s">
        <v>517</v>
      </c>
      <c r="BY136" s="2" t="s">
        <v>110</v>
      </c>
      <c r="BZ136" s="2" t="s">
        <v>98</v>
      </c>
    </row>
    <row r="137">
      <c r="A137" s="2" t="s">
        <v>518</v>
      </c>
      <c r="B137" s="2" t="s">
        <v>87</v>
      </c>
      <c r="C137" s="2" t="s">
        <v>88</v>
      </c>
      <c r="D137" s="2" t="s">
        <v>89</v>
      </c>
      <c r="E137" s="2" t="s">
        <v>90</v>
      </c>
      <c r="F137" s="2" t="s">
        <v>91</v>
      </c>
      <c r="G137" s="2" t="s">
        <v>91</v>
      </c>
      <c r="H137" s="2" t="s">
        <v>91</v>
      </c>
      <c r="I137" s="2" t="s">
        <v>92</v>
      </c>
      <c r="J137" s="2" t="s">
        <v>93</v>
      </c>
      <c r="K137" s="2" t="s">
        <v>519</v>
      </c>
      <c r="L137" s="3">
        <v>14.89</v>
      </c>
      <c r="M137" s="3">
        <v>15.63</v>
      </c>
      <c r="N137" s="3">
        <v>31.99</v>
      </c>
      <c r="O137" s="2" t="s">
        <v>95</v>
      </c>
      <c r="P137" s="2" t="s">
        <v>168</v>
      </c>
      <c r="Q137" s="2" t="s">
        <v>97</v>
      </c>
      <c r="R137" s="2" t="s">
        <v>98</v>
      </c>
      <c r="S137" s="2" t="s">
        <v>520</v>
      </c>
      <c r="T137" s="2" t="s">
        <v>100</v>
      </c>
      <c r="U137" s="2" t="s">
        <v>98</v>
      </c>
      <c r="V137" s="2" t="s">
        <v>158</v>
      </c>
      <c r="W137" s="2" t="s">
        <v>103</v>
      </c>
      <c r="X137" s="2" t="s">
        <v>98</v>
      </c>
      <c r="Y137" s="2" t="s">
        <v>241</v>
      </c>
      <c r="Z137" s="4">
        <v>842</v>
      </c>
      <c r="AA137" s="4">
        <f>=ROUNDDOWN(33.68,0)</f>
      </c>
      <c r="AB137" s="5">
        <v>25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3</v>
      </c>
      <c r="AQ137" s="8">
        <v>52.5</v>
      </c>
      <c r="AR137" s="4"/>
      <c r="AS137" s="8"/>
      <c r="AT137" s="7"/>
      <c r="AU137" s="7"/>
      <c r="AV137" s="4">
        <v>16</v>
      </c>
      <c r="AW137" s="8">
        <v>421.97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0.1244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0.0104</v>
      </c>
      <c r="BJ137" s="4">
        <v>27</v>
      </c>
      <c r="BK137" s="8">
        <v>433.58</v>
      </c>
      <c r="BL137" s="2" t="s">
        <v>521</v>
      </c>
      <c r="BM137" s="7">
        <v>0.1111</v>
      </c>
      <c r="BN137" s="7">
        <v>0.1211</v>
      </c>
      <c r="BO137" s="4">
        <v>3</v>
      </c>
      <c r="BP137" s="8">
        <v>52.5</v>
      </c>
      <c r="BQ137" s="4"/>
      <c r="BR137" s="8"/>
      <c r="BS137" s="7"/>
      <c r="BT137" s="7"/>
      <c r="BU137" s="2" t="s">
        <v>107</v>
      </c>
      <c r="BV137" s="2" t="s">
        <v>95</v>
      </c>
      <c r="BW137" s="2" t="s">
        <v>452</v>
      </c>
      <c r="BX137" s="2" t="s">
        <v>453</v>
      </c>
      <c r="BY137" s="2" t="s">
        <v>110</v>
      </c>
      <c r="BZ137" s="2" t="s">
        <v>98</v>
      </c>
    </row>
    <row r="138">
      <c r="A138" s="2" t="s">
        <v>522</v>
      </c>
      <c r="B138" s="2" t="s">
        <v>87</v>
      </c>
      <c r="C138" s="2" t="s">
        <v>88</v>
      </c>
      <c r="D138" s="2" t="s">
        <v>89</v>
      </c>
      <c r="E138" s="2" t="s">
        <v>90</v>
      </c>
      <c r="F138" s="2" t="s">
        <v>91</v>
      </c>
      <c r="G138" s="2" t="s">
        <v>91</v>
      </c>
      <c r="H138" s="2" t="s">
        <v>91</v>
      </c>
      <c r="I138" s="2" t="s">
        <v>92</v>
      </c>
      <c r="J138" s="2" t="s">
        <v>112</v>
      </c>
      <c r="K138" s="2" t="s">
        <v>519</v>
      </c>
      <c r="L138" s="3">
        <v>16.16</v>
      </c>
      <c r="M138" s="3">
        <v>16.97</v>
      </c>
      <c r="N138" s="3">
        <v>34.99</v>
      </c>
      <c r="O138" s="2" t="s">
        <v>95</v>
      </c>
      <c r="P138" s="2" t="s">
        <v>156</v>
      </c>
      <c r="Q138" s="2" t="s">
        <v>97</v>
      </c>
      <c r="R138" s="2" t="s">
        <v>98</v>
      </c>
      <c r="S138" s="2" t="s">
        <v>520</v>
      </c>
      <c r="T138" s="2" t="s">
        <v>100</v>
      </c>
      <c r="U138" s="2" t="s">
        <v>98</v>
      </c>
      <c r="V138" s="2" t="s">
        <v>158</v>
      </c>
      <c r="W138" s="2" t="s">
        <v>103</v>
      </c>
      <c r="X138" s="2" t="s">
        <v>98</v>
      </c>
      <c r="Y138" s="2" t="s">
        <v>241</v>
      </c>
      <c r="Z138" s="4">
        <v>288</v>
      </c>
      <c r="AA138" s="4">
        <f>=ROUNDDOWN(28.8,0)</f>
      </c>
      <c r="AB138" s="5">
        <v>10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18</v>
      </c>
      <c r="BK138" s="8">
        <v>323.28</v>
      </c>
      <c r="BL138" s="2" t="s">
        <v>523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95</v>
      </c>
      <c r="BW138" s="2" t="s">
        <v>452</v>
      </c>
      <c r="BX138" s="2" t="s">
        <v>453</v>
      </c>
      <c r="BY138" s="2" t="s">
        <v>110</v>
      </c>
      <c r="BZ138" s="2" t="s">
        <v>98</v>
      </c>
    </row>
    <row r="139">
      <c r="A139" s="2" t="s">
        <v>524</v>
      </c>
      <c r="B139" s="2" t="s">
        <v>87</v>
      </c>
      <c r="C139" s="2" t="s">
        <v>88</v>
      </c>
      <c r="D139" s="2" t="s">
        <v>89</v>
      </c>
      <c r="E139" s="2" t="s">
        <v>90</v>
      </c>
      <c r="F139" s="2" t="s">
        <v>91</v>
      </c>
      <c r="G139" s="2" t="s">
        <v>91</v>
      </c>
      <c r="H139" s="2" t="s">
        <v>91</v>
      </c>
      <c r="I139" s="2" t="s">
        <v>92</v>
      </c>
      <c r="J139" s="2" t="s">
        <v>117</v>
      </c>
      <c r="K139" s="2" t="s">
        <v>519</v>
      </c>
      <c r="L139" s="3">
        <v>19.57</v>
      </c>
      <c r="M139" s="3">
        <v>20.55</v>
      </c>
      <c r="N139" s="3">
        <v>42.99</v>
      </c>
      <c r="O139" s="2" t="s">
        <v>95</v>
      </c>
      <c r="P139" s="2" t="s">
        <v>156</v>
      </c>
      <c r="Q139" s="2" t="s">
        <v>97</v>
      </c>
      <c r="R139" s="2" t="s">
        <v>98</v>
      </c>
      <c r="S139" s="2" t="s">
        <v>520</v>
      </c>
      <c r="T139" s="2" t="s">
        <v>100</v>
      </c>
      <c r="U139" s="2" t="s">
        <v>98</v>
      </c>
      <c r="V139" s="2" t="s">
        <v>158</v>
      </c>
      <c r="W139" s="2" t="s">
        <v>103</v>
      </c>
      <c r="X139" s="2" t="s">
        <v>98</v>
      </c>
      <c r="Y139" s="2" t="s">
        <v>241</v>
      </c>
      <c r="Z139" s="4">
        <v>121</v>
      </c>
      <c r="AA139" s="4">
        <f>=ROUNDDOWN(5.5,0)</f>
      </c>
      <c r="AB139" s="5">
        <v>22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>
        <v>2</v>
      </c>
      <c r="AQ139" s="8">
        <v>46.78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0.1109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20</v>
      </c>
      <c r="BK139" s="8">
        <v>439.4</v>
      </c>
      <c r="BL139" s="2" t="s">
        <v>293</v>
      </c>
      <c r="BM139" s="7">
        <v>0.1</v>
      </c>
      <c r="BN139" s="7">
        <v>0.1065</v>
      </c>
      <c r="BO139" s="4">
        <v>2</v>
      </c>
      <c r="BP139" s="8">
        <v>46.78</v>
      </c>
      <c r="BQ139" s="4"/>
      <c r="BR139" s="8"/>
      <c r="BS139" s="7"/>
      <c r="BT139" s="7"/>
      <c r="BU139" s="2" t="s">
        <v>107</v>
      </c>
      <c r="BV139" s="2" t="s">
        <v>95</v>
      </c>
      <c r="BW139" s="2" t="s">
        <v>452</v>
      </c>
      <c r="BX139" s="2" t="s">
        <v>525</v>
      </c>
      <c r="BY139" s="2" t="s">
        <v>110</v>
      </c>
      <c r="BZ139" s="2" t="s">
        <v>98</v>
      </c>
    </row>
    <row r="140">
      <c r="A140" s="2" t="s">
        <v>526</v>
      </c>
      <c r="B140" s="2" t="s">
        <v>87</v>
      </c>
      <c r="C140" s="2" t="s">
        <v>88</v>
      </c>
      <c r="D140" s="2" t="s">
        <v>89</v>
      </c>
      <c r="E140" s="2" t="s">
        <v>90</v>
      </c>
      <c r="F140" s="2" t="s">
        <v>91</v>
      </c>
      <c r="G140" s="2" t="s">
        <v>91</v>
      </c>
      <c r="H140" s="2" t="s">
        <v>91</v>
      </c>
      <c r="I140" s="2" t="s">
        <v>92</v>
      </c>
      <c r="J140" s="2" t="s">
        <v>122</v>
      </c>
      <c r="K140" s="2" t="s">
        <v>519</v>
      </c>
      <c r="L140" s="3">
        <v>22.21</v>
      </c>
      <c r="M140" s="3">
        <v>23.32</v>
      </c>
      <c r="N140" s="3">
        <v>47.99</v>
      </c>
      <c r="O140" s="2" t="s">
        <v>95</v>
      </c>
      <c r="P140" s="2" t="s">
        <v>156</v>
      </c>
      <c r="Q140" s="2" t="s">
        <v>97</v>
      </c>
      <c r="R140" s="2" t="s">
        <v>98</v>
      </c>
      <c r="S140" s="2" t="s">
        <v>520</v>
      </c>
      <c r="T140" s="2" t="s">
        <v>100</v>
      </c>
      <c r="U140" s="2" t="s">
        <v>98</v>
      </c>
      <c r="V140" s="2" t="s">
        <v>158</v>
      </c>
      <c r="W140" s="2" t="s">
        <v>103</v>
      </c>
      <c r="X140" s="2" t="s">
        <v>98</v>
      </c>
      <c r="Y140" s="2" t="s">
        <v>241</v>
      </c>
      <c r="Z140" s="4"/>
      <c r="AA140" s="4">
        <f>=ROUNDDOWN({0},0)</f>
      </c>
      <c r="AB140" s="5">
        <v>25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>
        <v>6</v>
      </c>
      <c r="AQ140" s="8">
        <v>158.94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0.3767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89</v>
      </c>
      <c r="BK140" s="8">
        <v>2140.91</v>
      </c>
      <c r="BL140" s="2" t="s">
        <v>527</v>
      </c>
      <c r="BM140" s="7">
        <v>0.0674</v>
      </c>
      <c r="BN140" s="7">
        <v>0.0742</v>
      </c>
      <c r="BO140" s="4">
        <v>6</v>
      </c>
      <c r="BP140" s="8">
        <v>158.94</v>
      </c>
      <c r="BQ140" s="4"/>
      <c r="BR140" s="8"/>
      <c r="BS140" s="7"/>
      <c r="BT140" s="7"/>
      <c r="BU140" s="2" t="s">
        <v>107</v>
      </c>
      <c r="BV140" s="2" t="s">
        <v>95</v>
      </c>
      <c r="BW140" s="2" t="s">
        <v>452</v>
      </c>
      <c r="BX140" s="2" t="s">
        <v>453</v>
      </c>
      <c r="BY140" s="2" t="s">
        <v>110</v>
      </c>
      <c r="BZ140" s="2" t="s">
        <v>98</v>
      </c>
    </row>
    <row r="141">
      <c r="A141" s="2" t="s">
        <v>528</v>
      </c>
      <c r="B141" s="2" t="s">
        <v>87</v>
      </c>
      <c r="C141" s="2" t="s">
        <v>88</v>
      </c>
      <c r="D141" s="2" t="s">
        <v>89</v>
      </c>
      <c r="E141" s="2" t="s">
        <v>90</v>
      </c>
      <c r="F141" s="2" t="s">
        <v>91</v>
      </c>
      <c r="G141" s="2" t="s">
        <v>91</v>
      </c>
      <c r="H141" s="2" t="s">
        <v>91</v>
      </c>
      <c r="I141" s="2" t="s">
        <v>92</v>
      </c>
      <c r="J141" s="2" t="s">
        <v>125</v>
      </c>
      <c r="K141" s="2" t="s">
        <v>519</v>
      </c>
      <c r="L141" s="3">
        <v>27.39</v>
      </c>
      <c r="M141" s="3">
        <v>28.76</v>
      </c>
      <c r="N141" s="3">
        <v>62.99</v>
      </c>
      <c r="O141" s="2" t="s">
        <v>95</v>
      </c>
      <c r="P141" s="2" t="s">
        <v>156</v>
      </c>
      <c r="Q141" s="2" t="s">
        <v>97</v>
      </c>
      <c r="R141" s="2" t="s">
        <v>98</v>
      </c>
      <c r="S141" s="2" t="s">
        <v>520</v>
      </c>
      <c r="T141" s="2" t="s">
        <v>100</v>
      </c>
      <c r="U141" s="2" t="s">
        <v>98</v>
      </c>
      <c r="V141" s="2" t="s">
        <v>158</v>
      </c>
      <c r="W141" s="2" t="s">
        <v>103</v>
      </c>
      <c r="X141" s="2" t="s">
        <v>98</v>
      </c>
      <c r="Y141" s="2" t="s">
        <v>241</v>
      </c>
      <c r="Z141" s="4">
        <v>572</v>
      </c>
      <c r="AA141" s="4">
        <f>=ROUNDDOWN(63.5555555555556,0)</f>
      </c>
      <c r="AB141" s="5">
        <v>9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>
        <v>5</v>
      </c>
      <c r="AQ141" s="8">
        <v>163.75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0.3881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11</v>
      </c>
      <c r="BK141" s="8">
        <v>338.16</v>
      </c>
      <c r="BL141" s="2" t="s">
        <v>529</v>
      </c>
      <c r="BM141" s="7">
        <v>0.4545</v>
      </c>
      <c r="BN141" s="7">
        <v>0.4842</v>
      </c>
      <c r="BO141" s="4">
        <v>5</v>
      </c>
      <c r="BP141" s="8">
        <v>163.75</v>
      </c>
      <c r="BQ141" s="4"/>
      <c r="BR141" s="8"/>
      <c r="BS141" s="7"/>
      <c r="BT141" s="7"/>
      <c r="BU141" s="2" t="s">
        <v>107</v>
      </c>
      <c r="BV141" s="2" t="s">
        <v>95</v>
      </c>
      <c r="BW141" s="2" t="s">
        <v>452</v>
      </c>
      <c r="BX141" s="2" t="s">
        <v>530</v>
      </c>
      <c r="BY141" s="2" t="s">
        <v>110</v>
      </c>
      <c r="BZ141" s="2" t="s">
        <v>98</v>
      </c>
    </row>
    <row r="142">
      <c r="A142" s="2" t="s">
        <v>531</v>
      </c>
      <c r="B142" s="2" t="s">
        <v>87</v>
      </c>
      <c r="C142" s="2" t="s">
        <v>88</v>
      </c>
      <c r="D142" s="2" t="s">
        <v>89</v>
      </c>
      <c r="E142" s="2" t="s">
        <v>90</v>
      </c>
      <c r="F142" s="2" t="s">
        <v>91</v>
      </c>
      <c r="G142" s="2" t="s">
        <v>91</v>
      </c>
      <c r="H142" s="2" t="s">
        <v>91</v>
      </c>
      <c r="I142" s="2" t="s">
        <v>92</v>
      </c>
      <c r="J142" s="2" t="s">
        <v>93</v>
      </c>
      <c r="K142" s="2" t="s">
        <v>532</v>
      </c>
      <c r="L142" s="3">
        <v>14.89</v>
      </c>
      <c r="M142" s="3">
        <v>15.63</v>
      </c>
      <c r="N142" s="3">
        <v>31.99</v>
      </c>
      <c r="O142" s="2" t="s">
        <v>95</v>
      </c>
      <c r="P142" s="2" t="s">
        <v>156</v>
      </c>
      <c r="Q142" s="2" t="s">
        <v>97</v>
      </c>
      <c r="R142" s="2" t="s">
        <v>98</v>
      </c>
      <c r="S142" s="2" t="s">
        <v>533</v>
      </c>
      <c r="T142" s="2" t="s">
        <v>100</v>
      </c>
      <c r="U142" s="2" t="s">
        <v>98</v>
      </c>
      <c r="V142" s="2" t="s">
        <v>158</v>
      </c>
      <c r="W142" s="2" t="s">
        <v>103</v>
      </c>
      <c r="X142" s="2" t="s">
        <v>98</v>
      </c>
      <c r="Y142" s="2" t="s">
        <v>241</v>
      </c>
      <c r="Z142" s="4"/>
      <c r="AA142" s="4">
        <f>=ROUNDDOWN({0},0)</f>
      </c>
      <c r="AB142" s="5">
        <v>37</v>
      </c>
      <c r="AC142" s="2" t="s">
        <v>353</v>
      </c>
      <c r="AD142" s="4">
        <v>157</v>
      </c>
      <c r="AE142" s="4">
        <v>157</v>
      </c>
      <c r="AF142" s="6">
        <v>65</v>
      </c>
      <c r="AG142" s="6"/>
      <c r="AH142" s="7">
        <v>0.5714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>
        <v>1</v>
      </c>
      <c r="AQ142" s="8">
        <v>17.5</v>
      </c>
      <c r="AR142" s="4"/>
      <c r="AS142" s="8"/>
      <c r="AT142" s="7"/>
      <c r="AU142" s="7"/>
      <c r="AV142" s="4">
        <v>10</v>
      </c>
      <c r="AW142" s="8">
        <v>250.41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0.0699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0.0062</v>
      </c>
      <c r="BJ142" s="4">
        <v>31</v>
      </c>
      <c r="BK142" s="8">
        <v>508.56</v>
      </c>
      <c r="BL142" s="2" t="s">
        <v>269</v>
      </c>
      <c r="BM142" s="7">
        <v>0.0323</v>
      </c>
      <c r="BN142" s="7">
        <v>0.0344</v>
      </c>
      <c r="BO142" s="4">
        <v>1</v>
      </c>
      <c r="BP142" s="8">
        <v>17.5</v>
      </c>
      <c r="BQ142" s="4"/>
      <c r="BR142" s="8"/>
      <c r="BS142" s="7"/>
      <c r="BT142" s="7"/>
      <c r="BU142" s="2" t="s">
        <v>107</v>
      </c>
      <c r="BV142" s="2" t="s">
        <v>95</v>
      </c>
      <c r="BW142" s="2" t="s">
        <v>452</v>
      </c>
      <c r="BX142" s="2" t="s">
        <v>534</v>
      </c>
      <c r="BY142" s="2" t="s">
        <v>110</v>
      </c>
      <c r="BZ142" s="2" t="s">
        <v>98</v>
      </c>
    </row>
    <row r="143">
      <c r="A143" s="2" t="s">
        <v>535</v>
      </c>
      <c r="B143" s="2" t="s">
        <v>87</v>
      </c>
      <c r="C143" s="2" t="s">
        <v>88</v>
      </c>
      <c r="D143" s="2" t="s">
        <v>89</v>
      </c>
      <c r="E143" s="2" t="s">
        <v>90</v>
      </c>
      <c r="F143" s="2" t="s">
        <v>91</v>
      </c>
      <c r="G143" s="2" t="s">
        <v>91</v>
      </c>
      <c r="H143" s="2" t="s">
        <v>91</v>
      </c>
      <c r="I143" s="2" t="s">
        <v>92</v>
      </c>
      <c r="J143" s="2" t="s">
        <v>112</v>
      </c>
      <c r="K143" s="2" t="s">
        <v>532</v>
      </c>
      <c r="L143" s="3">
        <v>16.16</v>
      </c>
      <c r="M143" s="3">
        <v>16.97</v>
      </c>
      <c r="N143" s="3">
        <v>34.99</v>
      </c>
      <c r="O143" s="2" t="s">
        <v>95</v>
      </c>
      <c r="P143" s="2" t="s">
        <v>156</v>
      </c>
      <c r="Q143" s="2" t="s">
        <v>97</v>
      </c>
      <c r="R143" s="2" t="s">
        <v>98</v>
      </c>
      <c r="S143" s="2" t="s">
        <v>533</v>
      </c>
      <c r="T143" s="2" t="s">
        <v>100</v>
      </c>
      <c r="U143" s="2" t="s">
        <v>98</v>
      </c>
      <c r="V143" s="2" t="s">
        <v>158</v>
      </c>
      <c r="W143" s="2" t="s">
        <v>103</v>
      </c>
      <c r="X143" s="2" t="s">
        <v>98</v>
      </c>
      <c r="Y143" s="2" t="s">
        <v>241</v>
      </c>
      <c r="Z143" s="4">
        <v>661</v>
      </c>
      <c r="AA143" s="4">
        <f>=ROUNDDOWN(41.3125,0)</f>
      </c>
      <c r="AB143" s="5">
        <v>16</v>
      </c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>
        <v>2</v>
      </c>
      <c r="AQ143" s="8">
        <v>38</v>
      </c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0.1518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20</v>
      </c>
      <c r="BK143" s="8">
        <v>361.01</v>
      </c>
      <c r="BL143" s="2" t="s">
        <v>536</v>
      </c>
      <c r="BM143" s="7">
        <v>0.1</v>
      </c>
      <c r="BN143" s="7">
        <v>0.1053</v>
      </c>
      <c r="BO143" s="4">
        <v>2</v>
      </c>
      <c r="BP143" s="8">
        <v>38</v>
      </c>
      <c r="BQ143" s="4"/>
      <c r="BR143" s="8"/>
      <c r="BS143" s="7"/>
      <c r="BT143" s="7"/>
      <c r="BU143" s="2" t="s">
        <v>107</v>
      </c>
      <c r="BV143" s="2" t="s">
        <v>95</v>
      </c>
      <c r="BW143" s="2" t="s">
        <v>452</v>
      </c>
      <c r="BX143" s="2" t="s">
        <v>537</v>
      </c>
      <c r="BY143" s="2" t="s">
        <v>110</v>
      </c>
      <c r="BZ143" s="2" t="s">
        <v>98</v>
      </c>
    </row>
    <row r="144">
      <c r="A144" s="2" t="s">
        <v>538</v>
      </c>
      <c r="B144" s="2" t="s">
        <v>87</v>
      </c>
      <c r="C144" s="2" t="s">
        <v>88</v>
      </c>
      <c r="D144" s="2" t="s">
        <v>89</v>
      </c>
      <c r="E144" s="2" t="s">
        <v>90</v>
      </c>
      <c r="F144" s="2" t="s">
        <v>91</v>
      </c>
      <c r="G144" s="2" t="s">
        <v>91</v>
      </c>
      <c r="H144" s="2" t="s">
        <v>91</v>
      </c>
      <c r="I144" s="2" t="s">
        <v>92</v>
      </c>
      <c r="J144" s="2" t="s">
        <v>117</v>
      </c>
      <c r="K144" s="2" t="s">
        <v>532</v>
      </c>
      <c r="L144" s="3">
        <v>19.57</v>
      </c>
      <c r="M144" s="3">
        <v>20.55</v>
      </c>
      <c r="N144" s="3">
        <v>42.99</v>
      </c>
      <c r="O144" s="2" t="s">
        <v>95</v>
      </c>
      <c r="P144" s="2" t="s">
        <v>156</v>
      </c>
      <c r="Q144" s="2" t="s">
        <v>97</v>
      </c>
      <c r="R144" s="2" t="s">
        <v>98</v>
      </c>
      <c r="S144" s="2" t="s">
        <v>533</v>
      </c>
      <c r="T144" s="2" t="s">
        <v>100</v>
      </c>
      <c r="U144" s="2" t="s">
        <v>98</v>
      </c>
      <c r="V144" s="2" t="s">
        <v>158</v>
      </c>
      <c r="W144" s="2" t="s">
        <v>103</v>
      </c>
      <c r="X144" s="2" t="s">
        <v>98</v>
      </c>
      <c r="Y144" s="2" t="s">
        <v>241</v>
      </c>
      <c r="Z144" s="4"/>
      <c r="AA144" s="4">
        <f>=ROUNDDOWN({0},0)</f>
      </c>
      <c r="AB144" s="5">
        <v>31</v>
      </c>
      <c r="AC144" s="2" t="s">
        <v>353</v>
      </c>
      <c r="AD144" s="4">
        <v>136</v>
      </c>
      <c r="AE144" s="4">
        <v>191</v>
      </c>
      <c r="AF144" s="6">
        <v>65</v>
      </c>
      <c r="AG144" s="6"/>
      <c r="AH144" s="7">
        <v>0.5714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>
        <v>3</v>
      </c>
      <c r="AQ144" s="8">
        <v>70.17</v>
      </c>
      <c r="AR144" s="4"/>
      <c r="AS144" s="8"/>
      <c r="AT144" s="7"/>
      <c r="AU144" s="7"/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0.2802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41</v>
      </c>
      <c r="BK144" s="8">
        <v>914.97</v>
      </c>
      <c r="BL144" s="2" t="s">
        <v>539</v>
      </c>
      <c r="BM144" s="7">
        <v>0.0732</v>
      </c>
      <c r="BN144" s="7">
        <v>0.0767</v>
      </c>
      <c r="BO144" s="4">
        <v>3</v>
      </c>
      <c r="BP144" s="8">
        <v>70.17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452</v>
      </c>
      <c r="BX144" s="2" t="s">
        <v>540</v>
      </c>
      <c r="BY144" s="2" t="s">
        <v>110</v>
      </c>
      <c r="BZ144" s="2" t="s">
        <v>98</v>
      </c>
    </row>
    <row r="145">
      <c r="A145" s="2" t="s">
        <v>541</v>
      </c>
      <c r="B145" s="2" t="s">
        <v>87</v>
      </c>
      <c r="C145" s="2" t="s">
        <v>88</v>
      </c>
      <c r="D145" s="2" t="s">
        <v>89</v>
      </c>
      <c r="E145" s="2" t="s">
        <v>90</v>
      </c>
      <c r="F145" s="2" t="s">
        <v>91</v>
      </c>
      <c r="G145" s="2" t="s">
        <v>91</v>
      </c>
      <c r="H145" s="2" t="s">
        <v>91</v>
      </c>
      <c r="I145" s="2" t="s">
        <v>92</v>
      </c>
      <c r="J145" s="2" t="s">
        <v>122</v>
      </c>
      <c r="K145" s="2" t="s">
        <v>532</v>
      </c>
      <c r="L145" s="3">
        <v>22.21</v>
      </c>
      <c r="M145" s="3">
        <v>23.32</v>
      </c>
      <c r="N145" s="3">
        <v>47.99</v>
      </c>
      <c r="O145" s="2" t="s">
        <v>95</v>
      </c>
      <c r="P145" s="2" t="s">
        <v>177</v>
      </c>
      <c r="Q145" s="2" t="s">
        <v>97</v>
      </c>
      <c r="R145" s="2" t="s">
        <v>98</v>
      </c>
      <c r="S145" s="2" t="s">
        <v>533</v>
      </c>
      <c r="T145" s="2" t="s">
        <v>100</v>
      </c>
      <c r="U145" s="2" t="s">
        <v>98</v>
      </c>
      <c r="V145" s="2" t="s">
        <v>158</v>
      </c>
      <c r="W145" s="2" t="s">
        <v>103</v>
      </c>
      <c r="X145" s="2" t="s">
        <v>98</v>
      </c>
      <c r="Y145" s="2" t="s">
        <v>241</v>
      </c>
      <c r="Z145" s="4">
        <v>287</v>
      </c>
      <c r="AA145" s="4">
        <f>=ROUNDDOWN(6.67441860465116,0)</f>
      </c>
      <c r="AB145" s="5">
        <v>43</v>
      </c>
      <c r="AC145" s="2" t="s">
        <v>353</v>
      </c>
      <c r="AD145" s="4">
        <v>252</v>
      </c>
      <c r="AE145" s="4">
        <v>316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>
        <v>1</v>
      </c>
      <c r="AQ145" s="8">
        <v>26.49</v>
      </c>
      <c r="AR145" s="4"/>
      <c r="AS145" s="8"/>
      <c r="AT145" s="7"/>
      <c r="AU145" s="7"/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0.1058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33</v>
      </c>
      <c r="BK145" s="8">
        <v>775.36</v>
      </c>
      <c r="BL145" s="2" t="s">
        <v>217</v>
      </c>
      <c r="BM145" s="7">
        <v>0.0303</v>
      </c>
      <c r="BN145" s="7">
        <v>0.0342</v>
      </c>
      <c r="BO145" s="4">
        <v>1</v>
      </c>
      <c r="BP145" s="8">
        <v>26.49</v>
      </c>
      <c r="BQ145" s="4"/>
      <c r="BR145" s="8"/>
      <c r="BS145" s="7"/>
      <c r="BT145" s="7"/>
      <c r="BU145" s="2" t="s">
        <v>107</v>
      </c>
      <c r="BV145" s="2" t="s">
        <v>95</v>
      </c>
      <c r="BW145" s="2" t="s">
        <v>452</v>
      </c>
      <c r="BX145" s="2" t="s">
        <v>542</v>
      </c>
      <c r="BY145" s="2" t="s">
        <v>110</v>
      </c>
      <c r="BZ145" s="2" t="s">
        <v>98</v>
      </c>
    </row>
    <row r="146">
      <c r="A146" s="2" t="s">
        <v>543</v>
      </c>
      <c r="B146" s="2" t="s">
        <v>87</v>
      </c>
      <c r="C146" s="2" t="s">
        <v>88</v>
      </c>
      <c r="D146" s="2" t="s">
        <v>89</v>
      </c>
      <c r="E146" s="2" t="s">
        <v>90</v>
      </c>
      <c r="F146" s="2" t="s">
        <v>91</v>
      </c>
      <c r="G146" s="2" t="s">
        <v>91</v>
      </c>
      <c r="H146" s="2" t="s">
        <v>91</v>
      </c>
      <c r="I146" s="2" t="s">
        <v>92</v>
      </c>
      <c r="J146" s="2" t="s">
        <v>125</v>
      </c>
      <c r="K146" s="2" t="s">
        <v>532</v>
      </c>
      <c r="L146" s="3">
        <v>27.39</v>
      </c>
      <c r="M146" s="3">
        <v>28.76</v>
      </c>
      <c r="N146" s="3">
        <v>62.99</v>
      </c>
      <c r="O146" s="2" t="s">
        <v>95</v>
      </c>
      <c r="P146" s="2" t="s">
        <v>156</v>
      </c>
      <c r="Q146" s="2" t="s">
        <v>97</v>
      </c>
      <c r="R146" s="2" t="s">
        <v>98</v>
      </c>
      <c r="S146" s="2" t="s">
        <v>533</v>
      </c>
      <c r="T146" s="2" t="s">
        <v>100</v>
      </c>
      <c r="U146" s="2" t="s">
        <v>98</v>
      </c>
      <c r="V146" s="2" t="s">
        <v>158</v>
      </c>
      <c r="W146" s="2" t="s">
        <v>103</v>
      </c>
      <c r="X146" s="2" t="s">
        <v>98</v>
      </c>
      <c r="Y146" s="2" t="s">
        <v>241</v>
      </c>
      <c r="Z146" s="4">
        <v>414</v>
      </c>
      <c r="AA146" s="4">
        <f>=ROUNDDOWN(29.5714285714286,0)</f>
      </c>
      <c r="AB146" s="5">
        <v>14</v>
      </c>
      <c r="AC146" s="2" t="s">
        <v>353</v>
      </c>
      <c r="AD146" s="4">
        <v>95</v>
      </c>
      <c r="AE146" s="4">
        <v>95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>
        <v>3</v>
      </c>
      <c r="AQ146" s="8">
        <v>98.25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0.3924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12</v>
      </c>
      <c r="BK146" s="8">
        <v>360.97</v>
      </c>
      <c r="BL146" s="2" t="s">
        <v>311</v>
      </c>
      <c r="BM146" s="7">
        <v>0.25</v>
      </c>
      <c r="BN146" s="7">
        <v>0.2722</v>
      </c>
      <c r="BO146" s="4">
        <v>3</v>
      </c>
      <c r="BP146" s="8">
        <v>98.25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452</v>
      </c>
      <c r="BX146" s="2" t="s">
        <v>544</v>
      </c>
      <c r="BY146" s="2" t="s">
        <v>110</v>
      </c>
      <c r="BZ146" s="2" t="s">
        <v>98</v>
      </c>
    </row>
    <row r="147">
      <c r="A147" s="2" t="s">
        <v>545</v>
      </c>
      <c r="B147" s="2" t="s">
        <v>87</v>
      </c>
      <c r="C147" s="2" t="s">
        <v>88</v>
      </c>
      <c r="D147" s="2" t="s">
        <v>89</v>
      </c>
      <c r="E147" s="2" t="s">
        <v>90</v>
      </c>
      <c r="F147" s="2" t="s">
        <v>91</v>
      </c>
      <c r="G147" s="2" t="s">
        <v>91</v>
      </c>
      <c r="H147" s="2" t="s">
        <v>91</v>
      </c>
      <c r="I147" s="2" t="s">
        <v>92</v>
      </c>
      <c r="J147" s="2" t="s">
        <v>93</v>
      </c>
      <c r="K147" s="2" t="s">
        <v>546</v>
      </c>
      <c r="L147" s="3">
        <v>14.89</v>
      </c>
      <c r="M147" s="3">
        <v>15.63</v>
      </c>
      <c r="N147" s="3">
        <v>31.99</v>
      </c>
      <c r="O147" s="2" t="s">
        <v>95</v>
      </c>
      <c r="P147" s="2" t="s">
        <v>156</v>
      </c>
      <c r="Q147" s="2" t="s">
        <v>97</v>
      </c>
      <c r="R147" s="2" t="s">
        <v>98</v>
      </c>
      <c r="S147" s="2" t="s">
        <v>547</v>
      </c>
      <c r="T147" s="2" t="s">
        <v>100</v>
      </c>
      <c r="U147" s="2" t="s">
        <v>98</v>
      </c>
      <c r="V147" s="2" t="s">
        <v>548</v>
      </c>
      <c r="W147" s="2" t="s">
        <v>103</v>
      </c>
      <c r="X147" s="2" t="s">
        <v>98</v>
      </c>
      <c r="Y147" s="2" t="s">
        <v>276</v>
      </c>
      <c r="Z147" s="4">
        <v>953</v>
      </c>
      <c r="AA147" s="4">
        <f>=ROUNDDOWN(19.4489795918367,0)</f>
      </c>
      <c r="AB147" s="5">
        <v>49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>
        <v>2</v>
      </c>
      <c r="AQ147" s="8">
        <v>35</v>
      </c>
      <c r="AR147" s="4"/>
      <c r="AS147" s="8"/>
      <c r="AT147" s="7"/>
      <c r="AU147" s="7"/>
      <c r="AV147" s="4">
        <v>10</v>
      </c>
      <c r="AW147" s="8">
        <v>238.26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0.1469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0.0059</v>
      </c>
      <c r="BJ147" s="4">
        <v>10</v>
      </c>
      <c r="BK147" s="8">
        <v>166.4</v>
      </c>
      <c r="BL147" s="2" t="s">
        <v>549</v>
      </c>
      <c r="BM147" s="7">
        <v>0.2</v>
      </c>
      <c r="BN147" s="7">
        <v>0.2103</v>
      </c>
      <c r="BO147" s="4">
        <v>2</v>
      </c>
      <c r="BP147" s="8">
        <v>35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452</v>
      </c>
      <c r="BX147" s="2" t="s">
        <v>453</v>
      </c>
      <c r="BY147" s="2" t="s">
        <v>110</v>
      </c>
      <c r="BZ147" s="2" t="s">
        <v>98</v>
      </c>
    </row>
    <row r="148">
      <c r="A148" s="2" t="s">
        <v>550</v>
      </c>
      <c r="B148" s="2" t="s">
        <v>87</v>
      </c>
      <c r="C148" s="2" t="s">
        <v>88</v>
      </c>
      <c r="D148" s="2" t="s">
        <v>89</v>
      </c>
      <c r="E148" s="2" t="s">
        <v>90</v>
      </c>
      <c r="F148" s="2" t="s">
        <v>91</v>
      </c>
      <c r="G148" s="2" t="s">
        <v>91</v>
      </c>
      <c r="H148" s="2" t="s">
        <v>91</v>
      </c>
      <c r="I148" s="2" t="s">
        <v>92</v>
      </c>
      <c r="J148" s="2" t="s">
        <v>112</v>
      </c>
      <c r="K148" s="2" t="s">
        <v>546</v>
      </c>
      <c r="L148" s="3">
        <v>16.16</v>
      </c>
      <c r="M148" s="3">
        <v>16.97</v>
      </c>
      <c r="N148" s="3">
        <v>34.99</v>
      </c>
      <c r="O148" s="2" t="s">
        <v>95</v>
      </c>
      <c r="P148" s="2" t="s">
        <v>156</v>
      </c>
      <c r="Q148" s="2" t="s">
        <v>97</v>
      </c>
      <c r="R148" s="2" t="s">
        <v>98</v>
      </c>
      <c r="S148" s="2" t="s">
        <v>547</v>
      </c>
      <c r="T148" s="2" t="s">
        <v>100</v>
      </c>
      <c r="U148" s="2" t="s">
        <v>98</v>
      </c>
      <c r="V148" s="2" t="s">
        <v>548</v>
      </c>
      <c r="W148" s="2" t="s">
        <v>103</v>
      </c>
      <c r="X148" s="2" t="s">
        <v>98</v>
      </c>
      <c r="Y148" s="2" t="s">
        <v>276</v>
      </c>
      <c r="Z148" s="4">
        <v>606</v>
      </c>
      <c r="AA148" s="4">
        <f>=ROUNDDOWN(31.8947368421053,0)</f>
      </c>
      <c r="AB148" s="5">
        <v>19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>
        <v>2</v>
      </c>
      <c r="AQ148" s="8">
        <v>38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0.1595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20</v>
      </c>
      <c r="BK148" s="8">
        <v>349.36</v>
      </c>
      <c r="BL148" s="2" t="s">
        <v>338</v>
      </c>
      <c r="BM148" s="7">
        <v>0.1</v>
      </c>
      <c r="BN148" s="7">
        <v>0.1088</v>
      </c>
      <c r="BO148" s="4">
        <v>2</v>
      </c>
      <c r="BP148" s="8">
        <v>38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452</v>
      </c>
      <c r="BX148" s="2" t="s">
        <v>551</v>
      </c>
      <c r="BY148" s="2" t="s">
        <v>110</v>
      </c>
      <c r="BZ148" s="2" t="s">
        <v>98</v>
      </c>
    </row>
    <row r="149">
      <c r="A149" s="2" t="s">
        <v>552</v>
      </c>
      <c r="B149" s="2" t="s">
        <v>87</v>
      </c>
      <c r="C149" s="2" t="s">
        <v>88</v>
      </c>
      <c r="D149" s="2" t="s">
        <v>89</v>
      </c>
      <c r="E149" s="2" t="s">
        <v>90</v>
      </c>
      <c r="F149" s="2" t="s">
        <v>91</v>
      </c>
      <c r="G149" s="2" t="s">
        <v>91</v>
      </c>
      <c r="H149" s="2" t="s">
        <v>91</v>
      </c>
      <c r="I149" s="2" t="s">
        <v>92</v>
      </c>
      <c r="J149" s="2" t="s">
        <v>117</v>
      </c>
      <c r="K149" s="2" t="s">
        <v>546</v>
      </c>
      <c r="L149" s="3">
        <v>19.57</v>
      </c>
      <c r="M149" s="3">
        <v>20.55</v>
      </c>
      <c r="N149" s="3">
        <v>42.99</v>
      </c>
      <c r="O149" s="2" t="s">
        <v>95</v>
      </c>
      <c r="P149" s="2" t="s">
        <v>156</v>
      </c>
      <c r="Q149" s="2" t="s">
        <v>97</v>
      </c>
      <c r="R149" s="2" t="s">
        <v>98</v>
      </c>
      <c r="S149" s="2" t="s">
        <v>547</v>
      </c>
      <c r="T149" s="2" t="s">
        <v>100</v>
      </c>
      <c r="U149" s="2" t="s">
        <v>98</v>
      </c>
      <c r="V149" s="2" t="s">
        <v>548</v>
      </c>
      <c r="W149" s="2" t="s">
        <v>103</v>
      </c>
      <c r="X149" s="2" t="s">
        <v>98</v>
      </c>
      <c r="Y149" s="2" t="s">
        <v>276</v>
      </c>
      <c r="Z149" s="4">
        <v>716</v>
      </c>
      <c r="AA149" s="4">
        <f>=ROUNDDOWN(71.6,0)</f>
      </c>
      <c r="AB149" s="5">
        <v>10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>
        <v>2</v>
      </c>
      <c r="AQ149" s="8">
        <v>46.78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0.1963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23</v>
      </c>
      <c r="BK149" s="8">
        <v>507.31</v>
      </c>
      <c r="BL149" s="2" t="s">
        <v>553</v>
      </c>
      <c r="BM149" s="7">
        <v>0.087</v>
      </c>
      <c r="BN149" s="7">
        <v>0.0922</v>
      </c>
      <c r="BO149" s="4">
        <v>2</v>
      </c>
      <c r="BP149" s="8">
        <v>46.78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452</v>
      </c>
      <c r="BX149" s="2" t="s">
        <v>453</v>
      </c>
      <c r="BY149" s="2" t="s">
        <v>110</v>
      </c>
      <c r="BZ149" s="2" t="s">
        <v>98</v>
      </c>
    </row>
    <row r="150">
      <c r="A150" s="2" t="s">
        <v>554</v>
      </c>
      <c r="B150" s="2" t="s">
        <v>87</v>
      </c>
      <c r="C150" s="2" t="s">
        <v>88</v>
      </c>
      <c r="D150" s="2" t="s">
        <v>89</v>
      </c>
      <c r="E150" s="2" t="s">
        <v>90</v>
      </c>
      <c r="F150" s="2" t="s">
        <v>91</v>
      </c>
      <c r="G150" s="2" t="s">
        <v>91</v>
      </c>
      <c r="H150" s="2" t="s">
        <v>91</v>
      </c>
      <c r="I150" s="2" t="s">
        <v>92</v>
      </c>
      <c r="J150" s="2" t="s">
        <v>122</v>
      </c>
      <c r="K150" s="2" t="s">
        <v>546</v>
      </c>
      <c r="L150" s="3">
        <v>22.21</v>
      </c>
      <c r="M150" s="3">
        <v>23.32</v>
      </c>
      <c r="N150" s="3">
        <v>47.99</v>
      </c>
      <c r="O150" s="2" t="s">
        <v>95</v>
      </c>
      <c r="P150" s="2" t="s">
        <v>156</v>
      </c>
      <c r="Q150" s="2" t="s">
        <v>97</v>
      </c>
      <c r="R150" s="2" t="s">
        <v>98</v>
      </c>
      <c r="S150" s="2" t="s">
        <v>547</v>
      </c>
      <c r="T150" s="2" t="s">
        <v>100</v>
      </c>
      <c r="U150" s="2" t="s">
        <v>98</v>
      </c>
      <c r="V150" s="2" t="s">
        <v>548</v>
      </c>
      <c r="W150" s="2" t="s">
        <v>103</v>
      </c>
      <c r="X150" s="2" t="s">
        <v>98</v>
      </c>
      <c r="Y150" s="2" t="s">
        <v>276</v>
      </c>
      <c r="Z150" s="4"/>
      <c r="AA150" s="4">
        <f>=ROUNDDOWN({0},0)</f>
      </c>
      <c r="AB150" s="5">
        <v>30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2</v>
      </c>
      <c r="AQ150" s="8">
        <v>52.98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0.2224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159</v>
      </c>
      <c r="BK150" s="8">
        <v>3911.1</v>
      </c>
      <c r="BL150" s="2" t="s">
        <v>204</v>
      </c>
      <c r="BM150" s="7">
        <v>0.0126</v>
      </c>
      <c r="BN150" s="7">
        <v>0.0135</v>
      </c>
      <c r="BO150" s="4">
        <v>2</v>
      </c>
      <c r="BP150" s="8">
        <v>52.98</v>
      </c>
      <c r="BQ150" s="4"/>
      <c r="BR150" s="8"/>
      <c r="BS150" s="7"/>
      <c r="BT150" s="7"/>
      <c r="BU150" s="2" t="s">
        <v>107</v>
      </c>
      <c r="BV150" s="2" t="s">
        <v>95</v>
      </c>
      <c r="BW150" s="2" t="s">
        <v>452</v>
      </c>
      <c r="BX150" s="2" t="s">
        <v>555</v>
      </c>
      <c r="BY150" s="2" t="s">
        <v>110</v>
      </c>
      <c r="BZ150" s="2" t="s">
        <v>98</v>
      </c>
    </row>
    <row r="151">
      <c r="A151" s="2" t="s">
        <v>556</v>
      </c>
      <c r="B151" s="2" t="s">
        <v>87</v>
      </c>
      <c r="C151" s="2" t="s">
        <v>88</v>
      </c>
      <c r="D151" s="2" t="s">
        <v>89</v>
      </c>
      <c r="E151" s="2" t="s">
        <v>90</v>
      </c>
      <c r="F151" s="2" t="s">
        <v>91</v>
      </c>
      <c r="G151" s="2" t="s">
        <v>91</v>
      </c>
      <c r="H151" s="2" t="s">
        <v>91</v>
      </c>
      <c r="I151" s="2" t="s">
        <v>92</v>
      </c>
      <c r="J151" s="2" t="s">
        <v>125</v>
      </c>
      <c r="K151" s="2" t="s">
        <v>546</v>
      </c>
      <c r="L151" s="3">
        <v>27.39</v>
      </c>
      <c r="M151" s="3">
        <v>28.76</v>
      </c>
      <c r="N151" s="3">
        <v>62.99</v>
      </c>
      <c r="O151" s="2" t="s">
        <v>95</v>
      </c>
      <c r="P151" s="2" t="s">
        <v>156</v>
      </c>
      <c r="Q151" s="2" t="s">
        <v>97</v>
      </c>
      <c r="R151" s="2" t="s">
        <v>98</v>
      </c>
      <c r="S151" s="2" t="s">
        <v>547</v>
      </c>
      <c r="T151" s="2" t="s">
        <v>100</v>
      </c>
      <c r="U151" s="2" t="s">
        <v>98</v>
      </c>
      <c r="V151" s="2" t="s">
        <v>548</v>
      </c>
      <c r="W151" s="2" t="s">
        <v>103</v>
      </c>
      <c r="X151" s="2" t="s">
        <v>98</v>
      </c>
      <c r="Y151" s="2" t="s">
        <v>276</v>
      </c>
      <c r="Z151" s="4">
        <v>456</v>
      </c>
      <c r="AA151" s="4">
        <f>=ROUNDDOWN(50.6666666666667,0)</f>
      </c>
      <c r="AB151" s="5">
        <v>9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1</v>
      </c>
      <c r="AQ151" s="8">
        <v>32.75</v>
      </c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0.1375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14</v>
      </c>
      <c r="BK151" s="8">
        <v>416.07</v>
      </c>
      <c r="BL151" s="2" t="s">
        <v>557</v>
      </c>
      <c r="BM151" s="7">
        <v>0.0714</v>
      </c>
      <c r="BN151" s="7">
        <v>0.0787</v>
      </c>
      <c r="BO151" s="4">
        <v>1</v>
      </c>
      <c r="BP151" s="8">
        <v>32.75</v>
      </c>
      <c r="BQ151" s="4"/>
      <c r="BR151" s="8"/>
      <c r="BS151" s="7"/>
      <c r="BT151" s="7"/>
      <c r="BU151" s="2" t="s">
        <v>107</v>
      </c>
      <c r="BV151" s="2" t="s">
        <v>95</v>
      </c>
      <c r="BW151" s="2" t="s">
        <v>452</v>
      </c>
      <c r="BX151" s="2" t="s">
        <v>558</v>
      </c>
      <c r="BY151" s="2" t="s">
        <v>110</v>
      </c>
      <c r="BZ151" s="2" t="s">
        <v>98</v>
      </c>
    </row>
    <row r="152">
      <c r="A152" s="2" t="s">
        <v>559</v>
      </c>
      <c r="B152" s="2" t="s">
        <v>87</v>
      </c>
      <c r="C152" s="2" t="s">
        <v>88</v>
      </c>
      <c r="D152" s="2" t="s">
        <v>89</v>
      </c>
      <c r="E152" s="2" t="s">
        <v>90</v>
      </c>
      <c r="F152" s="2" t="s">
        <v>91</v>
      </c>
      <c r="G152" s="2" t="s">
        <v>91</v>
      </c>
      <c r="H152" s="2" t="s">
        <v>91</v>
      </c>
      <c r="I152" s="2" t="s">
        <v>92</v>
      </c>
      <c r="J152" s="2" t="s">
        <v>129</v>
      </c>
      <c r="K152" s="2" t="s">
        <v>546</v>
      </c>
      <c r="L152" s="3">
        <v>27.39</v>
      </c>
      <c r="M152" s="3">
        <v>28.76</v>
      </c>
      <c r="N152" s="3">
        <v>62.99</v>
      </c>
      <c r="O152" s="2" t="s">
        <v>95</v>
      </c>
      <c r="P152" s="2" t="s">
        <v>156</v>
      </c>
      <c r="Q152" s="2" t="s">
        <v>97</v>
      </c>
      <c r="R152" s="2" t="s">
        <v>98</v>
      </c>
      <c r="S152" s="2" t="s">
        <v>547</v>
      </c>
      <c r="T152" s="2" t="s">
        <v>100</v>
      </c>
      <c r="U152" s="2" t="s">
        <v>98</v>
      </c>
      <c r="V152" s="2" t="s">
        <v>548</v>
      </c>
      <c r="W152" s="2" t="s">
        <v>103</v>
      </c>
      <c r="X152" s="2" t="s">
        <v>98</v>
      </c>
      <c r="Y152" s="2" t="s">
        <v>276</v>
      </c>
      <c r="Z152" s="4">
        <v>343</v>
      </c>
      <c r="AA152" s="4">
        <f>=ROUNDDOWN(85.75,0)</f>
      </c>
      <c r="AB152" s="5">
        <v>4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1</v>
      </c>
      <c r="AQ152" s="8">
        <v>32.75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0.1375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10</v>
      </c>
      <c r="BK152" s="8">
        <v>296.1</v>
      </c>
      <c r="BL152" s="2" t="s">
        <v>417</v>
      </c>
      <c r="BM152" s="7">
        <v>0.1</v>
      </c>
      <c r="BN152" s="7">
        <v>0.1106</v>
      </c>
      <c r="BO152" s="4">
        <v>1</v>
      </c>
      <c r="BP152" s="8">
        <v>32.75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452</v>
      </c>
      <c r="BX152" s="2" t="s">
        <v>453</v>
      </c>
      <c r="BY152" s="2" t="s">
        <v>110</v>
      </c>
      <c r="BZ152" s="2" t="s">
        <v>98</v>
      </c>
    </row>
    <row r="153">
      <c r="A153" s="2" t="s">
        <v>560</v>
      </c>
      <c r="B153" s="2" t="s">
        <v>87</v>
      </c>
      <c r="C153" s="2" t="s">
        <v>88</v>
      </c>
      <c r="D153" s="2" t="s">
        <v>89</v>
      </c>
      <c r="E153" s="2" t="s">
        <v>90</v>
      </c>
      <c r="F153" s="2" t="s">
        <v>91</v>
      </c>
      <c r="G153" s="2" t="s">
        <v>91</v>
      </c>
      <c r="H153" s="2" t="s">
        <v>91</v>
      </c>
      <c r="I153" s="2" t="s">
        <v>92</v>
      </c>
      <c r="J153" s="2" t="s">
        <v>117</v>
      </c>
      <c r="K153" s="2" t="s">
        <v>561</v>
      </c>
      <c r="L153" s="3">
        <v>19.57</v>
      </c>
      <c r="M153" s="3">
        <v>20.55</v>
      </c>
      <c r="N153" s="3">
        <v>42.99</v>
      </c>
      <c r="O153" s="2" t="s">
        <v>562</v>
      </c>
      <c r="P153" s="2" t="s">
        <v>563</v>
      </c>
      <c r="Q153" s="2" t="s">
        <v>97</v>
      </c>
      <c r="R153" s="2" t="s">
        <v>98</v>
      </c>
      <c r="S153" s="2" t="s">
        <v>564</v>
      </c>
      <c r="T153" s="2" t="s">
        <v>100</v>
      </c>
      <c r="U153" s="2" t="s">
        <v>118</v>
      </c>
      <c r="V153" s="2" t="s">
        <v>158</v>
      </c>
      <c r="W153" s="2" t="s">
        <v>103</v>
      </c>
      <c r="X153" s="2" t="s">
        <v>291</v>
      </c>
      <c r="Y153" s="2" t="s">
        <v>565</v>
      </c>
      <c r="Z153" s="4"/>
      <c r="AA153" s="4">
        <f>=ROUNDDOWN({0},0)</f>
      </c>
      <c r="AB153" s="5">
        <v>5.6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3</v>
      </c>
      <c r="AQ153" s="8">
        <v>70.17</v>
      </c>
      <c r="AR153" s="4"/>
      <c r="AS153" s="8"/>
      <c r="AT153" s="7"/>
      <c r="AU153" s="7"/>
      <c r="AV153" s="4">
        <v>7</v>
      </c>
      <c r="AW153" s="8">
        <v>176.13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0.3984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0.0044</v>
      </c>
      <c r="BJ153" s="4">
        <v>16</v>
      </c>
      <c r="BK153" s="8">
        <v>317.06</v>
      </c>
      <c r="BL153" s="2" t="s">
        <v>165</v>
      </c>
      <c r="BM153" s="7">
        <v>0.1875</v>
      </c>
      <c r="BN153" s="7">
        <v>0.2213</v>
      </c>
      <c r="BO153" s="4">
        <v>3</v>
      </c>
      <c r="BP153" s="8">
        <v>70.17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566</v>
      </c>
      <c r="BX153" s="2" t="s">
        <v>567</v>
      </c>
      <c r="BY153" s="2" t="s">
        <v>110</v>
      </c>
      <c r="BZ153" s="2" t="s">
        <v>98</v>
      </c>
    </row>
    <row r="154">
      <c r="A154" s="2" t="s">
        <v>568</v>
      </c>
      <c r="B154" s="2" t="s">
        <v>87</v>
      </c>
      <c r="C154" s="2" t="s">
        <v>88</v>
      </c>
      <c r="D154" s="2" t="s">
        <v>89</v>
      </c>
      <c r="E154" s="2" t="s">
        <v>90</v>
      </c>
      <c r="F154" s="2" t="s">
        <v>91</v>
      </c>
      <c r="G154" s="2" t="s">
        <v>91</v>
      </c>
      <c r="H154" s="2" t="s">
        <v>91</v>
      </c>
      <c r="I154" s="2" t="s">
        <v>92</v>
      </c>
      <c r="J154" s="2" t="s">
        <v>122</v>
      </c>
      <c r="K154" s="2" t="s">
        <v>561</v>
      </c>
      <c r="L154" s="3">
        <v>22.21</v>
      </c>
      <c r="M154" s="3">
        <v>23.32</v>
      </c>
      <c r="N154" s="3">
        <v>47.99</v>
      </c>
      <c r="O154" s="2" t="s">
        <v>562</v>
      </c>
      <c r="P154" s="2" t="s">
        <v>563</v>
      </c>
      <c r="Q154" s="2" t="s">
        <v>97</v>
      </c>
      <c r="R154" s="2" t="s">
        <v>98</v>
      </c>
      <c r="S154" s="2" t="s">
        <v>564</v>
      </c>
      <c r="T154" s="2" t="s">
        <v>100</v>
      </c>
      <c r="U154" s="2" t="s">
        <v>118</v>
      </c>
      <c r="V154" s="2" t="s">
        <v>158</v>
      </c>
      <c r="W154" s="2" t="s">
        <v>103</v>
      </c>
      <c r="X154" s="2" t="s">
        <v>291</v>
      </c>
      <c r="Y154" s="2" t="s">
        <v>565</v>
      </c>
      <c r="Z154" s="4">
        <v>126</v>
      </c>
      <c r="AA154" s="4">
        <f>=ROUNDDOWN(13.125,0)</f>
      </c>
      <c r="AB154" s="5">
        <v>9.6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4</v>
      </c>
      <c r="AQ154" s="8">
        <v>105.96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0.6016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26</v>
      </c>
      <c r="BK154" s="8">
        <v>566.02</v>
      </c>
      <c r="BL154" s="2" t="s">
        <v>195</v>
      </c>
      <c r="BM154" s="7">
        <v>0.1538</v>
      </c>
      <c r="BN154" s="7">
        <v>0.1872</v>
      </c>
      <c r="BO154" s="4">
        <v>4</v>
      </c>
      <c r="BP154" s="8">
        <v>105.96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566</v>
      </c>
      <c r="BX154" s="2" t="s">
        <v>569</v>
      </c>
      <c r="BY154" s="2" t="s">
        <v>110</v>
      </c>
      <c r="BZ154" s="2" t="s">
        <v>98</v>
      </c>
    </row>
    <row r="155">
      <c r="A155" s="2" t="s">
        <v>570</v>
      </c>
      <c r="B155" s="2" t="s">
        <v>87</v>
      </c>
      <c r="C155" s="2" t="s">
        <v>88</v>
      </c>
      <c r="D155" s="2" t="s">
        <v>89</v>
      </c>
      <c r="E155" s="2" t="s">
        <v>90</v>
      </c>
      <c r="F155" s="2" t="s">
        <v>91</v>
      </c>
      <c r="G155" s="2" t="s">
        <v>91</v>
      </c>
      <c r="H155" s="2" t="s">
        <v>91</v>
      </c>
      <c r="I155" s="2" t="s">
        <v>92</v>
      </c>
      <c r="J155" s="2" t="s">
        <v>125</v>
      </c>
      <c r="K155" s="2" t="s">
        <v>561</v>
      </c>
      <c r="L155" s="3">
        <v>27.39</v>
      </c>
      <c r="M155" s="3">
        <v>28.76</v>
      </c>
      <c r="N155" s="3">
        <v>62.99</v>
      </c>
      <c r="O155" s="2" t="s">
        <v>562</v>
      </c>
      <c r="P155" s="2" t="s">
        <v>563</v>
      </c>
      <c r="Q155" s="2" t="s">
        <v>97</v>
      </c>
      <c r="R155" s="2" t="s">
        <v>98</v>
      </c>
      <c r="S155" s="2" t="s">
        <v>564</v>
      </c>
      <c r="T155" s="2" t="s">
        <v>100</v>
      </c>
      <c r="U155" s="2" t="s">
        <v>118</v>
      </c>
      <c r="V155" s="2" t="s">
        <v>158</v>
      </c>
      <c r="W155" s="2" t="s">
        <v>103</v>
      </c>
      <c r="X155" s="2" t="s">
        <v>291</v>
      </c>
      <c r="Y155" s="2" t="s">
        <v>565</v>
      </c>
      <c r="Z155" s="4">
        <v>90</v>
      </c>
      <c r="AA155" s="4">
        <f>=ROUNDDOWN(15,0)</f>
      </c>
      <c r="AB155" s="5">
        <v>6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11</v>
      </c>
      <c r="BK155" s="8">
        <v>200.52</v>
      </c>
      <c r="BL155" s="2" t="s">
        <v>571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566</v>
      </c>
      <c r="BX155" s="2" t="s">
        <v>572</v>
      </c>
      <c r="BY155" s="2" t="s">
        <v>110</v>
      </c>
      <c r="BZ155" s="2" t="s">
        <v>98</v>
      </c>
    </row>
    <row r="156">
      <c r="A156" s="2" t="s">
        <v>573</v>
      </c>
      <c r="B156" s="2" t="s">
        <v>87</v>
      </c>
      <c r="C156" s="2" t="s">
        <v>88</v>
      </c>
      <c r="D156" s="2" t="s">
        <v>89</v>
      </c>
      <c r="E156" s="2" t="s">
        <v>90</v>
      </c>
      <c r="F156" s="2" t="s">
        <v>91</v>
      </c>
      <c r="G156" s="2" t="s">
        <v>91</v>
      </c>
      <c r="H156" s="2" t="s">
        <v>91</v>
      </c>
      <c r="I156" s="2" t="s">
        <v>92</v>
      </c>
      <c r="J156" s="2" t="s">
        <v>93</v>
      </c>
      <c r="K156" s="2" t="s">
        <v>574</v>
      </c>
      <c r="L156" s="3">
        <v>14.89</v>
      </c>
      <c r="M156" s="3">
        <v>15.63</v>
      </c>
      <c r="N156" s="3">
        <v>31.99</v>
      </c>
      <c r="O156" s="2" t="s">
        <v>95</v>
      </c>
      <c r="P156" s="2" t="s">
        <v>156</v>
      </c>
      <c r="Q156" s="2" t="s">
        <v>97</v>
      </c>
      <c r="R156" s="2" t="s">
        <v>98</v>
      </c>
      <c r="S156" s="2" t="s">
        <v>575</v>
      </c>
      <c r="T156" s="2" t="s">
        <v>100</v>
      </c>
      <c r="U156" s="2" t="s">
        <v>101</v>
      </c>
      <c r="V156" s="2" t="s">
        <v>158</v>
      </c>
      <c r="W156" s="2" t="s">
        <v>103</v>
      </c>
      <c r="X156" s="2" t="s">
        <v>104</v>
      </c>
      <c r="Y156" s="2" t="s">
        <v>383</v>
      </c>
      <c r="Z156" s="4"/>
      <c r="AA156" s="4">
        <f>=ROUNDDOWN({0},0)</f>
      </c>
      <c r="AB156" s="5">
        <v>46</v>
      </c>
      <c r="AC156" s="2" t="s">
        <v>353</v>
      </c>
      <c r="AD156" s="4">
        <v>262</v>
      </c>
      <c r="AE156" s="4">
        <v>362</v>
      </c>
      <c r="AF156" s="6">
        <v>65</v>
      </c>
      <c r="AG156" s="6"/>
      <c r="AH156" s="7">
        <v>0.1429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>
        <v>4</v>
      </c>
      <c r="AW156" s="8">
        <v>131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0.0032</v>
      </c>
      <c r="BJ156" s="4"/>
      <c r="BK156" s="8"/>
      <c r="BL156" s="2" t="s">
        <v>98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370</v>
      </c>
      <c r="BX156" s="2" t="s">
        <v>395</v>
      </c>
      <c r="BY156" s="2" t="s">
        <v>110</v>
      </c>
      <c r="BZ156" s="2" t="s">
        <v>98</v>
      </c>
    </row>
    <row r="157">
      <c r="A157" s="2" t="s">
        <v>576</v>
      </c>
      <c r="B157" s="2" t="s">
        <v>87</v>
      </c>
      <c r="C157" s="2" t="s">
        <v>88</v>
      </c>
      <c r="D157" s="2" t="s">
        <v>89</v>
      </c>
      <c r="E157" s="2" t="s">
        <v>90</v>
      </c>
      <c r="F157" s="2" t="s">
        <v>91</v>
      </c>
      <c r="G157" s="2" t="s">
        <v>91</v>
      </c>
      <c r="H157" s="2" t="s">
        <v>91</v>
      </c>
      <c r="I157" s="2" t="s">
        <v>92</v>
      </c>
      <c r="J157" s="2" t="s">
        <v>117</v>
      </c>
      <c r="K157" s="2" t="s">
        <v>574</v>
      </c>
      <c r="L157" s="3">
        <v>19.57</v>
      </c>
      <c r="M157" s="3">
        <v>20.55</v>
      </c>
      <c r="N157" s="3">
        <v>42.99</v>
      </c>
      <c r="O157" s="2" t="s">
        <v>95</v>
      </c>
      <c r="P157" s="2" t="s">
        <v>156</v>
      </c>
      <c r="Q157" s="2" t="s">
        <v>97</v>
      </c>
      <c r="R157" s="2" t="s">
        <v>98</v>
      </c>
      <c r="S157" s="2" t="s">
        <v>575</v>
      </c>
      <c r="T157" s="2" t="s">
        <v>100</v>
      </c>
      <c r="U157" s="2" t="s">
        <v>118</v>
      </c>
      <c r="V157" s="2" t="s">
        <v>158</v>
      </c>
      <c r="W157" s="2" t="s">
        <v>103</v>
      </c>
      <c r="X157" s="2" t="s">
        <v>104</v>
      </c>
      <c r="Y157" s="2" t="s">
        <v>383</v>
      </c>
      <c r="Z157" s="4"/>
      <c r="AA157" s="4">
        <f>=ROUNDDOWN({0},0)</f>
      </c>
      <c r="AB157" s="5">
        <v>49</v>
      </c>
      <c r="AC157" s="2" t="s">
        <v>353</v>
      </c>
      <c r="AD157" s="4">
        <v>147</v>
      </c>
      <c r="AE157" s="4">
        <v>275</v>
      </c>
      <c r="AF157" s="6">
        <v>65</v>
      </c>
      <c r="AG157" s="6"/>
      <c r="AH157" s="7">
        <v>0.1429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1</v>
      </c>
      <c r="BK157" s="8">
        <v>21.07</v>
      </c>
      <c r="BL157" s="2" t="s">
        <v>405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385</v>
      </c>
      <c r="BX157" s="2" t="s">
        <v>400</v>
      </c>
      <c r="BY157" s="2" t="s">
        <v>110</v>
      </c>
      <c r="BZ157" s="2" t="s">
        <v>98</v>
      </c>
    </row>
    <row r="158">
      <c r="A158" s="2" t="s">
        <v>577</v>
      </c>
      <c r="B158" s="2" t="s">
        <v>87</v>
      </c>
      <c r="C158" s="2" t="s">
        <v>88</v>
      </c>
      <c r="D158" s="2" t="s">
        <v>89</v>
      </c>
      <c r="E158" s="2" t="s">
        <v>90</v>
      </c>
      <c r="F158" s="2" t="s">
        <v>91</v>
      </c>
      <c r="G158" s="2" t="s">
        <v>91</v>
      </c>
      <c r="H158" s="2" t="s">
        <v>91</v>
      </c>
      <c r="I158" s="2" t="s">
        <v>92</v>
      </c>
      <c r="J158" s="2" t="s">
        <v>122</v>
      </c>
      <c r="K158" s="2" t="s">
        <v>574</v>
      </c>
      <c r="L158" s="3">
        <v>22.21</v>
      </c>
      <c r="M158" s="3">
        <v>23.32</v>
      </c>
      <c r="N158" s="3">
        <v>47.99</v>
      </c>
      <c r="O158" s="2" t="s">
        <v>95</v>
      </c>
      <c r="P158" s="2" t="s">
        <v>184</v>
      </c>
      <c r="Q158" s="2" t="s">
        <v>97</v>
      </c>
      <c r="R158" s="2" t="s">
        <v>98</v>
      </c>
      <c r="S158" s="2" t="s">
        <v>575</v>
      </c>
      <c r="T158" s="2" t="s">
        <v>100</v>
      </c>
      <c r="U158" s="2" t="s">
        <v>118</v>
      </c>
      <c r="V158" s="2" t="s">
        <v>158</v>
      </c>
      <c r="W158" s="2" t="s">
        <v>103</v>
      </c>
      <c r="X158" s="2" t="s">
        <v>104</v>
      </c>
      <c r="Y158" s="2" t="s">
        <v>383</v>
      </c>
      <c r="Z158" s="4"/>
      <c r="AA158" s="4">
        <f>=ROUNDDOWN({0},0)</f>
      </c>
      <c r="AB158" s="5">
        <v>38</v>
      </c>
      <c r="AC158" s="2" t="s">
        <v>353</v>
      </c>
      <c r="AD158" s="4">
        <v>273</v>
      </c>
      <c r="AE158" s="4">
        <v>273</v>
      </c>
      <c r="AF158" s="6">
        <v>65</v>
      </c>
      <c r="AG158" s="6"/>
      <c r="AH158" s="7">
        <v>0.5714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/>
      <c r="BK158" s="8"/>
      <c r="BL158" s="2" t="s">
        <v>98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388</v>
      </c>
      <c r="BX158" s="2" t="s">
        <v>400</v>
      </c>
      <c r="BY158" s="2" t="s">
        <v>110</v>
      </c>
      <c r="BZ158" s="2" t="s">
        <v>98</v>
      </c>
    </row>
    <row r="159">
      <c r="A159" s="2" t="s">
        <v>578</v>
      </c>
      <c r="B159" s="2" t="s">
        <v>87</v>
      </c>
      <c r="C159" s="2" t="s">
        <v>88</v>
      </c>
      <c r="D159" s="2" t="s">
        <v>89</v>
      </c>
      <c r="E159" s="2" t="s">
        <v>90</v>
      </c>
      <c r="F159" s="2" t="s">
        <v>91</v>
      </c>
      <c r="G159" s="2" t="s">
        <v>91</v>
      </c>
      <c r="H159" s="2" t="s">
        <v>91</v>
      </c>
      <c r="I159" s="2" t="s">
        <v>92</v>
      </c>
      <c r="J159" s="2" t="s">
        <v>125</v>
      </c>
      <c r="K159" s="2" t="s">
        <v>574</v>
      </c>
      <c r="L159" s="3">
        <v>27.39</v>
      </c>
      <c r="M159" s="3">
        <v>28.76</v>
      </c>
      <c r="N159" s="3">
        <v>62.99</v>
      </c>
      <c r="O159" s="2" t="s">
        <v>95</v>
      </c>
      <c r="P159" s="2" t="s">
        <v>156</v>
      </c>
      <c r="Q159" s="2" t="s">
        <v>97</v>
      </c>
      <c r="R159" s="2" t="s">
        <v>98</v>
      </c>
      <c r="S159" s="2" t="s">
        <v>575</v>
      </c>
      <c r="T159" s="2" t="s">
        <v>100</v>
      </c>
      <c r="U159" s="2" t="s">
        <v>118</v>
      </c>
      <c r="V159" s="2" t="s">
        <v>158</v>
      </c>
      <c r="W159" s="2" t="s">
        <v>103</v>
      </c>
      <c r="X159" s="2" t="s">
        <v>104</v>
      </c>
      <c r="Y159" s="2" t="s">
        <v>383</v>
      </c>
      <c r="Z159" s="4">
        <v>319</v>
      </c>
      <c r="AA159" s="4">
        <f>=ROUNDDOWN(16.7894736842105,0)</f>
      </c>
      <c r="AB159" s="5">
        <v>19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4</v>
      </c>
      <c r="AQ159" s="8">
        <v>131</v>
      </c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77</v>
      </c>
      <c r="BK159" s="8">
        <v>2365.35</v>
      </c>
      <c r="BL159" s="2" t="s">
        <v>579</v>
      </c>
      <c r="BM159" s="7">
        <v>0.0519</v>
      </c>
      <c r="BN159" s="7">
        <v>0.0554</v>
      </c>
      <c r="BO159" s="4">
        <v>4</v>
      </c>
      <c r="BP159" s="8">
        <v>131</v>
      </c>
      <c r="BQ159" s="4"/>
      <c r="BR159" s="8"/>
      <c r="BS159" s="7"/>
      <c r="BT159" s="7"/>
      <c r="BU159" s="2" t="s">
        <v>107</v>
      </c>
      <c r="BV159" s="2" t="s">
        <v>95</v>
      </c>
      <c r="BW159" s="2" t="s">
        <v>388</v>
      </c>
      <c r="BX159" s="2" t="s">
        <v>484</v>
      </c>
      <c r="BY159" s="2" t="s">
        <v>110</v>
      </c>
      <c r="BZ159" s="2" t="s">
        <v>98</v>
      </c>
    </row>
    <row r="160">
      <c r="A160" s="2" t="s">
        <v>580</v>
      </c>
      <c r="B160" s="2" t="s">
        <v>87</v>
      </c>
      <c r="C160" s="2" t="s">
        <v>88</v>
      </c>
      <c r="D160" s="2" t="s">
        <v>89</v>
      </c>
      <c r="E160" s="2" t="s">
        <v>90</v>
      </c>
      <c r="F160" s="2" t="s">
        <v>91</v>
      </c>
      <c r="G160" s="2" t="s">
        <v>91</v>
      </c>
      <c r="H160" s="2" t="s">
        <v>91</v>
      </c>
      <c r="I160" s="2" t="s">
        <v>92</v>
      </c>
      <c r="J160" s="2" t="s">
        <v>93</v>
      </c>
      <c r="K160" s="2" t="s">
        <v>581</v>
      </c>
      <c r="L160" s="3">
        <v>14.89</v>
      </c>
      <c r="M160" s="3">
        <v>15.63</v>
      </c>
      <c r="N160" s="3">
        <v>31.99</v>
      </c>
      <c r="O160" s="2" t="s">
        <v>95</v>
      </c>
      <c r="P160" s="2" t="s">
        <v>156</v>
      </c>
      <c r="Q160" s="2" t="s">
        <v>97</v>
      </c>
      <c r="R160" s="2" t="s">
        <v>98</v>
      </c>
      <c r="S160" s="2" t="s">
        <v>582</v>
      </c>
      <c r="T160" s="2" t="s">
        <v>100</v>
      </c>
      <c r="U160" s="2" t="s">
        <v>98</v>
      </c>
      <c r="V160" s="2" t="s">
        <v>548</v>
      </c>
      <c r="W160" s="2" t="s">
        <v>103</v>
      </c>
      <c r="X160" s="2" t="s">
        <v>98</v>
      </c>
      <c r="Y160" s="2" t="s">
        <v>276</v>
      </c>
      <c r="Z160" s="4">
        <v>1061</v>
      </c>
      <c r="AA160" s="4">
        <f>=ROUNDDOWN(53.05,0)</f>
      </c>
      <c r="AB160" s="5">
        <v>20</v>
      </c>
      <c r="AC160" s="2" t="s">
        <v>98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2</v>
      </c>
      <c r="AQ160" s="8">
        <v>35</v>
      </c>
      <c r="AR160" s="4"/>
      <c r="AS160" s="8"/>
      <c r="AT160" s="7"/>
      <c r="AU160" s="7"/>
      <c r="AV160" s="4">
        <v>5</v>
      </c>
      <c r="AW160" s="8">
        <v>111.37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0.3143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0.0028</v>
      </c>
      <c r="BJ160" s="4">
        <v>32</v>
      </c>
      <c r="BK160" s="8">
        <v>525.8</v>
      </c>
      <c r="BL160" s="2" t="s">
        <v>583</v>
      </c>
      <c r="BM160" s="7">
        <v>0.0625</v>
      </c>
      <c r="BN160" s="7">
        <v>0.0666</v>
      </c>
      <c r="BO160" s="4">
        <v>2</v>
      </c>
      <c r="BP160" s="8">
        <v>35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452</v>
      </c>
      <c r="BX160" s="2" t="s">
        <v>453</v>
      </c>
      <c r="BY160" s="2" t="s">
        <v>110</v>
      </c>
      <c r="BZ160" s="2" t="s">
        <v>98</v>
      </c>
    </row>
    <row r="161">
      <c r="A161" s="2" t="s">
        <v>584</v>
      </c>
      <c r="B161" s="2" t="s">
        <v>87</v>
      </c>
      <c r="C161" s="2" t="s">
        <v>88</v>
      </c>
      <c r="D161" s="2" t="s">
        <v>89</v>
      </c>
      <c r="E161" s="2" t="s">
        <v>90</v>
      </c>
      <c r="F161" s="2" t="s">
        <v>91</v>
      </c>
      <c r="G161" s="2" t="s">
        <v>91</v>
      </c>
      <c r="H161" s="2" t="s">
        <v>91</v>
      </c>
      <c r="I161" s="2" t="s">
        <v>92</v>
      </c>
      <c r="J161" s="2" t="s">
        <v>112</v>
      </c>
      <c r="K161" s="2" t="s">
        <v>581</v>
      </c>
      <c r="L161" s="3">
        <v>16.16</v>
      </c>
      <c r="M161" s="3">
        <v>16.97</v>
      </c>
      <c r="N161" s="3">
        <v>34.99</v>
      </c>
      <c r="O161" s="2" t="s">
        <v>95</v>
      </c>
      <c r="P161" s="2" t="s">
        <v>156</v>
      </c>
      <c r="Q161" s="2" t="s">
        <v>97</v>
      </c>
      <c r="R161" s="2" t="s">
        <v>98</v>
      </c>
      <c r="S161" s="2" t="s">
        <v>582</v>
      </c>
      <c r="T161" s="2" t="s">
        <v>100</v>
      </c>
      <c r="U161" s="2" t="s">
        <v>98</v>
      </c>
      <c r="V161" s="2" t="s">
        <v>548</v>
      </c>
      <c r="W161" s="2" t="s">
        <v>103</v>
      </c>
      <c r="X161" s="2" t="s">
        <v>98</v>
      </c>
      <c r="Y161" s="2" t="s">
        <v>276</v>
      </c>
      <c r="Z161" s="4">
        <v>926</v>
      </c>
      <c r="AA161" s="4">
        <f>=ROUNDDOWN(92.6,0)</f>
      </c>
      <c r="AB161" s="5">
        <v>10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27</v>
      </c>
      <c r="BK161" s="8">
        <v>512.43</v>
      </c>
      <c r="BL161" s="2" t="s">
        <v>585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452</v>
      </c>
      <c r="BX161" s="2" t="s">
        <v>453</v>
      </c>
      <c r="BY161" s="2" t="s">
        <v>110</v>
      </c>
      <c r="BZ161" s="2" t="s">
        <v>98</v>
      </c>
    </row>
    <row r="162">
      <c r="A162" s="2" t="s">
        <v>586</v>
      </c>
      <c r="B162" s="2" t="s">
        <v>87</v>
      </c>
      <c r="C162" s="2" t="s">
        <v>88</v>
      </c>
      <c r="D162" s="2" t="s">
        <v>89</v>
      </c>
      <c r="E162" s="2" t="s">
        <v>90</v>
      </c>
      <c r="F162" s="2" t="s">
        <v>91</v>
      </c>
      <c r="G162" s="2" t="s">
        <v>91</v>
      </c>
      <c r="H162" s="2" t="s">
        <v>91</v>
      </c>
      <c r="I162" s="2" t="s">
        <v>92</v>
      </c>
      <c r="J162" s="2" t="s">
        <v>117</v>
      </c>
      <c r="K162" s="2" t="s">
        <v>581</v>
      </c>
      <c r="L162" s="3">
        <v>19.57</v>
      </c>
      <c r="M162" s="3">
        <v>20.55</v>
      </c>
      <c r="N162" s="3">
        <v>42.99</v>
      </c>
      <c r="O162" s="2" t="s">
        <v>95</v>
      </c>
      <c r="P162" s="2" t="s">
        <v>156</v>
      </c>
      <c r="Q162" s="2" t="s">
        <v>97</v>
      </c>
      <c r="R162" s="2" t="s">
        <v>98</v>
      </c>
      <c r="S162" s="2" t="s">
        <v>582</v>
      </c>
      <c r="T162" s="2" t="s">
        <v>100</v>
      </c>
      <c r="U162" s="2" t="s">
        <v>98</v>
      </c>
      <c r="V162" s="2" t="s">
        <v>548</v>
      </c>
      <c r="W162" s="2" t="s">
        <v>103</v>
      </c>
      <c r="X162" s="2" t="s">
        <v>98</v>
      </c>
      <c r="Y162" s="2" t="s">
        <v>276</v>
      </c>
      <c r="Z162" s="4">
        <v>671</v>
      </c>
      <c r="AA162" s="4">
        <f>=ROUNDDOWN(111.833333333333,0)</f>
      </c>
      <c r="AB162" s="5">
        <v>6</v>
      </c>
      <c r="AC162" s="2" t="s">
        <v>98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1</v>
      </c>
      <c r="AQ162" s="8">
        <v>23.39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0.21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20</v>
      </c>
      <c r="BK162" s="8">
        <v>430.76</v>
      </c>
      <c r="BL162" s="2" t="s">
        <v>587</v>
      </c>
      <c r="BM162" s="7">
        <v>0.05</v>
      </c>
      <c r="BN162" s="7">
        <v>0.0543</v>
      </c>
      <c r="BO162" s="4">
        <v>1</v>
      </c>
      <c r="BP162" s="8">
        <v>23.39</v>
      </c>
      <c r="BQ162" s="4"/>
      <c r="BR162" s="8"/>
      <c r="BS162" s="7"/>
      <c r="BT162" s="7"/>
      <c r="BU162" s="2" t="s">
        <v>107</v>
      </c>
      <c r="BV162" s="2" t="s">
        <v>95</v>
      </c>
      <c r="BW162" s="2" t="s">
        <v>452</v>
      </c>
      <c r="BX162" s="2" t="s">
        <v>534</v>
      </c>
      <c r="BY162" s="2" t="s">
        <v>110</v>
      </c>
      <c r="BZ162" s="2" t="s">
        <v>98</v>
      </c>
    </row>
    <row r="163">
      <c r="A163" s="2" t="s">
        <v>588</v>
      </c>
      <c r="B163" s="2" t="s">
        <v>87</v>
      </c>
      <c r="C163" s="2" t="s">
        <v>88</v>
      </c>
      <c r="D163" s="2" t="s">
        <v>89</v>
      </c>
      <c r="E163" s="2" t="s">
        <v>90</v>
      </c>
      <c r="F163" s="2" t="s">
        <v>91</v>
      </c>
      <c r="G163" s="2" t="s">
        <v>91</v>
      </c>
      <c r="H163" s="2" t="s">
        <v>91</v>
      </c>
      <c r="I163" s="2" t="s">
        <v>92</v>
      </c>
      <c r="J163" s="2" t="s">
        <v>122</v>
      </c>
      <c r="K163" s="2" t="s">
        <v>581</v>
      </c>
      <c r="L163" s="3">
        <v>22.21</v>
      </c>
      <c r="M163" s="3">
        <v>23.32</v>
      </c>
      <c r="N163" s="3">
        <v>47.99</v>
      </c>
      <c r="O163" s="2" t="s">
        <v>95</v>
      </c>
      <c r="P163" s="2" t="s">
        <v>168</v>
      </c>
      <c r="Q163" s="2" t="s">
        <v>97</v>
      </c>
      <c r="R163" s="2" t="s">
        <v>98</v>
      </c>
      <c r="S163" s="2" t="s">
        <v>582</v>
      </c>
      <c r="T163" s="2" t="s">
        <v>100</v>
      </c>
      <c r="U163" s="2" t="s">
        <v>98</v>
      </c>
      <c r="V163" s="2" t="s">
        <v>548</v>
      </c>
      <c r="W163" s="2" t="s">
        <v>103</v>
      </c>
      <c r="X163" s="2" t="s">
        <v>98</v>
      </c>
      <c r="Y163" s="2" t="s">
        <v>276</v>
      </c>
      <c r="Z163" s="4">
        <v>991</v>
      </c>
      <c r="AA163" s="4">
        <f>=ROUNDDOWN(49.55,0)</f>
      </c>
      <c r="AB163" s="5">
        <v>20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>
        <v>2</v>
      </c>
      <c r="AQ163" s="8">
        <v>52.98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0.4757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73</v>
      </c>
      <c r="BK163" s="8">
        <v>1816.94</v>
      </c>
      <c r="BL163" s="2" t="s">
        <v>589</v>
      </c>
      <c r="BM163" s="7">
        <v>0.0274</v>
      </c>
      <c r="BN163" s="7">
        <v>0.0292</v>
      </c>
      <c r="BO163" s="4">
        <v>2</v>
      </c>
      <c r="BP163" s="8">
        <v>52.98</v>
      </c>
      <c r="BQ163" s="4"/>
      <c r="BR163" s="8"/>
      <c r="BS163" s="7"/>
      <c r="BT163" s="7"/>
      <c r="BU163" s="2" t="s">
        <v>107</v>
      </c>
      <c r="BV163" s="2" t="s">
        <v>95</v>
      </c>
      <c r="BW163" s="2" t="s">
        <v>452</v>
      </c>
      <c r="BX163" s="2" t="s">
        <v>551</v>
      </c>
      <c r="BY163" s="2" t="s">
        <v>110</v>
      </c>
      <c r="BZ163" s="2" t="s">
        <v>98</v>
      </c>
    </row>
    <row r="164">
      <c r="A164" s="2" t="s">
        <v>590</v>
      </c>
      <c r="B164" s="2" t="s">
        <v>87</v>
      </c>
      <c r="C164" s="2" t="s">
        <v>88</v>
      </c>
      <c r="D164" s="2" t="s">
        <v>89</v>
      </c>
      <c r="E164" s="2" t="s">
        <v>90</v>
      </c>
      <c r="F164" s="2" t="s">
        <v>91</v>
      </c>
      <c r="G164" s="2" t="s">
        <v>91</v>
      </c>
      <c r="H164" s="2" t="s">
        <v>91</v>
      </c>
      <c r="I164" s="2" t="s">
        <v>92</v>
      </c>
      <c r="J164" s="2" t="s">
        <v>125</v>
      </c>
      <c r="K164" s="2" t="s">
        <v>581</v>
      </c>
      <c r="L164" s="3">
        <v>27.39</v>
      </c>
      <c r="M164" s="3">
        <v>28.76</v>
      </c>
      <c r="N164" s="3">
        <v>62.99</v>
      </c>
      <c r="O164" s="2" t="s">
        <v>95</v>
      </c>
      <c r="P164" s="2" t="s">
        <v>156</v>
      </c>
      <c r="Q164" s="2" t="s">
        <v>97</v>
      </c>
      <c r="R164" s="2" t="s">
        <v>98</v>
      </c>
      <c r="S164" s="2" t="s">
        <v>582</v>
      </c>
      <c r="T164" s="2" t="s">
        <v>100</v>
      </c>
      <c r="U164" s="2" t="s">
        <v>98</v>
      </c>
      <c r="V164" s="2" t="s">
        <v>548</v>
      </c>
      <c r="W164" s="2" t="s">
        <v>103</v>
      </c>
      <c r="X164" s="2" t="s">
        <v>98</v>
      </c>
      <c r="Y164" s="2" t="s">
        <v>276</v>
      </c>
      <c r="Z164" s="4">
        <v>446</v>
      </c>
      <c r="AA164" s="4">
        <f>=ROUNDDOWN(44.6,0)</f>
      </c>
      <c r="AB164" s="5">
        <v>10</v>
      </c>
      <c r="AC164" s="2" t="s">
        <v>98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11</v>
      </c>
      <c r="BK164" s="8">
        <v>332.58</v>
      </c>
      <c r="BL164" s="2" t="s">
        <v>591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452</v>
      </c>
      <c r="BX164" s="2" t="s">
        <v>534</v>
      </c>
      <c r="BY164" s="2" t="s">
        <v>110</v>
      </c>
      <c r="BZ164" s="2" t="s">
        <v>98</v>
      </c>
    </row>
    <row r="165">
      <c r="A165" s="2" t="s">
        <v>592</v>
      </c>
      <c r="B165" s="2" t="s">
        <v>87</v>
      </c>
      <c r="C165" s="2" t="s">
        <v>88</v>
      </c>
      <c r="D165" s="2" t="s">
        <v>89</v>
      </c>
      <c r="E165" s="2" t="s">
        <v>90</v>
      </c>
      <c r="F165" s="2" t="s">
        <v>91</v>
      </c>
      <c r="G165" s="2" t="s">
        <v>91</v>
      </c>
      <c r="H165" s="2" t="s">
        <v>91</v>
      </c>
      <c r="I165" s="2" t="s">
        <v>92</v>
      </c>
      <c r="J165" s="2" t="s">
        <v>125</v>
      </c>
      <c r="K165" s="2" t="s">
        <v>593</v>
      </c>
      <c r="L165" s="3">
        <v>27.39</v>
      </c>
      <c r="M165" s="3">
        <v>28.76</v>
      </c>
      <c r="N165" s="3">
        <v>62.99</v>
      </c>
      <c r="O165" s="2" t="s">
        <v>594</v>
      </c>
      <c r="P165" s="2" t="s">
        <v>563</v>
      </c>
      <c r="Q165" s="2" t="s">
        <v>97</v>
      </c>
      <c r="R165" s="2" t="s">
        <v>98</v>
      </c>
      <c r="S165" s="2" t="s">
        <v>595</v>
      </c>
      <c r="T165" s="2" t="s">
        <v>100</v>
      </c>
      <c r="U165" s="2" t="s">
        <v>118</v>
      </c>
      <c r="V165" s="2" t="s">
        <v>290</v>
      </c>
      <c r="W165" s="2" t="s">
        <v>103</v>
      </c>
      <c r="X165" s="2" t="s">
        <v>291</v>
      </c>
      <c r="Y165" s="2" t="s">
        <v>320</v>
      </c>
      <c r="Z165" s="4">
        <v>76</v>
      </c>
      <c r="AA165" s="4">
        <f>=ROUNDDOWN(21.7142857142857,0)</f>
      </c>
      <c r="AB165" s="5">
        <v>3.5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>
        <v>3</v>
      </c>
      <c r="AQ165" s="8">
        <v>98.25</v>
      </c>
      <c r="AR165" s="4"/>
      <c r="AS165" s="8"/>
      <c r="AT165" s="7"/>
      <c r="AU165" s="7"/>
      <c r="AV165" s="4">
        <v>3</v>
      </c>
      <c r="AW165" s="8">
        <v>98.25</v>
      </c>
      <c r="AX165" s="4"/>
      <c r="AY165" s="8"/>
      <c r="AZ165" s="7"/>
      <c r="BA165" s="7"/>
      <c r="BB165" s="7">
        <v>1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0.0024</v>
      </c>
      <c r="BJ165" s="4">
        <v>3</v>
      </c>
      <c r="BK165" s="8">
        <v>98.25</v>
      </c>
      <c r="BL165" s="2" t="s">
        <v>16</v>
      </c>
      <c r="BM165" s="7">
        <v>1</v>
      </c>
      <c r="BN165" s="7">
        <v>1</v>
      </c>
      <c r="BO165" s="4">
        <v>3</v>
      </c>
      <c r="BP165" s="8">
        <v>98.25</v>
      </c>
      <c r="BQ165" s="4"/>
      <c r="BR165" s="8"/>
      <c r="BS165" s="7"/>
      <c r="BT165" s="7"/>
      <c r="BU165" s="2" t="s">
        <v>107</v>
      </c>
      <c r="BV165" s="2" t="s">
        <v>95</v>
      </c>
      <c r="BW165" s="2" t="s">
        <v>294</v>
      </c>
      <c r="BX165" s="2" t="s">
        <v>596</v>
      </c>
      <c r="BY165" s="2" t="s">
        <v>110</v>
      </c>
      <c r="BZ165" s="2" t="s">
        <v>98</v>
      </c>
    </row>
    <row r="166">
      <c r="A166" s="2" t="s">
        <v>597</v>
      </c>
      <c r="B166" s="2" t="s">
        <v>87</v>
      </c>
      <c r="C166" s="2" t="s">
        <v>88</v>
      </c>
      <c r="D166" s="2" t="s">
        <v>89</v>
      </c>
      <c r="E166" s="2" t="s">
        <v>90</v>
      </c>
      <c r="F166" s="2" t="s">
        <v>598</v>
      </c>
      <c r="G166" s="2" t="s">
        <v>598</v>
      </c>
      <c r="H166" s="2" t="s">
        <v>598</v>
      </c>
      <c r="I166" s="2" t="s">
        <v>599</v>
      </c>
      <c r="J166" s="2" t="s">
        <v>93</v>
      </c>
      <c r="K166" s="2" t="s">
        <v>600</v>
      </c>
      <c r="L166" s="3">
        <v>21.62</v>
      </c>
      <c r="M166" s="3">
        <v>22.7</v>
      </c>
      <c r="N166" s="3">
        <v>46.99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601</v>
      </c>
      <c r="T166" s="2" t="s">
        <v>602</v>
      </c>
      <c r="U166" s="2" t="s">
        <v>101</v>
      </c>
      <c r="V166" s="2" t="s">
        <v>336</v>
      </c>
      <c r="W166" s="2" t="s">
        <v>103</v>
      </c>
      <c r="X166" s="2" t="s">
        <v>603</v>
      </c>
      <c r="Y166" s="2" t="s">
        <v>604</v>
      </c>
      <c r="Z166" s="4">
        <v>149</v>
      </c>
      <c r="AA166" s="4">
        <f>=ROUNDDOWN(6.20833333333333,0)</f>
      </c>
      <c r="AB166" s="5">
        <v>24</v>
      </c>
      <c r="AC166" s="2" t="s">
        <v>98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>
        <v>21</v>
      </c>
      <c r="AQ166" s="8">
        <v>513.03</v>
      </c>
      <c r="AR166" s="4"/>
      <c r="AS166" s="8"/>
      <c r="AT166" s="7"/>
      <c r="AU166" s="7"/>
      <c r="AV166" s="4">
        <v>100</v>
      </c>
      <c r="AW166" s="8">
        <v>2947.44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0.1741</v>
      </c>
      <c r="BC166" s="4">
        <v>930</v>
      </c>
      <c r="BD166" s="8">
        <v>28986.41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0.1017</v>
      </c>
      <c r="BJ166" s="4">
        <v>41</v>
      </c>
      <c r="BK166" s="8">
        <v>1004.83</v>
      </c>
      <c r="BL166" s="2" t="s">
        <v>237</v>
      </c>
      <c r="BM166" s="7">
        <v>0.5122</v>
      </c>
      <c r="BN166" s="7">
        <v>0.5106</v>
      </c>
      <c r="BO166" s="4">
        <v>21</v>
      </c>
      <c r="BP166" s="8">
        <v>513.03</v>
      </c>
      <c r="BQ166" s="4"/>
      <c r="BR166" s="8"/>
      <c r="BS166" s="7"/>
      <c r="BT166" s="7"/>
      <c r="BU166" s="2" t="s">
        <v>107</v>
      </c>
      <c r="BV166" s="2" t="s">
        <v>95</v>
      </c>
      <c r="BW166" s="2" t="s">
        <v>605</v>
      </c>
      <c r="BX166" s="2" t="s">
        <v>109</v>
      </c>
      <c r="BY166" s="2" t="s">
        <v>110</v>
      </c>
      <c r="BZ166" s="2" t="s">
        <v>98</v>
      </c>
    </row>
    <row r="167">
      <c r="A167" s="2" t="s">
        <v>606</v>
      </c>
      <c r="B167" s="2" t="s">
        <v>87</v>
      </c>
      <c r="C167" s="2" t="s">
        <v>88</v>
      </c>
      <c r="D167" s="2" t="s">
        <v>89</v>
      </c>
      <c r="E167" s="2" t="s">
        <v>90</v>
      </c>
      <c r="F167" s="2" t="s">
        <v>598</v>
      </c>
      <c r="G167" s="2" t="s">
        <v>598</v>
      </c>
      <c r="H167" s="2" t="s">
        <v>598</v>
      </c>
      <c r="I167" s="2" t="s">
        <v>599</v>
      </c>
      <c r="J167" s="2" t="s">
        <v>112</v>
      </c>
      <c r="K167" s="2" t="s">
        <v>600</v>
      </c>
      <c r="L167" s="3">
        <v>23.04</v>
      </c>
      <c r="M167" s="3">
        <v>24.19</v>
      </c>
      <c r="N167" s="3">
        <v>47.99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601</v>
      </c>
      <c r="T167" s="2" t="s">
        <v>602</v>
      </c>
      <c r="U167" s="2" t="s">
        <v>101</v>
      </c>
      <c r="V167" s="2" t="s">
        <v>336</v>
      </c>
      <c r="W167" s="2" t="s">
        <v>103</v>
      </c>
      <c r="X167" s="2" t="s">
        <v>603</v>
      </c>
      <c r="Y167" s="2" t="s">
        <v>604</v>
      </c>
      <c r="Z167" s="4">
        <v>423</v>
      </c>
      <c r="AA167" s="4">
        <f>=ROUNDDOWN(128.181818181818,0)</f>
      </c>
      <c r="AB167" s="5">
        <v>3.3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>
        <v>9</v>
      </c>
      <c r="AQ167" s="8">
        <v>228.87</v>
      </c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0.0777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14</v>
      </c>
      <c r="BK167" s="8">
        <v>356.73</v>
      </c>
      <c r="BL167" s="2" t="s">
        <v>271</v>
      </c>
      <c r="BM167" s="7">
        <v>0.6429</v>
      </c>
      <c r="BN167" s="7">
        <v>0.6416</v>
      </c>
      <c r="BO167" s="4">
        <v>9</v>
      </c>
      <c r="BP167" s="8">
        <v>228.87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605</v>
      </c>
      <c r="BX167" s="2" t="s">
        <v>607</v>
      </c>
      <c r="BY167" s="2" t="s">
        <v>110</v>
      </c>
      <c r="BZ167" s="2" t="s">
        <v>98</v>
      </c>
    </row>
    <row r="168">
      <c r="A168" s="2" t="s">
        <v>608</v>
      </c>
      <c r="B168" s="2" t="s">
        <v>87</v>
      </c>
      <c r="C168" s="2" t="s">
        <v>88</v>
      </c>
      <c r="D168" s="2" t="s">
        <v>89</v>
      </c>
      <c r="E168" s="2" t="s">
        <v>90</v>
      </c>
      <c r="F168" s="2" t="s">
        <v>598</v>
      </c>
      <c r="G168" s="2" t="s">
        <v>598</v>
      </c>
      <c r="H168" s="2" t="s">
        <v>598</v>
      </c>
      <c r="I168" s="2" t="s">
        <v>599</v>
      </c>
      <c r="J168" s="2" t="s">
        <v>117</v>
      </c>
      <c r="K168" s="2" t="s">
        <v>600</v>
      </c>
      <c r="L168" s="3">
        <v>25.3</v>
      </c>
      <c r="M168" s="3">
        <v>26.57</v>
      </c>
      <c r="N168" s="3">
        <v>54.99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601</v>
      </c>
      <c r="T168" s="2" t="s">
        <v>602</v>
      </c>
      <c r="U168" s="2" t="s">
        <v>118</v>
      </c>
      <c r="V168" s="2" t="s">
        <v>336</v>
      </c>
      <c r="W168" s="2" t="s">
        <v>103</v>
      </c>
      <c r="X168" s="2" t="s">
        <v>603</v>
      </c>
      <c r="Y168" s="2" t="s">
        <v>604</v>
      </c>
      <c r="Z168" s="4">
        <v>478</v>
      </c>
      <c r="AA168" s="4">
        <f>=ROUNDDOWN(28.1176470588235,0)</f>
      </c>
      <c r="AB168" s="5">
        <v>17</v>
      </c>
      <c r="AC168" s="2" t="s">
        <v>98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/>
      <c r="AP168" s="4">
        <v>17</v>
      </c>
      <c r="AQ168" s="8">
        <v>486.03</v>
      </c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0.1649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40</v>
      </c>
      <c r="BK168" s="8">
        <v>1152.88</v>
      </c>
      <c r="BL168" s="2" t="s">
        <v>327</v>
      </c>
      <c r="BM168" s="7">
        <v>0.425</v>
      </c>
      <c r="BN168" s="7">
        <v>0.4216</v>
      </c>
      <c r="BO168" s="4">
        <v>17</v>
      </c>
      <c r="BP168" s="8">
        <v>486.03</v>
      </c>
      <c r="BQ168" s="4"/>
      <c r="BR168" s="8"/>
      <c r="BS168" s="7"/>
      <c r="BT168" s="7"/>
      <c r="BU168" s="2" t="s">
        <v>107</v>
      </c>
      <c r="BV168" s="2" t="s">
        <v>95</v>
      </c>
      <c r="BW168" s="2" t="s">
        <v>605</v>
      </c>
      <c r="BX168" s="2" t="s">
        <v>609</v>
      </c>
      <c r="BY168" s="2" t="s">
        <v>110</v>
      </c>
      <c r="BZ168" s="2" t="s">
        <v>98</v>
      </c>
    </row>
    <row r="169">
      <c r="A169" s="2" t="s">
        <v>610</v>
      </c>
      <c r="B169" s="2" t="s">
        <v>87</v>
      </c>
      <c r="C169" s="2" t="s">
        <v>88</v>
      </c>
      <c r="D169" s="2" t="s">
        <v>89</v>
      </c>
      <c r="E169" s="2" t="s">
        <v>90</v>
      </c>
      <c r="F169" s="2" t="s">
        <v>598</v>
      </c>
      <c r="G169" s="2" t="s">
        <v>598</v>
      </c>
      <c r="H169" s="2" t="s">
        <v>598</v>
      </c>
      <c r="I169" s="2" t="s">
        <v>599</v>
      </c>
      <c r="J169" s="2" t="s">
        <v>122</v>
      </c>
      <c r="K169" s="2" t="s">
        <v>600</v>
      </c>
      <c r="L169" s="3">
        <v>28.2</v>
      </c>
      <c r="M169" s="3">
        <v>29.61</v>
      </c>
      <c r="N169" s="3">
        <v>59.99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601</v>
      </c>
      <c r="T169" s="2" t="s">
        <v>602</v>
      </c>
      <c r="U169" s="2" t="s">
        <v>118</v>
      </c>
      <c r="V169" s="2" t="s">
        <v>336</v>
      </c>
      <c r="W169" s="2" t="s">
        <v>103</v>
      </c>
      <c r="X169" s="2" t="s">
        <v>603</v>
      </c>
      <c r="Y169" s="2" t="s">
        <v>604</v>
      </c>
      <c r="Z169" s="4">
        <v>748</v>
      </c>
      <c r="AA169" s="4">
        <f>=ROUNDDOWN(35.6190476190476,0)</f>
      </c>
      <c r="AB169" s="5">
        <v>21</v>
      </c>
      <c r="AC169" s="2" t="s">
        <v>98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/>
      <c r="AP169" s="4">
        <v>34</v>
      </c>
      <c r="AQ169" s="8">
        <v>1060.46</v>
      </c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0.3598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70</v>
      </c>
      <c r="BK169" s="8">
        <v>2193.13</v>
      </c>
      <c r="BL169" s="2" t="s">
        <v>137</v>
      </c>
      <c r="BM169" s="7">
        <v>0.4857</v>
      </c>
      <c r="BN169" s="7">
        <v>0.4835</v>
      </c>
      <c r="BO169" s="4">
        <v>34</v>
      </c>
      <c r="BP169" s="8">
        <v>1060.46</v>
      </c>
      <c r="BQ169" s="4"/>
      <c r="BR169" s="8"/>
      <c r="BS169" s="7"/>
      <c r="BT169" s="7"/>
      <c r="BU169" s="2" t="s">
        <v>107</v>
      </c>
      <c r="BV169" s="2" t="s">
        <v>95</v>
      </c>
      <c r="BW169" s="2" t="s">
        <v>605</v>
      </c>
      <c r="BX169" s="2" t="s">
        <v>115</v>
      </c>
      <c r="BY169" s="2" t="s">
        <v>110</v>
      </c>
      <c r="BZ169" s="2" t="s">
        <v>98</v>
      </c>
    </row>
    <row r="170">
      <c r="A170" s="2" t="s">
        <v>611</v>
      </c>
      <c r="B170" s="2" t="s">
        <v>87</v>
      </c>
      <c r="C170" s="2" t="s">
        <v>88</v>
      </c>
      <c r="D170" s="2" t="s">
        <v>89</v>
      </c>
      <c r="E170" s="2" t="s">
        <v>90</v>
      </c>
      <c r="F170" s="2" t="s">
        <v>598</v>
      </c>
      <c r="G170" s="2" t="s">
        <v>598</v>
      </c>
      <c r="H170" s="2" t="s">
        <v>598</v>
      </c>
      <c r="I170" s="2" t="s">
        <v>599</v>
      </c>
      <c r="J170" s="2" t="s">
        <v>125</v>
      </c>
      <c r="K170" s="2" t="s">
        <v>600</v>
      </c>
      <c r="L170" s="3">
        <v>31.2</v>
      </c>
      <c r="M170" s="3">
        <v>32.76</v>
      </c>
      <c r="N170" s="3">
        <v>64.99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601</v>
      </c>
      <c r="T170" s="2" t="s">
        <v>602</v>
      </c>
      <c r="U170" s="2" t="s">
        <v>118</v>
      </c>
      <c r="V170" s="2" t="s">
        <v>336</v>
      </c>
      <c r="W170" s="2" t="s">
        <v>103</v>
      </c>
      <c r="X170" s="2" t="s">
        <v>603</v>
      </c>
      <c r="Y170" s="2" t="s">
        <v>604</v>
      </c>
      <c r="Z170" s="4">
        <v>324</v>
      </c>
      <c r="AA170" s="4">
        <f>=ROUNDDOWN(24.9230769230769,0)</f>
      </c>
      <c r="AB170" s="5">
        <v>13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/>
      <c r="AP170" s="4">
        <v>12</v>
      </c>
      <c r="AQ170" s="8">
        <v>413.28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0.1402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41</v>
      </c>
      <c r="BK170" s="8">
        <v>1438.28</v>
      </c>
      <c r="BL170" s="2" t="s">
        <v>195</v>
      </c>
      <c r="BM170" s="7">
        <v>0.2927</v>
      </c>
      <c r="BN170" s="7">
        <v>0.2873</v>
      </c>
      <c r="BO170" s="4">
        <v>12</v>
      </c>
      <c r="BP170" s="8">
        <v>413.28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605</v>
      </c>
      <c r="BX170" s="2" t="s">
        <v>607</v>
      </c>
      <c r="BY170" s="2" t="s">
        <v>110</v>
      </c>
      <c r="BZ170" s="2" t="s">
        <v>98</v>
      </c>
    </row>
    <row r="171">
      <c r="A171" s="2" t="s">
        <v>612</v>
      </c>
      <c r="B171" s="2" t="s">
        <v>87</v>
      </c>
      <c r="C171" s="2" t="s">
        <v>88</v>
      </c>
      <c r="D171" s="2" t="s">
        <v>89</v>
      </c>
      <c r="E171" s="2" t="s">
        <v>90</v>
      </c>
      <c r="F171" s="2" t="s">
        <v>598</v>
      </c>
      <c r="G171" s="2" t="s">
        <v>598</v>
      </c>
      <c r="H171" s="2" t="s">
        <v>598</v>
      </c>
      <c r="I171" s="2" t="s">
        <v>599</v>
      </c>
      <c r="J171" s="2" t="s">
        <v>129</v>
      </c>
      <c r="K171" s="2" t="s">
        <v>600</v>
      </c>
      <c r="L171" s="3">
        <v>31.85</v>
      </c>
      <c r="M171" s="3">
        <v>33.44</v>
      </c>
      <c r="N171" s="3">
        <v>64.99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601</v>
      </c>
      <c r="T171" s="2" t="s">
        <v>602</v>
      </c>
      <c r="U171" s="2" t="s">
        <v>118</v>
      </c>
      <c r="V171" s="2" t="s">
        <v>336</v>
      </c>
      <c r="W171" s="2" t="s">
        <v>103</v>
      </c>
      <c r="X171" s="2" t="s">
        <v>603</v>
      </c>
      <c r="Y171" s="2" t="s">
        <v>604</v>
      </c>
      <c r="Z171" s="4">
        <v>97</v>
      </c>
      <c r="AA171" s="4">
        <f>=ROUNDDOWN(13.8571428571429,0)</f>
      </c>
      <c r="AB171" s="5">
        <v>7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/>
      <c r="AP171" s="4">
        <v>7</v>
      </c>
      <c r="AQ171" s="8">
        <v>245.77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0.0834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20</v>
      </c>
      <c r="BK171" s="8">
        <v>707.86</v>
      </c>
      <c r="BL171" s="2" t="s">
        <v>613</v>
      </c>
      <c r="BM171" s="7">
        <v>0.35</v>
      </c>
      <c r="BN171" s="7">
        <v>0.3472</v>
      </c>
      <c r="BO171" s="4">
        <v>7</v>
      </c>
      <c r="BP171" s="8">
        <v>245.77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605</v>
      </c>
      <c r="BX171" s="2" t="s">
        <v>614</v>
      </c>
      <c r="BY171" s="2" t="s">
        <v>110</v>
      </c>
      <c r="BZ171" s="2" t="s">
        <v>98</v>
      </c>
    </row>
    <row r="172">
      <c r="A172" s="2" t="s">
        <v>615</v>
      </c>
      <c r="B172" s="2" t="s">
        <v>87</v>
      </c>
      <c r="C172" s="2" t="s">
        <v>88</v>
      </c>
      <c r="D172" s="2" t="s">
        <v>89</v>
      </c>
      <c r="E172" s="2" t="s">
        <v>90</v>
      </c>
      <c r="F172" s="2" t="s">
        <v>598</v>
      </c>
      <c r="G172" s="2" t="s">
        <v>598</v>
      </c>
      <c r="H172" s="2" t="s">
        <v>598</v>
      </c>
      <c r="I172" s="2" t="s">
        <v>599</v>
      </c>
      <c r="J172" s="2" t="s">
        <v>93</v>
      </c>
      <c r="K172" s="2" t="s">
        <v>616</v>
      </c>
      <c r="L172" s="3">
        <v>21.62</v>
      </c>
      <c r="M172" s="3">
        <v>22.7</v>
      </c>
      <c r="N172" s="3">
        <v>46.99</v>
      </c>
      <c r="O172" s="2" t="s">
        <v>95</v>
      </c>
      <c r="P172" s="2" t="s">
        <v>156</v>
      </c>
      <c r="Q172" s="2" t="s">
        <v>97</v>
      </c>
      <c r="R172" s="2" t="s">
        <v>98</v>
      </c>
      <c r="S172" s="2" t="s">
        <v>617</v>
      </c>
      <c r="T172" s="2" t="s">
        <v>602</v>
      </c>
      <c r="U172" s="2" t="s">
        <v>101</v>
      </c>
      <c r="V172" s="2" t="s">
        <v>336</v>
      </c>
      <c r="W172" s="2" t="s">
        <v>103</v>
      </c>
      <c r="X172" s="2" t="s">
        <v>603</v>
      </c>
      <c r="Y172" s="2" t="s">
        <v>207</v>
      </c>
      <c r="Z172" s="4">
        <v>151</v>
      </c>
      <c r="AA172" s="4">
        <f>=ROUNDDOWN(10.0666666666667,0)</f>
      </c>
      <c r="AB172" s="5">
        <v>15</v>
      </c>
      <c r="AC172" s="2" t="s">
        <v>98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/>
      <c r="AP172" s="4">
        <v>9</v>
      </c>
      <c r="AQ172" s="8">
        <v>219.87</v>
      </c>
      <c r="AR172" s="4"/>
      <c r="AS172" s="8"/>
      <c r="AT172" s="7"/>
      <c r="AU172" s="7"/>
      <c r="AV172" s="4">
        <v>94</v>
      </c>
      <c r="AW172" s="8">
        <v>2932.77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0.075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0.1012</v>
      </c>
      <c r="BJ172" s="4">
        <v>10</v>
      </c>
      <c r="BK172" s="8">
        <v>243.65</v>
      </c>
      <c r="BL172" s="2" t="s">
        <v>618</v>
      </c>
      <c r="BM172" s="7">
        <v>0.9</v>
      </c>
      <c r="BN172" s="7">
        <v>0.9024</v>
      </c>
      <c r="BO172" s="4">
        <v>9</v>
      </c>
      <c r="BP172" s="8">
        <v>219.87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181</v>
      </c>
      <c r="BX172" s="2" t="s">
        <v>619</v>
      </c>
      <c r="BY172" s="2" t="s">
        <v>110</v>
      </c>
      <c r="BZ172" s="2" t="s">
        <v>98</v>
      </c>
    </row>
    <row r="173">
      <c r="A173" s="2" t="s">
        <v>620</v>
      </c>
      <c r="B173" s="2" t="s">
        <v>87</v>
      </c>
      <c r="C173" s="2" t="s">
        <v>88</v>
      </c>
      <c r="D173" s="2" t="s">
        <v>89</v>
      </c>
      <c r="E173" s="2" t="s">
        <v>90</v>
      </c>
      <c r="F173" s="2" t="s">
        <v>598</v>
      </c>
      <c r="G173" s="2" t="s">
        <v>598</v>
      </c>
      <c r="H173" s="2" t="s">
        <v>598</v>
      </c>
      <c r="I173" s="2" t="s">
        <v>599</v>
      </c>
      <c r="J173" s="2" t="s">
        <v>112</v>
      </c>
      <c r="K173" s="2" t="s">
        <v>616</v>
      </c>
      <c r="L173" s="3">
        <v>23.04</v>
      </c>
      <c r="M173" s="3">
        <v>24.19</v>
      </c>
      <c r="N173" s="3">
        <v>47.99</v>
      </c>
      <c r="O173" s="2" t="s">
        <v>95</v>
      </c>
      <c r="P173" s="2" t="s">
        <v>156</v>
      </c>
      <c r="Q173" s="2" t="s">
        <v>97</v>
      </c>
      <c r="R173" s="2" t="s">
        <v>98</v>
      </c>
      <c r="S173" s="2" t="s">
        <v>617</v>
      </c>
      <c r="T173" s="2" t="s">
        <v>602</v>
      </c>
      <c r="U173" s="2" t="s">
        <v>101</v>
      </c>
      <c r="V173" s="2" t="s">
        <v>336</v>
      </c>
      <c r="W173" s="2" t="s">
        <v>103</v>
      </c>
      <c r="X173" s="2" t="s">
        <v>603</v>
      </c>
      <c r="Y173" s="2" t="s">
        <v>207</v>
      </c>
      <c r="Z173" s="4">
        <v>46</v>
      </c>
      <c r="AA173" s="4">
        <f>=ROUNDDOWN(5.75,0)</f>
      </c>
      <c r="AB173" s="5">
        <v>8</v>
      </c>
      <c r="AC173" s="2" t="s">
        <v>98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3</v>
      </c>
      <c r="BK173" s="8">
        <v>77.09</v>
      </c>
      <c r="BL173" s="2" t="s">
        <v>621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95</v>
      </c>
      <c r="BW173" s="2" t="s">
        <v>181</v>
      </c>
      <c r="BX173" s="2" t="s">
        <v>622</v>
      </c>
      <c r="BY173" s="2" t="s">
        <v>110</v>
      </c>
      <c r="BZ173" s="2" t="s">
        <v>98</v>
      </c>
    </row>
    <row r="174">
      <c r="A174" s="2" t="s">
        <v>623</v>
      </c>
      <c r="B174" s="2" t="s">
        <v>87</v>
      </c>
      <c r="C174" s="2" t="s">
        <v>88</v>
      </c>
      <c r="D174" s="2" t="s">
        <v>89</v>
      </c>
      <c r="E174" s="2" t="s">
        <v>90</v>
      </c>
      <c r="F174" s="2" t="s">
        <v>598</v>
      </c>
      <c r="G174" s="2" t="s">
        <v>598</v>
      </c>
      <c r="H174" s="2" t="s">
        <v>598</v>
      </c>
      <c r="I174" s="2" t="s">
        <v>599</v>
      </c>
      <c r="J174" s="2" t="s">
        <v>117</v>
      </c>
      <c r="K174" s="2" t="s">
        <v>616</v>
      </c>
      <c r="L174" s="3">
        <v>25.3</v>
      </c>
      <c r="M174" s="3">
        <v>26.56</v>
      </c>
      <c r="N174" s="3">
        <v>54.99</v>
      </c>
      <c r="O174" s="2" t="s">
        <v>95</v>
      </c>
      <c r="P174" s="2" t="s">
        <v>156</v>
      </c>
      <c r="Q174" s="2" t="s">
        <v>97</v>
      </c>
      <c r="R174" s="2" t="s">
        <v>98</v>
      </c>
      <c r="S174" s="2" t="s">
        <v>617</v>
      </c>
      <c r="T174" s="2" t="s">
        <v>602</v>
      </c>
      <c r="U174" s="2" t="s">
        <v>118</v>
      </c>
      <c r="V174" s="2" t="s">
        <v>336</v>
      </c>
      <c r="W174" s="2" t="s">
        <v>103</v>
      </c>
      <c r="X174" s="2" t="s">
        <v>603</v>
      </c>
      <c r="Y174" s="2" t="s">
        <v>207</v>
      </c>
      <c r="Z174" s="4">
        <v>23</v>
      </c>
      <c r="AA174" s="4">
        <f>=ROUNDDOWN(1.64285714285714,0)</f>
      </c>
      <c r="AB174" s="5">
        <v>14</v>
      </c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/>
      <c r="AP174" s="4">
        <v>10</v>
      </c>
      <c r="AQ174" s="8">
        <v>285.9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0.0975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56</v>
      </c>
      <c r="BK174" s="8">
        <v>1553.61</v>
      </c>
      <c r="BL174" s="2" t="s">
        <v>490</v>
      </c>
      <c r="BM174" s="7">
        <v>0.1786</v>
      </c>
      <c r="BN174" s="7">
        <v>0.184</v>
      </c>
      <c r="BO174" s="4">
        <v>10</v>
      </c>
      <c r="BP174" s="8">
        <v>285.9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181</v>
      </c>
      <c r="BX174" s="2" t="s">
        <v>622</v>
      </c>
      <c r="BY174" s="2" t="s">
        <v>110</v>
      </c>
      <c r="BZ174" s="2" t="s">
        <v>98</v>
      </c>
    </row>
    <row r="175">
      <c r="A175" s="2" t="s">
        <v>624</v>
      </c>
      <c r="B175" s="2" t="s">
        <v>87</v>
      </c>
      <c r="C175" s="2" t="s">
        <v>88</v>
      </c>
      <c r="D175" s="2" t="s">
        <v>89</v>
      </c>
      <c r="E175" s="2" t="s">
        <v>90</v>
      </c>
      <c r="F175" s="2" t="s">
        <v>598</v>
      </c>
      <c r="G175" s="2" t="s">
        <v>598</v>
      </c>
      <c r="H175" s="2" t="s">
        <v>598</v>
      </c>
      <c r="I175" s="2" t="s">
        <v>599</v>
      </c>
      <c r="J175" s="2" t="s">
        <v>122</v>
      </c>
      <c r="K175" s="2" t="s">
        <v>616</v>
      </c>
      <c r="L175" s="3">
        <v>28.2</v>
      </c>
      <c r="M175" s="3">
        <v>29.61</v>
      </c>
      <c r="N175" s="3">
        <v>59.99</v>
      </c>
      <c r="O175" s="2" t="s">
        <v>95</v>
      </c>
      <c r="P175" s="2" t="s">
        <v>184</v>
      </c>
      <c r="Q175" s="2" t="s">
        <v>97</v>
      </c>
      <c r="R175" s="2" t="s">
        <v>98</v>
      </c>
      <c r="S175" s="2" t="s">
        <v>617</v>
      </c>
      <c r="T175" s="2" t="s">
        <v>602</v>
      </c>
      <c r="U175" s="2" t="s">
        <v>118</v>
      </c>
      <c r="V175" s="2" t="s">
        <v>336</v>
      </c>
      <c r="W175" s="2" t="s">
        <v>103</v>
      </c>
      <c r="X175" s="2" t="s">
        <v>603</v>
      </c>
      <c r="Y175" s="2" t="s">
        <v>207</v>
      </c>
      <c r="Z175" s="4">
        <v>115</v>
      </c>
      <c r="AA175" s="4">
        <f>=ROUNDDOWN(2.80487804878049,0)</f>
      </c>
      <c r="AB175" s="5">
        <v>41</v>
      </c>
      <c r="AC175" s="2" t="s">
        <v>98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/>
      <c r="AP175" s="4">
        <v>48</v>
      </c>
      <c r="AQ175" s="8">
        <v>1497.12</v>
      </c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0.5105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67</v>
      </c>
      <c r="BK175" s="8">
        <v>2087.78</v>
      </c>
      <c r="BL175" s="2" t="s">
        <v>625</v>
      </c>
      <c r="BM175" s="7">
        <v>0.7164</v>
      </c>
      <c r="BN175" s="7">
        <v>0.7171</v>
      </c>
      <c r="BO175" s="4">
        <v>48</v>
      </c>
      <c r="BP175" s="8">
        <v>1497.12</v>
      </c>
      <c r="BQ175" s="4"/>
      <c r="BR175" s="8"/>
      <c r="BS175" s="7"/>
      <c r="BT175" s="7"/>
      <c r="BU175" s="2" t="s">
        <v>107</v>
      </c>
      <c r="BV175" s="2" t="s">
        <v>95</v>
      </c>
      <c r="BW175" s="2" t="s">
        <v>181</v>
      </c>
      <c r="BX175" s="2" t="s">
        <v>626</v>
      </c>
      <c r="BY175" s="2" t="s">
        <v>110</v>
      </c>
      <c r="BZ175" s="2" t="s">
        <v>98</v>
      </c>
    </row>
    <row r="176">
      <c r="A176" s="2" t="s">
        <v>627</v>
      </c>
      <c r="B176" s="2" t="s">
        <v>87</v>
      </c>
      <c r="C176" s="2" t="s">
        <v>88</v>
      </c>
      <c r="D176" s="2" t="s">
        <v>89</v>
      </c>
      <c r="E176" s="2" t="s">
        <v>90</v>
      </c>
      <c r="F176" s="2" t="s">
        <v>598</v>
      </c>
      <c r="G176" s="2" t="s">
        <v>598</v>
      </c>
      <c r="H176" s="2" t="s">
        <v>598</v>
      </c>
      <c r="I176" s="2" t="s">
        <v>599</v>
      </c>
      <c r="J176" s="2" t="s">
        <v>125</v>
      </c>
      <c r="K176" s="2" t="s">
        <v>616</v>
      </c>
      <c r="L176" s="3">
        <v>31.2</v>
      </c>
      <c r="M176" s="3">
        <v>32.76</v>
      </c>
      <c r="N176" s="3">
        <v>64.99</v>
      </c>
      <c r="O176" s="2" t="s">
        <v>95</v>
      </c>
      <c r="P176" s="2" t="s">
        <v>168</v>
      </c>
      <c r="Q176" s="2" t="s">
        <v>97</v>
      </c>
      <c r="R176" s="2" t="s">
        <v>98</v>
      </c>
      <c r="S176" s="2" t="s">
        <v>617</v>
      </c>
      <c r="T176" s="2" t="s">
        <v>602</v>
      </c>
      <c r="U176" s="2" t="s">
        <v>118</v>
      </c>
      <c r="V176" s="2" t="s">
        <v>336</v>
      </c>
      <c r="W176" s="2" t="s">
        <v>103</v>
      </c>
      <c r="X176" s="2" t="s">
        <v>603</v>
      </c>
      <c r="Y176" s="2" t="s">
        <v>207</v>
      </c>
      <c r="Z176" s="4">
        <v>217</v>
      </c>
      <c r="AA176" s="4">
        <f>=ROUNDDOWN(10.3333333333333,0)</f>
      </c>
      <c r="AB176" s="5">
        <v>21</v>
      </c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/>
      <c r="AP176" s="4">
        <v>22</v>
      </c>
      <c r="AQ176" s="8">
        <v>757.68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0.2583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45</v>
      </c>
      <c r="BK176" s="8">
        <v>1541.96</v>
      </c>
      <c r="BL176" s="2" t="s">
        <v>628</v>
      </c>
      <c r="BM176" s="7">
        <v>0.4889</v>
      </c>
      <c r="BN176" s="7">
        <v>0.4914</v>
      </c>
      <c r="BO176" s="4">
        <v>22</v>
      </c>
      <c r="BP176" s="8">
        <v>757.68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181</v>
      </c>
      <c r="BX176" s="2" t="s">
        <v>481</v>
      </c>
      <c r="BY176" s="2" t="s">
        <v>110</v>
      </c>
      <c r="BZ176" s="2" t="s">
        <v>98</v>
      </c>
    </row>
    <row r="177">
      <c r="A177" s="2" t="s">
        <v>629</v>
      </c>
      <c r="B177" s="2" t="s">
        <v>87</v>
      </c>
      <c r="C177" s="2" t="s">
        <v>88</v>
      </c>
      <c r="D177" s="2" t="s">
        <v>89</v>
      </c>
      <c r="E177" s="2" t="s">
        <v>90</v>
      </c>
      <c r="F177" s="2" t="s">
        <v>598</v>
      </c>
      <c r="G177" s="2" t="s">
        <v>598</v>
      </c>
      <c r="H177" s="2" t="s">
        <v>598</v>
      </c>
      <c r="I177" s="2" t="s">
        <v>599</v>
      </c>
      <c r="J177" s="2" t="s">
        <v>129</v>
      </c>
      <c r="K177" s="2" t="s">
        <v>616</v>
      </c>
      <c r="L177" s="3">
        <v>31.85</v>
      </c>
      <c r="M177" s="3">
        <v>33.44</v>
      </c>
      <c r="N177" s="3">
        <v>64.99</v>
      </c>
      <c r="O177" s="2" t="s">
        <v>95</v>
      </c>
      <c r="P177" s="2" t="s">
        <v>156</v>
      </c>
      <c r="Q177" s="2" t="s">
        <v>97</v>
      </c>
      <c r="R177" s="2" t="s">
        <v>98</v>
      </c>
      <c r="S177" s="2" t="s">
        <v>617</v>
      </c>
      <c r="T177" s="2" t="s">
        <v>602</v>
      </c>
      <c r="U177" s="2" t="s">
        <v>118</v>
      </c>
      <c r="V177" s="2" t="s">
        <v>336</v>
      </c>
      <c r="W177" s="2" t="s">
        <v>103</v>
      </c>
      <c r="X177" s="2" t="s">
        <v>603</v>
      </c>
      <c r="Y177" s="2" t="s">
        <v>207</v>
      </c>
      <c r="Z177" s="4">
        <v>200</v>
      </c>
      <c r="AA177" s="4">
        <f>=ROUNDDOWN(33.3333333333333,0)</f>
      </c>
      <c r="AB177" s="5">
        <v>6</v>
      </c>
      <c r="AC177" s="2" t="s">
        <v>98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/>
      <c r="AP177" s="4">
        <v>5</v>
      </c>
      <c r="AQ177" s="8">
        <v>172.2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0.0587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12</v>
      </c>
      <c r="BK177" s="8">
        <v>410.54</v>
      </c>
      <c r="BL177" s="2" t="s">
        <v>630</v>
      </c>
      <c r="BM177" s="7">
        <v>0.4167</v>
      </c>
      <c r="BN177" s="7">
        <v>0.4194</v>
      </c>
      <c r="BO177" s="4">
        <v>5</v>
      </c>
      <c r="BP177" s="8">
        <v>172.2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181</v>
      </c>
      <c r="BX177" s="2" t="s">
        <v>631</v>
      </c>
      <c r="BY177" s="2" t="s">
        <v>110</v>
      </c>
      <c r="BZ177" s="2" t="s">
        <v>98</v>
      </c>
    </row>
    <row r="178">
      <c r="A178" s="2" t="s">
        <v>632</v>
      </c>
      <c r="B178" s="2" t="s">
        <v>87</v>
      </c>
      <c r="C178" s="2" t="s">
        <v>88</v>
      </c>
      <c r="D178" s="2" t="s">
        <v>89</v>
      </c>
      <c r="E178" s="2" t="s">
        <v>90</v>
      </c>
      <c r="F178" s="2" t="s">
        <v>598</v>
      </c>
      <c r="G178" s="2" t="s">
        <v>598</v>
      </c>
      <c r="H178" s="2" t="s">
        <v>598</v>
      </c>
      <c r="I178" s="2" t="s">
        <v>599</v>
      </c>
      <c r="J178" s="2" t="s">
        <v>93</v>
      </c>
      <c r="K178" s="2" t="s">
        <v>633</v>
      </c>
      <c r="L178" s="3">
        <v>21.62</v>
      </c>
      <c r="M178" s="3">
        <v>22.7</v>
      </c>
      <c r="N178" s="3">
        <v>46.99</v>
      </c>
      <c r="O178" s="2" t="s">
        <v>95</v>
      </c>
      <c r="P178" s="2" t="s">
        <v>156</v>
      </c>
      <c r="Q178" s="2" t="s">
        <v>97</v>
      </c>
      <c r="R178" s="2" t="s">
        <v>98</v>
      </c>
      <c r="S178" s="2" t="s">
        <v>634</v>
      </c>
      <c r="T178" s="2" t="s">
        <v>602</v>
      </c>
      <c r="U178" s="2" t="s">
        <v>101</v>
      </c>
      <c r="V178" s="2" t="s">
        <v>336</v>
      </c>
      <c r="W178" s="2" t="s">
        <v>103</v>
      </c>
      <c r="X178" s="2" t="s">
        <v>603</v>
      </c>
      <c r="Y178" s="2" t="s">
        <v>207</v>
      </c>
      <c r="Z178" s="4">
        <v>372</v>
      </c>
      <c r="AA178" s="4">
        <f>=ROUNDDOWN(23.25,0)</f>
      </c>
      <c r="AB178" s="5">
        <v>16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/>
      <c r="AP178" s="4">
        <v>12</v>
      </c>
      <c r="AQ178" s="8">
        <v>293.16</v>
      </c>
      <c r="AR178" s="4"/>
      <c r="AS178" s="8"/>
      <c r="AT178" s="7"/>
      <c r="AU178" s="7"/>
      <c r="AV178" s="4">
        <v>93</v>
      </c>
      <c r="AW178" s="8">
        <v>2851.47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0.1028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0.0984</v>
      </c>
      <c r="BJ178" s="4">
        <v>22</v>
      </c>
      <c r="BK178" s="8">
        <v>530.33</v>
      </c>
      <c r="BL178" s="2" t="s">
        <v>141</v>
      </c>
      <c r="BM178" s="7">
        <v>0.5455</v>
      </c>
      <c r="BN178" s="7">
        <v>0.5528</v>
      </c>
      <c r="BO178" s="4">
        <v>12</v>
      </c>
      <c r="BP178" s="8">
        <v>293.16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181</v>
      </c>
      <c r="BX178" s="2" t="s">
        <v>385</v>
      </c>
      <c r="BY178" s="2" t="s">
        <v>110</v>
      </c>
      <c r="BZ178" s="2" t="s">
        <v>98</v>
      </c>
    </row>
    <row r="179">
      <c r="A179" s="2" t="s">
        <v>635</v>
      </c>
      <c r="B179" s="2" t="s">
        <v>87</v>
      </c>
      <c r="C179" s="2" t="s">
        <v>88</v>
      </c>
      <c r="D179" s="2" t="s">
        <v>89</v>
      </c>
      <c r="E179" s="2" t="s">
        <v>90</v>
      </c>
      <c r="F179" s="2" t="s">
        <v>598</v>
      </c>
      <c r="G179" s="2" t="s">
        <v>598</v>
      </c>
      <c r="H179" s="2" t="s">
        <v>598</v>
      </c>
      <c r="I179" s="2" t="s">
        <v>599</v>
      </c>
      <c r="J179" s="2" t="s">
        <v>112</v>
      </c>
      <c r="K179" s="2" t="s">
        <v>633</v>
      </c>
      <c r="L179" s="3">
        <v>23.04</v>
      </c>
      <c r="M179" s="3">
        <v>24.19</v>
      </c>
      <c r="N179" s="3">
        <v>47.99</v>
      </c>
      <c r="O179" s="2" t="s">
        <v>95</v>
      </c>
      <c r="P179" s="2" t="s">
        <v>156</v>
      </c>
      <c r="Q179" s="2" t="s">
        <v>97</v>
      </c>
      <c r="R179" s="2" t="s">
        <v>98</v>
      </c>
      <c r="S179" s="2" t="s">
        <v>634</v>
      </c>
      <c r="T179" s="2" t="s">
        <v>602</v>
      </c>
      <c r="U179" s="2" t="s">
        <v>101</v>
      </c>
      <c r="V179" s="2" t="s">
        <v>336</v>
      </c>
      <c r="W179" s="2" t="s">
        <v>103</v>
      </c>
      <c r="X179" s="2" t="s">
        <v>603</v>
      </c>
      <c r="Y179" s="2" t="s">
        <v>207</v>
      </c>
      <c r="Z179" s="4">
        <v>62</v>
      </c>
      <c r="AA179" s="4">
        <f>=ROUNDDOWN(3.44444444444444,0)</f>
      </c>
      <c r="AB179" s="5">
        <v>18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/>
      <c r="AP179" s="4">
        <v>8</v>
      </c>
      <c r="AQ179" s="8">
        <v>203.44</v>
      </c>
      <c r="AR179" s="4"/>
      <c r="AS179" s="8"/>
      <c r="AT179" s="7"/>
      <c r="AU179" s="7"/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0.0713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25</v>
      </c>
      <c r="BK179" s="8">
        <v>633.24</v>
      </c>
      <c r="BL179" s="2" t="s">
        <v>141</v>
      </c>
      <c r="BM179" s="7">
        <v>0.32</v>
      </c>
      <c r="BN179" s="7">
        <v>0.3213</v>
      </c>
      <c r="BO179" s="4">
        <v>8</v>
      </c>
      <c r="BP179" s="8">
        <v>203.44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181</v>
      </c>
      <c r="BX179" s="2" t="s">
        <v>385</v>
      </c>
      <c r="BY179" s="2" t="s">
        <v>110</v>
      </c>
      <c r="BZ179" s="2" t="s">
        <v>98</v>
      </c>
    </row>
    <row r="180">
      <c r="A180" s="2" t="s">
        <v>636</v>
      </c>
      <c r="B180" s="2" t="s">
        <v>87</v>
      </c>
      <c r="C180" s="2" t="s">
        <v>88</v>
      </c>
      <c r="D180" s="2" t="s">
        <v>89</v>
      </c>
      <c r="E180" s="2" t="s">
        <v>90</v>
      </c>
      <c r="F180" s="2" t="s">
        <v>598</v>
      </c>
      <c r="G180" s="2" t="s">
        <v>598</v>
      </c>
      <c r="H180" s="2" t="s">
        <v>598</v>
      </c>
      <c r="I180" s="2" t="s">
        <v>599</v>
      </c>
      <c r="J180" s="2" t="s">
        <v>117</v>
      </c>
      <c r="K180" s="2" t="s">
        <v>633</v>
      </c>
      <c r="L180" s="3">
        <v>25.3</v>
      </c>
      <c r="M180" s="3">
        <v>26.56</v>
      </c>
      <c r="N180" s="3">
        <v>54.99</v>
      </c>
      <c r="O180" s="2" t="s">
        <v>95</v>
      </c>
      <c r="P180" s="2" t="s">
        <v>156</v>
      </c>
      <c r="Q180" s="2" t="s">
        <v>97</v>
      </c>
      <c r="R180" s="2" t="s">
        <v>98</v>
      </c>
      <c r="S180" s="2" t="s">
        <v>634</v>
      </c>
      <c r="T180" s="2" t="s">
        <v>602</v>
      </c>
      <c r="U180" s="2" t="s">
        <v>118</v>
      </c>
      <c r="V180" s="2" t="s">
        <v>336</v>
      </c>
      <c r="W180" s="2" t="s">
        <v>103</v>
      </c>
      <c r="X180" s="2" t="s">
        <v>603</v>
      </c>
      <c r="Y180" s="2" t="s">
        <v>207</v>
      </c>
      <c r="Z180" s="4">
        <v>1</v>
      </c>
      <c r="AA180" s="4">
        <f>=ROUNDDOWN(0.0588235294117647,0)</f>
      </c>
      <c r="AB180" s="5">
        <v>17</v>
      </c>
      <c r="AC180" s="2" t="s">
        <v>98</v>
      </c>
      <c r="AD180" s="4"/>
      <c r="AE180" s="4"/>
      <c r="AF180" s="6">
        <v>65</v>
      </c>
      <c r="AG180" s="6"/>
      <c r="AH180" s="7">
        <v>0.1429</v>
      </c>
      <c r="AI180" s="4"/>
      <c r="AJ180" s="4">
        <f>=ROUNDDOWN({0},0)</f>
      </c>
      <c r="AK180" s="5"/>
      <c r="AL180" s="2" t="s">
        <v>98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4</v>
      </c>
      <c r="BK180" s="8">
        <v>110.16</v>
      </c>
      <c r="BL180" s="2" t="s">
        <v>405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181</v>
      </c>
      <c r="BX180" s="2" t="s">
        <v>637</v>
      </c>
      <c r="BY180" s="2" t="s">
        <v>110</v>
      </c>
      <c r="BZ180" s="2" t="s">
        <v>98</v>
      </c>
    </row>
    <row r="181">
      <c r="A181" s="2" t="s">
        <v>638</v>
      </c>
      <c r="B181" s="2" t="s">
        <v>87</v>
      </c>
      <c r="C181" s="2" t="s">
        <v>88</v>
      </c>
      <c r="D181" s="2" t="s">
        <v>89</v>
      </c>
      <c r="E181" s="2" t="s">
        <v>90</v>
      </c>
      <c r="F181" s="2" t="s">
        <v>598</v>
      </c>
      <c r="G181" s="2" t="s">
        <v>598</v>
      </c>
      <c r="H181" s="2" t="s">
        <v>598</v>
      </c>
      <c r="I181" s="2" t="s">
        <v>599</v>
      </c>
      <c r="J181" s="2" t="s">
        <v>122</v>
      </c>
      <c r="K181" s="2" t="s">
        <v>633</v>
      </c>
      <c r="L181" s="3">
        <v>28.2</v>
      </c>
      <c r="M181" s="3">
        <v>29.61</v>
      </c>
      <c r="N181" s="3">
        <v>59.99</v>
      </c>
      <c r="O181" s="2" t="s">
        <v>95</v>
      </c>
      <c r="P181" s="2" t="s">
        <v>211</v>
      </c>
      <c r="Q181" s="2" t="s">
        <v>97</v>
      </c>
      <c r="R181" s="2" t="s">
        <v>98</v>
      </c>
      <c r="S181" s="2" t="s">
        <v>634</v>
      </c>
      <c r="T181" s="2" t="s">
        <v>602</v>
      </c>
      <c r="U181" s="2" t="s">
        <v>118</v>
      </c>
      <c r="V181" s="2" t="s">
        <v>336</v>
      </c>
      <c r="W181" s="2" t="s">
        <v>103</v>
      </c>
      <c r="X181" s="2" t="s">
        <v>603</v>
      </c>
      <c r="Y181" s="2" t="s">
        <v>207</v>
      </c>
      <c r="Z181" s="4">
        <v>1516</v>
      </c>
      <c r="AA181" s="4">
        <f>=ROUNDDOWN(35.2558139534884,0)</f>
      </c>
      <c r="AB181" s="5">
        <v>43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/>
      <c r="AP181" s="4">
        <v>49</v>
      </c>
      <c r="AQ181" s="8">
        <v>1528.31</v>
      </c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0.536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 t="s">
        <v>98</v>
      </c>
      <c r="BJ181" s="4">
        <v>94</v>
      </c>
      <c r="BK181" s="8">
        <v>2923</v>
      </c>
      <c r="BL181" s="2" t="s">
        <v>427</v>
      </c>
      <c r="BM181" s="7">
        <v>0.5213</v>
      </c>
      <c r="BN181" s="7">
        <v>0.5229</v>
      </c>
      <c r="BO181" s="4">
        <v>49</v>
      </c>
      <c r="BP181" s="8">
        <v>1528.31</v>
      </c>
      <c r="BQ181" s="4"/>
      <c r="BR181" s="8"/>
      <c r="BS181" s="7"/>
      <c r="BT181" s="7"/>
      <c r="BU181" s="2" t="s">
        <v>107</v>
      </c>
      <c r="BV181" s="2" t="s">
        <v>95</v>
      </c>
      <c r="BW181" s="2" t="s">
        <v>181</v>
      </c>
      <c r="BX181" s="2" t="s">
        <v>639</v>
      </c>
      <c r="BY181" s="2" t="s">
        <v>110</v>
      </c>
      <c r="BZ181" s="2" t="s">
        <v>98</v>
      </c>
    </row>
    <row r="182">
      <c r="A182" s="2" t="s">
        <v>640</v>
      </c>
      <c r="B182" s="2" t="s">
        <v>87</v>
      </c>
      <c r="C182" s="2" t="s">
        <v>88</v>
      </c>
      <c r="D182" s="2" t="s">
        <v>89</v>
      </c>
      <c r="E182" s="2" t="s">
        <v>90</v>
      </c>
      <c r="F182" s="2" t="s">
        <v>598</v>
      </c>
      <c r="G182" s="2" t="s">
        <v>598</v>
      </c>
      <c r="H182" s="2" t="s">
        <v>598</v>
      </c>
      <c r="I182" s="2" t="s">
        <v>599</v>
      </c>
      <c r="J182" s="2" t="s">
        <v>125</v>
      </c>
      <c r="K182" s="2" t="s">
        <v>633</v>
      </c>
      <c r="L182" s="3">
        <v>31.2</v>
      </c>
      <c r="M182" s="3">
        <v>32.76</v>
      </c>
      <c r="N182" s="3">
        <v>64.99</v>
      </c>
      <c r="O182" s="2" t="s">
        <v>95</v>
      </c>
      <c r="P182" s="2" t="s">
        <v>184</v>
      </c>
      <c r="Q182" s="2" t="s">
        <v>97</v>
      </c>
      <c r="R182" s="2" t="s">
        <v>98</v>
      </c>
      <c r="S182" s="2" t="s">
        <v>634</v>
      </c>
      <c r="T182" s="2" t="s">
        <v>602</v>
      </c>
      <c r="U182" s="2" t="s">
        <v>118</v>
      </c>
      <c r="V182" s="2" t="s">
        <v>336</v>
      </c>
      <c r="W182" s="2" t="s">
        <v>103</v>
      </c>
      <c r="X182" s="2" t="s">
        <v>603</v>
      </c>
      <c r="Y182" s="2" t="s">
        <v>207</v>
      </c>
      <c r="Z182" s="4">
        <v>671</v>
      </c>
      <c r="AA182" s="4">
        <f>=ROUNDDOWN(24.8518518518519,0)</f>
      </c>
      <c r="AB182" s="5">
        <v>27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/>
      <c r="AP182" s="4">
        <v>15</v>
      </c>
      <c r="AQ182" s="8">
        <v>516.6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0.1812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37</v>
      </c>
      <c r="BK182" s="8">
        <v>1263.52</v>
      </c>
      <c r="BL182" s="2" t="s">
        <v>641</v>
      </c>
      <c r="BM182" s="7">
        <v>0.4054</v>
      </c>
      <c r="BN182" s="7">
        <v>0.4089</v>
      </c>
      <c r="BO182" s="4">
        <v>15</v>
      </c>
      <c r="BP182" s="8">
        <v>516.6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181</v>
      </c>
      <c r="BX182" s="2" t="s">
        <v>637</v>
      </c>
      <c r="BY182" s="2" t="s">
        <v>110</v>
      </c>
      <c r="BZ182" s="2" t="s">
        <v>98</v>
      </c>
    </row>
    <row r="183">
      <c r="A183" s="2" t="s">
        <v>642</v>
      </c>
      <c r="B183" s="2" t="s">
        <v>87</v>
      </c>
      <c r="C183" s="2" t="s">
        <v>88</v>
      </c>
      <c r="D183" s="2" t="s">
        <v>89</v>
      </c>
      <c r="E183" s="2" t="s">
        <v>90</v>
      </c>
      <c r="F183" s="2" t="s">
        <v>598</v>
      </c>
      <c r="G183" s="2" t="s">
        <v>598</v>
      </c>
      <c r="H183" s="2" t="s">
        <v>598</v>
      </c>
      <c r="I183" s="2" t="s">
        <v>599</v>
      </c>
      <c r="J183" s="2" t="s">
        <v>129</v>
      </c>
      <c r="K183" s="2" t="s">
        <v>633</v>
      </c>
      <c r="L183" s="3">
        <v>31.85</v>
      </c>
      <c r="M183" s="3">
        <v>33.44</v>
      </c>
      <c r="N183" s="3">
        <v>64.99</v>
      </c>
      <c r="O183" s="2" t="s">
        <v>95</v>
      </c>
      <c r="P183" s="2" t="s">
        <v>168</v>
      </c>
      <c r="Q183" s="2" t="s">
        <v>97</v>
      </c>
      <c r="R183" s="2" t="s">
        <v>98</v>
      </c>
      <c r="S183" s="2" t="s">
        <v>634</v>
      </c>
      <c r="T183" s="2" t="s">
        <v>602</v>
      </c>
      <c r="U183" s="2" t="s">
        <v>118</v>
      </c>
      <c r="V183" s="2" t="s">
        <v>336</v>
      </c>
      <c r="W183" s="2" t="s">
        <v>103</v>
      </c>
      <c r="X183" s="2" t="s">
        <v>603</v>
      </c>
      <c r="Y183" s="2" t="s">
        <v>207</v>
      </c>
      <c r="Z183" s="4">
        <v>257</v>
      </c>
      <c r="AA183" s="4">
        <f>=ROUNDDOWN(16.0625,0)</f>
      </c>
      <c r="AB183" s="5">
        <v>16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/>
      <c r="AP183" s="4">
        <v>9</v>
      </c>
      <c r="AQ183" s="8">
        <v>309.96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0.1087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19</v>
      </c>
      <c r="BK183" s="8">
        <v>658.89</v>
      </c>
      <c r="BL183" s="2" t="s">
        <v>237</v>
      </c>
      <c r="BM183" s="7">
        <v>0.4737</v>
      </c>
      <c r="BN183" s="7">
        <v>0.4704</v>
      </c>
      <c r="BO183" s="4">
        <v>9</v>
      </c>
      <c r="BP183" s="8">
        <v>309.96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181</v>
      </c>
      <c r="BX183" s="2" t="s">
        <v>643</v>
      </c>
      <c r="BY183" s="2" t="s">
        <v>110</v>
      </c>
      <c r="BZ183" s="2" t="s">
        <v>98</v>
      </c>
    </row>
    <row r="184">
      <c r="A184" s="2" t="s">
        <v>644</v>
      </c>
      <c r="B184" s="2" t="s">
        <v>87</v>
      </c>
      <c r="C184" s="2" t="s">
        <v>88</v>
      </c>
      <c r="D184" s="2" t="s">
        <v>89</v>
      </c>
      <c r="E184" s="2" t="s">
        <v>90</v>
      </c>
      <c r="F184" s="2" t="s">
        <v>598</v>
      </c>
      <c r="G184" s="2" t="s">
        <v>598</v>
      </c>
      <c r="H184" s="2" t="s">
        <v>598</v>
      </c>
      <c r="I184" s="2" t="s">
        <v>599</v>
      </c>
      <c r="J184" s="2" t="s">
        <v>93</v>
      </c>
      <c r="K184" s="2" t="s">
        <v>645</v>
      </c>
      <c r="L184" s="3">
        <v>21.62</v>
      </c>
      <c r="M184" s="3">
        <v>22.7</v>
      </c>
      <c r="N184" s="3">
        <v>46.99</v>
      </c>
      <c r="O184" s="2" t="s">
        <v>95</v>
      </c>
      <c r="P184" s="2" t="s">
        <v>156</v>
      </c>
      <c r="Q184" s="2" t="s">
        <v>97</v>
      </c>
      <c r="R184" s="2" t="s">
        <v>98</v>
      </c>
      <c r="S184" s="2" t="s">
        <v>646</v>
      </c>
      <c r="T184" s="2" t="s">
        <v>602</v>
      </c>
      <c r="U184" s="2" t="s">
        <v>101</v>
      </c>
      <c r="V184" s="2" t="s">
        <v>336</v>
      </c>
      <c r="W184" s="2" t="s">
        <v>103</v>
      </c>
      <c r="X184" s="2" t="s">
        <v>603</v>
      </c>
      <c r="Y184" s="2" t="s">
        <v>207</v>
      </c>
      <c r="Z184" s="4">
        <v>9</v>
      </c>
      <c r="AA184" s="4">
        <f>=ROUNDDOWN(1,0)</f>
      </c>
      <c r="AB184" s="5">
        <v>9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/>
      <c r="AP184" s="4">
        <v>10</v>
      </c>
      <c r="AQ184" s="8">
        <v>244.3</v>
      </c>
      <c r="AR184" s="4"/>
      <c r="AS184" s="8"/>
      <c r="AT184" s="7"/>
      <c r="AU184" s="7"/>
      <c r="AV184" s="4">
        <v>80</v>
      </c>
      <c r="AW184" s="8">
        <v>2493.05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0.098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0.086</v>
      </c>
      <c r="BJ184" s="4">
        <v>12</v>
      </c>
      <c r="BK184" s="8">
        <v>290.74</v>
      </c>
      <c r="BL184" s="2" t="s">
        <v>647</v>
      </c>
      <c r="BM184" s="7">
        <v>0.8333</v>
      </c>
      <c r="BN184" s="7">
        <v>0.8403</v>
      </c>
      <c r="BO184" s="4">
        <v>10</v>
      </c>
      <c r="BP184" s="8">
        <v>244.3</v>
      </c>
      <c r="BQ184" s="4"/>
      <c r="BR184" s="8"/>
      <c r="BS184" s="7"/>
      <c r="BT184" s="7"/>
      <c r="BU184" s="2" t="s">
        <v>107</v>
      </c>
      <c r="BV184" s="2" t="s">
        <v>95</v>
      </c>
      <c r="BW184" s="2" t="s">
        <v>181</v>
      </c>
      <c r="BX184" s="2" t="s">
        <v>648</v>
      </c>
      <c r="BY184" s="2" t="s">
        <v>110</v>
      </c>
      <c r="BZ184" s="2" t="s">
        <v>98</v>
      </c>
    </row>
    <row r="185">
      <c r="A185" s="2" t="s">
        <v>649</v>
      </c>
      <c r="B185" s="2" t="s">
        <v>87</v>
      </c>
      <c r="C185" s="2" t="s">
        <v>88</v>
      </c>
      <c r="D185" s="2" t="s">
        <v>89</v>
      </c>
      <c r="E185" s="2" t="s">
        <v>90</v>
      </c>
      <c r="F185" s="2" t="s">
        <v>598</v>
      </c>
      <c r="G185" s="2" t="s">
        <v>598</v>
      </c>
      <c r="H185" s="2" t="s">
        <v>598</v>
      </c>
      <c r="I185" s="2" t="s">
        <v>599</v>
      </c>
      <c r="J185" s="2" t="s">
        <v>112</v>
      </c>
      <c r="K185" s="2" t="s">
        <v>645</v>
      </c>
      <c r="L185" s="3">
        <v>23.04</v>
      </c>
      <c r="M185" s="3">
        <v>24.19</v>
      </c>
      <c r="N185" s="3">
        <v>47.99</v>
      </c>
      <c r="O185" s="2" t="s">
        <v>95</v>
      </c>
      <c r="P185" s="2" t="s">
        <v>156</v>
      </c>
      <c r="Q185" s="2" t="s">
        <v>97</v>
      </c>
      <c r="R185" s="2" t="s">
        <v>98</v>
      </c>
      <c r="S185" s="2" t="s">
        <v>646</v>
      </c>
      <c r="T185" s="2" t="s">
        <v>602</v>
      </c>
      <c r="U185" s="2" t="s">
        <v>101</v>
      </c>
      <c r="V185" s="2" t="s">
        <v>336</v>
      </c>
      <c r="W185" s="2" t="s">
        <v>103</v>
      </c>
      <c r="X185" s="2" t="s">
        <v>603</v>
      </c>
      <c r="Y185" s="2" t="s">
        <v>207</v>
      </c>
      <c r="Z185" s="4">
        <v>68</v>
      </c>
      <c r="AA185" s="4">
        <f>=ROUNDDOWN(8.5,0)</f>
      </c>
      <c r="AB185" s="5">
        <v>8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/>
      <c r="AP185" s="4">
        <v>5</v>
      </c>
      <c r="AQ185" s="8">
        <v>127.15</v>
      </c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0.051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>
        <v>14</v>
      </c>
      <c r="BK185" s="8">
        <v>355.33</v>
      </c>
      <c r="BL185" s="2" t="s">
        <v>650</v>
      </c>
      <c r="BM185" s="7">
        <v>0.3571</v>
      </c>
      <c r="BN185" s="7">
        <v>0.3578</v>
      </c>
      <c r="BO185" s="4">
        <v>5</v>
      </c>
      <c r="BP185" s="8">
        <v>127.15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181</v>
      </c>
      <c r="BX185" s="2" t="s">
        <v>385</v>
      </c>
      <c r="BY185" s="2" t="s">
        <v>110</v>
      </c>
      <c r="BZ185" s="2" t="s">
        <v>98</v>
      </c>
    </row>
    <row r="186">
      <c r="A186" s="2" t="s">
        <v>651</v>
      </c>
      <c r="B186" s="2" t="s">
        <v>87</v>
      </c>
      <c r="C186" s="2" t="s">
        <v>88</v>
      </c>
      <c r="D186" s="2" t="s">
        <v>89</v>
      </c>
      <c r="E186" s="2" t="s">
        <v>90</v>
      </c>
      <c r="F186" s="2" t="s">
        <v>598</v>
      </c>
      <c r="G186" s="2" t="s">
        <v>598</v>
      </c>
      <c r="H186" s="2" t="s">
        <v>598</v>
      </c>
      <c r="I186" s="2" t="s">
        <v>599</v>
      </c>
      <c r="J186" s="2" t="s">
        <v>117</v>
      </c>
      <c r="K186" s="2" t="s">
        <v>645</v>
      </c>
      <c r="L186" s="3">
        <v>25.3</v>
      </c>
      <c r="M186" s="3">
        <v>26.56</v>
      </c>
      <c r="N186" s="3">
        <v>54.99</v>
      </c>
      <c r="O186" s="2" t="s">
        <v>95</v>
      </c>
      <c r="P186" s="2" t="s">
        <v>156</v>
      </c>
      <c r="Q186" s="2" t="s">
        <v>97</v>
      </c>
      <c r="R186" s="2" t="s">
        <v>98</v>
      </c>
      <c r="S186" s="2" t="s">
        <v>646</v>
      </c>
      <c r="T186" s="2" t="s">
        <v>602</v>
      </c>
      <c r="U186" s="2" t="s">
        <v>118</v>
      </c>
      <c r="V186" s="2" t="s">
        <v>336</v>
      </c>
      <c r="W186" s="2" t="s">
        <v>103</v>
      </c>
      <c r="X186" s="2" t="s">
        <v>603</v>
      </c>
      <c r="Y186" s="2" t="s">
        <v>207</v>
      </c>
      <c r="Z186" s="4">
        <v>12</v>
      </c>
      <c r="AA186" s="4">
        <f>=ROUNDDOWN(1,0)</f>
      </c>
      <c r="AB186" s="5">
        <v>12</v>
      </c>
      <c r="AC186" s="2" t="s">
        <v>98</v>
      </c>
      <c r="AD186" s="4"/>
      <c r="AE186" s="4"/>
      <c r="AF186" s="6">
        <v>65</v>
      </c>
      <c r="AG186" s="6"/>
      <c r="AH186" s="7">
        <v>0.2857</v>
      </c>
      <c r="AI186" s="4"/>
      <c r="AJ186" s="4">
        <f>=ROUNDDOWN({0},0)</f>
      </c>
      <c r="AK186" s="5"/>
      <c r="AL186" s="2" t="s">
        <v>98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</v>
      </c>
      <c r="BK186" s="8">
        <v>55.08</v>
      </c>
      <c r="BL186" s="2" t="s">
        <v>405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181</v>
      </c>
      <c r="BX186" s="2" t="s">
        <v>648</v>
      </c>
      <c r="BY186" s="2" t="s">
        <v>110</v>
      </c>
      <c r="BZ186" s="2" t="s">
        <v>98</v>
      </c>
    </row>
    <row r="187">
      <c r="A187" s="2" t="s">
        <v>652</v>
      </c>
      <c r="B187" s="2" t="s">
        <v>87</v>
      </c>
      <c r="C187" s="2" t="s">
        <v>88</v>
      </c>
      <c r="D187" s="2" t="s">
        <v>89</v>
      </c>
      <c r="E187" s="2" t="s">
        <v>90</v>
      </c>
      <c r="F187" s="2" t="s">
        <v>598</v>
      </c>
      <c r="G187" s="2" t="s">
        <v>598</v>
      </c>
      <c r="H187" s="2" t="s">
        <v>598</v>
      </c>
      <c r="I187" s="2" t="s">
        <v>599</v>
      </c>
      <c r="J187" s="2" t="s">
        <v>122</v>
      </c>
      <c r="K187" s="2" t="s">
        <v>645</v>
      </c>
      <c r="L187" s="3">
        <v>28.2</v>
      </c>
      <c r="M187" s="3">
        <v>29.61</v>
      </c>
      <c r="N187" s="3">
        <v>59.99</v>
      </c>
      <c r="O187" s="2" t="s">
        <v>95</v>
      </c>
      <c r="P187" s="2" t="s">
        <v>184</v>
      </c>
      <c r="Q187" s="2" t="s">
        <v>97</v>
      </c>
      <c r="R187" s="2" t="s">
        <v>98</v>
      </c>
      <c r="S187" s="2" t="s">
        <v>646</v>
      </c>
      <c r="T187" s="2" t="s">
        <v>602</v>
      </c>
      <c r="U187" s="2" t="s">
        <v>118</v>
      </c>
      <c r="V187" s="2" t="s">
        <v>336</v>
      </c>
      <c r="W187" s="2" t="s">
        <v>103</v>
      </c>
      <c r="X187" s="2" t="s">
        <v>603</v>
      </c>
      <c r="Y187" s="2" t="s">
        <v>207</v>
      </c>
      <c r="Z187" s="4">
        <v>115</v>
      </c>
      <c r="AA187" s="4">
        <f>=ROUNDDOWN(3.59375,0)</f>
      </c>
      <c r="AB187" s="5">
        <v>32</v>
      </c>
      <c r="AC187" s="2" t="s">
        <v>98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/>
      <c r="AP187" s="4">
        <v>36</v>
      </c>
      <c r="AQ187" s="8">
        <v>1122.84</v>
      </c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0.4504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66</v>
      </c>
      <c r="BK187" s="8">
        <v>2046.7</v>
      </c>
      <c r="BL187" s="2" t="s">
        <v>653</v>
      </c>
      <c r="BM187" s="7">
        <v>0.5455</v>
      </c>
      <c r="BN187" s="7">
        <v>0.5486</v>
      </c>
      <c r="BO187" s="4">
        <v>36</v>
      </c>
      <c r="BP187" s="8">
        <v>1122.84</v>
      </c>
      <c r="BQ187" s="4"/>
      <c r="BR187" s="8"/>
      <c r="BS187" s="7"/>
      <c r="BT187" s="7"/>
      <c r="BU187" s="2" t="s">
        <v>107</v>
      </c>
      <c r="BV187" s="2" t="s">
        <v>95</v>
      </c>
      <c r="BW187" s="2" t="s">
        <v>181</v>
      </c>
      <c r="BX187" s="2" t="s">
        <v>619</v>
      </c>
      <c r="BY187" s="2" t="s">
        <v>110</v>
      </c>
      <c r="BZ187" s="2" t="s">
        <v>98</v>
      </c>
    </row>
    <row r="188">
      <c r="A188" s="2" t="s">
        <v>654</v>
      </c>
      <c r="B188" s="2" t="s">
        <v>87</v>
      </c>
      <c r="C188" s="2" t="s">
        <v>88</v>
      </c>
      <c r="D188" s="2" t="s">
        <v>89</v>
      </c>
      <c r="E188" s="2" t="s">
        <v>90</v>
      </c>
      <c r="F188" s="2" t="s">
        <v>598</v>
      </c>
      <c r="G188" s="2" t="s">
        <v>598</v>
      </c>
      <c r="H188" s="2" t="s">
        <v>598</v>
      </c>
      <c r="I188" s="2" t="s">
        <v>599</v>
      </c>
      <c r="J188" s="2" t="s">
        <v>125</v>
      </c>
      <c r="K188" s="2" t="s">
        <v>645</v>
      </c>
      <c r="L188" s="3">
        <v>31.2</v>
      </c>
      <c r="M188" s="3">
        <v>32.76</v>
      </c>
      <c r="N188" s="3">
        <v>64.99</v>
      </c>
      <c r="O188" s="2" t="s">
        <v>95</v>
      </c>
      <c r="P188" s="2" t="s">
        <v>168</v>
      </c>
      <c r="Q188" s="2" t="s">
        <v>97</v>
      </c>
      <c r="R188" s="2" t="s">
        <v>98</v>
      </c>
      <c r="S188" s="2" t="s">
        <v>646</v>
      </c>
      <c r="T188" s="2" t="s">
        <v>602</v>
      </c>
      <c r="U188" s="2" t="s">
        <v>118</v>
      </c>
      <c r="V188" s="2" t="s">
        <v>336</v>
      </c>
      <c r="W188" s="2" t="s">
        <v>103</v>
      </c>
      <c r="X188" s="2" t="s">
        <v>603</v>
      </c>
      <c r="Y188" s="2" t="s">
        <v>207</v>
      </c>
      <c r="Z188" s="4">
        <v>154</v>
      </c>
      <c r="AA188" s="4">
        <f>=ROUNDDOWN(9.625,0)</f>
      </c>
      <c r="AB188" s="5">
        <v>16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/>
      <c r="AP188" s="4">
        <v>25</v>
      </c>
      <c r="AQ188" s="8">
        <v>861</v>
      </c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0.3454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44</v>
      </c>
      <c r="BK188" s="8">
        <v>1505.2</v>
      </c>
      <c r="BL188" s="2" t="s">
        <v>655</v>
      </c>
      <c r="BM188" s="7">
        <v>0.5682</v>
      </c>
      <c r="BN188" s="7">
        <v>0.572</v>
      </c>
      <c r="BO188" s="4">
        <v>25</v>
      </c>
      <c r="BP188" s="8">
        <v>861</v>
      </c>
      <c r="BQ188" s="4"/>
      <c r="BR188" s="8"/>
      <c r="BS188" s="7"/>
      <c r="BT188" s="7"/>
      <c r="BU188" s="2" t="s">
        <v>107</v>
      </c>
      <c r="BV188" s="2" t="s">
        <v>95</v>
      </c>
      <c r="BW188" s="2" t="s">
        <v>181</v>
      </c>
      <c r="BX188" s="2" t="s">
        <v>656</v>
      </c>
      <c r="BY188" s="2" t="s">
        <v>110</v>
      </c>
      <c r="BZ188" s="2" t="s">
        <v>98</v>
      </c>
    </row>
    <row r="189">
      <c r="A189" s="2" t="s">
        <v>657</v>
      </c>
      <c r="B189" s="2" t="s">
        <v>87</v>
      </c>
      <c r="C189" s="2" t="s">
        <v>88</v>
      </c>
      <c r="D189" s="2" t="s">
        <v>89</v>
      </c>
      <c r="E189" s="2" t="s">
        <v>90</v>
      </c>
      <c r="F189" s="2" t="s">
        <v>598</v>
      </c>
      <c r="G189" s="2" t="s">
        <v>598</v>
      </c>
      <c r="H189" s="2" t="s">
        <v>598</v>
      </c>
      <c r="I189" s="2" t="s">
        <v>599</v>
      </c>
      <c r="J189" s="2" t="s">
        <v>129</v>
      </c>
      <c r="K189" s="2" t="s">
        <v>645</v>
      </c>
      <c r="L189" s="3">
        <v>31.85</v>
      </c>
      <c r="M189" s="3">
        <v>33.44</v>
      </c>
      <c r="N189" s="3">
        <v>64.99</v>
      </c>
      <c r="O189" s="2" t="s">
        <v>95</v>
      </c>
      <c r="P189" s="2" t="s">
        <v>156</v>
      </c>
      <c r="Q189" s="2" t="s">
        <v>97</v>
      </c>
      <c r="R189" s="2" t="s">
        <v>98</v>
      </c>
      <c r="S189" s="2" t="s">
        <v>646</v>
      </c>
      <c r="T189" s="2" t="s">
        <v>602</v>
      </c>
      <c r="U189" s="2" t="s">
        <v>118</v>
      </c>
      <c r="V189" s="2" t="s">
        <v>336</v>
      </c>
      <c r="W189" s="2" t="s">
        <v>103</v>
      </c>
      <c r="X189" s="2" t="s">
        <v>603</v>
      </c>
      <c r="Y189" s="2" t="s">
        <v>207</v>
      </c>
      <c r="Z189" s="4">
        <v>34</v>
      </c>
      <c r="AA189" s="4">
        <f>=ROUNDDOWN(3.77777777777778,0)</f>
      </c>
      <c r="AB189" s="5">
        <v>9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/>
      <c r="AP189" s="4">
        <v>4</v>
      </c>
      <c r="AQ189" s="8">
        <v>137.76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0.0553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7</v>
      </c>
      <c r="BK189" s="8">
        <v>239.45</v>
      </c>
      <c r="BL189" s="2" t="s">
        <v>260</v>
      </c>
      <c r="BM189" s="7">
        <v>0.5714</v>
      </c>
      <c r="BN189" s="7">
        <v>0.5753</v>
      </c>
      <c r="BO189" s="4">
        <v>4</v>
      </c>
      <c r="BP189" s="8">
        <v>137.76</v>
      </c>
      <c r="BQ189" s="4"/>
      <c r="BR189" s="8"/>
      <c r="BS189" s="7"/>
      <c r="BT189" s="7"/>
      <c r="BU189" s="2" t="s">
        <v>107</v>
      </c>
      <c r="BV189" s="2" t="s">
        <v>95</v>
      </c>
      <c r="BW189" s="2" t="s">
        <v>181</v>
      </c>
      <c r="BX189" s="2" t="s">
        <v>395</v>
      </c>
      <c r="BY189" s="2" t="s">
        <v>110</v>
      </c>
      <c r="BZ189" s="2" t="s">
        <v>98</v>
      </c>
    </row>
    <row r="190">
      <c r="A190" s="2" t="s">
        <v>658</v>
      </c>
      <c r="B190" s="2" t="s">
        <v>87</v>
      </c>
      <c r="C190" s="2" t="s">
        <v>88</v>
      </c>
      <c r="D190" s="2" t="s">
        <v>89</v>
      </c>
      <c r="E190" s="2" t="s">
        <v>90</v>
      </c>
      <c r="F190" s="2" t="s">
        <v>598</v>
      </c>
      <c r="G190" s="2" t="s">
        <v>598</v>
      </c>
      <c r="H190" s="2" t="s">
        <v>598</v>
      </c>
      <c r="I190" s="2" t="s">
        <v>599</v>
      </c>
      <c r="J190" s="2" t="s">
        <v>93</v>
      </c>
      <c r="K190" s="2" t="s">
        <v>659</v>
      </c>
      <c r="L190" s="3">
        <v>21.62</v>
      </c>
      <c r="M190" s="3">
        <v>22.7</v>
      </c>
      <c r="N190" s="3">
        <v>46.99</v>
      </c>
      <c r="O190" s="2" t="s">
        <v>95</v>
      </c>
      <c r="P190" s="2" t="s">
        <v>156</v>
      </c>
      <c r="Q190" s="2" t="s">
        <v>97</v>
      </c>
      <c r="R190" s="2" t="s">
        <v>98</v>
      </c>
      <c r="S190" s="2" t="s">
        <v>660</v>
      </c>
      <c r="T190" s="2" t="s">
        <v>602</v>
      </c>
      <c r="U190" s="2" t="s">
        <v>101</v>
      </c>
      <c r="V190" s="2" t="s">
        <v>336</v>
      </c>
      <c r="W190" s="2" t="s">
        <v>103</v>
      </c>
      <c r="X190" s="2" t="s">
        <v>603</v>
      </c>
      <c r="Y190" s="2" t="s">
        <v>207</v>
      </c>
      <c r="Z190" s="4">
        <v>101</v>
      </c>
      <c r="AA190" s="4">
        <f>=ROUNDDOWN(7.76923076923077,0)</f>
      </c>
      <c r="AB190" s="5">
        <v>13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/>
      <c r="AP190" s="4">
        <v>15</v>
      </c>
      <c r="AQ190" s="8">
        <v>366.45</v>
      </c>
      <c r="AR190" s="4"/>
      <c r="AS190" s="8"/>
      <c r="AT190" s="7"/>
      <c r="AU190" s="7"/>
      <c r="AV190" s="4">
        <v>78</v>
      </c>
      <c r="AW190" s="8">
        <v>2282.83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0.1605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0.0788</v>
      </c>
      <c r="BJ190" s="4">
        <v>25</v>
      </c>
      <c r="BK190" s="8">
        <v>603.62</v>
      </c>
      <c r="BL190" s="2" t="s">
        <v>141</v>
      </c>
      <c r="BM190" s="7">
        <v>0.6</v>
      </c>
      <c r="BN190" s="7">
        <v>0.6071</v>
      </c>
      <c r="BO190" s="4">
        <v>15</v>
      </c>
      <c r="BP190" s="8">
        <v>366.45</v>
      </c>
      <c r="BQ190" s="4"/>
      <c r="BR190" s="8"/>
      <c r="BS190" s="7"/>
      <c r="BT190" s="7"/>
      <c r="BU190" s="2" t="s">
        <v>107</v>
      </c>
      <c r="BV190" s="2" t="s">
        <v>95</v>
      </c>
      <c r="BW190" s="2" t="s">
        <v>181</v>
      </c>
      <c r="BX190" s="2" t="s">
        <v>385</v>
      </c>
      <c r="BY190" s="2" t="s">
        <v>110</v>
      </c>
      <c r="BZ190" s="2" t="s">
        <v>98</v>
      </c>
    </row>
    <row r="191">
      <c r="A191" s="2" t="s">
        <v>661</v>
      </c>
      <c r="B191" s="2" t="s">
        <v>87</v>
      </c>
      <c r="C191" s="2" t="s">
        <v>88</v>
      </c>
      <c r="D191" s="2" t="s">
        <v>89</v>
      </c>
      <c r="E191" s="2" t="s">
        <v>90</v>
      </c>
      <c r="F191" s="2" t="s">
        <v>598</v>
      </c>
      <c r="G191" s="2" t="s">
        <v>598</v>
      </c>
      <c r="H191" s="2" t="s">
        <v>598</v>
      </c>
      <c r="I191" s="2" t="s">
        <v>599</v>
      </c>
      <c r="J191" s="2" t="s">
        <v>112</v>
      </c>
      <c r="K191" s="2" t="s">
        <v>659</v>
      </c>
      <c r="L191" s="3">
        <v>23.04</v>
      </c>
      <c r="M191" s="3">
        <v>24.19</v>
      </c>
      <c r="N191" s="3">
        <v>47.99</v>
      </c>
      <c r="O191" s="2" t="s">
        <v>95</v>
      </c>
      <c r="P191" s="2" t="s">
        <v>156</v>
      </c>
      <c r="Q191" s="2" t="s">
        <v>97</v>
      </c>
      <c r="R191" s="2" t="s">
        <v>98</v>
      </c>
      <c r="S191" s="2" t="s">
        <v>660</v>
      </c>
      <c r="T191" s="2" t="s">
        <v>602</v>
      </c>
      <c r="U191" s="2" t="s">
        <v>101</v>
      </c>
      <c r="V191" s="2" t="s">
        <v>336</v>
      </c>
      <c r="W191" s="2" t="s">
        <v>103</v>
      </c>
      <c r="X191" s="2" t="s">
        <v>603</v>
      </c>
      <c r="Y191" s="2" t="s">
        <v>207</v>
      </c>
      <c r="Z191" s="4"/>
      <c r="AA191" s="4">
        <f>=ROUNDDOWN({0},0)</f>
      </c>
      <c r="AB191" s="5">
        <v>23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/>
      <c r="AP191" s="4">
        <v>9</v>
      </c>
      <c r="AQ191" s="8">
        <v>228.87</v>
      </c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0.1003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17</v>
      </c>
      <c r="BK191" s="8">
        <v>431.83</v>
      </c>
      <c r="BL191" s="2" t="s">
        <v>650</v>
      </c>
      <c r="BM191" s="7">
        <v>0.5294</v>
      </c>
      <c r="BN191" s="7">
        <v>0.53</v>
      </c>
      <c r="BO191" s="4">
        <v>9</v>
      </c>
      <c r="BP191" s="8">
        <v>228.87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181</v>
      </c>
      <c r="BX191" s="2" t="s">
        <v>631</v>
      </c>
      <c r="BY191" s="2" t="s">
        <v>110</v>
      </c>
      <c r="BZ191" s="2" t="s">
        <v>98</v>
      </c>
    </row>
    <row r="192">
      <c r="A192" s="2" t="s">
        <v>662</v>
      </c>
      <c r="B192" s="2" t="s">
        <v>87</v>
      </c>
      <c r="C192" s="2" t="s">
        <v>88</v>
      </c>
      <c r="D192" s="2" t="s">
        <v>89</v>
      </c>
      <c r="E192" s="2" t="s">
        <v>90</v>
      </c>
      <c r="F192" s="2" t="s">
        <v>598</v>
      </c>
      <c r="G192" s="2" t="s">
        <v>598</v>
      </c>
      <c r="H192" s="2" t="s">
        <v>598</v>
      </c>
      <c r="I192" s="2" t="s">
        <v>599</v>
      </c>
      <c r="J192" s="2" t="s">
        <v>117</v>
      </c>
      <c r="K192" s="2" t="s">
        <v>659</v>
      </c>
      <c r="L192" s="3">
        <v>25.3</v>
      </c>
      <c r="M192" s="3">
        <v>26.56</v>
      </c>
      <c r="N192" s="3">
        <v>54.99</v>
      </c>
      <c r="O192" s="2" t="s">
        <v>95</v>
      </c>
      <c r="P192" s="2" t="s">
        <v>168</v>
      </c>
      <c r="Q192" s="2" t="s">
        <v>97</v>
      </c>
      <c r="R192" s="2" t="s">
        <v>98</v>
      </c>
      <c r="S192" s="2" t="s">
        <v>660</v>
      </c>
      <c r="T192" s="2" t="s">
        <v>602</v>
      </c>
      <c r="U192" s="2" t="s">
        <v>118</v>
      </c>
      <c r="V192" s="2" t="s">
        <v>336</v>
      </c>
      <c r="W192" s="2" t="s">
        <v>103</v>
      </c>
      <c r="X192" s="2" t="s">
        <v>603</v>
      </c>
      <c r="Y192" s="2" t="s">
        <v>207</v>
      </c>
      <c r="Z192" s="4">
        <v>240</v>
      </c>
      <c r="AA192" s="4">
        <f>=ROUNDDOWN(16,0)</f>
      </c>
      <c r="AB192" s="5">
        <v>15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/>
      <c r="AP192" s="4">
        <v>15</v>
      </c>
      <c r="AQ192" s="8">
        <v>428.85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0.1879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48</v>
      </c>
      <c r="BK192" s="8">
        <v>1344.8</v>
      </c>
      <c r="BL192" s="2" t="s">
        <v>663</v>
      </c>
      <c r="BM192" s="7">
        <v>0.3125</v>
      </c>
      <c r="BN192" s="7">
        <v>0.3189</v>
      </c>
      <c r="BO192" s="4">
        <v>15</v>
      </c>
      <c r="BP192" s="8">
        <v>428.85</v>
      </c>
      <c r="BQ192" s="4"/>
      <c r="BR192" s="8"/>
      <c r="BS192" s="7"/>
      <c r="BT192" s="7"/>
      <c r="BU192" s="2" t="s">
        <v>107</v>
      </c>
      <c r="BV192" s="2" t="s">
        <v>95</v>
      </c>
      <c r="BW192" s="2" t="s">
        <v>181</v>
      </c>
      <c r="BX192" s="2" t="s">
        <v>664</v>
      </c>
      <c r="BY192" s="2" t="s">
        <v>110</v>
      </c>
      <c r="BZ192" s="2" t="s">
        <v>98</v>
      </c>
    </row>
    <row r="193">
      <c r="A193" s="2" t="s">
        <v>665</v>
      </c>
      <c r="B193" s="2" t="s">
        <v>87</v>
      </c>
      <c r="C193" s="2" t="s">
        <v>88</v>
      </c>
      <c r="D193" s="2" t="s">
        <v>89</v>
      </c>
      <c r="E193" s="2" t="s">
        <v>90</v>
      </c>
      <c r="F193" s="2" t="s">
        <v>598</v>
      </c>
      <c r="G193" s="2" t="s">
        <v>598</v>
      </c>
      <c r="H193" s="2" t="s">
        <v>598</v>
      </c>
      <c r="I193" s="2" t="s">
        <v>599</v>
      </c>
      <c r="J193" s="2" t="s">
        <v>122</v>
      </c>
      <c r="K193" s="2" t="s">
        <v>659</v>
      </c>
      <c r="L193" s="3">
        <v>28.2</v>
      </c>
      <c r="M193" s="3">
        <v>29.61</v>
      </c>
      <c r="N193" s="3">
        <v>59.99</v>
      </c>
      <c r="O193" s="2" t="s">
        <v>95</v>
      </c>
      <c r="P193" s="2" t="s">
        <v>177</v>
      </c>
      <c r="Q193" s="2" t="s">
        <v>97</v>
      </c>
      <c r="R193" s="2" t="s">
        <v>98</v>
      </c>
      <c r="S193" s="2" t="s">
        <v>660</v>
      </c>
      <c r="T193" s="2" t="s">
        <v>602</v>
      </c>
      <c r="U193" s="2" t="s">
        <v>118</v>
      </c>
      <c r="V193" s="2" t="s">
        <v>336</v>
      </c>
      <c r="W193" s="2" t="s">
        <v>103</v>
      </c>
      <c r="X193" s="2" t="s">
        <v>603</v>
      </c>
      <c r="Y193" s="2" t="s">
        <v>207</v>
      </c>
      <c r="Z193" s="4">
        <v>165</v>
      </c>
      <c r="AA193" s="4">
        <f>=ROUNDDOWN(3.51063829787234,0)</f>
      </c>
      <c r="AB193" s="5">
        <v>47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/>
      <c r="AP193" s="4">
        <v>26</v>
      </c>
      <c r="AQ193" s="8">
        <v>810.94</v>
      </c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0.3552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75</v>
      </c>
      <c r="BK193" s="8">
        <v>2321.77</v>
      </c>
      <c r="BL193" s="2" t="s">
        <v>666</v>
      </c>
      <c r="BM193" s="7">
        <v>0.3467</v>
      </c>
      <c r="BN193" s="7">
        <v>0.3493</v>
      </c>
      <c r="BO193" s="4">
        <v>26</v>
      </c>
      <c r="BP193" s="8">
        <v>810.94</v>
      </c>
      <c r="BQ193" s="4"/>
      <c r="BR193" s="8"/>
      <c r="BS193" s="7"/>
      <c r="BT193" s="7"/>
      <c r="BU193" s="2" t="s">
        <v>107</v>
      </c>
      <c r="BV193" s="2" t="s">
        <v>95</v>
      </c>
      <c r="BW193" s="2" t="s">
        <v>181</v>
      </c>
      <c r="BX193" s="2" t="s">
        <v>385</v>
      </c>
      <c r="BY193" s="2" t="s">
        <v>110</v>
      </c>
      <c r="BZ193" s="2" t="s">
        <v>98</v>
      </c>
    </row>
    <row r="194">
      <c r="A194" s="2" t="s">
        <v>667</v>
      </c>
      <c r="B194" s="2" t="s">
        <v>87</v>
      </c>
      <c r="C194" s="2" t="s">
        <v>88</v>
      </c>
      <c r="D194" s="2" t="s">
        <v>89</v>
      </c>
      <c r="E194" s="2" t="s">
        <v>90</v>
      </c>
      <c r="F194" s="2" t="s">
        <v>598</v>
      </c>
      <c r="G194" s="2" t="s">
        <v>598</v>
      </c>
      <c r="H194" s="2" t="s">
        <v>598</v>
      </c>
      <c r="I194" s="2" t="s">
        <v>599</v>
      </c>
      <c r="J194" s="2" t="s">
        <v>125</v>
      </c>
      <c r="K194" s="2" t="s">
        <v>659</v>
      </c>
      <c r="L194" s="3">
        <v>31.2</v>
      </c>
      <c r="M194" s="3">
        <v>32.76</v>
      </c>
      <c r="N194" s="3">
        <v>64.99</v>
      </c>
      <c r="O194" s="2" t="s">
        <v>95</v>
      </c>
      <c r="P194" s="2" t="s">
        <v>156</v>
      </c>
      <c r="Q194" s="2" t="s">
        <v>97</v>
      </c>
      <c r="R194" s="2" t="s">
        <v>98</v>
      </c>
      <c r="S194" s="2" t="s">
        <v>660</v>
      </c>
      <c r="T194" s="2" t="s">
        <v>602</v>
      </c>
      <c r="U194" s="2" t="s">
        <v>118</v>
      </c>
      <c r="V194" s="2" t="s">
        <v>336</v>
      </c>
      <c r="W194" s="2" t="s">
        <v>103</v>
      </c>
      <c r="X194" s="2" t="s">
        <v>603</v>
      </c>
      <c r="Y194" s="2" t="s">
        <v>207</v>
      </c>
      <c r="Z194" s="4">
        <v>233</v>
      </c>
      <c r="AA194" s="4">
        <f>=ROUNDDOWN(9.32,0)</f>
      </c>
      <c r="AB194" s="5">
        <v>25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/>
      <c r="AP194" s="4">
        <v>8</v>
      </c>
      <c r="AQ194" s="8">
        <v>275.52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0.1207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18</v>
      </c>
      <c r="BK194" s="8">
        <v>616.35</v>
      </c>
      <c r="BL194" s="2" t="s">
        <v>417</v>
      </c>
      <c r="BM194" s="7">
        <v>0.4444</v>
      </c>
      <c r="BN194" s="7">
        <v>0.447</v>
      </c>
      <c r="BO194" s="4">
        <v>8</v>
      </c>
      <c r="BP194" s="8">
        <v>275.52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181</v>
      </c>
      <c r="BX194" s="2" t="s">
        <v>668</v>
      </c>
      <c r="BY194" s="2" t="s">
        <v>110</v>
      </c>
      <c r="BZ194" s="2" t="s">
        <v>98</v>
      </c>
    </row>
    <row r="195">
      <c r="A195" s="2" t="s">
        <v>669</v>
      </c>
      <c r="B195" s="2" t="s">
        <v>87</v>
      </c>
      <c r="C195" s="2" t="s">
        <v>88</v>
      </c>
      <c r="D195" s="2" t="s">
        <v>89</v>
      </c>
      <c r="E195" s="2" t="s">
        <v>90</v>
      </c>
      <c r="F195" s="2" t="s">
        <v>598</v>
      </c>
      <c r="G195" s="2" t="s">
        <v>598</v>
      </c>
      <c r="H195" s="2" t="s">
        <v>598</v>
      </c>
      <c r="I195" s="2" t="s">
        <v>599</v>
      </c>
      <c r="J195" s="2" t="s">
        <v>129</v>
      </c>
      <c r="K195" s="2" t="s">
        <v>659</v>
      </c>
      <c r="L195" s="3">
        <v>31.85</v>
      </c>
      <c r="M195" s="3">
        <v>33.44</v>
      </c>
      <c r="N195" s="3">
        <v>64.99</v>
      </c>
      <c r="O195" s="2" t="s">
        <v>95</v>
      </c>
      <c r="P195" s="2" t="s">
        <v>156</v>
      </c>
      <c r="Q195" s="2" t="s">
        <v>97</v>
      </c>
      <c r="R195" s="2" t="s">
        <v>98</v>
      </c>
      <c r="S195" s="2" t="s">
        <v>660</v>
      </c>
      <c r="T195" s="2" t="s">
        <v>602</v>
      </c>
      <c r="U195" s="2" t="s">
        <v>118</v>
      </c>
      <c r="V195" s="2" t="s">
        <v>336</v>
      </c>
      <c r="W195" s="2" t="s">
        <v>103</v>
      </c>
      <c r="X195" s="2" t="s">
        <v>603</v>
      </c>
      <c r="Y195" s="2" t="s">
        <v>207</v>
      </c>
      <c r="Z195" s="4">
        <v>102</v>
      </c>
      <c r="AA195" s="4">
        <f>=ROUNDDOWN(17,0)</f>
      </c>
      <c r="AB195" s="5">
        <v>6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/>
      <c r="AP195" s="4">
        <v>5</v>
      </c>
      <c r="AQ195" s="8">
        <v>172.2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0.0754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11</v>
      </c>
      <c r="BK195" s="8">
        <v>380.2</v>
      </c>
      <c r="BL195" s="2" t="s">
        <v>237</v>
      </c>
      <c r="BM195" s="7">
        <v>0.4545</v>
      </c>
      <c r="BN195" s="7">
        <v>0.4529</v>
      </c>
      <c r="BO195" s="4">
        <v>5</v>
      </c>
      <c r="BP195" s="8">
        <v>172.2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181</v>
      </c>
      <c r="BX195" s="2" t="s">
        <v>622</v>
      </c>
      <c r="BY195" s="2" t="s">
        <v>110</v>
      </c>
      <c r="BZ195" s="2" t="s">
        <v>98</v>
      </c>
    </row>
    <row r="196">
      <c r="A196" s="2" t="s">
        <v>670</v>
      </c>
      <c r="B196" s="2" t="s">
        <v>87</v>
      </c>
      <c r="C196" s="2" t="s">
        <v>88</v>
      </c>
      <c r="D196" s="2" t="s">
        <v>89</v>
      </c>
      <c r="E196" s="2" t="s">
        <v>90</v>
      </c>
      <c r="F196" s="2" t="s">
        <v>598</v>
      </c>
      <c r="G196" s="2" t="s">
        <v>598</v>
      </c>
      <c r="H196" s="2" t="s">
        <v>598</v>
      </c>
      <c r="I196" s="2" t="s">
        <v>599</v>
      </c>
      <c r="J196" s="2" t="s">
        <v>93</v>
      </c>
      <c r="K196" s="2" t="s">
        <v>546</v>
      </c>
      <c r="L196" s="3">
        <v>24</v>
      </c>
      <c r="M196" s="3">
        <v>25.2</v>
      </c>
      <c r="N196" s="3">
        <v>49.99</v>
      </c>
      <c r="O196" s="2" t="s">
        <v>95</v>
      </c>
      <c r="P196" s="2" t="s">
        <v>156</v>
      </c>
      <c r="Q196" s="2" t="s">
        <v>97</v>
      </c>
      <c r="R196" s="2" t="s">
        <v>98</v>
      </c>
      <c r="S196" s="2" t="s">
        <v>671</v>
      </c>
      <c r="T196" s="2" t="s">
        <v>602</v>
      </c>
      <c r="U196" s="2" t="s">
        <v>101</v>
      </c>
      <c r="V196" s="2" t="s">
        <v>548</v>
      </c>
      <c r="W196" s="2" t="s">
        <v>103</v>
      </c>
      <c r="X196" s="2" t="s">
        <v>603</v>
      </c>
      <c r="Y196" s="2" t="s">
        <v>672</v>
      </c>
      <c r="Z196" s="4">
        <v>95</v>
      </c>
      <c r="AA196" s="4">
        <f>=ROUNDDOWN(23.75,0)</f>
      </c>
      <c r="AB196" s="5">
        <v>4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/>
      <c r="AP196" s="4">
        <v>6</v>
      </c>
      <c r="AQ196" s="8">
        <v>158.76</v>
      </c>
      <c r="AR196" s="4"/>
      <c r="AS196" s="8"/>
      <c r="AT196" s="7"/>
      <c r="AU196" s="7"/>
      <c r="AV196" s="4">
        <v>67</v>
      </c>
      <c r="AW196" s="8">
        <v>2272.74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0.0699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0.0784</v>
      </c>
      <c r="BJ196" s="4">
        <v>8</v>
      </c>
      <c r="BK196" s="8">
        <v>212.87</v>
      </c>
      <c r="BL196" s="2" t="s">
        <v>673</v>
      </c>
      <c r="BM196" s="7">
        <v>0.75</v>
      </c>
      <c r="BN196" s="7">
        <v>0.7458</v>
      </c>
      <c r="BO196" s="4">
        <v>6</v>
      </c>
      <c r="BP196" s="8">
        <v>158.76</v>
      </c>
      <c r="BQ196" s="4"/>
      <c r="BR196" s="8"/>
      <c r="BS196" s="7"/>
      <c r="BT196" s="7"/>
      <c r="BU196" s="2" t="s">
        <v>107</v>
      </c>
      <c r="BV196" s="2" t="s">
        <v>95</v>
      </c>
      <c r="BW196" s="2" t="s">
        <v>674</v>
      </c>
      <c r="BX196" s="2" t="s">
        <v>614</v>
      </c>
      <c r="BY196" s="2" t="s">
        <v>110</v>
      </c>
      <c r="BZ196" s="2" t="s">
        <v>98</v>
      </c>
    </row>
    <row r="197">
      <c r="A197" s="2" t="s">
        <v>675</v>
      </c>
      <c r="B197" s="2" t="s">
        <v>87</v>
      </c>
      <c r="C197" s="2" t="s">
        <v>88</v>
      </c>
      <c r="D197" s="2" t="s">
        <v>89</v>
      </c>
      <c r="E197" s="2" t="s">
        <v>90</v>
      </c>
      <c r="F197" s="2" t="s">
        <v>598</v>
      </c>
      <c r="G197" s="2" t="s">
        <v>598</v>
      </c>
      <c r="H197" s="2" t="s">
        <v>598</v>
      </c>
      <c r="I197" s="2" t="s">
        <v>599</v>
      </c>
      <c r="J197" s="2" t="s">
        <v>117</v>
      </c>
      <c r="K197" s="2" t="s">
        <v>546</v>
      </c>
      <c r="L197" s="3">
        <v>28.2</v>
      </c>
      <c r="M197" s="3">
        <v>29.61</v>
      </c>
      <c r="N197" s="3">
        <v>59.99</v>
      </c>
      <c r="O197" s="2" t="s">
        <v>95</v>
      </c>
      <c r="P197" s="2" t="s">
        <v>156</v>
      </c>
      <c r="Q197" s="2" t="s">
        <v>97</v>
      </c>
      <c r="R197" s="2" t="s">
        <v>98</v>
      </c>
      <c r="S197" s="2" t="s">
        <v>671</v>
      </c>
      <c r="T197" s="2" t="s">
        <v>602</v>
      </c>
      <c r="U197" s="2" t="s">
        <v>118</v>
      </c>
      <c r="V197" s="2" t="s">
        <v>548</v>
      </c>
      <c r="W197" s="2" t="s">
        <v>103</v>
      </c>
      <c r="X197" s="2" t="s">
        <v>603</v>
      </c>
      <c r="Y197" s="2" t="s">
        <v>672</v>
      </c>
      <c r="Z197" s="4">
        <v>119</v>
      </c>
      <c r="AA197" s="4">
        <f>=ROUNDDOWN(17,0)</f>
      </c>
      <c r="AB197" s="5">
        <v>7</v>
      </c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/>
      <c r="AP197" s="4">
        <v>12</v>
      </c>
      <c r="AQ197" s="8">
        <v>373.08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0.1642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20</v>
      </c>
      <c r="BK197" s="8">
        <v>602.82</v>
      </c>
      <c r="BL197" s="2" t="s">
        <v>417</v>
      </c>
      <c r="BM197" s="7">
        <v>0.6</v>
      </c>
      <c r="BN197" s="7">
        <v>0.6189</v>
      </c>
      <c r="BO197" s="4">
        <v>12</v>
      </c>
      <c r="BP197" s="8">
        <v>373.08</v>
      </c>
      <c r="BQ197" s="4"/>
      <c r="BR197" s="8"/>
      <c r="BS197" s="7"/>
      <c r="BT197" s="7"/>
      <c r="BU197" s="2" t="s">
        <v>107</v>
      </c>
      <c r="BV197" s="2" t="s">
        <v>95</v>
      </c>
      <c r="BW197" s="2" t="s">
        <v>674</v>
      </c>
      <c r="BX197" s="2" t="s">
        <v>614</v>
      </c>
      <c r="BY197" s="2" t="s">
        <v>110</v>
      </c>
      <c r="BZ197" s="2" t="s">
        <v>98</v>
      </c>
    </row>
    <row r="198">
      <c r="A198" s="2" t="s">
        <v>676</v>
      </c>
      <c r="B198" s="2" t="s">
        <v>87</v>
      </c>
      <c r="C198" s="2" t="s">
        <v>88</v>
      </c>
      <c r="D198" s="2" t="s">
        <v>89</v>
      </c>
      <c r="E198" s="2" t="s">
        <v>90</v>
      </c>
      <c r="F198" s="2" t="s">
        <v>598</v>
      </c>
      <c r="G198" s="2" t="s">
        <v>598</v>
      </c>
      <c r="H198" s="2" t="s">
        <v>598</v>
      </c>
      <c r="I198" s="2" t="s">
        <v>599</v>
      </c>
      <c r="J198" s="2" t="s">
        <v>122</v>
      </c>
      <c r="K198" s="2" t="s">
        <v>546</v>
      </c>
      <c r="L198" s="3">
        <v>31.85</v>
      </c>
      <c r="M198" s="3">
        <v>33.44</v>
      </c>
      <c r="N198" s="3">
        <v>64.99</v>
      </c>
      <c r="O198" s="2" t="s">
        <v>95</v>
      </c>
      <c r="P198" s="2" t="s">
        <v>156</v>
      </c>
      <c r="Q198" s="2" t="s">
        <v>97</v>
      </c>
      <c r="R198" s="2" t="s">
        <v>98</v>
      </c>
      <c r="S198" s="2" t="s">
        <v>671</v>
      </c>
      <c r="T198" s="2" t="s">
        <v>602</v>
      </c>
      <c r="U198" s="2" t="s">
        <v>118</v>
      </c>
      <c r="V198" s="2" t="s">
        <v>548</v>
      </c>
      <c r="W198" s="2" t="s">
        <v>103</v>
      </c>
      <c r="X198" s="2" t="s">
        <v>603</v>
      </c>
      <c r="Y198" s="2" t="s">
        <v>672</v>
      </c>
      <c r="Z198" s="4">
        <v>180</v>
      </c>
      <c r="AA198" s="4">
        <f>=ROUNDDOWN(12.8571428571429,0)</f>
      </c>
      <c r="AB198" s="5">
        <v>14</v>
      </c>
      <c r="AC198" s="2" t="s">
        <v>98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/>
      <c r="AP198" s="4">
        <v>42</v>
      </c>
      <c r="AQ198" s="8">
        <v>1474.62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0.6488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60</v>
      </c>
      <c r="BK198" s="8">
        <v>2069.75</v>
      </c>
      <c r="BL198" s="2" t="s">
        <v>677</v>
      </c>
      <c r="BM198" s="7">
        <v>0.7</v>
      </c>
      <c r="BN198" s="7">
        <v>0.7125</v>
      </c>
      <c r="BO198" s="4">
        <v>42</v>
      </c>
      <c r="BP198" s="8">
        <v>1474.62</v>
      </c>
      <c r="BQ198" s="4"/>
      <c r="BR198" s="8"/>
      <c r="BS198" s="7"/>
      <c r="BT198" s="7"/>
      <c r="BU198" s="2" t="s">
        <v>107</v>
      </c>
      <c r="BV198" s="2" t="s">
        <v>95</v>
      </c>
      <c r="BW198" s="2" t="s">
        <v>678</v>
      </c>
      <c r="BX198" s="2" t="s">
        <v>267</v>
      </c>
      <c r="BY198" s="2" t="s">
        <v>110</v>
      </c>
      <c r="BZ198" s="2" t="s">
        <v>98</v>
      </c>
    </row>
    <row r="199">
      <c r="A199" s="2" t="s">
        <v>679</v>
      </c>
      <c r="B199" s="2" t="s">
        <v>87</v>
      </c>
      <c r="C199" s="2" t="s">
        <v>88</v>
      </c>
      <c r="D199" s="2" t="s">
        <v>89</v>
      </c>
      <c r="E199" s="2" t="s">
        <v>90</v>
      </c>
      <c r="F199" s="2" t="s">
        <v>598</v>
      </c>
      <c r="G199" s="2" t="s">
        <v>598</v>
      </c>
      <c r="H199" s="2" t="s">
        <v>598</v>
      </c>
      <c r="I199" s="2" t="s">
        <v>599</v>
      </c>
      <c r="J199" s="2" t="s">
        <v>125</v>
      </c>
      <c r="K199" s="2" t="s">
        <v>546</v>
      </c>
      <c r="L199" s="3">
        <v>34.5</v>
      </c>
      <c r="M199" s="3">
        <v>36.23</v>
      </c>
      <c r="N199" s="3">
        <v>74.99</v>
      </c>
      <c r="O199" s="2" t="s">
        <v>95</v>
      </c>
      <c r="P199" s="2" t="s">
        <v>156</v>
      </c>
      <c r="Q199" s="2" t="s">
        <v>97</v>
      </c>
      <c r="R199" s="2" t="s">
        <v>98</v>
      </c>
      <c r="S199" s="2" t="s">
        <v>671</v>
      </c>
      <c r="T199" s="2" t="s">
        <v>602</v>
      </c>
      <c r="U199" s="2" t="s">
        <v>118</v>
      </c>
      <c r="V199" s="2" t="s">
        <v>548</v>
      </c>
      <c r="W199" s="2" t="s">
        <v>103</v>
      </c>
      <c r="X199" s="2" t="s">
        <v>603</v>
      </c>
      <c r="Y199" s="2" t="s">
        <v>672</v>
      </c>
      <c r="Z199" s="4">
        <v>133</v>
      </c>
      <c r="AA199" s="4">
        <f>=ROUNDDOWN(19,0)</f>
      </c>
      <c r="AB199" s="5">
        <v>7</v>
      </c>
      <c r="AC199" s="2" t="s">
        <v>98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/>
      <c r="AP199" s="4">
        <v>7</v>
      </c>
      <c r="AQ199" s="8">
        <v>266.28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0.1172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18</v>
      </c>
      <c r="BK199" s="8">
        <v>645.3</v>
      </c>
      <c r="BL199" s="2" t="s">
        <v>650</v>
      </c>
      <c r="BM199" s="7">
        <v>0.3889</v>
      </c>
      <c r="BN199" s="7">
        <v>0.4126</v>
      </c>
      <c r="BO199" s="4">
        <v>7</v>
      </c>
      <c r="BP199" s="8">
        <v>266.28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674</v>
      </c>
      <c r="BX199" s="2" t="s">
        <v>614</v>
      </c>
      <c r="BY199" s="2" t="s">
        <v>110</v>
      </c>
      <c r="BZ199" s="2" t="s">
        <v>98</v>
      </c>
    </row>
    <row r="200">
      <c r="A200" s="2" t="s">
        <v>680</v>
      </c>
      <c r="B200" s="2" t="s">
        <v>87</v>
      </c>
      <c r="C200" s="2" t="s">
        <v>88</v>
      </c>
      <c r="D200" s="2" t="s">
        <v>89</v>
      </c>
      <c r="E200" s="2" t="s">
        <v>90</v>
      </c>
      <c r="F200" s="2" t="s">
        <v>598</v>
      </c>
      <c r="G200" s="2" t="s">
        <v>598</v>
      </c>
      <c r="H200" s="2" t="s">
        <v>598</v>
      </c>
      <c r="I200" s="2" t="s">
        <v>599</v>
      </c>
      <c r="J200" s="2" t="s">
        <v>93</v>
      </c>
      <c r="K200" s="2" t="s">
        <v>681</v>
      </c>
      <c r="L200" s="3">
        <v>24</v>
      </c>
      <c r="M200" s="3">
        <v>25.2</v>
      </c>
      <c r="N200" s="3">
        <v>49.99</v>
      </c>
      <c r="O200" s="2" t="s">
        <v>95</v>
      </c>
      <c r="P200" s="2" t="s">
        <v>156</v>
      </c>
      <c r="Q200" s="2" t="s">
        <v>97</v>
      </c>
      <c r="R200" s="2" t="s">
        <v>98</v>
      </c>
      <c r="S200" s="2" t="s">
        <v>682</v>
      </c>
      <c r="T200" s="2" t="s">
        <v>602</v>
      </c>
      <c r="U200" s="2" t="s">
        <v>101</v>
      </c>
      <c r="V200" s="2" t="s">
        <v>158</v>
      </c>
      <c r="W200" s="2" t="s">
        <v>103</v>
      </c>
      <c r="X200" s="2" t="s">
        <v>603</v>
      </c>
      <c r="Y200" s="2" t="s">
        <v>672</v>
      </c>
      <c r="Z200" s="4">
        <v>30</v>
      </c>
      <c r="AA200" s="4">
        <f>=ROUNDDOWN(3,0)</f>
      </c>
      <c r="AB200" s="5">
        <v>10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/>
      <c r="AP200" s="4">
        <v>14</v>
      </c>
      <c r="AQ200" s="8">
        <v>370.44</v>
      </c>
      <c r="AR200" s="4"/>
      <c r="AS200" s="8"/>
      <c r="AT200" s="7"/>
      <c r="AU200" s="7"/>
      <c r="AV200" s="4">
        <v>61</v>
      </c>
      <c r="AW200" s="8">
        <v>2005.42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0.1847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0.0692</v>
      </c>
      <c r="BJ200" s="4">
        <v>27</v>
      </c>
      <c r="BK200" s="8">
        <v>693.2</v>
      </c>
      <c r="BL200" s="2" t="s">
        <v>237</v>
      </c>
      <c r="BM200" s="7">
        <v>0.5185</v>
      </c>
      <c r="BN200" s="7">
        <v>0.5344</v>
      </c>
      <c r="BO200" s="4">
        <v>14</v>
      </c>
      <c r="BP200" s="8">
        <v>370.44</v>
      </c>
      <c r="BQ200" s="4"/>
      <c r="BR200" s="8"/>
      <c r="BS200" s="7"/>
      <c r="BT200" s="7"/>
      <c r="BU200" s="2" t="s">
        <v>107</v>
      </c>
      <c r="BV200" s="2" t="s">
        <v>95</v>
      </c>
      <c r="BW200" s="2" t="s">
        <v>674</v>
      </c>
      <c r="BX200" s="2" t="s">
        <v>614</v>
      </c>
      <c r="BY200" s="2" t="s">
        <v>110</v>
      </c>
      <c r="BZ200" s="2" t="s">
        <v>98</v>
      </c>
    </row>
    <row r="201">
      <c r="A201" s="2" t="s">
        <v>683</v>
      </c>
      <c r="B201" s="2" t="s">
        <v>87</v>
      </c>
      <c r="C201" s="2" t="s">
        <v>88</v>
      </c>
      <c r="D201" s="2" t="s">
        <v>89</v>
      </c>
      <c r="E201" s="2" t="s">
        <v>90</v>
      </c>
      <c r="F201" s="2" t="s">
        <v>598</v>
      </c>
      <c r="G201" s="2" t="s">
        <v>598</v>
      </c>
      <c r="H201" s="2" t="s">
        <v>598</v>
      </c>
      <c r="I201" s="2" t="s">
        <v>599</v>
      </c>
      <c r="J201" s="2" t="s">
        <v>117</v>
      </c>
      <c r="K201" s="2" t="s">
        <v>681</v>
      </c>
      <c r="L201" s="3">
        <v>28.2</v>
      </c>
      <c r="M201" s="3">
        <v>29.61</v>
      </c>
      <c r="N201" s="3">
        <v>59.99</v>
      </c>
      <c r="O201" s="2" t="s">
        <v>95</v>
      </c>
      <c r="P201" s="2" t="s">
        <v>156</v>
      </c>
      <c r="Q201" s="2" t="s">
        <v>97</v>
      </c>
      <c r="R201" s="2" t="s">
        <v>98</v>
      </c>
      <c r="S201" s="2" t="s">
        <v>682</v>
      </c>
      <c r="T201" s="2" t="s">
        <v>602</v>
      </c>
      <c r="U201" s="2" t="s">
        <v>118</v>
      </c>
      <c r="V201" s="2" t="s">
        <v>158</v>
      </c>
      <c r="W201" s="2" t="s">
        <v>103</v>
      </c>
      <c r="X201" s="2" t="s">
        <v>603</v>
      </c>
      <c r="Y201" s="2" t="s">
        <v>672</v>
      </c>
      <c r="Z201" s="4">
        <v>3</v>
      </c>
      <c r="AA201" s="4">
        <f>=ROUNDDOWN(0.214285714285714,0)</f>
      </c>
      <c r="AB201" s="5">
        <v>14</v>
      </c>
      <c r="AC201" s="2" t="s">
        <v>98</v>
      </c>
      <c r="AD201" s="4"/>
      <c r="AE201" s="4"/>
      <c r="AF201" s="6">
        <v>65</v>
      </c>
      <c r="AG201" s="6"/>
      <c r="AH201" s="7">
        <v>0.5714</v>
      </c>
      <c r="AI201" s="4"/>
      <c r="AJ201" s="4">
        <f>=ROUNDDOWN({0},0)</f>
      </c>
      <c r="AK201" s="5"/>
      <c r="AL201" s="2" t="s">
        <v>98</v>
      </c>
      <c r="AM201" s="4"/>
      <c r="AN201" s="4"/>
      <c r="AO201" s="7"/>
      <c r="AP201" s="4">
        <v>22</v>
      </c>
      <c r="AQ201" s="8">
        <v>683.98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0.3411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56</v>
      </c>
      <c r="BK201" s="8">
        <v>1666.81</v>
      </c>
      <c r="BL201" s="2" t="s">
        <v>641</v>
      </c>
      <c r="BM201" s="7">
        <v>0.3929</v>
      </c>
      <c r="BN201" s="7">
        <v>0.4104</v>
      </c>
      <c r="BO201" s="4">
        <v>22</v>
      </c>
      <c r="BP201" s="8">
        <v>683.98</v>
      </c>
      <c r="BQ201" s="4"/>
      <c r="BR201" s="8"/>
      <c r="BS201" s="7"/>
      <c r="BT201" s="7"/>
      <c r="BU201" s="2" t="s">
        <v>107</v>
      </c>
      <c r="BV201" s="2" t="s">
        <v>95</v>
      </c>
      <c r="BW201" s="2" t="s">
        <v>674</v>
      </c>
      <c r="BX201" s="2" t="s">
        <v>614</v>
      </c>
      <c r="BY201" s="2" t="s">
        <v>110</v>
      </c>
      <c r="BZ201" s="2" t="s">
        <v>98</v>
      </c>
    </row>
    <row r="202">
      <c r="A202" s="2" t="s">
        <v>684</v>
      </c>
      <c r="B202" s="2" t="s">
        <v>87</v>
      </c>
      <c r="C202" s="2" t="s">
        <v>88</v>
      </c>
      <c r="D202" s="2" t="s">
        <v>89</v>
      </c>
      <c r="E202" s="2" t="s">
        <v>90</v>
      </c>
      <c r="F202" s="2" t="s">
        <v>598</v>
      </c>
      <c r="G202" s="2" t="s">
        <v>598</v>
      </c>
      <c r="H202" s="2" t="s">
        <v>598</v>
      </c>
      <c r="I202" s="2" t="s">
        <v>599</v>
      </c>
      <c r="J202" s="2" t="s">
        <v>122</v>
      </c>
      <c r="K202" s="2" t="s">
        <v>681</v>
      </c>
      <c r="L202" s="3">
        <v>31.85</v>
      </c>
      <c r="M202" s="3">
        <v>33.44</v>
      </c>
      <c r="N202" s="3">
        <v>64.99</v>
      </c>
      <c r="O202" s="2" t="s">
        <v>95</v>
      </c>
      <c r="P202" s="2" t="s">
        <v>156</v>
      </c>
      <c r="Q202" s="2" t="s">
        <v>97</v>
      </c>
      <c r="R202" s="2" t="s">
        <v>98</v>
      </c>
      <c r="S202" s="2" t="s">
        <v>682</v>
      </c>
      <c r="T202" s="2" t="s">
        <v>602</v>
      </c>
      <c r="U202" s="2" t="s">
        <v>118</v>
      </c>
      <c r="V202" s="2" t="s">
        <v>158</v>
      </c>
      <c r="W202" s="2" t="s">
        <v>103</v>
      </c>
      <c r="X202" s="2" t="s">
        <v>603</v>
      </c>
      <c r="Y202" s="2" t="s">
        <v>672</v>
      </c>
      <c r="Z202" s="4">
        <v>2</v>
      </c>
      <c r="AA202" s="4">
        <f>=ROUNDDOWN(0.0645161290322581,0)</f>
      </c>
      <c r="AB202" s="5">
        <v>31</v>
      </c>
      <c r="AC202" s="2" t="s">
        <v>98</v>
      </c>
      <c r="AD202" s="4"/>
      <c r="AE202" s="4"/>
      <c r="AF202" s="6">
        <v>65</v>
      </c>
      <c r="AG202" s="6"/>
      <c r="AH202" s="7">
        <v>0.1429</v>
      </c>
      <c r="AI202" s="4"/>
      <c r="AJ202" s="4">
        <f>=ROUNDDOWN({0},0)</f>
      </c>
      <c r="AK202" s="5"/>
      <c r="AL202" s="2" t="s">
        <v>98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24</v>
      </c>
      <c r="BK202" s="8">
        <v>766.92</v>
      </c>
      <c r="BL202" s="2" t="s">
        <v>685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686</v>
      </c>
      <c r="BX202" s="2" t="s">
        <v>614</v>
      </c>
      <c r="BY202" s="2" t="s">
        <v>110</v>
      </c>
      <c r="BZ202" s="2" t="s">
        <v>98</v>
      </c>
    </row>
    <row r="203">
      <c r="A203" s="2" t="s">
        <v>687</v>
      </c>
      <c r="B203" s="2" t="s">
        <v>87</v>
      </c>
      <c r="C203" s="2" t="s">
        <v>88</v>
      </c>
      <c r="D203" s="2" t="s">
        <v>89</v>
      </c>
      <c r="E203" s="2" t="s">
        <v>90</v>
      </c>
      <c r="F203" s="2" t="s">
        <v>598</v>
      </c>
      <c r="G203" s="2" t="s">
        <v>598</v>
      </c>
      <c r="H203" s="2" t="s">
        <v>598</v>
      </c>
      <c r="I203" s="2" t="s">
        <v>599</v>
      </c>
      <c r="J203" s="2" t="s">
        <v>125</v>
      </c>
      <c r="K203" s="2" t="s">
        <v>681</v>
      </c>
      <c r="L203" s="3">
        <v>34.5</v>
      </c>
      <c r="M203" s="3">
        <v>36.23</v>
      </c>
      <c r="N203" s="3">
        <v>74.99</v>
      </c>
      <c r="O203" s="2" t="s">
        <v>95</v>
      </c>
      <c r="P203" s="2" t="s">
        <v>156</v>
      </c>
      <c r="Q203" s="2" t="s">
        <v>97</v>
      </c>
      <c r="R203" s="2" t="s">
        <v>98</v>
      </c>
      <c r="S203" s="2" t="s">
        <v>682</v>
      </c>
      <c r="T203" s="2" t="s">
        <v>602</v>
      </c>
      <c r="U203" s="2" t="s">
        <v>118</v>
      </c>
      <c r="V203" s="2" t="s">
        <v>158</v>
      </c>
      <c r="W203" s="2" t="s">
        <v>103</v>
      </c>
      <c r="X203" s="2" t="s">
        <v>603</v>
      </c>
      <c r="Y203" s="2" t="s">
        <v>672</v>
      </c>
      <c r="Z203" s="4"/>
      <c r="AA203" s="4">
        <f>=ROUNDDOWN({0},0)</f>
      </c>
      <c r="AB203" s="5">
        <v>16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/>
      <c r="AP203" s="4">
        <v>25</v>
      </c>
      <c r="AQ203" s="8">
        <v>951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0.4742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69</v>
      </c>
      <c r="BK203" s="8">
        <v>2483.22</v>
      </c>
      <c r="BL203" s="2" t="s">
        <v>653</v>
      </c>
      <c r="BM203" s="7">
        <v>0.3623</v>
      </c>
      <c r="BN203" s="7">
        <v>0.383</v>
      </c>
      <c r="BO203" s="4">
        <v>25</v>
      </c>
      <c r="BP203" s="8">
        <v>951</v>
      </c>
      <c r="BQ203" s="4"/>
      <c r="BR203" s="8"/>
      <c r="BS203" s="7"/>
      <c r="BT203" s="7"/>
      <c r="BU203" s="2" t="s">
        <v>107</v>
      </c>
      <c r="BV203" s="2" t="s">
        <v>95</v>
      </c>
      <c r="BW203" s="2" t="s">
        <v>674</v>
      </c>
      <c r="BX203" s="2" t="s">
        <v>614</v>
      </c>
      <c r="BY203" s="2" t="s">
        <v>110</v>
      </c>
      <c r="BZ203" s="2" t="s">
        <v>98</v>
      </c>
    </row>
    <row r="204">
      <c r="A204" s="2" t="s">
        <v>688</v>
      </c>
      <c r="B204" s="2" t="s">
        <v>87</v>
      </c>
      <c r="C204" s="2" t="s">
        <v>88</v>
      </c>
      <c r="D204" s="2" t="s">
        <v>89</v>
      </c>
      <c r="E204" s="2" t="s">
        <v>90</v>
      </c>
      <c r="F204" s="2" t="s">
        <v>598</v>
      </c>
      <c r="G204" s="2" t="s">
        <v>598</v>
      </c>
      <c r="H204" s="2" t="s">
        <v>598</v>
      </c>
      <c r="I204" s="2" t="s">
        <v>599</v>
      </c>
      <c r="J204" s="2" t="s">
        <v>93</v>
      </c>
      <c r="K204" s="2" t="s">
        <v>689</v>
      </c>
      <c r="L204" s="3">
        <v>21.62</v>
      </c>
      <c r="M204" s="3">
        <v>22.7</v>
      </c>
      <c r="N204" s="3">
        <v>46.99</v>
      </c>
      <c r="O204" s="2" t="s">
        <v>95</v>
      </c>
      <c r="P204" s="2" t="s">
        <v>156</v>
      </c>
      <c r="Q204" s="2" t="s">
        <v>97</v>
      </c>
      <c r="R204" s="2" t="s">
        <v>98</v>
      </c>
      <c r="S204" s="2" t="s">
        <v>690</v>
      </c>
      <c r="T204" s="2" t="s">
        <v>602</v>
      </c>
      <c r="U204" s="2" t="s">
        <v>101</v>
      </c>
      <c r="V204" s="2" t="s">
        <v>336</v>
      </c>
      <c r="W204" s="2" t="s">
        <v>103</v>
      </c>
      <c r="X204" s="2" t="s">
        <v>603</v>
      </c>
      <c r="Y204" s="2" t="s">
        <v>691</v>
      </c>
      <c r="Z204" s="4">
        <v>235</v>
      </c>
      <c r="AA204" s="4">
        <f>=ROUNDDOWN(18.0769230769231,0)</f>
      </c>
      <c r="AB204" s="5">
        <v>13</v>
      </c>
      <c r="AC204" s="2" t="s">
        <v>98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/>
      <c r="AP204" s="4">
        <v>10</v>
      </c>
      <c r="AQ204" s="8">
        <v>238.4</v>
      </c>
      <c r="AR204" s="4"/>
      <c r="AS204" s="8"/>
      <c r="AT204" s="7"/>
      <c r="AU204" s="7"/>
      <c r="AV204" s="4">
        <v>61</v>
      </c>
      <c r="AW204" s="8">
        <v>1827.05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0.1305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0.063</v>
      </c>
      <c r="BJ204" s="4">
        <v>15</v>
      </c>
      <c r="BK204" s="8">
        <v>357.36</v>
      </c>
      <c r="BL204" s="2" t="s">
        <v>650</v>
      </c>
      <c r="BM204" s="7">
        <v>0.6667</v>
      </c>
      <c r="BN204" s="7">
        <v>0.6671</v>
      </c>
      <c r="BO204" s="4">
        <v>10</v>
      </c>
      <c r="BP204" s="8">
        <v>238.4</v>
      </c>
      <c r="BQ204" s="4"/>
      <c r="BR204" s="8"/>
      <c r="BS204" s="7"/>
      <c r="BT204" s="7"/>
      <c r="BU204" s="2" t="s">
        <v>107</v>
      </c>
      <c r="BV204" s="2" t="s">
        <v>95</v>
      </c>
      <c r="BW204" s="2" t="s">
        <v>566</v>
      </c>
      <c r="BX204" s="2" t="s">
        <v>692</v>
      </c>
      <c r="BY204" s="2" t="s">
        <v>110</v>
      </c>
      <c r="BZ204" s="2" t="s">
        <v>98</v>
      </c>
    </row>
    <row r="205">
      <c r="A205" s="2" t="s">
        <v>693</v>
      </c>
      <c r="B205" s="2" t="s">
        <v>87</v>
      </c>
      <c r="C205" s="2" t="s">
        <v>88</v>
      </c>
      <c r="D205" s="2" t="s">
        <v>89</v>
      </c>
      <c r="E205" s="2" t="s">
        <v>90</v>
      </c>
      <c r="F205" s="2" t="s">
        <v>598</v>
      </c>
      <c r="G205" s="2" t="s">
        <v>598</v>
      </c>
      <c r="H205" s="2" t="s">
        <v>598</v>
      </c>
      <c r="I205" s="2" t="s">
        <v>599</v>
      </c>
      <c r="J205" s="2" t="s">
        <v>112</v>
      </c>
      <c r="K205" s="2" t="s">
        <v>689</v>
      </c>
      <c r="L205" s="3">
        <v>23.04</v>
      </c>
      <c r="M205" s="3">
        <v>24.19</v>
      </c>
      <c r="N205" s="3">
        <v>47.99</v>
      </c>
      <c r="O205" s="2" t="s">
        <v>95</v>
      </c>
      <c r="P205" s="2" t="s">
        <v>156</v>
      </c>
      <c r="Q205" s="2" t="s">
        <v>97</v>
      </c>
      <c r="R205" s="2" t="s">
        <v>98</v>
      </c>
      <c r="S205" s="2" t="s">
        <v>690</v>
      </c>
      <c r="T205" s="2" t="s">
        <v>602</v>
      </c>
      <c r="U205" s="2" t="s">
        <v>101</v>
      </c>
      <c r="V205" s="2" t="s">
        <v>336</v>
      </c>
      <c r="W205" s="2" t="s">
        <v>103</v>
      </c>
      <c r="X205" s="2" t="s">
        <v>603</v>
      </c>
      <c r="Y205" s="2" t="s">
        <v>691</v>
      </c>
      <c r="Z205" s="4">
        <v>199</v>
      </c>
      <c r="AA205" s="4">
        <f>=ROUNDDOWN(28.4285714285714,0)</f>
      </c>
      <c r="AB205" s="5">
        <v>7</v>
      </c>
      <c r="AC205" s="2" t="s">
        <v>98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/>
      <c r="AP205" s="4">
        <v>4</v>
      </c>
      <c r="AQ205" s="8">
        <v>101.6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0.0556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16</v>
      </c>
      <c r="BK205" s="8">
        <v>405.68</v>
      </c>
      <c r="BL205" s="2" t="s">
        <v>271</v>
      </c>
      <c r="BM205" s="7">
        <v>0.25</v>
      </c>
      <c r="BN205" s="7">
        <v>0.2504</v>
      </c>
      <c r="BO205" s="4">
        <v>4</v>
      </c>
      <c r="BP205" s="8">
        <v>101.6</v>
      </c>
      <c r="BQ205" s="4"/>
      <c r="BR205" s="8"/>
      <c r="BS205" s="7"/>
      <c r="BT205" s="7"/>
      <c r="BU205" s="2" t="s">
        <v>107</v>
      </c>
      <c r="BV205" s="2" t="s">
        <v>95</v>
      </c>
      <c r="BW205" s="2" t="s">
        <v>566</v>
      </c>
      <c r="BX205" s="2" t="s">
        <v>694</v>
      </c>
      <c r="BY205" s="2" t="s">
        <v>110</v>
      </c>
      <c r="BZ205" s="2" t="s">
        <v>98</v>
      </c>
    </row>
    <row r="206">
      <c r="A206" s="2" t="s">
        <v>695</v>
      </c>
      <c r="B206" s="2" t="s">
        <v>87</v>
      </c>
      <c r="C206" s="2" t="s">
        <v>88</v>
      </c>
      <c r="D206" s="2" t="s">
        <v>89</v>
      </c>
      <c r="E206" s="2" t="s">
        <v>90</v>
      </c>
      <c r="F206" s="2" t="s">
        <v>598</v>
      </c>
      <c r="G206" s="2" t="s">
        <v>598</v>
      </c>
      <c r="H206" s="2" t="s">
        <v>598</v>
      </c>
      <c r="I206" s="2" t="s">
        <v>599</v>
      </c>
      <c r="J206" s="2" t="s">
        <v>117</v>
      </c>
      <c r="K206" s="2" t="s">
        <v>689</v>
      </c>
      <c r="L206" s="3">
        <v>25.3</v>
      </c>
      <c r="M206" s="3">
        <v>26.56</v>
      </c>
      <c r="N206" s="3">
        <v>54.99</v>
      </c>
      <c r="O206" s="2" t="s">
        <v>95</v>
      </c>
      <c r="P206" s="2" t="s">
        <v>168</v>
      </c>
      <c r="Q206" s="2" t="s">
        <v>97</v>
      </c>
      <c r="R206" s="2" t="s">
        <v>98</v>
      </c>
      <c r="S206" s="2" t="s">
        <v>690</v>
      </c>
      <c r="T206" s="2" t="s">
        <v>602</v>
      </c>
      <c r="U206" s="2" t="s">
        <v>118</v>
      </c>
      <c r="V206" s="2" t="s">
        <v>336</v>
      </c>
      <c r="W206" s="2" t="s">
        <v>103</v>
      </c>
      <c r="X206" s="2" t="s">
        <v>603</v>
      </c>
      <c r="Y206" s="2" t="s">
        <v>696</v>
      </c>
      <c r="Z206" s="4">
        <v>261</v>
      </c>
      <c r="AA206" s="4">
        <f>=ROUNDDOWN(21.75,0)</f>
      </c>
      <c r="AB206" s="5">
        <v>12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/>
      <c r="AP206" s="4">
        <v>9</v>
      </c>
      <c r="AQ206" s="8">
        <v>251.01</v>
      </c>
      <c r="AR206" s="4"/>
      <c r="AS206" s="8"/>
      <c r="AT206" s="7"/>
      <c r="AU206" s="7"/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0.1374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28</v>
      </c>
      <c r="BK206" s="8">
        <v>779.95</v>
      </c>
      <c r="BL206" s="2" t="s">
        <v>170</v>
      </c>
      <c r="BM206" s="7">
        <v>0.3214</v>
      </c>
      <c r="BN206" s="7">
        <v>0.3218</v>
      </c>
      <c r="BO206" s="4">
        <v>9</v>
      </c>
      <c r="BP206" s="8">
        <v>251.01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566</v>
      </c>
      <c r="BX206" s="2" t="s">
        <v>572</v>
      </c>
      <c r="BY206" s="2" t="s">
        <v>110</v>
      </c>
      <c r="BZ206" s="2" t="s">
        <v>98</v>
      </c>
    </row>
    <row r="207">
      <c r="A207" s="2" t="s">
        <v>697</v>
      </c>
      <c r="B207" s="2" t="s">
        <v>87</v>
      </c>
      <c r="C207" s="2" t="s">
        <v>88</v>
      </c>
      <c r="D207" s="2" t="s">
        <v>89</v>
      </c>
      <c r="E207" s="2" t="s">
        <v>90</v>
      </c>
      <c r="F207" s="2" t="s">
        <v>598</v>
      </c>
      <c r="G207" s="2" t="s">
        <v>598</v>
      </c>
      <c r="H207" s="2" t="s">
        <v>598</v>
      </c>
      <c r="I207" s="2" t="s">
        <v>599</v>
      </c>
      <c r="J207" s="2" t="s">
        <v>122</v>
      </c>
      <c r="K207" s="2" t="s">
        <v>689</v>
      </c>
      <c r="L207" s="3">
        <v>28.2</v>
      </c>
      <c r="M207" s="3">
        <v>29.61</v>
      </c>
      <c r="N207" s="3">
        <v>59.99</v>
      </c>
      <c r="O207" s="2" t="s">
        <v>95</v>
      </c>
      <c r="P207" s="2" t="s">
        <v>184</v>
      </c>
      <c r="Q207" s="2" t="s">
        <v>97</v>
      </c>
      <c r="R207" s="2" t="s">
        <v>98</v>
      </c>
      <c r="S207" s="2" t="s">
        <v>690</v>
      </c>
      <c r="T207" s="2" t="s">
        <v>602</v>
      </c>
      <c r="U207" s="2" t="s">
        <v>118</v>
      </c>
      <c r="V207" s="2" t="s">
        <v>336</v>
      </c>
      <c r="W207" s="2" t="s">
        <v>103</v>
      </c>
      <c r="X207" s="2" t="s">
        <v>603</v>
      </c>
      <c r="Y207" s="2" t="s">
        <v>696</v>
      </c>
      <c r="Z207" s="4">
        <v>433</v>
      </c>
      <c r="AA207" s="4">
        <f>=ROUNDDOWN(15.4642857142857,0)</f>
      </c>
      <c r="AB207" s="5">
        <v>28</v>
      </c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/>
      <c r="AP207" s="4">
        <v>23</v>
      </c>
      <c r="AQ207" s="8">
        <v>715.07</v>
      </c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0.3914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41</v>
      </c>
      <c r="BK207" s="8">
        <v>1274.6</v>
      </c>
      <c r="BL207" s="2" t="s">
        <v>698</v>
      </c>
      <c r="BM207" s="7">
        <v>0.561</v>
      </c>
      <c r="BN207" s="7">
        <v>0.561</v>
      </c>
      <c r="BO207" s="4">
        <v>23</v>
      </c>
      <c r="BP207" s="8">
        <v>715.07</v>
      </c>
      <c r="BQ207" s="4"/>
      <c r="BR207" s="8"/>
      <c r="BS207" s="7"/>
      <c r="BT207" s="7"/>
      <c r="BU207" s="2" t="s">
        <v>107</v>
      </c>
      <c r="BV207" s="2" t="s">
        <v>95</v>
      </c>
      <c r="BW207" s="2" t="s">
        <v>566</v>
      </c>
      <c r="BX207" s="2" t="s">
        <v>699</v>
      </c>
      <c r="BY207" s="2" t="s">
        <v>110</v>
      </c>
      <c r="BZ207" s="2" t="s">
        <v>98</v>
      </c>
    </row>
    <row r="208">
      <c r="A208" s="2" t="s">
        <v>700</v>
      </c>
      <c r="B208" s="2" t="s">
        <v>87</v>
      </c>
      <c r="C208" s="2" t="s">
        <v>88</v>
      </c>
      <c r="D208" s="2" t="s">
        <v>89</v>
      </c>
      <c r="E208" s="2" t="s">
        <v>90</v>
      </c>
      <c r="F208" s="2" t="s">
        <v>598</v>
      </c>
      <c r="G208" s="2" t="s">
        <v>598</v>
      </c>
      <c r="H208" s="2" t="s">
        <v>598</v>
      </c>
      <c r="I208" s="2" t="s">
        <v>599</v>
      </c>
      <c r="J208" s="2" t="s">
        <v>125</v>
      </c>
      <c r="K208" s="2" t="s">
        <v>689</v>
      </c>
      <c r="L208" s="3">
        <v>31.2</v>
      </c>
      <c r="M208" s="3">
        <v>32.76</v>
      </c>
      <c r="N208" s="3">
        <v>64.99</v>
      </c>
      <c r="O208" s="2" t="s">
        <v>95</v>
      </c>
      <c r="P208" s="2" t="s">
        <v>156</v>
      </c>
      <c r="Q208" s="2" t="s">
        <v>97</v>
      </c>
      <c r="R208" s="2" t="s">
        <v>98</v>
      </c>
      <c r="S208" s="2" t="s">
        <v>690</v>
      </c>
      <c r="T208" s="2" t="s">
        <v>602</v>
      </c>
      <c r="U208" s="2" t="s">
        <v>118</v>
      </c>
      <c r="V208" s="2" t="s">
        <v>336</v>
      </c>
      <c r="W208" s="2" t="s">
        <v>103</v>
      </c>
      <c r="X208" s="2" t="s">
        <v>603</v>
      </c>
      <c r="Y208" s="2" t="s">
        <v>691</v>
      </c>
      <c r="Z208" s="4">
        <v>257</v>
      </c>
      <c r="AA208" s="4">
        <f>=ROUNDDOWN(21.4166666666667,0)</f>
      </c>
      <c r="AB208" s="5">
        <v>12</v>
      </c>
      <c r="AC208" s="2" t="s">
        <v>98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/>
      <c r="AP208" s="4">
        <v>8</v>
      </c>
      <c r="AQ208" s="8">
        <v>275.2</v>
      </c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0.1506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24</v>
      </c>
      <c r="BK208" s="8">
        <v>820.4</v>
      </c>
      <c r="BL208" s="2" t="s">
        <v>701</v>
      </c>
      <c r="BM208" s="7">
        <v>0.3333</v>
      </c>
      <c r="BN208" s="7">
        <v>0.3354</v>
      </c>
      <c r="BO208" s="4">
        <v>8</v>
      </c>
      <c r="BP208" s="8">
        <v>275.2</v>
      </c>
      <c r="BQ208" s="4"/>
      <c r="BR208" s="8"/>
      <c r="BS208" s="7"/>
      <c r="BT208" s="7"/>
      <c r="BU208" s="2" t="s">
        <v>107</v>
      </c>
      <c r="BV208" s="2" t="s">
        <v>95</v>
      </c>
      <c r="BW208" s="2" t="s">
        <v>566</v>
      </c>
      <c r="BX208" s="2" t="s">
        <v>702</v>
      </c>
      <c r="BY208" s="2" t="s">
        <v>110</v>
      </c>
      <c r="BZ208" s="2" t="s">
        <v>98</v>
      </c>
    </row>
    <row r="209">
      <c r="A209" s="2" t="s">
        <v>703</v>
      </c>
      <c r="B209" s="2" t="s">
        <v>87</v>
      </c>
      <c r="C209" s="2" t="s">
        <v>88</v>
      </c>
      <c r="D209" s="2" t="s">
        <v>89</v>
      </c>
      <c r="E209" s="2" t="s">
        <v>90</v>
      </c>
      <c r="F209" s="2" t="s">
        <v>598</v>
      </c>
      <c r="G209" s="2" t="s">
        <v>598</v>
      </c>
      <c r="H209" s="2" t="s">
        <v>598</v>
      </c>
      <c r="I209" s="2" t="s">
        <v>599</v>
      </c>
      <c r="J209" s="2" t="s">
        <v>129</v>
      </c>
      <c r="K209" s="2" t="s">
        <v>689</v>
      </c>
      <c r="L209" s="3">
        <v>31.85</v>
      </c>
      <c r="M209" s="3">
        <v>33.44</v>
      </c>
      <c r="N209" s="3">
        <v>64.99</v>
      </c>
      <c r="O209" s="2" t="s">
        <v>95</v>
      </c>
      <c r="P209" s="2" t="s">
        <v>156</v>
      </c>
      <c r="Q209" s="2" t="s">
        <v>97</v>
      </c>
      <c r="R209" s="2" t="s">
        <v>98</v>
      </c>
      <c r="S209" s="2" t="s">
        <v>690</v>
      </c>
      <c r="T209" s="2" t="s">
        <v>602</v>
      </c>
      <c r="U209" s="2" t="s">
        <v>118</v>
      </c>
      <c r="V209" s="2" t="s">
        <v>336</v>
      </c>
      <c r="W209" s="2" t="s">
        <v>103</v>
      </c>
      <c r="X209" s="2" t="s">
        <v>603</v>
      </c>
      <c r="Y209" s="2" t="s">
        <v>691</v>
      </c>
      <c r="Z209" s="4">
        <v>106</v>
      </c>
      <c r="AA209" s="4">
        <f>=ROUNDDOWN(26.5,0)</f>
      </c>
      <c r="AB209" s="5">
        <v>4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/>
      <c r="AP209" s="4">
        <v>7</v>
      </c>
      <c r="AQ209" s="8">
        <v>245.77</v>
      </c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0.1345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13</v>
      </c>
      <c r="BK209" s="8">
        <v>458.24</v>
      </c>
      <c r="BL209" s="2" t="s">
        <v>130</v>
      </c>
      <c r="BM209" s="7">
        <v>0.5385</v>
      </c>
      <c r="BN209" s="7">
        <v>0.5363</v>
      </c>
      <c r="BO209" s="4">
        <v>7</v>
      </c>
      <c r="BP209" s="8">
        <v>245.77</v>
      </c>
      <c r="BQ209" s="4"/>
      <c r="BR209" s="8"/>
      <c r="BS209" s="7"/>
      <c r="BT209" s="7"/>
      <c r="BU209" s="2" t="s">
        <v>107</v>
      </c>
      <c r="BV209" s="2" t="s">
        <v>95</v>
      </c>
      <c r="BW209" s="2" t="s">
        <v>566</v>
      </c>
      <c r="BX209" s="2" t="s">
        <v>694</v>
      </c>
      <c r="BY209" s="2" t="s">
        <v>110</v>
      </c>
      <c r="BZ209" s="2" t="s">
        <v>98</v>
      </c>
    </row>
    <row r="210">
      <c r="A210" s="2" t="s">
        <v>704</v>
      </c>
      <c r="B210" s="2" t="s">
        <v>87</v>
      </c>
      <c r="C210" s="2" t="s">
        <v>88</v>
      </c>
      <c r="D210" s="2" t="s">
        <v>89</v>
      </c>
      <c r="E210" s="2" t="s">
        <v>90</v>
      </c>
      <c r="F210" s="2" t="s">
        <v>598</v>
      </c>
      <c r="G210" s="2" t="s">
        <v>598</v>
      </c>
      <c r="H210" s="2" t="s">
        <v>598</v>
      </c>
      <c r="I210" s="2" t="s">
        <v>599</v>
      </c>
      <c r="J210" s="2" t="s">
        <v>93</v>
      </c>
      <c r="K210" s="2" t="s">
        <v>705</v>
      </c>
      <c r="L210" s="3">
        <v>21.62</v>
      </c>
      <c r="M210" s="3">
        <v>22.7</v>
      </c>
      <c r="N210" s="3">
        <v>46.99</v>
      </c>
      <c r="O210" s="2" t="s">
        <v>95</v>
      </c>
      <c r="P210" s="2" t="s">
        <v>184</v>
      </c>
      <c r="Q210" s="2" t="s">
        <v>97</v>
      </c>
      <c r="R210" s="2" t="s">
        <v>98</v>
      </c>
      <c r="S210" s="2" t="s">
        <v>706</v>
      </c>
      <c r="T210" s="2" t="s">
        <v>602</v>
      </c>
      <c r="U210" s="2" t="s">
        <v>101</v>
      </c>
      <c r="V210" s="2" t="s">
        <v>336</v>
      </c>
      <c r="W210" s="2" t="s">
        <v>103</v>
      </c>
      <c r="X210" s="2" t="s">
        <v>603</v>
      </c>
      <c r="Y210" s="2" t="s">
        <v>207</v>
      </c>
      <c r="Z210" s="4">
        <v>353</v>
      </c>
      <c r="AA210" s="4">
        <f>=ROUNDDOWN(11.7666666666667,0)</f>
      </c>
      <c r="AB210" s="5">
        <v>30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/>
      <c r="AP210" s="4">
        <v>16</v>
      </c>
      <c r="AQ210" s="8">
        <v>390.88</v>
      </c>
      <c r="AR210" s="4"/>
      <c r="AS210" s="8"/>
      <c r="AT210" s="7"/>
      <c r="AU210" s="7"/>
      <c r="AV210" s="4">
        <v>60</v>
      </c>
      <c r="AW210" s="8">
        <v>1754.86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0.2227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0.0605</v>
      </c>
      <c r="BJ210" s="4">
        <v>29</v>
      </c>
      <c r="BK210" s="8">
        <v>700.38</v>
      </c>
      <c r="BL210" s="2" t="s">
        <v>480</v>
      </c>
      <c r="BM210" s="7">
        <v>0.5517</v>
      </c>
      <c r="BN210" s="7">
        <v>0.5581</v>
      </c>
      <c r="BO210" s="4">
        <v>16</v>
      </c>
      <c r="BP210" s="8">
        <v>390.88</v>
      </c>
      <c r="BQ210" s="4"/>
      <c r="BR210" s="8"/>
      <c r="BS210" s="7"/>
      <c r="BT210" s="7"/>
      <c r="BU210" s="2" t="s">
        <v>107</v>
      </c>
      <c r="BV210" s="2" t="s">
        <v>95</v>
      </c>
      <c r="BW210" s="2" t="s">
        <v>181</v>
      </c>
      <c r="BX210" s="2" t="s">
        <v>386</v>
      </c>
      <c r="BY210" s="2" t="s">
        <v>110</v>
      </c>
      <c r="BZ210" s="2" t="s">
        <v>98</v>
      </c>
    </row>
    <row r="211">
      <c r="A211" s="2" t="s">
        <v>707</v>
      </c>
      <c r="B211" s="2" t="s">
        <v>87</v>
      </c>
      <c r="C211" s="2" t="s">
        <v>88</v>
      </c>
      <c r="D211" s="2" t="s">
        <v>89</v>
      </c>
      <c r="E211" s="2" t="s">
        <v>90</v>
      </c>
      <c r="F211" s="2" t="s">
        <v>598</v>
      </c>
      <c r="G211" s="2" t="s">
        <v>598</v>
      </c>
      <c r="H211" s="2" t="s">
        <v>598</v>
      </c>
      <c r="I211" s="2" t="s">
        <v>599</v>
      </c>
      <c r="J211" s="2" t="s">
        <v>112</v>
      </c>
      <c r="K211" s="2" t="s">
        <v>705</v>
      </c>
      <c r="L211" s="3">
        <v>23.04</v>
      </c>
      <c r="M211" s="3">
        <v>24.19</v>
      </c>
      <c r="N211" s="3">
        <v>47.99</v>
      </c>
      <c r="O211" s="2" t="s">
        <v>95</v>
      </c>
      <c r="P211" s="2" t="s">
        <v>156</v>
      </c>
      <c r="Q211" s="2" t="s">
        <v>97</v>
      </c>
      <c r="R211" s="2" t="s">
        <v>98</v>
      </c>
      <c r="S211" s="2" t="s">
        <v>706</v>
      </c>
      <c r="T211" s="2" t="s">
        <v>602</v>
      </c>
      <c r="U211" s="2" t="s">
        <v>101</v>
      </c>
      <c r="V211" s="2" t="s">
        <v>336</v>
      </c>
      <c r="W211" s="2" t="s">
        <v>103</v>
      </c>
      <c r="X211" s="2" t="s">
        <v>603</v>
      </c>
      <c r="Y211" s="2" t="s">
        <v>207</v>
      </c>
      <c r="Z211" s="4">
        <v>367</v>
      </c>
      <c r="AA211" s="4">
        <f>=ROUNDDOWN(20.3888888888889,0)</f>
      </c>
      <c r="AB211" s="5">
        <v>18</v>
      </c>
      <c r="AC211" s="2" t="s">
        <v>98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/>
      <c r="AP211" s="4">
        <v>8</v>
      </c>
      <c r="AQ211" s="8">
        <v>203.44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0.1159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25</v>
      </c>
      <c r="BK211" s="8">
        <v>630.03</v>
      </c>
      <c r="BL211" s="2" t="s">
        <v>663</v>
      </c>
      <c r="BM211" s="7">
        <v>0.32</v>
      </c>
      <c r="BN211" s="7">
        <v>0.3229</v>
      </c>
      <c r="BO211" s="4">
        <v>8</v>
      </c>
      <c r="BP211" s="8">
        <v>203.44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181</v>
      </c>
      <c r="BX211" s="2" t="s">
        <v>622</v>
      </c>
      <c r="BY211" s="2" t="s">
        <v>110</v>
      </c>
      <c r="BZ211" s="2" t="s">
        <v>98</v>
      </c>
    </row>
    <row r="212">
      <c r="A212" s="2" t="s">
        <v>708</v>
      </c>
      <c r="B212" s="2" t="s">
        <v>87</v>
      </c>
      <c r="C212" s="2" t="s">
        <v>88</v>
      </c>
      <c r="D212" s="2" t="s">
        <v>89</v>
      </c>
      <c r="E212" s="2" t="s">
        <v>90</v>
      </c>
      <c r="F212" s="2" t="s">
        <v>598</v>
      </c>
      <c r="G212" s="2" t="s">
        <v>598</v>
      </c>
      <c r="H212" s="2" t="s">
        <v>598</v>
      </c>
      <c r="I212" s="2" t="s">
        <v>599</v>
      </c>
      <c r="J212" s="2" t="s">
        <v>117</v>
      </c>
      <c r="K212" s="2" t="s">
        <v>705</v>
      </c>
      <c r="L212" s="3">
        <v>25.3</v>
      </c>
      <c r="M212" s="3">
        <v>26.56</v>
      </c>
      <c r="N212" s="3">
        <v>54.99</v>
      </c>
      <c r="O212" s="2" t="s">
        <v>95</v>
      </c>
      <c r="P212" s="2" t="s">
        <v>177</v>
      </c>
      <c r="Q212" s="2" t="s">
        <v>97</v>
      </c>
      <c r="R212" s="2" t="s">
        <v>98</v>
      </c>
      <c r="S212" s="2" t="s">
        <v>706</v>
      </c>
      <c r="T212" s="2" t="s">
        <v>602</v>
      </c>
      <c r="U212" s="2" t="s">
        <v>118</v>
      </c>
      <c r="V212" s="2" t="s">
        <v>336</v>
      </c>
      <c r="W212" s="2" t="s">
        <v>103</v>
      </c>
      <c r="X212" s="2" t="s">
        <v>603</v>
      </c>
      <c r="Y212" s="2" t="s">
        <v>207</v>
      </c>
      <c r="Z212" s="4"/>
      <c r="AA212" s="4">
        <f>=ROUNDDOWN({0},0)</f>
      </c>
      <c r="AB212" s="5">
        <v>32</v>
      </c>
      <c r="AC212" s="2" t="s">
        <v>98</v>
      </c>
      <c r="AD212" s="4"/>
      <c r="AE212" s="4"/>
      <c r="AF212" s="6">
        <v>65</v>
      </c>
      <c r="AG212" s="6"/>
      <c r="AH212" s="7">
        <v>0.1429</v>
      </c>
      <c r="AI212" s="4"/>
      <c r="AJ212" s="4">
        <f>=ROUNDDOWN({0},0)</f>
      </c>
      <c r="AK212" s="5"/>
      <c r="AL212" s="2" t="s">
        <v>98</v>
      </c>
      <c r="AM212" s="4"/>
      <c r="AN212" s="4"/>
      <c r="AO212" s="7"/>
      <c r="AP212" s="4">
        <v>3</v>
      </c>
      <c r="AQ212" s="8">
        <v>85.77</v>
      </c>
      <c r="AR212" s="4"/>
      <c r="AS212" s="8"/>
      <c r="AT212" s="7"/>
      <c r="AU212" s="7"/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0.0489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51</v>
      </c>
      <c r="BK212" s="8">
        <v>1410.59</v>
      </c>
      <c r="BL212" s="2" t="s">
        <v>490</v>
      </c>
      <c r="BM212" s="7">
        <v>0.0588</v>
      </c>
      <c r="BN212" s="7">
        <v>0.0608</v>
      </c>
      <c r="BO212" s="4">
        <v>3</v>
      </c>
      <c r="BP212" s="8">
        <v>85.77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181</v>
      </c>
      <c r="BX212" s="2" t="s">
        <v>622</v>
      </c>
      <c r="BY212" s="2" t="s">
        <v>110</v>
      </c>
      <c r="BZ212" s="2" t="s">
        <v>98</v>
      </c>
    </row>
    <row r="213">
      <c r="A213" s="2" t="s">
        <v>709</v>
      </c>
      <c r="B213" s="2" t="s">
        <v>87</v>
      </c>
      <c r="C213" s="2" t="s">
        <v>88</v>
      </c>
      <c r="D213" s="2" t="s">
        <v>89</v>
      </c>
      <c r="E213" s="2" t="s">
        <v>90</v>
      </c>
      <c r="F213" s="2" t="s">
        <v>598</v>
      </c>
      <c r="G213" s="2" t="s">
        <v>598</v>
      </c>
      <c r="H213" s="2" t="s">
        <v>598</v>
      </c>
      <c r="I213" s="2" t="s">
        <v>599</v>
      </c>
      <c r="J213" s="2" t="s">
        <v>122</v>
      </c>
      <c r="K213" s="2" t="s">
        <v>705</v>
      </c>
      <c r="L213" s="3">
        <v>28.2</v>
      </c>
      <c r="M213" s="3">
        <v>29.61</v>
      </c>
      <c r="N213" s="3">
        <v>59.99</v>
      </c>
      <c r="O213" s="2" t="s">
        <v>95</v>
      </c>
      <c r="P213" s="2" t="s">
        <v>211</v>
      </c>
      <c r="Q213" s="2" t="s">
        <v>97</v>
      </c>
      <c r="R213" s="2" t="s">
        <v>98</v>
      </c>
      <c r="S213" s="2" t="s">
        <v>706</v>
      </c>
      <c r="T213" s="2" t="s">
        <v>602</v>
      </c>
      <c r="U213" s="2" t="s">
        <v>118</v>
      </c>
      <c r="V213" s="2" t="s">
        <v>336</v>
      </c>
      <c r="W213" s="2" t="s">
        <v>103</v>
      </c>
      <c r="X213" s="2" t="s">
        <v>603</v>
      </c>
      <c r="Y213" s="2" t="s">
        <v>207</v>
      </c>
      <c r="Z213" s="4">
        <v>963</v>
      </c>
      <c r="AA213" s="4">
        <f>=ROUNDDOWN(22.3953488372093,0)</f>
      </c>
      <c r="AB213" s="5">
        <v>43</v>
      </c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/>
      <c r="AP213" s="4">
        <v>19</v>
      </c>
      <c r="AQ213" s="8">
        <v>592.61</v>
      </c>
      <c r="AR213" s="4"/>
      <c r="AS213" s="8"/>
      <c r="AT213" s="7"/>
      <c r="AU213" s="7"/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0.3377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46</v>
      </c>
      <c r="BK213" s="8">
        <v>1449.25</v>
      </c>
      <c r="BL213" s="2" t="s">
        <v>710</v>
      </c>
      <c r="BM213" s="7">
        <v>0.413</v>
      </c>
      <c r="BN213" s="7">
        <v>0.4089</v>
      </c>
      <c r="BO213" s="4">
        <v>19</v>
      </c>
      <c r="BP213" s="8">
        <v>592.61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181</v>
      </c>
      <c r="BX213" s="2" t="s">
        <v>622</v>
      </c>
      <c r="BY213" s="2" t="s">
        <v>110</v>
      </c>
      <c r="BZ213" s="2" t="s">
        <v>98</v>
      </c>
    </row>
    <row r="214">
      <c r="A214" s="2" t="s">
        <v>711</v>
      </c>
      <c r="B214" s="2" t="s">
        <v>87</v>
      </c>
      <c r="C214" s="2" t="s">
        <v>88</v>
      </c>
      <c r="D214" s="2" t="s">
        <v>89</v>
      </c>
      <c r="E214" s="2" t="s">
        <v>90</v>
      </c>
      <c r="F214" s="2" t="s">
        <v>598</v>
      </c>
      <c r="G214" s="2" t="s">
        <v>598</v>
      </c>
      <c r="H214" s="2" t="s">
        <v>598</v>
      </c>
      <c r="I214" s="2" t="s">
        <v>599</v>
      </c>
      <c r="J214" s="2" t="s">
        <v>125</v>
      </c>
      <c r="K214" s="2" t="s">
        <v>705</v>
      </c>
      <c r="L214" s="3">
        <v>31.2</v>
      </c>
      <c r="M214" s="3">
        <v>32.76</v>
      </c>
      <c r="N214" s="3">
        <v>64.99</v>
      </c>
      <c r="O214" s="2" t="s">
        <v>95</v>
      </c>
      <c r="P214" s="2" t="s">
        <v>177</v>
      </c>
      <c r="Q214" s="2" t="s">
        <v>97</v>
      </c>
      <c r="R214" s="2" t="s">
        <v>98</v>
      </c>
      <c r="S214" s="2" t="s">
        <v>706</v>
      </c>
      <c r="T214" s="2" t="s">
        <v>602</v>
      </c>
      <c r="U214" s="2" t="s">
        <v>118</v>
      </c>
      <c r="V214" s="2" t="s">
        <v>336</v>
      </c>
      <c r="W214" s="2" t="s">
        <v>103</v>
      </c>
      <c r="X214" s="2" t="s">
        <v>603</v>
      </c>
      <c r="Y214" s="2" t="s">
        <v>207</v>
      </c>
      <c r="Z214" s="4">
        <v>653</v>
      </c>
      <c r="AA214" s="4">
        <f>=ROUNDDOWN(18.6571428571429,0)</f>
      </c>
      <c r="AB214" s="5">
        <v>35</v>
      </c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/>
      <c r="AP214" s="4">
        <v>8</v>
      </c>
      <c r="AQ214" s="8">
        <v>275.52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0.157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14</v>
      </c>
      <c r="BK214" s="8">
        <v>473.81</v>
      </c>
      <c r="BL214" s="2" t="s">
        <v>712</v>
      </c>
      <c r="BM214" s="7">
        <v>0.5714</v>
      </c>
      <c r="BN214" s="7">
        <v>0.5815</v>
      </c>
      <c r="BO214" s="4">
        <v>8</v>
      </c>
      <c r="BP214" s="8">
        <v>275.52</v>
      </c>
      <c r="BQ214" s="4"/>
      <c r="BR214" s="8"/>
      <c r="BS214" s="7"/>
      <c r="BT214" s="7"/>
      <c r="BU214" s="2" t="s">
        <v>107</v>
      </c>
      <c r="BV214" s="2" t="s">
        <v>95</v>
      </c>
      <c r="BW214" s="2" t="s">
        <v>181</v>
      </c>
      <c r="BX214" s="2" t="s">
        <v>385</v>
      </c>
      <c r="BY214" s="2" t="s">
        <v>110</v>
      </c>
      <c r="BZ214" s="2" t="s">
        <v>98</v>
      </c>
    </row>
    <row r="215">
      <c r="A215" s="2" t="s">
        <v>713</v>
      </c>
      <c r="B215" s="2" t="s">
        <v>87</v>
      </c>
      <c r="C215" s="2" t="s">
        <v>88</v>
      </c>
      <c r="D215" s="2" t="s">
        <v>89</v>
      </c>
      <c r="E215" s="2" t="s">
        <v>90</v>
      </c>
      <c r="F215" s="2" t="s">
        <v>598</v>
      </c>
      <c r="G215" s="2" t="s">
        <v>598</v>
      </c>
      <c r="H215" s="2" t="s">
        <v>598</v>
      </c>
      <c r="I215" s="2" t="s">
        <v>599</v>
      </c>
      <c r="J215" s="2" t="s">
        <v>129</v>
      </c>
      <c r="K215" s="2" t="s">
        <v>705</v>
      </c>
      <c r="L215" s="3">
        <v>31.85</v>
      </c>
      <c r="M215" s="3">
        <v>33.44</v>
      </c>
      <c r="N215" s="3">
        <v>64.99</v>
      </c>
      <c r="O215" s="2" t="s">
        <v>95</v>
      </c>
      <c r="P215" s="2" t="s">
        <v>156</v>
      </c>
      <c r="Q215" s="2" t="s">
        <v>97</v>
      </c>
      <c r="R215" s="2" t="s">
        <v>98</v>
      </c>
      <c r="S215" s="2" t="s">
        <v>706</v>
      </c>
      <c r="T215" s="2" t="s">
        <v>602</v>
      </c>
      <c r="U215" s="2" t="s">
        <v>118</v>
      </c>
      <c r="V215" s="2" t="s">
        <v>336</v>
      </c>
      <c r="W215" s="2" t="s">
        <v>103</v>
      </c>
      <c r="X215" s="2" t="s">
        <v>603</v>
      </c>
      <c r="Y215" s="2" t="s">
        <v>207</v>
      </c>
      <c r="Z215" s="4">
        <v>114</v>
      </c>
      <c r="AA215" s="4">
        <f>=ROUNDDOWN(16.2857142857143,0)</f>
      </c>
      <c r="AB215" s="5">
        <v>7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/>
      <c r="AP215" s="4">
        <v>6</v>
      </c>
      <c r="AQ215" s="8">
        <v>206.64</v>
      </c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>
        <v>0.1178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9</v>
      </c>
      <c r="BK215" s="8">
        <v>311.83</v>
      </c>
      <c r="BL215" s="2" t="s">
        <v>650</v>
      </c>
      <c r="BM215" s="7">
        <v>0.6667</v>
      </c>
      <c r="BN215" s="7">
        <v>0.6627</v>
      </c>
      <c r="BO215" s="4">
        <v>6</v>
      </c>
      <c r="BP215" s="8">
        <v>206.64</v>
      </c>
      <c r="BQ215" s="4"/>
      <c r="BR215" s="8"/>
      <c r="BS215" s="7"/>
      <c r="BT215" s="7"/>
      <c r="BU215" s="2" t="s">
        <v>107</v>
      </c>
      <c r="BV215" s="2" t="s">
        <v>95</v>
      </c>
      <c r="BW215" s="2" t="s">
        <v>181</v>
      </c>
      <c r="BX215" s="2" t="s">
        <v>400</v>
      </c>
      <c r="BY215" s="2" t="s">
        <v>110</v>
      </c>
      <c r="BZ215" s="2" t="s">
        <v>98</v>
      </c>
    </row>
    <row r="216">
      <c r="A216" s="2" t="s">
        <v>714</v>
      </c>
      <c r="B216" s="2" t="s">
        <v>87</v>
      </c>
      <c r="C216" s="2" t="s">
        <v>88</v>
      </c>
      <c r="D216" s="2" t="s">
        <v>89</v>
      </c>
      <c r="E216" s="2" t="s">
        <v>90</v>
      </c>
      <c r="F216" s="2" t="s">
        <v>598</v>
      </c>
      <c r="G216" s="2" t="s">
        <v>598</v>
      </c>
      <c r="H216" s="2" t="s">
        <v>598</v>
      </c>
      <c r="I216" s="2" t="s">
        <v>599</v>
      </c>
      <c r="J216" s="2" t="s">
        <v>93</v>
      </c>
      <c r="K216" s="2" t="s">
        <v>715</v>
      </c>
      <c r="L216" s="3">
        <v>24</v>
      </c>
      <c r="M216" s="3">
        <v>25.2</v>
      </c>
      <c r="N216" s="3">
        <v>49.99</v>
      </c>
      <c r="O216" s="2" t="s">
        <v>95</v>
      </c>
      <c r="P216" s="2" t="s">
        <v>156</v>
      </c>
      <c r="Q216" s="2" t="s">
        <v>97</v>
      </c>
      <c r="R216" s="2" t="s">
        <v>98</v>
      </c>
      <c r="S216" s="2" t="s">
        <v>716</v>
      </c>
      <c r="T216" s="2" t="s">
        <v>602</v>
      </c>
      <c r="U216" s="2" t="s">
        <v>101</v>
      </c>
      <c r="V216" s="2" t="s">
        <v>200</v>
      </c>
      <c r="W216" s="2" t="s">
        <v>103</v>
      </c>
      <c r="X216" s="2" t="s">
        <v>603</v>
      </c>
      <c r="Y216" s="2" t="s">
        <v>207</v>
      </c>
      <c r="Z216" s="4"/>
      <c r="AA216" s="4">
        <f>=ROUNDDOWN({0},0)</f>
      </c>
      <c r="AB216" s="5">
        <v>24</v>
      </c>
      <c r="AC216" s="2" t="s">
        <v>98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98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>
        <v>48</v>
      </c>
      <c r="AW216" s="8">
        <v>1730.47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0.0597</v>
      </c>
      <c r="BJ216" s="4"/>
      <c r="BK216" s="8"/>
      <c r="BL216" s="2" t="s">
        <v>98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181</v>
      </c>
      <c r="BX216" s="2" t="s">
        <v>484</v>
      </c>
      <c r="BY216" s="2" t="s">
        <v>110</v>
      </c>
      <c r="BZ216" s="2" t="s">
        <v>98</v>
      </c>
    </row>
    <row r="217">
      <c r="A217" s="2" t="s">
        <v>717</v>
      </c>
      <c r="B217" s="2" t="s">
        <v>87</v>
      </c>
      <c r="C217" s="2" t="s">
        <v>88</v>
      </c>
      <c r="D217" s="2" t="s">
        <v>89</v>
      </c>
      <c r="E217" s="2" t="s">
        <v>90</v>
      </c>
      <c r="F217" s="2" t="s">
        <v>598</v>
      </c>
      <c r="G217" s="2" t="s">
        <v>598</v>
      </c>
      <c r="H217" s="2" t="s">
        <v>598</v>
      </c>
      <c r="I217" s="2" t="s">
        <v>599</v>
      </c>
      <c r="J217" s="2" t="s">
        <v>117</v>
      </c>
      <c r="K217" s="2" t="s">
        <v>715</v>
      </c>
      <c r="L217" s="3">
        <v>28.2</v>
      </c>
      <c r="M217" s="3">
        <v>29.61</v>
      </c>
      <c r="N217" s="3">
        <v>59.99</v>
      </c>
      <c r="O217" s="2" t="s">
        <v>95</v>
      </c>
      <c r="P217" s="2" t="s">
        <v>156</v>
      </c>
      <c r="Q217" s="2" t="s">
        <v>97</v>
      </c>
      <c r="R217" s="2" t="s">
        <v>98</v>
      </c>
      <c r="S217" s="2" t="s">
        <v>716</v>
      </c>
      <c r="T217" s="2" t="s">
        <v>602</v>
      </c>
      <c r="U217" s="2" t="s">
        <v>118</v>
      </c>
      <c r="V217" s="2" t="s">
        <v>200</v>
      </c>
      <c r="W217" s="2" t="s">
        <v>103</v>
      </c>
      <c r="X217" s="2" t="s">
        <v>603</v>
      </c>
      <c r="Y217" s="2" t="s">
        <v>207</v>
      </c>
      <c r="Z217" s="4"/>
      <c r="AA217" s="4">
        <f>=ROUNDDOWN({0},0)</f>
      </c>
      <c r="AB217" s="5">
        <v>28</v>
      </c>
      <c r="AC217" s="2" t="s">
        <v>98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/>
      <c r="BK217" s="8"/>
      <c r="BL217" s="2" t="s">
        <v>98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181</v>
      </c>
      <c r="BX217" s="2" t="s">
        <v>517</v>
      </c>
      <c r="BY217" s="2" t="s">
        <v>110</v>
      </c>
      <c r="BZ217" s="2" t="s">
        <v>98</v>
      </c>
    </row>
    <row r="218">
      <c r="A218" s="2" t="s">
        <v>718</v>
      </c>
      <c r="B218" s="2" t="s">
        <v>87</v>
      </c>
      <c r="C218" s="2" t="s">
        <v>88</v>
      </c>
      <c r="D218" s="2" t="s">
        <v>89</v>
      </c>
      <c r="E218" s="2" t="s">
        <v>90</v>
      </c>
      <c r="F218" s="2" t="s">
        <v>598</v>
      </c>
      <c r="G218" s="2" t="s">
        <v>598</v>
      </c>
      <c r="H218" s="2" t="s">
        <v>598</v>
      </c>
      <c r="I218" s="2" t="s">
        <v>599</v>
      </c>
      <c r="J218" s="2" t="s">
        <v>122</v>
      </c>
      <c r="K218" s="2" t="s">
        <v>715</v>
      </c>
      <c r="L218" s="3">
        <v>31.85</v>
      </c>
      <c r="M218" s="3">
        <v>33.44</v>
      </c>
      <c r="N218" s="3">
        <v>64.99</v>
      </c>
      <c r="O218" s="2" t="s">
        <v>95</v>
      </c>
      <c r="P218" s="2" t="s">
        <v>184</v>
      </c>
      <c r="Q218" s="2" t="s">
        <v>97</v>
      </c>
      <c r="R218" s="2" t="s">
        <v>98</v>
      </c>
      <c r="S218" s="2" t="s">
        <v>716</v>
      </c>
      <c r="T218" s="2" t="s">
        <v>602</v>
      </c>
      <c r="U218" s="2" t="s">
        <v>118</v>
      </c>
      <c r="V218" s="2" t="s">
        <v>200</v>
      </c>
      <c r="W218" s="2" t="s">
        <v>103</v>
      </c>
      <c r="X218" s="2" t="s">
        <v>603</v>
      </c>
      <c r="Y218" s="2" t="s">
        <v>207</v>
      </c>
      <c r="Z218" s="4">
        <v>396</v>
      </c>
      <c r="AA218" s="4">
        <f>=ROUNDDOWN(18.8571428571429,0)</f>
      </c>
      <c r="AB218" s="5">
        <v>21</v>
      </c>
      <c r="AC218" s="2" t="s">
        <v>98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/>
      <c r="AP218" s="4">
        <v>31</v>
      </c>
      <c r="AQ218" s="8">
        <v>1067.64</v>
      </c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0.617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59</v>
      </c>
      <c r="BK218" s="8">
        <v>1981.65</v>
      </c>
      <c r="BL218" s="2" t="s">
        <v>332</v>
      </c>
      <c r="BM218" s="7">
        <v>0.5254</v>
      </c>
      <c r="BN218" s="7">
        <v>0.5388</v>
      </c>
      <c r="BO218" s="4">
        <v>31</v>
      </c>
      <c r="BP218" s="8">
        <v>1067.64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181</v>
      </c>
      <c r="BX218" s="2" t="s">
        <v>403</v>
      </c>
      <c r="BY218" s="2" t="s">
        <v>110</v>
      </c>
      <c r="BZ218" s="2" t="s">
        <v>98</v>
      </c>
    </row>
    <row r="219">
      <c r="A219" s="2" t="s">
        <v>719</v>
      </c>
      <c r="B219" s="2" t="s">
        <v>87</v>
      </c>
      <c r="C219" s="2" t="s">
        <v>88</v>
      </c>
      <c r="D219" s="2" t="s">
        <v>89</v>
      </c>
      <c r="E219" s="2" t="s">
        <v>90</v>
      </c>
      <c r="F219" s="2" t="s">
        <v>598</v>
      </c>
      <c r="G219" s="2" t="s">
        <v>598</v>
      </c>
      <c r="H219" s="2" t="s">
        <v>598</v>
      </c>
      <c r="I219" s="2" t="s">
        <v>599</v>
      </c>
      <c r="J219" s="2" t="s">
        <v>125</v>
      </c>
      <c r="K219" s="2" t="s">
        <v>715</v>
      </c>
      <c r="L219" s="3">
        <v>34.5</v>
      </c>
      <c r="M219" s="3">
        <v>36.22</v>
      </c>
      <c r="N219" s="3">
        <v>74.99</v>
      </c>
      <c r="O219" s="2" t="s">
        <v>95</v>
      </c>
      <c r="P219" s="2" t="s">
        <v>168</v>
      </c>
      <c r="Q219" s="2" t="s">
        <v>97</v>
      </c>
      <c r="R219" s="2" t="s">
        <v>98</v>
      </c>
      <c r="S219" s="2" t="s">
        <v>716</v>
      </c>
      <c r="T219" s="2" t="s">
        <v>602</v>
      </c>
      <c r="U219" s="2" t="s">
        <v>118</v>
      </c>
      <c r="V219" s="2" t="s">
        <v>200</v>
      </c>
      <c r="W219" s="2" t="s">
        <v>103</v>
      </c>
      <c r="X219" s="2" t="s">
        <v>603</v>
      </c>
      <c r="Y219" s="2" t="s">
        <v>207</v>
      </c>
      <c r="Z219" s="4">
        <v>387</v>
      </c>
      <c r="AA219" s="4">
        <f>=ROUNDDOWN(24.1875,0)</f>
      </c>
      <c r="AB219" s="5">
        <v>16</v>
      </c>
      <c r="AC219" s="2" t="s">
        <v>98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/>
      <c r="AP219" s="4">
        <v>17</v>
      </c>
      <c r="AQ219" s="8">
        <v>662.83</v>
      </c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0.383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34</v>
      </c>
      <c r="BK219" s="8">
        <v>1256.07</v>
      </c>
      <c r="BL219" s="2" t="s">
        <v>141</v>
      </c>
      <c r="BM219" s="7">
        <v>0.5</v>
      </c>
      <c r="BN219" s="7">
        <v>0.5277</v>
      </c>
      <c r="BO219" s="4">
        <v>17</v>
      </c>
      <c r="BP219" s="8">
        <v>662.83</v>
      </c>
      <c r="BQ219" s="4"/>
      <c r="BR219" s="8"/>
      <c r="BS219" s="7"/>
      <c r="BT219" s="7"/>
      <c r="BU219" s="2" t="s">
        <v>107</v>
      </c>
      <c r="BV219" s="2" t="s">
        <v>95</v>
      </c>
      <c r="BW219" s="2" t="s">
        <v>181</v>
      </c>
      <c r="BX219" s="2" t="s">
        <v>720</v>
      </c>
      <c r="BY219" s="2" t="s">
        <v>110</v>
      </c>
      <c r="BZ219" s="2" t="s">
        <v>98</v>
      </c>
    </row>
    <row r="220">
      <c r="A220" s="2" t="s">
        <v>721</v>
      </c>
      <c r="B220" s="2" t="s">
        <v>87</v>
      </c>
      <c r="C220" s="2" t="s">
        <v>88</v>
      </c>
      <c r="D220" s="2" t="s">
        <v>89</v>
      </c>
      <c r="E220" s="2" t="s">
        <v>90</v>
      </c>
      <c r="F220" s="2" t="s">
        <v>598</v>
      </c>
      <c r="G220" s="2" t="s">
        <v>598</v>
      </c>
      <c r="H220" s="2" t="s">
        <v>598</v>
      </c>
      <c r="I220" s="2" t="s">
        <v>599</v>
      </c>
      <c r="J220" s="2" t="s">
        <v>93</v>
      </c>
      <c r="K220" s="2" t="s">
        <v>722</v>
      </c>
      <c r="L220" s="3">
        <v>21.62</v>
      </c>
      <c r="M220" s="3">
        <v>22.7</v>
      </c>
      <c r="N220" s="3">
        <v>46.99</v>
      </c>
      <c r="O220" s="2" t="s">
        <v>95</v>
      </c>
      <c r="P220" s="2" t="s">
        <v>156</v>
      </c>
      <c r="Q220" s="2" t="s">
        <v>97</v>
      </c>
      <c r="R220" s="2" t="s">
        <v>98</v>
      </c>
      <c r="S220" s="2" t="s">
        <v>723</v>
      </c>
      <c r="T220" s="2" t="s">
        <v>602</v>
      </c>
      <c r="U220" s="2" t="s">
        <v>101</v>
      </c>
      <c r="V220" s="2" t="s">
        <v>336</v>
      </c>
      <c r="W220" s="2" t="s">
        <v>103</v>
      </c>
      <c r="X220" s="2" t="s">
        <v>603</v>
      </c>
      <c r="Y220" s="2" t="s">
        <v>207</v>
      </c>
      <c r="Z220" s="4">
        <v>199</v>
      </c>
      <c r="AA220" s="4">
        <f>=ROUNDDOWN(15.3076923076923,0)</f>
      </c>
      <c r="AB220" s="5">
        <v>13</v>
      </c>
      <c r="AC220" s="2" t="s">
        <v>98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/>
      <c r="AP220" s="4">
        <v>5</v>
      </c>
      <c r="AQ220" s="8">
        <v>122.15</v>
      </c>
      <c r="AR220" s="4"/>
      <c r="AS220" s="8"/>
      <c r="AT220" s="7"/>
      <c r="AU220" s="7"/>
      <c r="AV220" s="4">
        <v>55</v>
      </c>
      <c r="AW220" s="8">
        <v>1670.67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0.0731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0.0576</v>
      </c>
      <c r="BJ220" s="4">
        <v>11</v>
      </c>
      <c r="BK220" s="8">
        <v>265.01</v>
      </c>
      <c r="BL220" s="2" t="s">
        <v>650</v>
      </c>
      <c r="BM220" s="7">
        <v>0.4545</v>
      </c>
      <c r="BN220" s="7">
        <v>0.4609</v>
      </c>
      <c r="BO220" s="4">
        <v>5</v>
      </c>
      <c r="BP220" s="8">
        <v>122.15</v>
      </c>
      <c r="BQ220" s="4"/>
      <c r="BR220" s="8"/>
      <c r="BS220" s="7"/>
      <c r="BT220" s="7"/>
      <c r="BU220" s="2" t="s">
        <v>107</v>
      </c>
      <c r="BV220" s="2" t="s">
        <v>95</v>
      </c>
      <c r="BW220" s="2" t="s">
        <v>181</v>
      </c>
      <c r="BX220" s="2" t="s">
        <v>510</v>
      </c>
      <c r="BY220" s="2" t="s">
        <v>110</v>
      </c>
      <c r="BZ220" s="2" t="s">
        <v>98</v>
      </c>
    </row>
    <row r="221">
      <c r="A221" s="2" t="s">
        <v>724</v>
      </c>
      <c r="B221" s="2" t="s">
        <v>87</v>
      </c>
      <c r="C221" s="2" t="s">
        <v>88</v>
      </c>
      <c r="D221" s="2" t="s">
        <v>89</v>
      </c>
      <c r="E221" s="2" t="s">
        <v>90</v>
      </c>
      <c r="F221" s="2" t="s">
        <v>598</v>
      </c>
      <c r="G221" s="2" t="s">
        <v>598</v>
      </c>
      <c r="H221" s="2" t="s">
        <v>598</v>
      </c>
      <c r="I221" s="2" t="s">
        <v>599</v>
      </c>
      <c r="J221" s="2" t="s">
        <v>112</v>
      </c>
      <c r="K221" s="2" t="s">
        <v>722</v>
      </c>
      <c r="L221" s="3">
        <v>23.04</v>
      </c>
      <c r="M221" s="3">
        <v>24.19</v>
      </c>
      <c r="N221" s="3">
        <v>47.99</v>
      </c>
      <c r="O221" s="2" t="s">
        <v>95</v>
      </c>
      <c r="P221" s="2" t="s">
        <v>156</v>
      </c>
      <c r="Q221" s="2" t="s">
        <v>97</v>
      </c>
      <c r="R221" s="2" t="s">
        <v>98</v>
      </c>
      <c r="S221" s="2" t="s">
        <v>723</v>
      </c>
      <c r="T221" s="2" t="s">
        <v>602</v>
      </c>
      <c r="U221" s="2" t="s">
        <v>101</v>
      </c>
      <c r="V221" s="2" t="s">
        <v>336</v>
      </c>
      <c r="W221" s="2" t="s">
        <v>103</v>
      </c>
      <c r="X221" s="2" t="s">
        <v>603</v>
      </c>
      <c r="Y221" s="2" t="s">
        <v>207</v>
      </c>
      <c r="Z221" s="4">
        <v>83</v>
      </c>
      <c r="AA221" s="4">
        <f>=ROUNDDOWN(20.75,0)</f>
      </c>
      <c r="AB221" s="5">
        <v>4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/>
      <c r="AP221" s="4">
        <v>8</v>
      </c>
      <c r="AQ221" s="8">
        <v>203.44</v>
      </c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0.1218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16</v>
      </c>
      <c r="BK221" s="8">
        <v>404.46</v>
      </c>
      <c r="BL221" s="2" t="s">
        <v>725</v>
      </c>
      <c r="BM221" s="7">
        <v>0.5</v>
      </c>
      <c r="BN221" s="7">
        <v>0.503</v>
      </c>
      <c r="BO221" s="4">
        <v>8</v>
      </c>
      <c r="BP221" s="8">
        <v>203.44</v>
      </c>
      <c r="BQ221" s="4"/>
      <c r="BR221" s="8"/>
      <c r="BS221" s="7"/>
      <c r="BT221" s="7"/>
      <c r="BU221" s="2" t="s">
        <v>107</v>
      </c>
      <c r="BV221" s="2" t="s">
        <v>95</v>
      </c>
      <c r="BW221" s="2" t="s">
        <v>181</v>
      </c>
      <c r="BX221" s="2" t="s">
        <v>517</v>
      </c>
      <c r="BY221" s="2" t="s">
        <v>110</v>
      </c>
      <c r="BZ221" s="2" t="s">
        <v>98</v>
      </c>
    </row>
    <row r="222">
      <c r="A222" s="2" t="s">
        <v>726</v>
      </c>
      <c r="B222" s="2" t="s">
        <v>87</v>
      </c>
      <c r="C222" s="2" t="s">
        <v>88</v>
      </c>
      <c r="D222" s="2" t="s">
        <v>89</v>
      </c>
      <c r="E222" s="2" t="s">
        <v>90</v>
      </c>
      <c r="F222" s="2" t="s">
        <v>598</v>
      </c>
      <c r="G222" s="2" t="s">
        <v>598</v>
      </c>
      <c r="H222" s="2" t="s">
        <v>598</v>
      </c>
      <c r="I222" s="2" t="s">
        <v>599</v>
      </c>
      <c r="J222" s="2" t="s">
        <v>117</v>
      </c>
      <c r="K222" s="2" t="s">
        <v>722</v>
      </c>
      <c r="L222" s="3">
        <v>25.3</v>
      </c>
      <c r="M222" s="3">
        <v>26.56</v>
      </c>
      <c r="N222" s="3">
        <v>54.99</v>
      </c>
      <c r="O222" s="2" t="s">
        <v>95</v>
      </c>
      <c r="P222" s="2" t="s">
        <v>156</v>
      </c>
      <c r="Q222" s="2" t="s">
        <v>97</v>
      </c>
      <c r="R222" s="2" t="s">
        <v>98</v>
      </c>
      <c r="S222" s="2" t="s">
        <v>723</v>
      </c>
      <c r="T222" s="2" t="s">
        <v>602</v>
      </c>
      <c r="U222" s="2" t="s">
        <v>118</v>
      </c>
      <c r="V222" s="2" t="s">
        <v>336</v>
      </c>
      <c r="W222" s="2" t="s">
        <v>103</v>
      </c>
      <c r="X222" s="2" t="s">
        <v>603</v>
      </c>
      <c r="Y222" s="2" t="s">
        <v>207</v>
      </c>
      <c r="Z222" s="4">
        <v>65</v>
      </c>
      <c r="AA222" s="4">
        <f>=ROUNDDOWN(10.8333333333333,0)</f>
      </c>
      <c r="AB222" s="5">
        <v>6</v>
      </c>
      <c r="AC222" s="2" t="s">
        <v>98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/>
      <c r="AP222" s="4">
        <v>9</v>
      </c>
      <c r="AQ222" s="8">
        <v>257.31</v>
      </c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0.154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16</v>
      </c>
      <c r="BK222" s="8">
        <v>450.55</v>
      </c>
      <c r="BL222" s="2" t="s">
        <v>725</v>
      </c>
      <c r="BM222" s="7">
        <v>0.5625</v>
      </c>
      <c r="BN222" s="7">
        <v>0.5711</v>
      </c>
      <c r="BO222" s="4">
        <v>9</v>
      </c>
      <c r="BP222" s="8">
        <v>257.31</v>
      </c>
      <c r="BQ222" s="4"/>
      <c r="BR222" s="8"/>
      <c r="BS222" s="7"/>
      <c r="BT222" s="7"/>
      <c r="BU222" s="2" t="s">
        <v>107</v>
      </c>
      <c r="BV222" s="2" t="s">
        <v>95</v>
      </c>
      <c r="BW222" s="2" t="s">
        <v>181</v>
      </c>
      <c r="BX222" s="2" t="s">
        <v>727</v>
      </c>
      <c r="BY222" s="2" t="s">
        <v>110</v>
      </c>
      <c r="BZ222" s="2" t="s">
        <v>98</v>
      </c>
    </row>
    <row r="223">
      <c r="A223" s="2" t="s">
        <v>728</v>
      </c>
      <c r="B223" s="2" t="s">
        <v>87</v>
      </c>
      <c r="C223" s="2" t="s">
        <v>88</v>
      </c>
      <c r="D223" s="2" t="s">
        <v>89</v>
      </c>
      <c r="E223" s="2" t="s">
        <v>90</v>
      </c>
      <c r="F223" s="2" t="s">
        <v>598</v>
      </c>
      <c r="G223" s="2" t="s">
        <v>598</v>
      </c>
      <c r="H223" s="2" t="s">
        <v>598</v>
      </c>
      <c r="I223" s="2" t="s">
        <v>599</v>
      </c>
      <c r="J223" s="2" t="s">
        <v>122</v>
      </c>
      <c r="K223" s="2" t="s">
        <v>722</v>
      </c>
      <c r="L223" s="3">
        <v>28.2</v>
      </c>
      <c r="M223" s="3">
        <v>29.61</v>
      </c>
      <c r="N223" s="3">
        <v>59.99</v>
      </c>
      <c r="O223" s="2" t="s">
        <v>95</v>
      </c>
      <c r="P223" s="2" t="s">
        <v>156</v>
      </c>
      <c r="Q223" s="2" t="s">
        <v>97</v>
      </c>
      <c r="R223" s="2" t="s">
        <v>98</v>
      </c>
      <c r="S223" s="2" t="s">
        <v>723</v>
      </c>
      <c r="T223" s="2" t="s">
        <v>602</v>
      </c>
      <c r="U223" s="2" t="s">
        <v>118</v>
      </c>
      <c r="V223" s="2" t="s">
        <v>336</v>
      </c>
      <c r="W223" s="2" t="s">
        <v>103</v>
      </c>
      <c r="X223" s="2" t="s">
        <v>603</v>
      </c>
      <c r="Y223" s="2" t="s">
        <v>207</v>
      </c>
      <c r="Z223" s="4">
        <v>147</v>
      </c>
      <c r="AA223" s="4">
        <f>=ROUNDDOWN(7.35,0)</f>
      </c>
      <c r="AB223" s="5">
        <v>20</v>
      </c>
      <c r="AC223" s="2" t="s">
        <v>98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/>
      <c r="AP223" s="4">
        <v>15</v>
      </c>
      <c r="AQ223" s="8">
        <v>467.85</v>
      </c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0.28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39</v>
      </c>
      <c r="BK223" s="8">
        <v>1202.2</v>
      </c>
      <c r="BL223" s="2" t="s">
        <v>141</v>
      </c>
      <c r="BM223" s="7">
        <v>0.3846</v>
      </c>
      <c r="BN223" s="7">
        <v>0.3892</v>
      </c>
      <c r="BO223" s="4">
        <v>15</v>
      </c>
      <c r="BP223" s="8">
        <v>467.85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181</v>
      </c>
      <c r="BX223" s="2" t="s">
        <v>729</v>
      </c>
      <c r="BY223" s="2" t="s">
        <v>110</v>
      </c>
      <c r="BZ223" s="2" t="s">
        <v>98</v>
      </c>
    </row>
    <row r="224">
      <c r="A224" s="2" t="s">
        <v>730</v>
      </c>
      <c r="B224" s="2" t="s">
        <v>87</v>
      </c>
      <c r="C224" s="2" t="s">
        <v>88</v>
      </c>
      <c r="D224" s="2" t="s">
        <v>89</v>
      </c>
      <c r="E224" s="2" t="s">
        <v>90</v>
      </c>
      <c r="F224" s="2" t="s">
        <v>598</v>
      </c>
      <c r="G224" s="2" t="s">
        <v>598</v>
      </c>
      <c r="H224" s="2" t="s">
        <v>598</v>
      </c>
      <c r="I224" s="2" t="s">
        <v>599</v>
      </c>
      <c r="J224" s="2" t="s">
        <v>125</v>
      </c>
      <c r="K224" s="2" t="s">
        <v>722</v>
      </c>
      <c r="L224" s="3">
        <v>31.2</v>
      </c>
      <c r="M224" s="3">
        <v>32.76</v>
      </c>
      <c r="N224" s="3">
        <v>64.99</v>
      </c>
      <c r="O224" s="2" t="s">
        <v>95</v>
      </c>
      <c r="P224" s="2" t="s">
        <v>156</v>
      </c>
      <c r="Q224" s="2" t="s">
        <v>97</v>
      </c>
      <c r="R224" s="2" t="s">
        <v>98</v>
      </c>
      <c r="S224" s="2" t="s">
        <v>723</v>
      </c>
      <c r="T224" s="2" t="s">
        <v>602</v>
      </c>
      <c r="U224" s="2" t="s">
        <v>118</v>
      </c>
      <c r="V224" s="2" t="s">
        <v>336</v>
      </c>
      <c r="W224" s="2" t="s">
        <v>103</v>
      </c>
      <c r="X224" s="2" t="s">
        <v>603</v>
      </c>
      <c r="Y224" s="2" t="s">
        <v>207</v>
      </c>
      <c r="Z224" s="4">
        <v>214</v>
      </c>
      <c r="AA224" s="4">
        <f>=ROUNDDOWN(16.4615384615385,0)</f>
      </c>
      <c r="AB224" s="5">
        <v>13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/>
      <c r="AP224" s="4">
        <v>12</v>
      </c>
      <c r="AQ224" s="8">
        <v>413.28</v>
      </c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0.2474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22</v>
      </c>
      <c r="BK224" s="8">
        <v>754.99</v>
      </c>
      <c r="BL224" s="2" t="s">
        <v>464</v>
      </c>
      <c r="BM224" s="7">
        <v>0.5455</v>
      </c>
      <c r="BN224" s="7">
        <v>0.5474</v>
      </c>
      <c r="BO224" s="4">
        <v>12</v>
      </c>
      <c r="BP224" s="8">
        <v>413.28</v>
      </c>
      <c r="BQ224" s="4"/>
      <c r="BR224" s="8"/>
      <c r="BS224" s="7"/>
      <c r="BT224" s="7"/>
      <c r="BU224" s="2" t="s">
        <v>107</v>
      </c>
      <c r="BV224" s="2" t="s">
        <v>95</v>
      </c>
      <c r="BW224" s="2" t="s">
        <v>181</v>
      </c>
      <c r="BX224" s="2" t="s">
        <v>484</v>
      </c>
      <c r="BY224" s="2" t="s">
        <v>110</v>
      </c>
      <c r="BZ224" s="2" t="s">
        <v>98</v>
      </c>
    </row>
    <row r="225">
      <c r="A225" s="2" t="s">
        <v>731</v>
      </c>
      <c r="B225" s="2" t="s">
        <v>87</v>
      </c>
      <c r="C225" s="2" t="s">
        <v>88</v>
      </c>
      <c r="D225" s="2" t="s">
        <v>89</v>
      </c>
      <c r="E225" s="2" t="s">
        <v>90</v>
      </c>
      <c r="F225" s="2" t="s">
        <v>598</v>
      </c>
      <c r="G225" s="2" t="s">
        <v>598</v>
      </c>
      <c r="H225" s="2" t="s">
        <v>598</v>
      </c>
      <c r="I225" s="2" t="s">
        <v>599</v>
      </c>
      <c r="J225" s="2" t="s">
        <v>129</v>
      </c>
      <c r="K225" s="2" t="s">
        <v>722</v>
      </c>
      <c r="L225" s="3">
        <v>31.85</v>
      </c>
      <c r="M225" s="3">
        <v>33.44</v>
      </c>
      <c r="N225" s="3">
        <v>64.99</v>
      </c>
      <c r="O225" s="2" t="s">
        <v>95</v>
      </c>
      <c r="P225" s="2" t="s">
        <v>156</v>
      </c>
      <c r="Q225" s="2" t="s">
        <v>97</v>
      </c>
      <c r="R225" s="2" t="s">
        <v>98</v>
      </c>
      <c r="S225" s="2" t="s">
        <v>723</v>
      </c>
      <c r="T225" s="2" t="s">
        <v>602</v>
      </c>
      <c r="U225" s="2" t="s">
        <v>118</v>
      </c>
      <c r="V225" s="2" t="s">
        <v>336</v>
      </c>
      <c r="W225" s="2" t="s">
        <v>103</v>
      </c>
      <c r="X225" s="2" t="s">
        <v>603</v>
      </c>
      <c r="Y225" s="2" t="s">
        <v>207</v>
      </c>
      <c r="Z225" s="4">
        <v>64</v>
      </c>
      <c r="AA225" s="4">
        <f>=ROUNDDOWN(16,0)</f>
      </c>
      <c r="AB225" s="5">
        <v>4</v>
      </c>
      <c r="AC225" s="2" t="s">
        <v>98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/>
      <c r="AP225" s="4">
        <v>6</v>
      </c>
      <c r="AQ225" s="8">
        <v>206.64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0.1237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11</v>
      </c>
      <c r="BK225" s="8">
        <v>381.94</v>
      </c>
      <c r="BL225" s="2" t="s">
        <v>170</v>
      </c>
      <c r="BM225" s="7">
        <v>0.5455</v>
      </c>
      <c r="BN225" s="7">
        <v>0.541</v>
      </c>
      <c r="BO225" s="4">
        <v>6</v>
      </c>
      <c r="BP225" s="8">
        <v>206.64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181</v>
      </c>
      <c r="BX225" s="2" t="s">
        <v>732</v>
      </c>
      <c r="BY225" s="2" t="s">
        <v>110</v>
      </c>
      <c r="BZ225" s="2" t="s">
        <v>98</v>
      </c>
    </row>
    <row r="226">
      <c r="A226" s="2" t="s">
        <v>733</v>
      </c>
      <c r="B226" s="2" t="s">
        <v>87</v>
      </c>
      <c r="C226" s="2" t="s">
        <v>88</v>
      </c>
      <c r="D226" s="2" t="s">
        <v>89</v>
      </c>
      <c r="E226" s="2" t="s">
        <v>90</v>
      </c>
      <c r="F226" s="2" t="s">
        <v>598</v>
      </c>
      <c r="G226" s="2" t="s">
        <v>598</v>
      </c>
      <c r="H226" s="2" t="s">
        <v>598</v>
      </c>
      <c r="I226" s="2" t="s">
        <v>599</v>
      </c>
      <c r="J226" s="2" t="s">
        <v>93</v>
      </c>
      <c r="K226" s="2" t="s">
        <v>734</v>
      </c>
      <c r="L226" s="3">
        <v>21.62</v>
      </c>
      <c r="M226" s="3">
        <v>22.7</v>
      </c>
      <c r="N226" s="3">
        <v>46.99</v>
      </c>
      <c r="O226" s="2" t="s">
        <v>95</v>
      </c>
      <c r="P226" s="2" t="s">
        <v>156</v>
      </c>
      <c r="Q226" s="2" t="s">
        <v>97</v>
      </c>
      <c r="R226" s="2" t="s">
        <v>98</v>
      </c>
      <c r="S226" s="2" t="s">
        <v>735</v>
      </c>
      <c r="T226" s="2" t="s">
        <v>602</v>
      </c>
      <c r="U226" s="2" t="s">
        <v>101</v>
      </c>
      <c r="V226" s="2" t="s">
        <v>336</v>
      </c>
      <c r="W226" s="2" t="s">
        <v>103</v>
      </c>
      <c r="X226" s="2" t="s">
        <v>603</v>
      </c>
      <c r="Y226" s="2" t="s">
        <v>207</v>
      </c>
      <c r="Z226" s="4">
        <v>138</v>
      </c>
      <c r="AA226" s="4">
        <f>=ROUNDDOWN(12.5454545454545,0)</f>
      </c>
      <c r="AB226" s="5">
        <v>11</v>
      </c>
      <c r="AC226" s="2" t="s">
        <v>98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/>
      <c r="AP226" s="4">
        <v>9</v>
      </c>
      <c r="AQ226" s="8">
        <v>219.87</v>
      </c>
      <c r="AR226" s="4"/>
      <c r="AS226" s="8"/>
      <c r="AT226" s="7"/>
      <c r="AU226" s="7"/>
      <c r="AV226" s="4">
        <v>50</v>
      </c>
      <c r="AW226" s="8">
        <v>1528.36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0.1439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0.0527</v>
      </c>
      <c r="BJ226" s="4">
        <v>10</v>
      </c>
      <c r="BK226" s="8">
        <v>243.65</v>
      </c>
      <c r="BL226" s="2" t="s">
        <v>618</v>
      </c>
      <c r="BM226" s="7">
        <v>0.9</v>
      </c>
      <c r="BN226" s="7">
        <v>0.9024</v>
      </c>
      <c r="BO226" s="4">
        <v>9</v>
      </c>
      <c r="BP226" s="8">
        <v>219.87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181</v>
      </c>
      <c r="BX226" s="2" t="s">
        <v>736</v>
      </c>
      <c r="BY226" s="2" t="s">
        <v>110</v>
      </c>
      <c r="BZ226" s="2" t="s">
        <v>98</v>
      </c>
    </row>
    <row r="227">
      <c r="A227" s="2" t="s">
        <v>737</v>
      </c>
      <c r="B227" s="2" t="s">
        <v>87</v>
      </c>
      <c r="C227" s="2" t="s">
        <v>88</v>
      </c>
      <c r="D227" s="2" t="s">
        <v>89</v>
      </c>
      <c r="E227" s="2" t="s">
        <v>90</v>
      </c>
      <c r="F227" s="2" t="s">
        <v>598</v>
      </c>
      <c r="G227" s="2" t="s">
        <v>598</v>
      </c>
      <c r="H227" s="2" t="s">
        <v>598</v>
      </c>
      <c r="I227" s="2" t="s">
        <v>599</v>
      </c>
      <c r="J227" s="2" t="s">
        <v>112</v>
      </c>
      <c r="K227" s="2" t="s">
        <v>734</v>
      </c>
      <c r="L227" s="3">
        <v>23.04</v>
      </c>
      <c r="M227" s="3">
        <v>24.19</v>
      </c>
      <c r="N227" s="3">
        <v>47.99</v>
      </c>
      <c r="O227" s="2" t="s">
        <v>95</v>
      </c>
      <c r="P227" s="2" t="s">
        <v>156</v>
      </c>
      <c r="Q227" s="2" t="s">
        <v>97</v>
      </c>
      <c r="R227" s="2" t="s">
        <v>98</v>
      </c>
      <c r="S227" s="2" t="s">
        <v>735</v>
      </c>
      <c r="T227" s="2" t="s">
        <v>602</v>
      </c>
      <c r="U227" s="2" t="s">
        <v>101</v>
      </c>
      <c r="V227" s="2" t="s">
        <v>336</v>
      </c>
      <c r="W227" s="2" t="s">
        <v>103</v>
      </c>
      <c r="X227" s="2" t="s">
        <v>603</v>
      </c>
      <c r="Y227" s="2" t="s">
        <v>207</v>
      </c>
      <c r="Z227" s="4">
        <v>206</v>
      </c>
      <c r="AA227" s="4">
        <f>=ROUNDDOWN(15.8461538461538,0)</f>
      </c>
      <c r="AB227" s="5">
        <v>13</v>
      </c>
      <c r="AC227" s="2" t="s">
        <v>98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/>
      <c r="AP227" s="4">
        <v>5</v>
      </c>
      <c r="AQ227" s="8">
        <v>127.15</v>
      </c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0.0832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10</v>
      </c>
      <c r="BK227" s="8">
        <v>248.83</v>
      </c>
      <c r="BL227" s="2" t="s">
        <v>738</v>
      </c>
      <c r="BM227" s="7">
        <v>0.5</v>
      </c>
      <c r="BN227" s="7">
        <v>0.511</v>
      </c>
      <c r="BO227" s="4">
        <v>5</v>
      </c>
      <c r="BP227" s="8">
        <v>127.15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181</v>
      </c>
      <c r="BX227" s="2" t="s">
        <v>385</v>
      </c>
      <c r="BY227" s="2" t="s">
        <v>110</v>
      </c>
      <c r="BZ227" s="2" t="s">
        <v>98</v>
      </c>
    </row>
    <row r="228">
      <c r="A228" s="2" t="s">
        <v>739</v>
      </c>
      <c r="B228" s="2" t="s">
        <v>87</v>
      </c>
      <c r="C228" s="2" t="s">
        <v>88</v>
      </c>
      <c r="D228" s="2" t="s">
        <v>89</v>
      </c>
      <c r="E228" s="2" t="s">
        <v>90</v>
      </c>
      <c r="F228" s="2" t="s">
        <v>598</v>
      </c>
      <c r="G228" s="2" t="s">
        <v>598</v>
      </c>
      <c r="H228" s="2" t="s">
        <v>598</v>
      </c>
      <c r="I228" s="2" t="s">
        <v>599</v>
      </c>
      <c r="J228" s="2" t="s">
        <v>117</v>
      </c>
      <c r="K228" s="2" t="s">
        <v>734</v>
      </c>
      <c r="L228" s="3">
        <v>25.3</v>
      </c>
      <c r="M228" s="3">
        <v>26.56</v>
      </c>
      <c r="N228" s="3">
        <v>54.99</v>
      </c>
      <c r="O228" s="2" t="s">
        <v>95</v>
      </c>
      <c r="P228" s="2" t="s">
        <v>156</v>
      </c>
      <c r="Q228" s="2" t="s">
        <v>97</v>
      </c>
      <c r="R228" s="2" t="s">
        <v>98</v>
      </c>
      <c r="S228" s="2" t="s">
        <v>735</v>
      </c>
      <c r="T228" s="2" t="s">
        <v>602</v>
      </c>
      <c r="U228" s="2" t="s">
        <v>118</v>
      </c>
      <c r="V228" s="2" t="s">
        <v>336</v>
      </c>
      <c r="W228" s="2" t="s">
        <v>103</v>
      </c>
      <c r="X228" s="2" t="s">
        <v>603</v>
      </c>
      <c r="Y228" s="2" t="s">
        <v>207</v>
      </c>
      <c r="Z228" s="4"/>
      <c r="AA228" s="4">
        <f>=ROUNDDOWN({0},0)</f>
      </c>
      <c r="AB228" s="5">
        <v>19</v>
      </c>
      <c r="AC228" s="2" t="s">
        <v>98</v>
      </c>
      <c r="AD228" s="4"/>
      <c r="AE228" s="4"/>
      <c r="AF228" s="6">
        <v>65</v>
      </c>
      <c r="AG228" s="6"/>
      <c r="AH228" s="7">
        <v>0.1429</v>
      </c>
      <c r="AI228" s="4"/>
      <c r="AJ228" s="4">
        <f>=ROUNDDOWN({0},0)</f>
      </c>
      <c r="AK228" s="5"/>
      <c r="AL228" s="2" t="s">
        <v>98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2</v>
      </c>
      <c r="BK228" s="8">
        <v>55.08</v>
      </c>
      <c r="BL228" s="2" t="s">
        <v>405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95</v>
      </c>
      <c r="BW228" s="2" t="s">
        <v>181</v>
      </c>
      <c r="BX228" s="2" t="s">
        <v>648</v>
      </c>
      <c r="BY228" s="2" t="s">
        <v>110</v>
      </c>
      <c r="BZ228" s="2" t="s">
        <v>98</v>
      </c>
    </row>
    <row r="229">
      <c r="A229" s="2" t="s">
        <v>740</v>
      </c>
      <c r="B229" s="2" t="s">
        <v>87</v>
      </c>
      <c r="C229" s="2" t="s">
        <v>88</v>
      </c>
      <c r="D229" s="2" t="s">
        <v>89</v>
      </c>
      <c r="E229" s="2" t="s">
        <v>90</v>
      </c>
      <c r="F229" s="2" t="s">
        <v>598</v>
      </c>
      <c r="G229" s="2" t="s">
        <v>598</v>
      </c>
      <c r="H229" s="2" t="s">
        <v>598</v>
      </c>
      <c r="I229" s="2" t="s">
        <v>599</v>
      </c>
      <c r="J229" s="2" t="s">
        <v>122</v>
      </c>
      <c r="K229" s="2" t="s">
        <v>734</v>
      </c>
      <c r="L229" s="3">
        <v>28.2</v>
      </c>
      <c r="M229" s="3">
        <v>29.61</v>
      </c>
      <c r="N229" s="3">
        <v>59.99</v>
      </c>
      <c r="O229" s="2" t="s">
        <v>95</v>
      </c>
      <c r="P229" s="2" t="s">
        <v>168</v>
      </c>
      <c r="Q229" s="2" t="s">
        <v>97</v>
      </c>
      <c r="R229" s="2" t="s">
        <v>98</v>
      </c>
      <c r="S229" s="2" t="s">
        <v>735</v>
      </c>
      <c r="T229" s="2" t="s">
        <v>602</v>
      </c>
      <c r="U229" s="2" t="s">
        <v>118</v>
      </c>
      <c r="V229" s="2" t="s">
        <v>336</v>
      </c>
      <c r="W229" s="2" t="s">
        <v>103</v>
      </c>
      <c r="X229" s="2" t="s">
        <v>603</v>
      </c>
      <c r="Y229" s="2" t="s">
        <v>207</v>
      </c>
      <c r="Z229" s="4">
        <v>379</v>
      </c>
      <c r="AA229" s="4">
        <f>=ROUNDDOWN(13.5357142857143,0)</f>
      </c>
      <c r="AB229" s="5">
        <v>28</v>
      </c>
      <c r="AC229" s="2" t="s">
        <v>98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/>
      <c r="AP229" s="4">
        <v>18</v>
      </c>
      <c r="AQ229" s="8">
        <v>561.42</v>
      </c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0.3673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33</v>
      </c>
      <c r="BK229" s="8">
        <v>1025.8</v>
      </c>
      <c r="BL229" s="2" t="s">
        <v>741</v>
      </c>
      <c r="BM229" s="7">
        <v>0.5455</v>
      </c>
      <c r="BN229" s="7">
        <v>0.5473</v>
      </c>
      <c r="BO229" s="4">
        <v>18</v>
      </c>
      <c r="BP229" s="8">
        <v>561.42</v>
      </c>
      <c r="BQ229" s="4"/>
      <c r="BR229" s="8"/>
      <c r="BS229" s="7"/>
      <c r="BT229" s="7"/>
      <c r="BU229" s="2" t="s">
        <v>107</v>
      </c>
      <c r="BV229" s="2" t="s">
        <v>95</v>
      </c>
      <c r="BW229" s="2" t="s">
        <v>181</v>
      </c>
      <c r="BX229" s="2" t="s">
        <v>720</v>
      </c>
      <c r="BY229" s="2" t="s">
        <v>110</v>
      </c>
      <c r="BZ229" s="2" t="s">
        <v>98</v>
      </c>
    </row>
    <row r="230">
      <c r="A230" s="2" t="s">
        <v>742</v>
      </c>
      <c r="B230" s="2" t="s">
        <v>87</v>
      </c>
      <c r="C230" s="2" t="s">
        <v>88</v>
      </c>
      <c r="D230" s="2" t="s">
        <v>89</v>
      </c>
      <c r="E230" s="2" t="s">
        <v>90</v>
      </c>
      <c r="F230" s="2" t="s">
        <v>598</v>
      </c>
      <c r="G230" s="2" t="s">
        <v>598</v>
      </c>
      <c r="H230" s="2" t="s">
        <v>598</v>
      </c>
      <c r="I230" s="2" t="s">
        <v>599</v>
      </c>
      <c r="J230" s="2" t="s">
        <v>125</v>
      </c>
      <c r="K230" s="2" t="s">
        <v>734</v>
      </c>
      <c r="L230" s="3">
        <v>31.2</v>
      </c>
      <c r="M230" s="3">
        <v>32.76</v>
      </c>
      <c r="N230" s="3">
        <v>64.99</v>
      </c>
      <c r="O230" s="2" t="s">
        <v>95</v>
      </c>
      <c r="P230" s="2" t="s">
        <v>156</v>
      </c>
      <c r="Q230" s="2" t="s">
        <v>97</v>
      </c>
      <c r="R230" s="2" t="s">
        <v>98</v>
      </c>
      <c r="S230" s="2" t="s">
        <v>735</v>
      </c>
      <c r="T230" s="2" t="s">
        <v>602</v>
      </c>
      <c r="U230" s="2" t="s">
        <v>118</v>
      </c>
      <c r="V230" s="2" t="s">
        <v>336</v>
      </c>
      <c r="W230" s="2" t="s">
        <v>103</v>
      </c>
      <c r="X230" s="2" t="s">
        <v>603</v>
      </c>
      <c r="Y230" s="2" t="s">
        <v>207</v>
      </c>
      <c r="Z230" s="4">
        <v>160</v>
      </c>
      <c r="AA230" s="4">
        <f>=ROUNDDOWN(11.4285714285714,0)</f>
      </c>
      <c r="AB230" s="5">
        <v>14</v>
      </c>
      <c r="AC230" s="2" t="s">
        <v>98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/>
      <c r="AP230" s="4">
        <v>9</v>
      </c>
      <c r="AQ230" s="8">
        <v>309.96</v>
      </c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0.2028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16</v>
      </c>
      <c r="BK230" s="8">
        <v>545.84</v>
      </c>
      <c r="BL230" s="2" t="s">
        <v>743</v>
      </c>
      <c r="BM230" s="7">
        <v>0.5625</v>
      </c>
      <c r="BN230" s="7">
        <v>0.5679</v>
      </c>
      <c r="BO230" s="4">
        <v>9</v>
      </c>
      <c r="BP230" s="8">
        <v>309.96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181</v>
      </c>
      <c r="BX230" s="2" t="s">
        <v>736</v>
      </c>
      <c r="BY230" s="2" t="s">
        <v>110</v>
      </c>
      <c r="BZ230" s="2" t="s">
        <v>98</v>
      </c>
    </row>
    <row r="231">
      <c r="A231" s="2" t="s">
        <v>744</v>
      </c>
      <c r="B231" s="2" t="s">
        <v>87</v>
      </c>
      <c r="C231" s="2" t="s">
        <v>88</v>
      </c>
      <c r="D231" s="2" t="s">
        <v>89</v>
      </c>
      <c r="E231" s="2" t="s">
        <v>90</v>
      </c>
      <c r="F231" s="2" t="s">
        <v>598</v>
      </c>
      <c r="G231" s="2" t="s">
        <v>598</v>
      </c>
      <c r="H231" s="2" t="s">
        <v>598</v>
      </c>
      <c r="I231" s="2" t="s">
        <v>599</v>
      </c>
      <c r="J231" s="2" t="s">
        <v>129</v>
      </c>
      <c r="K231" s="2" t="s">
        <v>734</v>
      </c>
      <c r="L231" s="3">
        <v>31.85</v>
      </c>
      <c r="M231" s="3">
        <v>33.44</v>
      </c>
      <c r="N231" s="3">
        <v>64.99</v>
      </c>
      <c r="O231" s="2" t="s">
        <v>95</v>
      </c>
      <c r="P231" s="2" t="s">
        <v>156</v>
      </c>
      <c r="Q231" s="2" t="s">
        <v>97</v>
      </c>
      <c r="R231" s="2" t="s">
        <v>98</v>
      </c>
      <c r="S231" s="2" t="s">
        <v>735</v>
      </c>
      <c r="T231" s="2" t="s">
        <v>602</v>
      </c>
      <c r="U231" s="2" t="s">
        <v>118</v>
      </c>
      <c r="V231" s="2" t="s">
        <v>336</v>
      </c>
      <c r="W231" s="2" t="s">
        <v>103</v>
      </c>
      <c r="X231" s="2" t="s">
        <v>603</v>
      </c>
      <c r="Y231" s="2" t="s">
        <v>207</v>
      </c>
      <c r="Z231" s="4">
        <v>96</v>
      </c>
      <c r="AA231" s="4">
        <f>=ROUNDDOWN(13.7142857142857,0)</f>
      </c>
      <c r="AB231" s="5">
        <v>7</v>
      </c>
      <c r="AC231" s="2" t="s">
        <v>98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/>
      <c r="AP231" s="4">
        <v>9</v>
      </c>
      <c r="AQ231" s="8">
        <v>309.96</v>
      </c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0.2028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12</v>
      </c>
      <c r="BK231" s="8">
        <v>413.54</v>
      </c>
      <c r="BL231" s="2" t="s">
        <v>271</v>
      </c>
      <c r="BM231" s="7">
        <v>0.75</v>
      </c>
      <c r="BN231" s="7">
        <v>0.7495</v>
      </c>
      <c r="BO231" s="4">
        <v>9</v>
      </c>
      <c r="BP231" s="8">
        <v>309.96</v>
      </c>
      <c r="BQ231" s="4"/>
      <c r="BR231" s="8"/>
      <c r="BS231" s="7"/>
      <c r="BT231" s="7"/>
      <c r="BU231" s="2" t="s">
        <v>107</v>
      </c>
      <c r="BV231" s="2" t="s">
        <v>95</v>
      </c>
      <c r="BW231" s="2" t="s">
        <v>181</v>
      </c>
      <c r="BX231" s="2" t="s">
        <v>745</v>
      </c>
      <c r="BY231" s="2" t="s">
        <v>110</v>
      </c>
      <c r="BZ231" s="2" t="s">
        <v>98</v>
      </c>
    </row>
    <row r="232">
      <c r="A232" s="2" t="s">
        <v>746</v>
      </c>
      <c r="B232" s="2" t="s">
        <v>87</v>
      </c>
      <c r="C232" s="2" t="s">
        <v>88</v>
      </c>
      <c r="D232" s="2" t="s">
        <v>89</v>
      </c>
      <c r="E232" s="2" t="s">
        <v>90</v>
      </c>
      <c r="F232" s="2" t="s">
        <v>598</v>
      </c>
      <c r="G232" s="2" t="s">
        <v>598</v>
      </c>
      <c r="H232" s="2" t="s">
        <v>598</v>
      </c>
      <c r="I232" s="2" t="s">
        <v>599</v>
      </c>
      <c r="J232" s="2" t="s">
        <v>93</v>
      </c>
      <c r="K232" s="2" t="s">
        <v>747</v>
      </c>
      <c r="L232" s="3">
        <v>21.62</v>
      </c>
      <c r="M232" s="3">
        <v>22.7</v>
      </c>
      <c r="N232" s="3">
        <v>46.99</v>
      </c>
      <c r="O232" s="2" t="s">
        <v>95</v>
      </c>
      <c r="P232" s="2" t="s">
        <v>156</v>
      </c>
      <c r="Q232" s="2" t="s">
        <v>97</v>
      </c>
      <c r="R232" s="2" t="s">
        <v>98</v>
      </c>
      <c r="S232" s="2" t="s">
        <v>748</v>
      </c>
      <c r="T232" s="2" t="s">
        <v>602</v>
      </c>
      <c r="U232" s="2" t="s">
        <v>101</v>
      </c>
      <c r="V232" s="2" t="s">
        <v>336</v>
      </c>
      <c r="W232" s="2" t="s">
        <v>103</v>
      </c>
      <c r="X232" s="2" t="s">
        <v>603</v>
      </c>
      <c r="Y232" s="2" t="s">
        <v>749</v>
      </c>
      <c r="Z232" s="4"/>
      <c r="AA232" s="4">
        <f>=ROUNDDOWN({0},0)</f>
      </c>
      <c r="AB232" s="5">
        <v>11</v>
      </c>
      <c r="AC232" s="2" t="s">
        <v>98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98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31</v>
      </c>
      <c r="AW232" s="8">
        <v>1074.92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0.0371</v>
      </c>
      <c r="BJ232" s="4"/>
      <c r="BK232" s="8"/>
      <c r="BL232" s="2" t="s">
        <v>98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95</v>
      </c>
      <c r="BW232" s="2" t="s">
        <v>678</v>
      </c>
      <c r="BX232" s="2" t="s">
        <v>614</v>
      </c>
      <c r="BY232" s="2" t="s">
        <v>110</v>
      </c>
      <c r="BZ232" s="2" t="s">
        <v>98</v>
      </c>
    </row>
    <row r="233">
      <c r="A233" s="2" t="s">
        <v>750</v>
      </c>
      <c r="B233" s="2" t="s">
        <v>87</v>
      </c>
      <c r="C233" s="2" t="s">
        <v>88</v>
      </c>
      <c r="D233" s="2" t="s">
        <v>89</v>
      </c>
      <c r="E233" s="2" t="s">
        <v>90</v>
      </c>
      <c r="F233" s="2" t="s">
        <v>598</v>
      </c>
      <c r="G233" s="2" t="s">
        <v>598</v>
      </c>
      <c r="H233" s="2" t="s">
        <v>598</v>
      </c>
      <c r="I233" s="2" t="s">
        <v>599</v>
      </c>
      <c r="J233" s="2" t="s">
        <v>112</v>
      </c>
      <c r="K233" s="2" t="s">
        <v>747</v>
      </c>
      <c r="L233" s="3">
        <v>23.04</v>
      </c>
      <c r="M233" s="3">
        <v>24.19</v>
      </c>
      <c r="N233" s="3">
        <v>47.99</v>
      </c>
      <c r="O233" s="2" t="s">
        <v>95</v>
      </c>
      <c r="P233" s="2" t="s">
        <v>156</v>
      </c>
      <c r="Q233" s="2" t="s">
        <v>97</v>
      </c>
      <c r="R233" s="2" t="s">
        <v>98</v>
      </c>
      <c r="S233" s="2" t="s">
        <v>748</v>
      </c>
      <c r="T233" s="2" t="s">
        <v>602</v>
      </c>
      <c r="U233" s="2" t="s">
        <v>101</v>
      </c>
      <c r="V233" s="2" t="s">
        <v>336</v>
      </c>
      <c r="W233" s="2" t="s">
        <v>103</v>
      </c>
      <c r="X233" s="2" t="s">
        <v>603</v>
      </c>
      <c r="Y233" s="2" t="s">
        <v>749</v>
      </c>
      <c r="Z233" s="4"/>
      <c r="AA233" s="4">
        <f>=ROUNDDOWN({0},0)</f>
      </c>
      <c r="AB233" s="5">
        <v>9</v>
      </c>
      <c r="AC233" s="2" t="s">
        <v>98</v>
      </c>
      <c r="AD233" s="4"/>
      <c r="AE233" s="4"/>
      <c r="AF233" s="6">
        <v>65</v>
      </c>
      <c r="AG233" s="6"/>
      <c r="AH233" s="7">
        <v>0.1429</v>
      </c>
      <c r="AI233" s="4"/>
      <c r="AJ233" s="4">
        <f>=ROUNDDOWN({0},0)</f>
      </c>
      <c r="AK233" s="5"/>
      <c r="AL233" s="2" t="s">
        <v>98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1</v>
      </c>
      <c r="BK233" s="8">
        <v>26.5</v>
      </c>
      <c r="BL233" s="2" t="s">
        <v>405</v>
      </c>
      <c r="BM233" s="7"/>
      <c r="BN233" s="7"/>
      <c r="BO233" s="4"/>
      <c r="BP233" s="8"/>
      <c r="BQ233" s="4"/>
      <c r="BR233" s="8"/>
      <c r="BS233" s="7"/>
      <c r="BT233" s="7"/>
      <c r="BU233" s="2" t="s">
        <v>107</v>
      </c>
      <c r="BV233" s="2" t="s">
        <v>95</v>
      </c>
      <c r="BW233" s="2" t="s">
        <v>678</v>
      </c>
      <c r="BX233" s="2" t="s">
        <v>614</v>
      </c>
      <c r="BY233" s="2" t="s">
        <v>110</v>
      </c>
      <c r="BZ233" s="2" t="s">
        <v>98</v>
      </c>
    </row>
    <row r="234">
      <c r="A234" s="2" t="s">
        <v>751</v>
      </c>
      <c r="B234" s="2" t="s">
        <v>87</v>
      </c>
      <c r="C234" s="2" t="s">
        <v>88</v>
      </c>
      <c r="D234" s="2" t="s">
        <v>89</v>
      </c>
      <c r="E234" s="2" t="s">
        <v>90</v>
      </c>
      <c r="F234" s="2" t="s">
        <v>598</v>
      </c>
      <c r="G234" s="2" t="s">
        <v>598</v>
      </c>
      <c r="H234" s="2" t="s">
        <v>598</v>
      </c>
      <c r="I234" s="2" t="s">
        <v>599</v>
      </c>
      <c r="J234" s="2" t="s">
        <v>117</v>
      </c>
      <c r="K234" s="2" t="s">
        <v>747</v>
      </c>
      <c r="L234" s="3">
        <v>25.3</v>
      </c>
      <c r="M234" s="3">
        <v>26.57</v>
      </c>
      <c r="N234" s="3">
        <v>54.99</v>
      </c>
      <c r="O234" s="2" t="s">
        <v>95</v>
      </c>
      <c r="P234" s="2" t="s">
        <v>156</v>
      </c>
      <c r="Q234" s="2" t="s">
        <v>97</v>
      </c>
      <c r="R234" s="2" t="s">
        <v>98</v>
      </c>
      <c r="S234" s="2" t="s">
        <v>748</v>
      </c>
      <c r="T234" s="2" t="s">
        <v>602</v>
      </c>
      <c r="U234" s="2" t="s">
        <v>118</v>
      </c>
      <c r="V234" s="2" t="s">
        <v>336</v>
      </c>
      <c r="W234" s="2" t="s">
        <v>103</v>
      </c>
      <c r="X234" s="2" t="s">
        <v>603</v>
      </c>
      <c r="Y234" s="2" t="s">
        <v>749</v>
      </c>
      <c r="Z234" s="4"/>
      <c r="AA234" s="4">
        <f>=ROUNDDOWN({0},0)</f>
      </c>
      <c r="AB234" s="5">
        <v>14</v>
      </c>
      <c r="AC234" s="2" t="s">
        <v>98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98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/>
      <c r="BK234" s="8"/>
      <c r="BL234" s="2" t="s">
        <v>98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95</v>
      </c>
      <c r="BW234" s="2" t="s">
        <v>678</v>
      </c>
      <c r="BX234" s="2" t="s">
        <v>614</v>
      </c>
      <c r="BY234" s="2" t="s">
        <v>110</v>
      </c>
      <c r="BZ234" s="2" t="s">
        <v>98</v>
      </c>
    </row>
    <row r="235">
      <c r="A235" s="2" t="s">
        <v>752</v>
      </c>
      <c r="B235" s="2" t="s">
        <v>87</v>
      </c>
      <c r="C235" s="2" t="s">
        <v>88</v>
      </c>
      <c r="D235" s="2" t="s">
        <v>89</v>
      </c>
      <c r="E235" s="2" t="s">
        <v>90</v>
      </c>
      <c r="F235" s="2" t="s">
        <v>598</v>
      </c>
      <c r="G235" s="2" t="s">
        <v>598</v>
      </c>
      <c r="H235" s="2" t="s">
        <v>598</v>
      </c>
      <c r="I235" s="2" t="s">
        <v>599</v>
      </c>
      <c r="J235" s="2" t="s">
        <v>122</v>
      </c>
      <c r="K235" s="2" t="s">
        <v>747</v>
      </c>
      <c r="L235" s="3">
        <v>28.2</v>
      </c>
      <c r="M235" s="3">
        <v>29.61</v>
      </c>
      <c r="N235" s="3">
        <v>59.99</v>
      </c>
      <c r="O235" s="2" t="s">
        <v>95</v>
      </c>
      <c r="P235" s="2" t="s">
        <v>156</v>
      </c>
      <c r="Q235" s="2" t="s">
        <v>97</v>
      </c>
      <c r="R235" s="2" t="s">
        <v>98</v>
      </c>
      <c r="S235" s="2" t="s">
        <v>748</v>
      </c>
      <c r="T235" s="2" t="s">
        <v>602</v>
      </c>
      <c r="U235" s="2" t="s">
        <v>118</v>
      </c>
      <c r="V235" s="2" t="s">
        <v>336</v>
      </c>
      <c r="W235" s="2" t="s">
        <v>103</v>
      </c>
      <c r="X235" s="2" t="s">
        <v>603</v>
      </c>
      <c r="Y235" s="2" t="s">
        <v>749</v>
      </c>
      <c r="Z235" s="4"/>
      <c r="AA235" s="4">
        <f>=ROUNDDOWN({0},0)</f>
      </c>
      <c r="AB235" s="5">
        <v>27</v>
      </c>
      <c r="AC235" s="2" t="s">
        <v>98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/>
      <c r="BK235" s="8"/>
      <c r="BL235" s="2" t="s">
        <v>98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95</v>
      </c>
      <c r="BW235" s="2" t="s">
        <v>678</v>
      </c>
      <c r="BX235" s="2" t="s">
        <v>614</v>
      </c>
      <c r="BY235" s="2" t="s">
        <v>110</v>
      </c>
      <c r="BZ235" s="2" t="s">
        <v>98</v>
      </c>
    </row>
    <row r="236">
      <c r="A236" s="2" t="s">
        <v>753</v>
      </c>
      <c r="B236" s="2" t="s">
        <v>87</v>
      </c>
      <c r="C236" s="2" t="s">
        <v>88</v>
      </c>
      <c r="D236" s="2" t="s">
        <v>89</v>
      </c>
      <c r="E236" s="2" t="s">
        <v>90</v>
      </c>
      <c r="F236" s="2" t="s">
        <v>598</v>
      </c>
      <c r="G236" s="2" t="s">
        <v>598</v>
      </c>
      <c r="H236" s="2" t="s">
        <v>598</v>
      </c>
      <c r="I236" s="2" t="s">
        <v>599</v>
      </c>
      <c r="J236" s="2" t="s">
        <v>125</v>
      </c>
      <c r="K236" s="2" t="s">
        <v>747</v>
      </c>
      <c r="L236" s="3">
        <v>31.2</v>
      </c>
      <c r="M236" s="3">
        <v>32.76</v>
      </c>
      <c r="N236" s="3">
        <v>64.99</v>
      </c>
      <c r="O236" s="2" t="s">
        <v>95</v>
      </c>
      <c r="P236" s="2" t="s">
        <v>156</v>
      </c>
      <c r="Q236" s="2" t="s">
        <v>97</v>
      </c>
      <c r="R236" s="2" t="s">
        <v>98</v>
      </c>
      <c r="S236" s="2" t="s">
        <v>748</v>
      </c>
      <c r="T236" s="2" t="s">
        <v>602</v>
      </c>
      <c r="U236" s="2" t="s">
        <v>118</v>
      </c>
      <c r="V236" s="2" t="s">
        <v>336</v>
      </c>
      <c r="W236" s="2" t="s">
        <v>103</v>
      </c>
      <c r="X236" s="2" t="s">
        <v>603</v>
      </c>
      <c r="Y236" s="2" t="s">
        <v>749</v>
      </c>
      <c r="Z236" s="4">
        <v>38</v>
      </c>
      <c r="AA236" s="4">
        <f>=ROUNDDOWN(4.22222222222222,0)</f>
      </c>
      <c r="AB236" s="5">
        <v>9</v>
      </c>
      <c r="AC236" s="2" t="s">
        <v>98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/>
      <c r="AP236" s="4">
        <v>19</v>
      </c>
      <c r="AQ236" s="8">
        <v>653.6</v>
      </c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0.608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26</v>
      </c>
      <c r="BK236" s="8">
        <v>893.67</v>
      </c>
      <c r="BL236" s="2" t="s">
        <v>754</v>
      </c>
      <c r="BM236" s="7">
        <v>0.7308</v>
      </c>
      <c r="BN236" s="7">
        <v>0.7314</v>
      </c>
      <c r="BO236" s="4">
        <v>19</v>
      </c>
      <c r="BP236" s="8">
        <v>653.6</v>
      </c>
      <c r="BQ236" s="4"/>
      <c r="BR236" s="8"/>
      <c r="BS236" s="7"/>
      <c r="BT236" s="7"/>
      <c r="BU236" s="2" t="s">
        <v>107</v>
      </c>
      <c r="BV236" s="2" t="s">
        <v>95</v>
      </c>
      <c r="BW236" s="2" t="s">
        <v>678</v>
      </c>
      <c r="BX236" s="2" t="s">
        <v>614</v>
      </c>
      <c r="BY236" s="2" t="s">
        <v>110</v>
      </c>
      <c r="BZ236" s="2" t="s">
        <v>98</v>
      </c>
    </row>
    <row r="237">
      <c r="A237" s="2" t="s">
        <v>755</v>
      </c>
      <c r="B237" s="2" t="s">
        <v>87</v>
      </c>
      <c r="C237" s="2" t="s">
        <v>88</v>
      </c>
      <c r="D237" s="2" t="s">
        <v>89</v>
      </c>
      <c r="E237" s="2" t="s">
        <v>90</v>
      </c>
      <c r="F237" s="2" t="s">
        <v>598</v>
      </c>
      <c r="G237" s="2" t="s">
        <v>598</v>
      </c>
      <c r="H237" s="2" t="s">
        <v>598</v>
      </c>
      <c r="I237" s="2" t="s">
        <v>599</v>
      </c>
      <c r="J237" s="2" t="s">
        <v>129</v>
      </c>
      <c r="K237" s="2" t="s">
        <v>747</v>
      </c>
      <c r="L237" s="3">
        <v>31.85</v>
      </c>
      <c r="M237" s="3">
        <v>33.44</v>
      </c>
      <c r="N237" s="3">
        <v>64.99</v>
      </c>
      <c r="O237" s="2" t="s">
        <v>95</v>
      </c>
      <c r="P237" s="2" t="s">
        <v>156</v>
      </c>
      <c r="Q237" s="2" t="s">
        <v>97</v>
      </c>
      <c r="R237" s="2" t="s">
        <v>98</v>
      </c>
      <c r="S237" s="2" t="s">
        <v>748</v>
      </c>
      <c r="T237" s="2" t="s">
        <v>602</v>
      </c>
      <c r="U237" s="2" t="s">
        <v>118</v>
      </c>
      <c r="V237" s="2" t="s">
        <v>336</v>
      </c>
      <c r="W237" s="2" t="s">
        <v>103</v>
      </c>
      <c r="X237" s="2" t="s">
        <v>603</v>
      </c>
      <c r="Y237" s="2" t="s">
        <v>749</v>
      </c>
      <c r="Z237" s="4">
        <v>40</v>
      </c>
      <c r="AA237" s="4">
        <f>=ROUNDDOWN(13.3333333333333,0)</f>
      </c>
      <c r="AB237" s="5">
        <v>3</v>
      </c>
      <c r="AC237" s="2" t="s">
        <v>98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/>
      <c r="AP237" s="4">
        <v>12</v>
      </c>
      <c r="AQ237" s="8">
        <v>421.32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0.392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18</v>
      </c>
      <c r="BK237" s="8">
        <v>633.95</v>
      </c>
      <c r="BL237" s="2" t="s">
        <v>464</v>
      </c>
      <c r="BM237" s="7">
        <v>0.6667</v>
      </c>
      <c r="BN237" s="7">
        <v>0.6646</v>
      </c>
      <c r="BO237" s="4">
        <v>12</v>
      </c>
      <c r="BP237" s="8">
        <v>421.32</v>
      </c>
      <c r="BQ237" s="4"/>
      <c r="BR237" s="8"/>
      <c r="BS237" s="7"/>
      <c r="BT237" s="7"/>
      <c r="BU237" s="2" t="s">
        <v>107</v>
      </c>
      <c r="BV237" s="2" t="s">
        <v>95</v>
      </c>
      <c r="BW237" s="2" t="s">
        <v>678</v>
      </c>
      <c r="BX237" s="2" t="s">
        <v>756</v>
      </c>
      <c r="BY237" s="2" t="s">
        <v>110</v>
      </c>
      <c r="BZ237" s="2" t="s">
        <v>98</v>
      </c>
    </row>
    <row r="238">
      <c r="A238" s="2" t="s">
        <v>757</v>
      </c>
      <c r="B238" s="2" t="s">
        <v>87</v>
      </c>
      <c r="C238" s="2" t="s">
        <v>88</v>
      </c>
      <c r="D238" s="2" t="s">
        <v>89</v>
      </c>
      <c r="E238" s="2" t="s">
        <v>90</v>
      </c>
      <c r="F238" s="2" t="s">
        <v>598</v>
      </c>
      <c r="G238" s="2" t="s">
        <v>598</v>
      </c>
      <c r="H238" s="2" t="s">
        <v>598</v>
      </c>
      <c r="I238" s="2" t="s">
        <v>599</v>
      </c>
      <c r="J238" s="2" t="s">
        <v>93</v>
      </c>
      <c r="K238" s="2" t="s">
        <v>758</v>
      </c>
      <c r="L238" s="3">
        <v>21.62</v>
      </c>
      <c r="M238" s="3">
        <v>22.7</v>
      </c>
      <c r="N238" s="3">
        <v>46.99</v>
      </c>
      <c r="O238" s="2" t="s">
        <v>95</v>
      </c>
      <c r="P238" s="2" t="s">
        <v>156</v>
      </c>
      <c r="Q238" s="2" t="s">
        <v>97</v>
      </c>
      <c r="R238" s="2" t="s">
        <v>98</v>
      </c>
      <c r="S238" s="2" t="s">
        <v>759</v>
      </c>
      <c r="T238" s="2" t="s">
        <v>602</v>
      </c>
      <c r="U238" s="2" t="s">
        <v>101</v>
      </c>
      <c r="V238" s="2" t="s">
        <v>336</v>
      </c>
      <c r="W238" s="2" t="s">
        <v>103</v>
      </c>
      <c r="X238" s="2" t="s">
        <v>603</v>
      </c>
      <c r="Y238" s="2" t="s">
        <v>691</v>
      </c>
      <c r="Z238" s="4">
        <v>120</v>
      </c>
      <c r="AA238" s="4">
        <f>=ROUNDDOWN(20,0)</f>
      </c>
      <c r="AB238" s="5">
        <v>6</v>
      </c>
      <c r="AC238" s="2" t="s">
        <v>98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/>
      <c r="AP238" s="4">
        <v>2</v>
      </c>
      <c r="AQ238" s="8">
        <v>47.68</v>
      </c>
      <c r="AR238" s="4"/>
      <c r="AS238" s="8"/>
      <c r="AT238" s="7"/>
      <c r="AU238" s="7"/>
      <c r="AV238" s="4">
        <v>28</v>
      </c>
      <c r="AW238" s="8">
        <v>853.09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0.0559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0.0294</v>
      </c>
      <c r="BJ238" s="4">
        <v>8</v>
      </c>
      <c r="BK238" s="8">
        <v>189.07</v>
      </c>
      <c r="BL238" s="2" t="s">
        <v>641</v>
      </c>
      <c r="BM238" s="7">
        <v>0.25</v>
      </c>
      <c r="BN238" s="7">
        <v>0.2522</v>
      </c>
      <c r="BO238" s="4">
        <v>2</v>
      </c>
      <c r="BP238" s="8">
        <v>47.68</v>
      </c>
      <c r="BQ238" s="4"/>
      <c r="BR238" s="8"/>
      <c r="BS238" s="7"/>
      <c r="BT238" s="7"/>
      <c r="BU238" s="2" t="s">
        <v>107</v>
      </c>
      <c r="BV238" s="2" t="s">
        <v>95</v>
      </c>
      <c r="BW238" s="2" t="s">
        <v>566</v>
      </c>
      <c r="BX238" s="2" t="s">
        <v>760</v>
      </c>
      <c r="BY238" s="2" t="s">
        <v>110</v>
      </c>
      <c r="BZ238" s="2" t="s">
        <v>98</v>
      </c>
    </row>
    <row r="239">
      <c r="A239" s="2" t="s">
        <v>761</v>
      </c>
      <c r="B239" s="2" t="s">
        <v>87</v>
      </c>
      <c r="C239" s="2" t="s">
        <v>88</v>
      </c>
      <c r="D239" s="2" t="s">
        <v>89</v>
      </c>
      <c r="E239" s="2" t="s">
        <v>90</v>
      </c>
      <c r="F239" s="2" t="s">
        <v>598</v>
      </c>
      <c r="G239" s="2" t="s">
        <v>598</v>
      </c>
      <c r="H239" s="2" t="s">
        <v>598</v>
      </c>
      <c r="I239" s="2" t="s">
        <v>599</v>
      </c>
      <c r="J239" s="2" t="s">
        <v>112</v>
      </c>
      <c r="K239" s="2" t="s">
        <v>758</v>
      </c>
      <c r="L239" s="3">
        <v>23.04</v>
      </c>
      <c r="M239" s="3">
        <v>24.19</v>
      </c>
      <c r="N239" s="3">
        <v>47.99</v>
      </c>
      <c r="O239" s="2" t="s">
        <v>95</v>
      </c>
      <c r="P239" s="2" t="s">
        <v>156</v>
      </c>
      <c r="Q239" s="2" t="s">
        <v>97</v>
      </c>
      <c r="R239" s="2" t="s">
        <v>98</v>
      </c>
      <c r="S239" s="2" t="s">
        <v>759</v>
      </c>
      <c r="T239" s="2" t="s">
        <v>602</v>
      </c>
      <c r="U239" s="2" t="s">
        <v>101</v>
      </c>
      <c r="V239" s="2" t="s">
        <v>336</v>
      </c>
      <c r="W239" s="2" t="s">
        <v>103</v>
      </c>
      <c r="X239" s="2" t="s">
        <v>603</v>
      </c>
      <c r="Y239" s="2" t="s">
        <v>691</v>
      </c>
      <c r="Z239" s="4">
        <v>49</v>
      </c>
      <c r="AA239" s="4">
        <f>=ROUNDDOWN(12.25,0)</f>
      </c>
      <c r="AB239" s="5">
        <v>4</v>
      </c>
      <c r="AC239" s="2" t="s">
        <v>98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/>
      <c r="AP239" s="4">
        <v>3</v>
      </c>
      <c r="AQ239" s="8">
        <v>76.2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0.0893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8</v>
      </c>
      <c r="BK239" s="8">
        <v>202.9</v>
      </c>
      <c r="BL239" s="2" t="s">
        <v>618</v>
      </c>
      <c r="BM239" s="7">
        <v>0.375</v>
      </c>
      <c r="BN239" s="7">
        <v>0.3756</v>
      </c>
      <c r="BO239" s="4">
        <v>3</v>
      </c>
      <c r="BP239" s="8">
        <v>76.2</v>
      </c>
      <c r="BQ239" s="4"/>
      <c r="BR239" s="8"/>
      <c r="BS239" s="7"/>
      <c r="BT239" s="7"/>
      <c r="BU239" s="2" t="s">
        <v>107</v>
      </c>
      <c r="BV239" s="2" t="s">
        <v>95</v>
      </c>
      <c r="BW239" s="2" t="s">
        <v>566</v>
      </c>
      <c r="BX239" s="2" t="s">
        <v>762</v>
      </c>
      <c r="BY239" s="2" t="s">
        <v>110</v>
      </c>
      <c r="BZ239" s="2" t="s">
        <v>98</v>
      </c>
    </row>
    <row r="240">
      <c r="A240" s="2" t="s">
        <v>763</v>
      </c>
      <c r="B240" s="2" t="s">
        <v>87</v>
      </c>
      <c r="C240" s="2" t="s">
        <v>88</v>
      </c>
      <c r="D240" s="2" t="s">
        <v>89</v>
      </c>
      <c r="E240" s="2" t="s">
        <v>90</v>
      </c>
      <c r="F240" s="2" t="s">
        <v>598</v>
      </c>
      <c r="G240" s="2" t="s">
        <v>598</v>
      </c>
      <c r="H240" s="2" t="s">
        <v>598</v>
      </c>
      <c r="I240" s="2" t="s">
        <v>599</v>
      </c>
      <c r="J240" s="2" t="s">
        <v>117</v>
      </c>
      <c r="K240" s="2" t="s">
        <v>758</v>
      </c>
      <c r="L240" s="3">
        <v>25.3</v>
      </c>
      <c r="M240" s="3">
        <v>26.56</v>
      </c>
      <c r="N240" s="3">
        <v>54.99</v>
      </c>
      <c r="O240" s="2" t="s">
        <v>95</v>
      </c>
      <c r="P240" s="2" t="s">
        <v>156</v>
      </c>
      <c r="Q240" s="2" t="s">
        <v>97</v>
      </c>
      <c r="R240" s="2" t="s">
        <v>98</v>
      </c>
      <c r="S240" s="2" t="s">
        <v>759</v>
      </c>
      <c r="T240" s="2" t="s">
        <v>602</v>
      </c>
      <c r="U240" s="2" t="s">
        <v>118</v>
      </c>
      <c r="V240" s="2" t="s">
        <v>336</v>
      </c>
      <c r="W240" s="2" t="s">
        <v>103</v>
      </c>
      <c r="X240" s="2" t="s">
        <v>603</v>
      </c>
      <c r="Y240" s="2" t="s">
        <v>691</v>
      </c>
      <c r="Z240" s="4">
        <v>130</v>
      </c>
      <c r="AA240" s="4">
        <f>=ROUNDDOWN(21.6666666666667,0)</f>
      </c>
      <c r="AB240" s="5">
        <v>6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/>
      <c r="AP240" s="4">
        <v>6</v>
      </c>
      <c r="AQ240" s="8">
        <v>167.34</v>
      </c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0.1962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11</v>
      </c>
      <c r="BK240" s="8">
        <v>308.27</v>
      </c>
      <c r="BL240" s="2" t="s">
        <v>725</v>
      </c>
      <c r="BM240" s="7">
        <v>0.5455</v>
      </c>
      <c r="BN240" s="7">
        <v>0.5428</v>
      </c>
      <c r="BO240" s="4">
        <v>6</v>
      </c>
      <c r="BP240" s="8">
        <v>167.34</v>
      </c>
      <c r="BQ240" s="4"/>
      <c r="BR240" s="8"/>
      <c r="BS240" s="7"/>
      <c r="BT240" s="7"/>
      <c r="BU240" s="2" t="s">
        <v>107</v>
      </c>
      <c r="BV240" s="2" t="s">
        <v>95</v>
      </c>
      <c r="BW240" s="2" t="s">
        <v>566</v>
      </c>
      <c r="BX240" s="2" t="s">
        <v>699</v>
      </c>
      <c r="BY240" s="2" t="s">
        <v>110</v>
      </c>
      <c r="BZ240" s="2" t="s">
        <v>98</v>
      </c>
    </row>
    <row r="241">
      <c r="A241" s="2" t="s">
        <v>764</v>
      </c>
      <c r="B241" s="2" t="s">
        <v>87</v>
      </c>
      <c r="C241" s="2" t="s">
        <v>88</v>
      </c>
      <c r="D241" s="2" t="s">
        <v>89</v>
      </c>
      <c r="E241" s="2" t="s">
        <v>90</v>
      </c>
      <c r="F241" s="2" t="s">
        <v>598</v>
      </c>
      <c r="G241" s="2" t="s">
        <v>598</v>
      </c>
      <c r="H241" s="2" t="s">
        <v>598</v>
      </c>
      <c r="I241" s="2" t="s">
        <v>599</v>
      </c>
      <c r="J241" s="2" t="s">
        <v>122</v>
      </c>
      <c r="K241" s="2" t="s">
        <v>758</v>
      </c>
      <c r="L241" s="3">
        <v>28.2</v>
      </c>
      <c r="M241" s="3">
        <v>29.61</v>
      </c>
      <c r="N241" s="3">
        <v>59.99</v>
      </c>
      <c r="O241" s="2" t="s">
        <v>95</v>
      </c>
      <c r="P241" s="2" t="s">
        <v>168</v>
      </c>
      <c r="Q241" s="2" t="s">
        <v>97</v>
      </c>
      <c r="R241" s="2" t="s">
        <v>98</v>
      </c>
      <c r="S241" s="2" t="s">
        <v>759</v>
      </c>
      <c r="T241" s="2" t="s">
        <v>602</v>
      </c>
      <c r="U241" s="2" t="s">
        <v>118</v>
      </c>
      <c r="V241" s="2" t="s">
        <v>336</v>
      </c>
      <c r="W241" s="2" t="s">
        <v>103</v>
      </c>
      <c r="X241" s="2" t="s">
        <v>603</v>
      </c>
      <c r="Y241" s="2" t="s">
        <v>691</v>
      </c>
      <c r="Z241" s="4">
        <v>487</v>
      </c>
      <c r="AA241" s="4">
        <f>=ROUNDDOWN(30.4375,0)</f>
      </c>
      <c r="AB241" s="5">
        <v>16</v>
      </c>
      <c r="AC241" s="2" t="s">
        <v>98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/>
      <c r="AP241" s="4">
        <v>8</v>
      </c>
      <c r="AQ241" s="8">
        <v>248.72</v>
      </c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0.2916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22</v>
      </c>
      <c r="BK241" s="8">
        <v>683</v>
      </c>
      <c r="BL241" s="2" t="s">
        <v>271</v>
      </c>
      <c r="BM241" s="7">
        <v>0.3636</v>
      </c>
      <c r="BN241" s="7">
        <v>0.3642</v>
      </c>
      <c r="BO241" s="4">
        <v>8</v>
      </c>
      <c r="BP241" s="8">
        <v>248.72</v>
      </c>
      <c r="BQ241" s="4"/>
      <c r="BR241" s="8"/>
      <c r="BS241" s="7"/>
      <c r="BT241" s="7"/>
      <c r="BU241" s="2" t="s">
        <v>107</v>
      </c>
      <c r="BV241" s="2" t="s">
        <v>95</v>
      </c>
      <c r="BW241" s="2" t="s">
        <v>566</v>
      </c>
      <c r="BX241" s="2" t="s">
        <v>765</v>
      </c>
      <c r="BY241" s="2" t="s">
        <v>110</v>
      </c>
      <c r="BZ241" s="2" t="s">
        <v>98</v>
      </c>
    </row>
    <row r="242">
      <c r="A242" s="2" t="s">
        <v>766</v>
      </c>
      <c r="B242" s="2" t="s">
        <v>87</v>
      </c>
      <c r="C242" s="2" t="s">
        <v>88</v>
      </c>
      <c r="D242" s="2" t="s">
        <v>89</v>
      </c>
      <c r="E242" s="2" t="s">
        <v>90</v>
      </c>
      <c r="F242" s="2" t="s">
        <v>598</v>
      </c>
      <c r="G242" s="2" t="s">
        <v>598</v>
      </c>
      <c r="H242" s="2" t="s">
        <v>598</v>
      </c>
      <c r="I242" s="2" t="s">
        <v>599</v>
      </c>
      <c r="J242" s="2" t="s">
        <v>125</v>
      </c>
      <c r="K242" s="2" t="s">
        <v>758</v>
      </c>
      <c r="L242" s="3">
        <v>31.2</v>
      </c>
      <c r="M242" s="3">
        <v>32.76</v>
      </c>
      <c r="N242" s="3">
        <v>64.99</v>
      </c>
      <c r="O242" s="2" t="s">
        <v>95</v>
      </c>
      <c r="P242" s="2" t="s">
        <v>156</v>
      </c>
      <c r="Q242" s="2" t="s">
        <v>97</v>
      </c>
      <c r="R242" s="2" t="s">
        <v>98</v>
      </c>
      <c r="S242" s="2" t="s">
        <v>759</v>
      </c>
      <c r="T242" s="2" t="s">
        <v>602</v>
      </c>
      <c r="U242" s="2" t="s">
        <v>118</v>
      </c>
      <c r="V242" s="2" t="s">
        <v>336</v>
      </c>
      <c r="W242" s="2" t="s">
        <v>103</v>
      </c>
      <c r="X242" s="2" t="s">
        <v>603</v>
      </c>
      <c r="Y242" s="2" t="s">
        <v>691</v>
      </c>
      <c r="Z242" s="4">
        <v>249</v>
      </c>
      <c r="AA242" s="4">
        <f>=ROUNDDOWN(27.6666666666667,0)</f>
      </c>
      <c r="AB242" s="5">
        <v>9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/>
      <c r="AP242" s="4">
        <v>4</v>
      </c>
      <c r="AQ242" s="8">
        <v>137.6</v>
      </c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0.1613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13</v>
      </c>
      <c r="BK242" s="8">
        <v>446.48</v>
      </c>
      <c r="BL242" s="2" t="s">
        <v>271</v>
      </c>
      <c r="BM242" s="7">
        <v>0.3077</v>
      </c>
      <c r="BN242" s="7">
        <v>0.3082</v>
      </c>
      <c r="BO242" s="4">
        <v>4</v>
      </c>
      <c r="BP242" s="8">
        <v>137.6</v>
      </c>
      <c r="BQ242" s="4"/>
      <c r="BR242" s="8"/>
      <c r="BS242" s="7"/>
      <c r="BT242" s="7"/>
      <c r="BU242" s="2" t="s">
        <v>107</v>
      </c>
      <c r="BV242" s="2" t="s">
        <v>95</v>
      </c>
      <c r="BW242" s="2" t="s">
        <v>566</v>
      </c>
      <c r="BX242" s="2" t="s">
        <v>767</v>
      </c>
      <c r="BY242" s="2" t="s">
        <v>110</v>
      </c>
      <c r="BZ242" s="2" t="s">
        <v>98</v>
      </c>
    </row>
    <row r="243">
      <c r="A243" s="2" t="s">
        <v>768</v>
      </c>
      <c r="B243" s="2" t="s">
        <v>87</v>
      </c>
      <c r="C243" s="2" t="s">
        <v>88</v>
      </c>
      <c r="D243" s="2" t="s">
        <v>89</v>
      </c>
      <c r="E243" s="2" t="s">
        <v>90</v>
      </c>
      <c r="F243" s="2" t="s">
        <v>598</v>
      </c>
      <c r="G243" s="2" t="s">
        <v>598</v>
      </c>
      <c r="H243" s="2" t="s">
        <v>598</v>
      </c>
      <c r="I243" s="2" t="s">
        <v>599</v>
      </c>
      <c r="J243" s="2" t="s">
        <v>129</v>
      </c>
      <c r="K243" s="2" t="s">
        <v>758</v>
      </c>
      <c r="L243" s="3">
        <v>31.85</v>
      </c>
      <c r="M243" s="3">
        <v>33.44</v>
      </c>
      <c r="N243" s="3">
        <v>64.99</v>
      </c>
      <c r="O243" s="2" t="s">
        <v>95</v>
      </c>
      <c r="P243" s="2" t="s">
        <v>156</v>
      </c>
      <c r="Q243" s="2" t="s">
        <v>97</v>
      </c>
      <c r="R243" s="2" t="s">
        <v>98</v>
      </c>
      <c r="S243" s="2" t="s">
        <v>759</v>
      </c>
      <c r="T243" s="2" t="s">
        <v>602</v>
      </c>
      <c r="U243" s="2" t="s">
        <v>118</v>
      </c>
      <c r="V243" s="2" t="s">
        <v>336</v>
      </c>
      <c r="W243" s="2" t="s">
        <v>103</v>
      </c>
      <c r="X243" s="2" t="s">
        <v>603</v>
      </c>
      <c r="Y243" s="2" t="s">
        <v>691</v>
      </c>
      <c r="Z243" s="4">
        <v>80</v>
      </c>
      <c r="AA243" s="4">
        <f>=ROUNDDOWN(26.6666666666667,0)</f>
      </c>
      <c r="AB243" s="5">
        <v>3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/>
      <c r="AP243" s="4">
        <v>5</v>
      </c>
      <c r="AQ243" s="8">
        <v>175.55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0.2058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8</v>
      </c>
      <c r="BK243" s="8">
        <v>280.67</v>
      </c>
      <c r="BL243" s="2" t="s">
        <v>618</v>
      </c>
      <c r="BM243" s="7">
        <v>0.625</v>
      </c>
      <c r="BN243" s="7">
        <v>0.6255</v>
      </c>
      <c r="BO243" s="4">
        <v>5</v>
      </c>
      <c r="BP243" s="8">
        <v>175.55</v>
      </c>
      <c r="BQ243" s="4"/>
      <c r="BR243" s="8"/>
      <c r="BS243" s="7"/>
      <c r="BT243" s="7"/>
      <c r="BU243" s="2" t="s">
        <v>107</v>
      </c>
      <c r="BV243" s="2" t="s">
        <v>95</v>
      </c>
      <c r="BW243" s="2" t="s">
        <v>566</v>
      </c>
      <c r="BX243" s="2" t="s">
        <v>769</v>
      </c>
      <c r="BY243" s="2" t="s">
        <v>110</v>
      </c>
      <c r="BZ243" s="2" t="s">
        <v>98</v>
      </c>
    </row>
    <row r="244">
      <c r="A244" s="2" t="s">
        <v>770</v>
      </c>
      <c r="B244" s="2" t="s">
        <v>87</v>
      </c>
      <c r="C244" s="2" t="s">
        <v>88</v>
      </c>
      <c r="D244" s="2" t="s">
        <v>89</v>
      </c>
      <c r="E244" s="2" t="s">
        <v>90</v>
      </c>
      <c r="F244" s="2" t="s">
        <v>598</v>
      </c>
      <c r="G244" s="2" t="s">
        <v>598</v>
      </c>
      <c r="H244" s="2" t="s">
        <v>598</v>
      </c>
      <c r="I244" s="2" t="s">
        <v>599</v>
      </c>
      <c r="J244" s="2" t="s">
        <v>93</v>
      </c>
      <c r="K244" s="2" t="s">
        <v>771</v>
      </c>
      <c r="L244" s="3">
        <v>21.62</v>
      </c>
      <c r="M244" s="3">
        <v>22.7</v>
      </c>
      <c r="N244" s="3">
        <v>46.99</v>
      </c>
      <c r="O244" s="2" t="s">
        <v>95</v>
      </c>
      <c r="P244" s="2" t="s">
        <v>156</v>
      </c>
      <c r="Q244" s="2" t="s">
        <v>97</v>
      </c>
      <c r="R244" s="2" t="s">
        <v>98</v>
      </c>
      <c r="S244" s="2" t="s">
        <v>772</v>
      </c>
      <c r="T244" s="2" t="s">
        <v>602</v>
      </c>
      <c r="U244" s="2" t="s">
        <v>101</v>
      </c>
      <c r="V244" s="2" t="s">
        <v>336</v>
      </c>
      <c r="W244" s="2" t="s">
        <v>103</v>
      </c>
      <c r="X244" s="2" t="s">
        <v>603</v>
      </c>
      <c r="Y244" s="2" t="s">
        <v>207</v>
      </c>
      <c r="Z244" s="4"/>
      <c r="AA244" s="4">
        <f>=ROUNDDOWN({0},0)</f>
      </c>
      <c r="AB244" s="5">
        <v>8</v>
      </c>
      <c r="AC244" s="2" t="s">
        <v>98</v>
      </c>
      <c r="AD244" s="4"/>
      <c r="AE244" s="4"/>
      <c r="AF244" s="6">
        <v>65</v>
      </c>
      <c r="AG244" s="6"/>
      <c r="AH244" s="7">
        <v>0.2857</v>
      </c>
      <c r="AI244" s="4"/>
      <c r="AJ244" s="4">
        <f>=ROUNDDOWN({0},0)</f>
      </c>
      <c r="AK244" s="5"/>
      <c r="AL244" s="2" t="s">
        <v>98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>
        <v>24</v>
      </c>
      <c r="AW244" s="8">
        <v>761.27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0.0263</v>
      </c>
      <c r="BJ244" s="4">
        <v>2</v>
      </c>
      <c r="BK244" s="8">
        <v>46.44</v>
      </c>
      <c r="BL244" s="2" t="s">
        <v>405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95</v>
      </c>
      <c r="BW244" s="2" t="s">
        <v>181</v>
      </c>
      <c r="BX244" s="2" t="s">
        <v>385</v>
      </c>
      <c r="BY244" s="2" t="s">
        <v>110</v>
      </c>
      <c r="BZ244" s="2" t="s">
        <v>98</v>
      </c>
    </row>
    <row r="245">
      <c r="A245" s="2" t="s">
        <v>773</v>
      </c>
      <c r="B245" s="2" t="s">
        <v>87</v>
      </c>
      <c r="C245" s="2" t="s">
        <v>88</v>
      </c>
      <c r="D245" s="2" t="s">
        <v>89</v>
      </c>
      <c r="E245" s="2" t="s">
        <v>90</v>
      </c>
      <c r="F245" s="2" t="s">
        <v>598</v>
      </c>
      <c r="G245" s="2" t="s">
        <v>598</v>
      </c>
      <c r="H245" s="2" t="s">
        <v>598</v>
      </c>
      <c r="I245" s="2" t="s">
        <v>599</v>
      </c>
      <c r="J245" s="2" t="s">
        <v>112</v>
      </c>
      <c r="K245" s="2" t="s">
        <v>771</v>
      </c>
      <c r="L245" s="3">
        <v>23.04</v>
      </c>
      <c r="M245" s="3">
        <v>24.19</v>
      </c>
      <c r="N245" s="3">
        <v>47.99</v>
      </c>
      <c r="O245" s="2" t="s">
        <v>95</v>
      </c>
      <c r="P245" s="2" t="s">
        <v>156</v>
      </c>
      <c r="Q245" s="2" t="s">
        <v>97</v>
      </c>
      <c r="R245" s="2" t="s">
        <v>98</v>
      </c>
      <c r="S245" s="2" t="s">
        <v>772</v>
      </c>
      <c r="T245" s="2" t="s">
        <v>602</v>
      </c>
      <c r="U245" s="2" t="s">
        <v>101</v>
      </c>
      <c r="V245" s="2" t="s">
        <v>336</v>
      </c>
      <c r="W245" s="2" t="s">
        <v>103</v>
      </c>
      <c r="X245" s="2" t="s">
        <v>603</v>
      </c>
      <c r="Y245" s="2" t="s">
        <v>207</v>
      </c>
      <c r="Z245" s="4">
        <v>154</v>
      </c>
      <c r="AA245" s="4">
        <f>=ROUNDDOWN(22,0)</f>
      </c>
      <c r="AB245" s="5">
        <v>7</v>
      </c>
      <c r="AC245" s="2" t="s">
        <v>98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/>
      <c r="AP245" s="4">
        <v>4</v>
      </c>
      <c r="AQ245" s="8">
        <v>101.72</v>
      </c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0.1336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16</v>
      </c>
      <c r="BK245" s="8">
        <v>405.1</v>
      </c>
      <c r="BL245" s="2" t="s">
        <v>774</v>
      </c>
      <c r="BM245" s="7">
        <v>0.25</v>
      </c>
      <c r="BN245" s="7">
        <v>0.2511</v>
      </c>
      <c r="BO245" s="4">
        <v>4</v>
      </c>
      <c r="BP245" s="8">
        <v>101.72</v>
      </c>
      <c r="BQ245" s="4"/>
      <c r="BR245" s="8"/>
      <c r="BS245" s="7"/>
      <c r="BT245" s="7"/>
      <c r="BU245" s="2" t="s">
        <v>107</v>
      </c>
      <c r="BV245" s="2" t="s">
        <v>95</v>
      </c>
      <c r="BW245" s="2" t="s">
        <v>181</v>
      </c>
      <c r="BX245" s="2" t="s">
        <v>637</v>
      </c>
      <c r="BY245" s="2" t="s">
        <v>110</v>
      </c>
      <c r="BZ245" s="2" t="s">
        <v>98</v>
      </c>
    </row>
    <row r="246">
      <c r="A246" s="2" t="s">
        <v>775</v>
      </c>
      <c r="B246" s="2" t="s">
        <v>87</v>
      </c>
      <c r="C246" s="2" t="s">
        <v>88</v>
      </c>
      <c r="D246" s="2" t="s">
        <v>89</v>
      </c>
      <c r="E246" s="2" t="s">
        <v>90</v>
      </c>
      <c r="F246" s="2" t="s">
        <v>598</v>
      </c>
      <c r="G246" s="2" t="s">
        <v>598</v>
      </c>
      <c r="H246" s="2" t="s">
        <v>598</v>
      </c>
      <c r="I246" s="2" t="s">
        <v>599</v>
      </c>
      <c r="J246" s="2" t="s">
        <v>117</v>
      </c>
      <c r="K246" s="2" t="s">
        <v>771</v>
      </c>
      <c r="L246" s="3">
        <v>25.3</v>
      </c>
      <c r="M246" s="3">
        <v>26.56</v>
      </c>
      <c r="N246" s="3">
        <v>54.99</v>
      </c>
      <c r="O246" s="2" t="s">
        <v>95</v>
      </c>
      <c r="P246" s="2" t="s">
        <v>156</v>
      </c>
      <c r="Q246" s="2" t="s">
        <v>97</v>
      </c>
      <c r="R246" s="2" t="s">
        <v>98</v>
      </c>
      <c r="S246" s="2" t="s">
        <v>772</v>
      </c>
      <c r="T246" s="2" t="s">
        <v>602</v>
      </c>
      <c r="U246" s="2" t="s">
        <v>118</v>
      </c>
      <c r="V246" s="2" t="s">
        <v>336</v>
      </c>
      <c r="W246" s="2" t="s">
        <v>103</v>
      </c>
      <c r="X246" s="2" t="s">
        <v>603</v>
      </c>
      <c r="Y246" s="2" t="s">
        <v>207</v>
      </c>
      <c r="Z246" s="4"/>
      <c r="AA246" s="4">
        <f>=ROUNDDOWN({0},0)</f>
      </c>
      <c r="AB246" s="5">
        <v>8</v>
      </c>
      <c r="AC246" s="2" t="s">
        <v>98</v>
      </c>
      <c r="AD246" s="4"/>
      <c r="AE246" s="4"/>
      <c r="AF246" s="6">
        <v>65</v>
      </c>
      <c r="AG246" s="6"/>
      <c r="AH246" s="7">
        <v>0.1429</v>
      </c>
      <c r="AI246" s="4"/>
      <c r="AJ246" s="4">
        <f>=ROUNDDOWN({0},0)</f>
      </c>
      <c r="AK246" s="5"/>
      <c r="AL246" s="2" t="s">
        <v>98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4</v>
      </c>
      <c r="BK246" s="8">
        <v>108.64</v>
      </c>
      <c r="BL246" s="2" t="s">
        <v>405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95</v>
      </c>
      <c r="BW246" s="2" t="s">
        <v>181</v>
      </c>
      <c r="BX246" s="2" t="s">
        <v>727</v>
      </c>
      <c r="BY246" s="2" t="s">
        <v>110</v>
      </c>
      <c r="BZ246" s="2" t="s">
        <v>98</v>
      </c>
    </row>
    <row r="247">
      <c r="A247" s="2" t="s">
        <v>776</v>
      </c>
      <c r="B247" s="2" t="s">
        <v>87</v>
      </c>
      <c r="C247" s="2" t="s">
        <v>88</v>
      </c>
      <c r="D247" s="2" t="s">
        <v>89</v>
      </c>
      <c r="E247" s="2" t="s">
        <v>90</v>
      </c>
      <c r="F247" s="2" t="s">
        <v>598</v>
      </c>
      <c r="G247" s="2" t="s">
        <v>598</v>
      </c>
      <c r="H247" s="2" t="s">
        <v>598</v>
      </c>
      <c r="I247" s="2" t="s">
        <v>599</v>
      </c>
      <c r="J247" s="2" t="s">
        <v>122</v>
      </c>
      <c r="K247" s="2" t="s">
        <v>771</v>
      </c>
      <c r="L247" s="3">
        <v>28.2</v>
      </c>
      <c r="M247" s="3">
        <v>29.61</v>
      </c>
      <c r="N247" s="3">
        <v>59.99</v>
      </c>
      <c r="O247" s="2" t="s">
        <v>95</v>
      </c>
      <c r="P247" s="2" t="s">
        <v>184</v>
      </c>
      <c r="Q247" s="2" t="s">
        <v>97</v>
      </c>
      <c r="R247" s="2" t="s">
        <v>98</v>
      </c>
      <c r="S247" s="2" t="s">
        <v>772</v>
      </c>
      <c r="T247" s="2" t="s">
        <v>602</v>
      </c>
      <c r="U247" s="2" t="s">
        <v>118</v>
      </c>
      <c r="V247" s="2" t="s">
        <v>336</v>
      </c>
      <c r="W247" s="2" t="s">
        <v>103</v>
      </c>
      <c r="X247" s="2" t="s">
        <v>603</v>
      </c>
      <c r="Y247" s="2" t="s">
        <v>207</v>
      </c>
      <c r="Z247" s="4">
        <v>526</v>
      </c>
      <c r="AA247" s="4">
        <f>=ROUNDDOWN(22.8695652173913,0)</f>
      </c>
      <c r="AB247" s="5">
        <v>23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9</v>
      </c>
      <c r="AQ247" s="8">
        <v>280.71</v>
      </c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0.3687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>
        <v>43</v>
      </c>
      <c r="BK247" s="8">
        <v>1325.02</v>
      </c>
      <c r="BL247" s="2" t="s">
        <v>361</v>
      </c>
      <c r="BM247" s="7">
        <v>0.2093</v>
      </c>
      <c r="BN247" s="7">
        <v>0.2119</v>
      </c>
      <c r="BO247" s="4">
        <v>9</v>
      </c>
      <c r="BP247" s="8">
        <v>280.71</v>
      </c>
      <c r="BQ247" s="4"/>
      <c r="BR247" s="8"/>
      <c r="BS247" s="7"/>
      <c r="BT247" s="7"/>
      <c r="BU247" s="2" t="s">
        <v>107</v>
      </c>
      <c r="BV247" s="2" t="s">
        <v>95</v>
      </c>
      <c r="BW247" s="2" t="s">
        <v>181</v>
      </c>
      <c r="BX247" s="2" t="s">
        <v>720</v>
      </c>
      <c r="BY247" s="2" t="s">
        <v>110</v>
      </c>
      <c r="BZ247" s="2" t="s">
        <v>98</v>
      </c>
    </row>
    <row r="248">
      <c r="A248" s="2" t="s">
        <v>777</v>
      </c>
      <c r="B248" s="2" t="s">
        <v>87</v>
      </c>
      <c r="C248" s="2" t="s">
        <v>88</v>
      </c>
      <c r="D248" s="2" t="s">
        <v>89</v>
      </c>
      <c r="E248" s="2" t="s">
        <v>90</v>
      </c>
      <c r="F248" s="2" t="s">
        <v>598</v>
      </c>
      <c r="G248" s="2" t="s">
        <v>598</v>
      </c>
      <c r="H248" s="2" t="s">
        <v>598</v>
      </c>
      <c r="I248" s="2" t="s">
        <v>599</v>
      </c>
      <c r="J248" s="2" t="s">
        <v>125</v>
      </c>
      <c r="K248" s="2" t="s">
        <v>771</v>
      </c>
      <c r="L248" s="3">
        <v>31.2</v>
      </c>
      <c r="M248" s="3">
        <v>32.76</v>
      </c>
      <c r="N248" s="3">
        <v>64.99</v>
      </c>
      <c r="O248" s="2" t="s">
        <v>95</v>
      </c>
      <c r="P248" s="2" t="s">
        <v>168</v>
      </c>
      <c r="Q248" s="2" t="s">
        <v>97</v>
      </c>
      <c r="R248" s="2" t="s">
        <v>98</v>
      </c>
      <c r="S248" s="2" t="s">
        <v>772</v>
      </c>
      <c r="T248" s="2" t="s">
        <v>602</v>
      </c>
      <c r="U248" s="2" t="s">
        <v>118</v>
      </c>
      <c r="V248" s="2" t="s">
        <v>336</v>
      </c>
      <c r="W248" s="2" t="s">
        <v>103</v>
      </c>
      <c r="X248" s="2" t="s">
        <v>603</v>
      </c>
      <c r="Y248" s="2" t="s">
        <v>207</v>
      </c>
      <c r="Z248" s="4">
        <v>259</v>
      </c>
      <c r="AA248" s="4">
        <f>=ROUNDDOWN(14.3888888888889,0)</f>
      </c>
      <c r="AB248" s="5">
        <v>18</v>
      </c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/>
      <c r="AP248" s="4">
        <v>7</v>
      </c>
      <c r="AQ248" s="8">
        <v>241.08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0.3167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26</v>
      </c>
      <c r="BK248" s="8">
        <v>916.72</v>
      </c>
      <c r="BL248" s="2" t="s">
        <v>778</v>
      </c>
      <c r="BM248" s="7">
        <v>0.2692</v>
      </c>
      <c r="BN248" s="7">
        <v>0.263</v>
      </c>
      <c r="BO248" s="4">
        <v>7</v>
      </c>
      <c r="BP248" s="8">
        <v>241.08</v>
      </c>
      <c r="BQ248" s="4"/>
      <c r="BR248" s="8"/>
      <c r="BS248" s="7"/>
      <c r="BT248" s="7"/>
      <c r="BU248" s="2" t="s">
        <v>107</v>
      </c>
      <c r="BV248" s="2" t="s">
        <v>95</v>
      </c>
      <c r="BW248" s="2" t="s">
        <v>181</v>
      </c>
      <c r="BX248" s="2" t="s">
        <v>484</v>
      </c>
      <c r="BY248" s="2" t="s">
        <v>110</v>
      </c>
      <c r="BZ248" s="2" t="s">
        <v>98</v>
      </c>
    </row>
    <row r="249">
      <c r="A249" s="2" t="s">
        <v>779</v>
      </c>
      <c r="B249" s="2" t="s">
        <v>87</v>
      </c>
      <c r="C249" s="2" t="s">
        <v>88</v>
      </c>
      <c r="D249" s="2" t="s">
        <v>89</v>
      </c>
      <c r="E249" s="2" t="s">
        <v>90</v>
      </c>
      <c r="F249" s="2" t="s">
        <v>598</v>
      </c>
      <c r="G249" s="2" t="s">
        <v>598</v>
      </c>
      <c r="H249" s="2" t="s">
        <v>598</v>
      </c>
      <c r="I249" s="2" t="s">
        <v>599</v>
      </c>
      <c r="J249" s="2" t="s">
        <v>129</v>
      </c>
      <c r="K249" s="2" t="s">
        <v>771</v>
      </c>
      <c r="L249" s="3">
        <v>31.85</v>
      </c>
      <c r="M249" s="3">
        <v>33.44</v>
      </c>
      <c r="N249" s="3">
        <v>64.99</v>
      </c>
      <c r="O249" s="2" t="s">
        <v>95</v>
      </c>
      <c r="P249" s="2" t="s">
        <v>156</v>
      </c>
      <c r="Q249" s="2" t="s">
        <v>97</v>
      </c>
      <c r="R249" s="2" t="s">
        <v>98</v>
      </c>
      <c r="S249" s="2" t="s">
        <v>772</v>
      </c>
      <c r="T249" s="2" t="s">
        <v>602</v>
      </c>
      <c r="U249" s="2" t="s">
        <v>118</v>
      </c>
      <c r="V249" s="2" t="s">
        <v>336</v>
      </c>
      <c r="W249" s="2" t="s">
        <v>103</v>
      </c>
      <c r="X249" s="2" t="s">
        <v>603</v>
      </c>
      <c r="Y249" s="2" t="s">
        <v>207</v>
      </c>
      <c r="Z249" s="4">
        <v>207</v>
      </c>
      <c r="AA249" s="4">
        <f>=ROUNDDOWN(25.875,0)</f>
      </c>
      <c r="AB249" s="5">
        <v>8</v>
      </c>
      <c r="AC249" s="2" t="s">
        <v>98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/>
      <c r="AP249" s="4">
        <v>4</v>
      </c>
      <c r="AQ249" s="8">
        <v>137.76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0.181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7</v>
      </c>
      <c r="BK249" s="8">
        <v>245.62</v>
      </c>
      <c r="BL249" s="2" t="s">
        <v>780</v>
      </c>
      <c r="BM249" s="7">
        <v>0.5714</v>
      </c>
      <c r="BN249" s="7">
        <v>0.5609</v>
      </c>
      <c r="BO249" s="4">
        <v>4</v>
      </c>
      <c r="BP249" s="8">
        <v>137.76</v>
      </c>
      <c r="BQ249" s="4"/>
      <c r="BR249" s="8"/>
      <c r="BS249" s="7"/>
      <c r="BT249" s="7"/>
      <c r="BU249" s="2" t="s">
        <v>107</v>
      </c>
      <c r="BV249" s="2" t="s">
        <v>95</v>
      </c>
      <c r="BW249" s="2" t="s">
        <v>181</v>
      </c>
      <c r="BX249" s="2" t="s">
        <v>648</v>
      </c>
      <c r="BY249" s="2" t="s">
        <v>110</v>
      </c>
      <c r="BZ249" s="2" t="s">
        <v>98</v>
      </c>
    </row>
    <row r="250">
      <c r="A250" s="2" t="s">
        <v>781</v>
      </c>
      <c r="B250" s="2" t="s">
        <v>87</v>
      </c>
      <c r="C250" s="2" t="s">
        <v>88</v>
      </c>
      <c r="D250" s="2" t="s">
        <v>89</v>
      </c>
      <c r="E250" s="2" t="s">
        <v>90</v>
      </c>
      <c r="F250" s="2" t="s">
        <v>598</v>
      </c>
      <c r="G250" s="2" t="s">
        <v>598</v>
      </c>
      <c r="H250" s="2" t="s">
        <v>598</v>
      </c>
      <c r="I250" s="2" t="s">
        <v>599</v>
      </c>
      <c r="J250" s="2" t="s">
        <v>93</v>
      </c>
      <c r="K250" s="2" t="s">
        <v>782</v>
      </c>
      <c r="L250" s="3">
        <v>24</v>
      </c>
      <c r="M250" s="3">
        <v>25.2</v>
      </c>
      <c r="N250" s="3">
        <v>49.99</v>
      </c>
      <c r="O250" s="2" t="s">
        <v>562</v>
      </c>
      <c r="P250" s="2" t="s">
        <v>563</v>
      </c>
      <c r="Q250" s="2" t="s">
        <v>97</v>
      </c>
      <c r="R250" s="2" t="s">
        <v>98</v>
      </c>
      <c r="S250" s="2" t="s">
        <v>783</v>
      </c>
      <c r="T250" s="2" t="s">
        <v>602</v>
      </c>
      <c r="U250" s="2" t="s">
        <v>101</v>
      </c>
      <c r="V250" s="2" t="s">
        <v>290</v>
      </c>
      <c r="W250" s="2" t="s">
        <v>103</v>
      </c>
      <c r="X250" s="2" t="s">
        <v>603</v>
      </c>
      <c r="Y250" s="2" t="s">
        <v>207</v>
      </c>
      <c r="Z250" s="4">
        <v>86</v>
      </c>
      <c r="AA250" s="4">
        <f>=ROUNDDOWN(19.1111111111111,0)</f>
      </c>
      <c r="AB250" s="5">
        <v>4.5</v>
      </c>
      <c r="AC250" s="2" t="s">
        <v>98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4</v>
      </c>
      <c r="BK250" s="8">
        <v>68.8</v>
      </c>
      <c r="BL250" s="2" t="s">
        <v>784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95</v>
      </c>
      <c r="BW250" s="2" t="s">
        <v>785</v>
      </c>
      <c r="BX250" s="2" t="s">
        <v>786</v>
      </c>
      <c r="BY250" s="2" t="s">
        <v>110</v>
      </c>
      <c r="BZ250" s="2" t="s">
        <v>98</v>
      </c>
    </row>
    <row r="251">
      <c r="A251" s="2" t="s">
        <v>787</v>
      </c>
      <c r="B251" s="2" t="s">
        <v>87</v>
      </c>
      <c r="C251" s="2" t="s">
        <v>88</v>
      </c>
      <c r="D251" s="2" t="s">
        <v>89</v>
      </c>
      <c r="E251" s="2" t="s">
        <v>90</v>
      </c>
      <c r="F251" s="2" t="s">
        <v>788</v>
      </c>
      <c r="G251" s="2" t="s">
        <v>788</v>
      </c>
      <c r="H251" s="2" t="s">
        <v>788</v>
      </c>
      <c r="I251" s="2" t="s">
        <v>789</v>
      </c>
      <c r="J251" s="2" t="s">
        <v>93</v>
      </c>
      <c r="K251" s="2" t="s">
        <v>790</v>
      </c>
      <c r="L251" s="3">
        <v>19.78</v>
      </c>
      <c r="M251" s="3">
        <v>20.77</v>
      </c>
      <c r="N251" s="3">
        <v>42.99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791</v>
      </c>
      <c r="T251" s="2" t="s">
        <v>792</v>
      </c>
      <c r="U251" s="2" t="s">
        <v>101</v>
      </c>
      <c r="V251" s="2" t="s">
        <v>336</v>
      </c>
      <c r="W251" s="2" t="s">
        <v>103</v>
      </c>
      <c r="X251" s="2" t="s">
        <v>98</v>
      </c>
      <c r="Y251" s="2" t="s">
        <v>148</v>
      </c>
      <c r="Z251" s="4">
        <v>41</v>
      </c>
      <c r="AA251" s="4">
        <f>=ROUNDDOWN(2.27777777777778,0)</f>
      </c>
      <c r="AB251" s="5">
        <v>18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/>
      <c r="AP251" s="4">
        <v>3</v>
      </c>
      <c r="AQ251" s="8">
        <v>67.05</v>
      </c>
      <c r="AR251" s="4"/>
      <c r="AS251" s="8"/>
      <c r="AT251" s="7"/>
      <c r="AU251" s="7"/>
      <c r="AV251" s="4">
        <v>104</v>
      </c>
      <c r="AW251" s="8">
        <v>3389.33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>
        <v>0.0198</v>
      </c>
      <c r="BC251" s="4">
        <v>457</v>
      </c>
      <c r="BD251" s="8">
        <v>14261.83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0.2377</v>
      </c>
      <c r="BJ251" s="4">
        <v>7</v>
      </c>
      <c r="BK251" s="8">
        <v>158.05</v>
      </c>
      <c r="BL251" s="2" t="s">
        <v>647</v>
      </c>
      <c r="BM251" s="7">
        <v>0.4286</v>
      </c>
      <c r="BN251" s="7">
        <v>0.4242</v>
      </c>
      <c r="BO251" s="4">
        <v>3</v>
      </c>
      <c r="BP251" s="8">
        <v>67.05</v>
      </c>
      <c r="BQ251" s="4"/>
      <c r="BR251" s="8"/>
      <c r="BS251" s="7"/>
      <c r="BT251" s="7"/>
      <c r="BU251" s="2" t="s">
        <v>107</v>
      </c>
      <c r="BV251" s="2" t="s">
        <v>95</v>
      </c>
      <c r="BW251" s="2" t="s">
        <v>793</v>
      </c>
      <c r="BX251" s="2" t="s">
        <v>109</v>
      </c>
      <c r="BY251" s="2" t="s">
        <v>110</v>
      </c>
      <c r="BZ251" s="2" t="s">
        <v>98</v>
      </c>
    </row>
    <row r="252">
      <c r="A252" s="2" t="s">
        <v>794</v>
      </c>
      <c r="B252" s="2" t="s">
        <v>87</v>
      </c>
      <c r="C252" s="2" t="s">
        <v>88</v>
      </c>
      <c r="D252" s="2" t="s">
        <v>89</v>
      </c>
      <c r="E252" s="2" t="s">
        <v>90</v>
      </c>
      <c r="F252" s="2" t="s">
        <v>788</v>
      </c>
      <c r="G252" s="2" t="s">
        <v>788</v>
      </c>
      <c r="H252" s="2" t="s">
        <v>788</v>
      </c>
      <c r="I252" s="2" t="s">
        <v>789</v>
      </c>
      <c r="J252" s="2" t="s">
        <v>117</v>
      </c>
      <c r="K252" s="2" t="s">
        <v>790</v>
      </c>
      <c r="L252" s="3">
        <v>25.3</v>
      </c>
      <c r="M252" s="3">
        <v>26.57</v>
      </c>
      <c r="N252" s="3">
        <v>54.99</v>
      </c>
      <c r="O252" s="2" t="s">
        <v>95</v>
      </c>
      <c r="P252" s="2" t="s">
        <v>96</v>
      </c>
      <c r="Q252" s="2" t="s">
        <v>97</v>
      </c>
      <c r="R252" s="2" t="s">
        <v>98</v>
      </c>
      <c r="S252" s="2" t="s">
        <v>791</v>
      </c>
      <c r="T252" s="2" t="s">
        <v>792</v>
      </c>
      <c r="U252" s="2" t="s">
        <v>118</v>
      </c>
      <c r="V252" s="2" t="s">
        <v>336</v>
      </c>
      <c r="W252" s="2" t="s">
        <v>103</v>
      </c>
      <c r="X252" s="2" t="s">
        <v>98</v>
      </c>
      <c r="Y252" s="2" t="s">
        <v>148</v>
      </c>
      <c r="Z252" s="4">
        <v>17</v>
      </c>
      <c r="AA252" s="4">
        <f>=ROUNDDOWN(0.85,0)</f>
      </c>
      <c r="AB252" s="5">
        <v>20</v>
      </c>
      <c r="AC252" s="2" t="s">
        <v>98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/>
      <c r="AP252" s="4">
        <v>16</v>
      </c>
      <c r="AQ252" s="8">
        <v>457.44</v>
      </c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0.135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104</v>
      </c>
      <c r="BK252" s="8">
        <v>3013.16</v>
      </c>
      <c r="BL252" s="2" t="s">
        <v>490</v>
      </c>
      <c r="BM252" s="7">
        <v>0.1538</v>
      </c>
      <c r="BN252" s="7">
        <v>0.1518</v>
      </c>
      <c r="BO252" s="4">
        <v>16</v>
      </c>
      <c r="BP252" s="8">
        <v>457.44</v>
      </c>
      <c r="BQ252" s="4"/>
      <c r="BR252" s="8"/>
      <c r="BS252" s="7"/>
      <c r="BT252" s="7"/>
      <c r="BU252" s="2" t="s">
        <v>107</v>
      </c>
      <c r="BV252" s="2" t="s">
        <v>95</v>
      </c>
      <c r="BW252" s="2" t="s">
        <v>795</v>
      </c>
      <c r="BX252" s="2" t="s">
        <v>109</v>
      </c>
      <c r="BY252" s="2" t="s">
        <v>110</v>
      </c>
      <c r="BZ252" s="2" t="s">
        <v>98</v>
      </c>
    </row>
    <row r="253">
      <c r="A253" s="2" t="s">
        <v>796</v>
      </c>
      <c r="B253" s="2" t="s">
        <v>87</v>
      </c>
      <c r="C253" s="2" t="s">
        <v>88</v>
      </c>
      <c r="D253" s="2" t="s">
        <v>89</v>
      </c>
      <c r="E253" s="2" t="s">
        <v>90</v>
      </c>
      <c r="F253" s="2" t="s">
        <v>788</v>
      </c>
      <c r="G253" s="2" t="s">
        <v>788</v>
      </c>
      <c r="H253" s="2" t="s">
        <v>788</v>
      </c>
      <c r="I253" s="2" t="s">
        <v>789</v>
      </c>
      <c r="J253" s="2" t="s">
        <v>122</v>
      </c>
      <c r="K253" s="2" t="s">
        <v>790</v>
      </c>
      <c r="L253" s="3">
        <v>28.35</v>
      </c>
      <c r="M253" s="3">
        <v>29.77</v>
      </c>
      <c r="N253" s="3">
        <v>62.99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791</v>
      </c>
      <c r="T253" s="2" t="s">
        <v>792</v>
      </c>
      <c r="U253" s="2" t="s">
        <v>118</v>
      </c>
      <c r="V253" s="2" t="s">
        <v>336</v>
      </c>
      <c r="W253" s="2" t="s">
        <v>103</v>
      </c>
      <c r="X253" s="2" t="s">
        <v>98</v>
      </c>
      <c r="Y253" s="2" t="s">
        <v>148</v>
      </c>
      <c r="Z253" s="4">
        <v>974</v>
      </c>
      <c r="AA253" s="4">
        <f>=ROUNDDOWN(37.4615384615385,0)</f>
      </c>
      <c r="AB253" s="5">
        <v>26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/>
      <c r="AP253" s="4">
        <v>63</v>
      </c>
      <c r="AQ253" s="8">
        <v>2023.56</v>
      </c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0.597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93</v>
      </c>
      <c r="BK253" s="8">
        <v>2997.58</v>
      </c>
      <c r="BL253" s="2" t="s">
        <v>797</v>
      </c>
      <c r="BM253" s="7">
        <v>0.6774</v>
      </c>
      <c r="BN253" s="7">
        <v>0.6751</v>
      </c>
      <c r="BO253" s="4">
        <v>63</v>
      </c>
      <c r="BP253" s="8">
        <v>2023.56</v>
      </c>
      <c r="BQ253" s="4"/>
      <c r="BR253" s="8"/>
      <c r="BS253" s="7"/>
      <c r="BT253" s="7"/>
      <c r="BU253" s="2" t="s">
        <v>107</v>
      </c>
      <c r="BV253" s="2" t="s">
        <v>95</v>
      </c>
      <c r="BW253" s="2" t="s">
        <v>795</v>
      </c>
      <c r="BX253" s="2" t="s">
        <v>115</v>
      </c>
      <c r="BY253" s="2" t="s">
        <v>110</v>
      </c>
      <c r="BZ253" s="2" t="s">
        <v>98</v>
      </c>
    </row>
    <row r="254">
      <c r="A254" s="2" t="s">
        <v>798</v>
      </c>
      <c r="B254" s="2" t="s">
        <v>87</v>
      </c>
      <c r="C254" s="2" t="s">
        <v>88</v>
      </c>
      <c r="D254" s="2" t="s">
        <v>89</v>
      </c>
      <c r="E254" s="2" t="s">
        <v>90</v>
      </c>
      <c r="F254" s="2" t="s">
        <v>788</v>
      </c>
      <c r="G254" s="2" t="s">
        <v>788</v>
      </c>
      <c r="H254" s="2" t="s">
        <v>788</v>
      </c>
      <c r="I254" s="2" t="s">
        <v>789</v>
      </c>
      <c r="J254" s="2" t="s">
        <v>125</v>
      </c>
      <c r="K254" s="2" t="s">
        <v>790</v>
      </c>
      <c r="L254" s="3">
        <v>34.5</v>
      </c>
      <c r="M254" s="3">
        <v>36.23</v>
      </c>
      <c r="N254" s="3">
        <v>74.99</v>
      </c>
      <c r="O254" s="2" t="s">
        <v>95</v>
      </c>
      <c r="P254" s="2" t="s">
        <v>96</v>
      </c>
      <c r="Q254" s="2" t="s">
        <v>97</v>
      </c>
      <c r="R254" s="2" t="s">
        <v>98</v>
      </c>
      <c r="S254" s="2" t="s">
        <v>791</v>
      </c>
      <c r="T254" s="2" t="s">
        <v>792</v>
      </c>
      <c r="U254" s="2" t="s">
        <v>118</v>
      </c>
      <c r="V254" s="2" t="s">
        <v>336</v>
      </c>
      <c r="W254" s="2" t="s">
        <v>103</v>
      </c>
      <c r="X254" s="2" t="s">
        <v>98</v>
      </c>
      <c r="Y254" s="2" t="s">
        <v>148</v>
      </c>
      <c r="Z254" s="4">
        <v>310</v>
      </c>
      <c r="AA254" s="4">
        <f>=ROUNDDOWN(12.9166666666667,0)</f>
      </c>
      <c r="AB254" s="5">
        <v>24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/>
      <c r="AP254" s="4">
        <v>22</v>
      </c>
      <c r="AQ254" s="8">
        <v>841.28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0.2482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80</v>
      </c>
      <c r="BK254" s="8">
        <v>3130.61</v>
      </c>
      <c r="BL254" s="2" t="s">
        <v>490</v>
      </c>
      <c r="BM254" s="7">
        <v>0.275</v>
      </c>
      <c r="BN254" s="7">
        <v>0.2687</v>
      </c>
      <c r="BO254" s="4">
        <v>22</v>
      </c>
      <c r="BP254" s="8">
        <v>841.28</v>
      </c>
      <c r="BQ254" s="4"/>
      <c r="BR254" s="8"/>
      <c r="BS254" s="7"/>
      <c r="BT254" s="7"/>
      <c r="BU254" s="2" t="s">
        <v>107</v>
      </c>
      <c r="BV254" s="2" t="s">
        <v>95</v>
      </c>
      <c r="BW254" s="2" t="s">
        <v>793</v>
      </c>
      <c r="BX254" s="2" t="s">
        <v>115</v>
      </c>
      <c r="BY254" s="2" t="s">
        <v>110</v>
      </c>
      <c r="BZ254" s="2" t="s">
        <v>98</v>
      </c>
    </row>
    <row r="255">
      <c r="A255" s="2" t="s">
        <v>799</v>
      </c>
      <c r="B255" s="2" t="s">
        <v>87</v>
      </c>
      <c r="C255" s="2" t="s">
        <v>88</v>
      </c>
      <c r="D255" s="2" t="s">
        <v>89</v>
      </c>
      <c r="E255" s="2" t="s">
        <v>90</v>
      </c>
      <c r="F255" s="2" t="s">
        <v>788</v>
      </c>
      <c r="G255" s="2" t="s">
        <v>788</v>
      </c>
      <c r="H255" s="2" t="s">
        <v>788</v>
      </c>
      <c r="I255" s="2" t="s">
        <v>789</v>
      </c>
      <c r="J255" s="2" t="s">
        <v>93</v>
      </c>
      <c r="K255" s="2" t="s">
        <v>800</v>
      </c>
      <c r="L255" s="3">
        <v>19.78</v>
      </c>
      <c r="M255" s="3">
        <v>20.77</v>
      </c>
      <c r="N255" s="3">
        <v>42.99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801</v>
      </c>
      <c r="T255" s="2" t="s">
        <v>792</v>
      </c>
      <c r="U255" s="2" t="s">
        <v>101</v>
      </c>
      <c r="V255" s="2" t="s">
        <v>336</v>
      </c>
      <c r="W255" s="2" t="s">
        <v>103</v>
      </c>
      <c r="X255" s="2" t="s">
        <v>98</v>
      </c>
      <c r="Y255" s="2" t="s">
        <v>148</v>
      </c>
      <c r="Z255" s="4">
        <v>950</v>
      </c>
      <c r="AA255" s="4">
        <f>=ROUNDDOWN(105.555555555556,0)</f>
      </c>
      <c r="AB255" s="5">
        <v>9</v>
      </c>
      <c r="AC255" s="2" t="s">
        <v>98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/>
      <c r="AP255" s="4">
        <v>17</v>
      </c>
      <c r="AQ255" s="8">
        <v>379.95</v>
      </c>
      <c r="AR255" s="4"/>
      <c r="AS255" s="8"/>
      <c r="AT255" s="7"/>
      <c r="AU255" s="7"/>
      <c r="AV255" s="4">
        <v>83</v>
      </c>
      <c r="AW255" s="8">
        <v>2509.06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>
        <v>0.1514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0.1759</v>
      </c>
      <c r="BJ255" s="4">
        <v>32</v>
      </c>
      <c r="BK255" s="8">
        <v>715.31</v>
      </c>
      <c r="BL255" s="2" t="s">
        <v>802</v>
      </c>
      <c r="BM255" s="7">
        <v>0.5312</v>
      </c>
      <c r="BN255" s="7">
        <v>0.5312</v>
      </c>
      <c r="BO255" s="4">
        <v>17</v>
      </c>
      <c r="BP255" s="8">
        <v>379.95</v>
      </c>
      <c r="BQ255" s="4"/>
      <c r="BR255" s="8"/>
      <c r="BS255" s="7"/>
      <c r="BT255" s="7"/>
      <c r="BU255" s="2" t="s">
        <v>107</v>
      </c>
      <c r="BV255" s="2" t="s">
        <v>95</v>
      </c>
      <c r="BW255" s="2" t="s">
        <v>793</v>
      </c>
      <c r="BX255" s="2" t="s">
        <v>803</v>
      </c>
      <c r="BY255" s="2" t="s">
        <v>110</v>
      </c>
      <c r="BZ255" s="2" t="s">
        <v>98</v>
      </c>
    </row>
    <row r="256">
      <c r="A256" s="2" t="s">
        <v>804</v>
      </c>
      <c r="B256" s="2" t="s">
        <v>87</v>
      </c>
      <c r="C256" s="2" t="s">
        <v>88</v>
      </c>
      <c r="D256" s="2" t="s">
        <v>89</v>
      </c>
      <c r="E256" s="2" t="s">
        <v>90</v>
      </c>
      <c r="F256" s="2" t="s">
        <v>788</v>
      </c>
      <c r="G256" s="2" t="s">
        <v>788</v>
      </c>
      <c r="H256" s="2" t="s">
        <v>788</v>
      </c>
      <c r="I256" s="2" t="s">
        <v>789</v>
      </c>
      <c r="J256" s="2" t="s">
        <v>117</v>
      </c>
      <c r="K256" s="2" t="s">
        <v>800</v>
      </c>
      <c r="L256" s="3">
        <v>25.3</v>
      </c>
      <c r="M256" s="3">
        <v>26.57</v>
      </c>
      <c r="N256" s="3">
        <v>54.99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801</v>
      </c>
      <c r="T256" s="2" t="s">
        <v>792</v>
      </c>
      <c r="U256" s="2" t="s">
        <v>118</v>
      </c>
      <c r="V256" s="2" t="s">
        <v>336</v>
      </c>
      <c r="W256" s="2" t="s">
        <v>103</v>
      </c>
      <c r="X256" s="2" t="s">
        <v>98</v>
      </c>
      <c r="Y256" s="2" t="s">
        <v>148</v>
      </c>
      <c r="Z256" s="4">
        <v>435</v>
      </c>
      <c r="AA256" s="4">
        <f>=ROUNDDOWN(31.0714285714286,0)</f>
      </c>
      <c r="AB256" s="5">
        <v>14</v>
      </c>
      <c r="AC256" s="2" t="s">
        <v>98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/>
      <c r="AP256" s="4">
        <v>13</v>
      </c>
      <c r="AQ256" s="8">
        <v>371.67</v>
      </c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0.1481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30</v>
      </c>
      <c r="BK256" s="8">
        <v>858.75</v>
      </c>
      <c r="BL256" s="2" t="s">
        <v>271</v>
      </c>
      <c r="BM256" s="7">
        <v>0.4333</v>
      </c>
      <c r="BN256" s="7">
        <v>0.4328</v>
      </c>
      <c r="BO256" s="4">
        <v>13</v>
      </c>
      <c r="BP256" s="8">
        <v>371.67</v>
      </c>
      <c r="BQ256" s="4"/>
      <c r="BR256" s="8"/>
      <c r="BS256" s="7"/>
      <c r="BT256" s="7"/>
      <c r="BU256" s="2" t="s">
        <v>107</v>
      </c>
      <c r="BV256" s="2" t="s">
        <v>95</v>
      </c>
      <c r="BW256" s="2" t="s">
        <v>793</v>
      </c>
      <c r="BX256" s="2" t="s">
        <v>609</v>
      </c>
      <c r="BY256" s="2" t="s">
        <v>110</v>
      </c>
      <c r="BZ256" s="2" t="s">
        <v>98</v>
      </c>
    </row>
    <row r="257">
      <c r="A257" s="2" t="s">
        <v>805</v>
      </c>
      <c r="B257" s="2" t="s">
        <v>87</v>
      </c>
      <c r="C257" s="2" t="s">
        <v>88</v>
      </c>
      <c r="D257" s="2" t="s">
        <v>89</v>
      </c>
      <c r="E257" s="2" t="s">
        <v>90</v>
      </c>
      <c r="F257" s="2" t="s">
        <v>788</v>
      </c>
      <c r="G257" s="2" t="s">
        <v>788</v>
      </c>
      <c r="H257" s="2" t="s">
        <v>788</v>
      </c>
      <c r="I257" s="2" t="s">
        <v>789</v>
      </c>
      <c r="J257" s="2" t="s">
        <v>122</v>
      </c>
      <c r="K257" s="2" t="s">
        <v>800</v>
      </c>
      <c r="L257" s="3">
        <v>28.35</v>
      </c>
      <c r="M257" s="3">
        <v>29.77</v>
      </c>
      <c r="N257" s="3">
        <v>62.99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801</v>
      </c>
      <c r="T257" s="2" t="s">
        <v>792</v>
      </c>
      <c r="U257" s="2" t="s">
        <v>118</v>
      </c>
      <c r="V257" s="2" t="s">
        <v>336</v>
      </c>
      <c r="W257" s="2" t="s">
        <v>103</v>
      </c>
      <c r="X257" s="2" t="s">
        <v>98</v>
      </c>
      <c r="Y257" s="2" t="s">
        <v>148</v>
      </c>
      <c r="Z257" s="4">
        <v>1336</v>
      </c>
      <c r="AA257" s="4">
        <f>=ROUNDDOWN(58.0869565217391,0)</f>
      </c>
      <c r="AB257" s="5">
        <v>23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/>
      <c r="AP257" s="4">
        <v>44</v>
      </c>
      <c r="AQ257" s="8">
        <v>1413.28</v>
      </c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0.5633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80</v>
      </c>
      <c r="BK257" s="8">
        <v>2527.99</v>
      </c>
      <c r="BL257" s="2" t="s">
        <v>490</v>
      </c>
      <c r="BM257" s="7">
        <v>0.55</v>
      </c>
      <c r="BN257" s="7">
        <v>0.5591</v>
      </c>
      <c r="BO257" s="4">
        <v>44</v>
      </c>
      <c r="BP257" s="8">
        <v>1413.28</v>
      </c>
      <c r="BQ257" s="4"/>
      <c r="BR257" s="8"/>
      <c r="BS257" s="7"/>
      <c r="BT257" s="7"/>
      <c r="BU257" s="2" t="s">
        <v>107</v>
      </c>
      <c r="BV257" s="2" t="s">
        <v>95</v>
      </c>
      <c r="BW257" s="2" t="s">
        <v>793</v>
      </c>
      <c r="BX257" s="2" t="s">
        <v>609</v>
      </c>
      <c r="BY257" s="2" t="s">
        <v>110</v>
      </c>
      <c r="BZ257" s="2" t="s">
        <v>98</v>
      </c>
    </row>
    <row r="258">
      <c r="A258" s="2" t="s">
        <v>806</v>
      </c>
      <c r="B258" s="2" t="s">
        <v>87</v>
      </c>
      <c r="C258" s="2" t="s">
        <v>88</v>
      </c>
      <c r="D258" s="2" t="s">
        <v>89</v>
      </c>
      <c r="E258" s="2" t="s">
        <v>90</v>
      </c>
      <c r="F258" s="2" t="s">
        <v>788</v>
      </c>
      <c r="G258" s="2" t="s">
        <v>788</v>
      </c>
      <c r="H258" s="2" t="s">
        <v>788</v>
      </c>
      <c r="I258" s="2" t="s">
        <v>789</v>
      </c>
      <c r="J258" s="2" t="s">
        <v>125</v>
      </c>
      <c r="K258" s="2" t="s">
        <v>800</v>
      </c>
      <c r="L258" s="3">
        <v>34.5</v>
      </c>
      <c r="M258" s="3">
        <v>36.23</v>
      </c>
      <c r="N258" s="3">
        <v>74.99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801</v>
      </c>
      <c r="T258" s="2" t="s">
        <v>792</v>
      </c>
      <c r="U258" s="2" t="s">
        <v>118</v>
      </c>
      <c r="V258" s="2" t="s">
        <v>336</v>
      </c>
      <c r="W258" s="2" t="s">
        <v>103</v>
      </c>
      <c r="X258" s="2" t="s">
        <v>98</v>
      </c>
      <c r="Y258" s="2" t="s">
        <v>148</v>
      </c>
      <c r="Z258" s="4">
        <v>551</v>
      </c>
      <c r="AA258" s="4">
        <f>=ROUNDDOWN(23.9565217391304,0)</f>
      </c>
      <c r="AB258" s="5">
        <v>23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/>
      <c r="AP258" s="4">
        <v>9</v>
      </c>
      <c r="AQ258" s="8">
        <v>344.16</v>
      </c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0.1372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34</v>
      </c>
      <c r="BK258" s="8">
        <v>1318.86</v>
      </c>
      <c r="BL258" s="2" t="s">
        <v>490</v>
      </c>
      <c r="BM258" s="7">
        <v>0.2647</v>
      </c>
      <c r="BN258" s="7">
        <v>0.261</v>
      </c>
      <c r="BO258" s="4">
        <v>9</v>
      </c>
      <c r="BP258" s="8">
        <v>344.16</v>
      </c>
      <c r="BQ258" s="4"/>
      <c r="BR258" s="8"/>
      <c r="BS258" s="7"/>
      <c r="BT258" s="7"/>
      <c r="BU258" s="2" t="s">
        <v>107</v>
      </c>
      <c r="BV258" s="2" t="s">
        <v>95</v>
      </c>
      <c r="BW258" s="2" t="s">
        <v>795</v>
      </c>
      <c r="BX258" s="2" t="s">
        <v>807</v>
      </c>
      <c r="BY258" s="2" t="s">
        <v>110</v>
      </c>
      <c r="BZ258" s="2" t="s">
        <v>98</v>
      </c>
    </row>
    <row r="259">
      <c r="A259" s="2" t="s">
        <v>808</v>
      </c>
      <c r="B259" s="2" t="s">
        <v>87</v>
      </c>
      <c r="C259" s="2" t="s">
        <v>88</v>
      </c>
      <c r="D259" s="2" t="s">
        <v>89</v>
      </c>
      <c r="E259" s="2" t="s">
        <v>90</v>
      </c>
      <c r="F259" s="2" t="s">
        <v>788</v>
      </c>
      <c r="G259" s="2" t="s">
        <v>788</v>
      </c>
      <c r="H259" s="2" t="s">
        <v>788</v>
      </c>
      <c r="I259" s="2" t="s">
        <v>789</v>
      </c>
      <c r="J259" s="2" t="s">
        <v>93</v>
      </c>
      <c r="K259" s="2" t="s">
        <v>616</v>
      </c>
      <c r="L259" s="3">
        <v>19.78</v>
      </c>
      <c r="M259" s="3">
        <v>20.77</v>
      </c>
      <c r="N259" s="3">
        <v>42.99</v>
      </c>
      <c r="O259" s="2" t="s">
        <v>95</v>
      </c>
      <c r="P259" s="2" t="s">
        <v>168</v>
      </c>
      <c r="Q259" s="2" t="s">
        <v>97</v>
      </c>
      <c r="R259" s="2" t="s">
        <v>98</v>
      </c>
      <c r="S259" s="2" t="s">
        <v>809</v>
      </c>
      <c r="T259" s="2" t="s">
        <v>792</v>
      </c>
      <c r="U259" s="2" t="s">
        <v>101</v>
      </c>
      <c r="V259" s="2" t="s">
        <v>336</v>
      </c>
      <c r="W259" s="2" t="s">
        <v>103</v>
      </c>
      <c r="X259" s="2" t="s">
        <v>98</v>
      </c>
      <c r="Y259" s="2" t="s">
        <v>207</v>
      </c>
      <c r="Z259" s="4">
        <v>630</v>
      </c>
      <c r="AA259" s="4">
        <f>=ROUNDDOWN(35,0)</f>
      </c>
      <c r="AB259" s="5">
        <v>18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/>
      <c r="AP259" s="4">
        <v>9</v>
      </c>
      <c r="AQ259" s="8">
        <v>201.15</v>
      </c>
      <c r="AR259" s="4"/>
      <c r="AS259" s="8"/>
      <c r="AT259" s="7"/>
      <c r="AU259" s="7"/>
      <c r="AV259" s="4">
        <v>74</v>
      </c>
      <c r="AW259" s="8">
        <v>2398.88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0.0839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0.1682</v>
      </c>
      <c r="BJ259" s="4">
        <v>22</v>
      </c>
      <c r="BK259" s="8">
        <v>486.11</v>
      </c>
      <c r="BL259" s="2" t="s">
        <v>810</v>
      </c>
      <c r="BM259" s="7">
        <v>0.4091</v>
      </c>
      <c r="BN259" s="7">
        <v>0.4138</v>
      </c>
      <c r="BO259" s="4">
        <v>9</v>
      </c>
      <c r="BP259" s="8">
        <v>201.15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181</v>
      </c>
      <c r="BX259" s="2" t="s">
        <v>811</v>
      </c>
      <c r="BY259" s="2" t="s">
        <v>110</v>
      </c>
      <c r="BZ259" s="2" t="s">
        <v>98</v>
      </c>
    </row>
    <row r="260">
      <c r="A260" s="2" t="s">
        <v>812</v>
      </c>
      <c r="B260" s="2" t="s">
        <v>87</v>
      </c>
      <c r="C260" s="2" t="s">
        <v>88</v>
      </c>
      <c r="D260" s="2" t="s">
        <v>89</v>
      </c>
      <c r="E260" s="2" t="s">
        <v>90</v>
      </c>
      <c r="F260" s="2" t="s">
        <v>788</v>
      </c>
      <c r="G260" s="2" t="s">
        <v>788</v>
      </c>
      <c r="H260" s="2" t="s">
        <v>788</v>
      </c>
      <c r="I260" s="2" t="s">
        <v>789</v>
      </c>
      <c r="J260" s="2" t="s">
        <v>117</v>
      </c>
      <c r="K260" s="2" t="s">
        <v>616</v>
      </c>
      <c r="L260" s="3">
        <v>25.3</v>
      </c>
      <c r="M260" s="3">
        <v>26.56</v>
      </c>
      <c r="N260" s="3">
        <v>54.99</v>
      </c>
      <c r="O260" s="2" t="s">
        <v>95</v>
      </c>
      <c r="P260" s="2" t="s">
        <v>168</v>
      </c>
      <c r="Q260" s="2" t="s">
        <v>97</v>
      </c>
      <c r="R260" s="2" t="s">
        <v>98</v>
      </c>
      <c r="S260" s="2" t="s">
        <v>809</v>
      </c>
      <c r="T260" s="2" t="s">
        <v>792</v>
      </c>
      <c r="U260" s="2" t="s">
        <v>118</v>
      </c>
      <c r="V260" s="2" t="s">
        <v>336</v>
      </c>
      <c r="W260" s="2" t="s">
        <v>103</v>
      </c>
      <c r="X260" s="2" t="s">
        <v>98</v>
      </c>
      <c r="Y260" s="2" t="s">
        <v>207</v>
      </c>
      <c r="Z260" s="4">
        <v>1</v>
      </c>
      <c r="AA260" s="4">
        <f>=ROUNDDOWN(0.0344827586206897,0)</f>
      </c>
      <c r="AB260" s="5">
        <v>29</v>
      </c>
      <c r="AC260" s="2" t="s">
        <v>98</v>
      </c>
      <c r="AD260" s="4"/>
      <c r="AE260" s="4"/>
      <c r="AF260" s="6">
        <v>65</v>
      </c>
      <c r="AG260" s="6"/>
      <c r="AH260" s="7">
        <v>0.2857</v>
      </c>
      <c r="AI260" s="4"/>
      <c r="AJ260" s="4">
        <f>=ROUNDDOWN({0},0)</f>
      </c>
      <c r="AK260" s="5"/>
      <c r="AL260" s="2" t="s">
        <v>98</v>
      </c>
      <c r="AM260" s="4"/>
      <c r="AN260" s="4"/>
      <c r="AO260" s="7"/>
      <c r="AP260" s="4">
        <v>7</v>
      </c>
      <c r="AQ260" s="8">
        <v>200.13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0.0834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96</v>
      </c>
      <c r="BK260" s="8">
        <v>2674.45</v>
      </c>
      <c r="BL260" s="2" t="s">
        <v>490</v>
      </c>
      <c r="BM260" s="7">
        <v>0.0729</v>
      </c>
      <c r="BN260" s="7">
        <v>0.0748</v>
      </c>
      <c r="BO260" s="4">
        <v>7</v>
      </c>
      <c r="BP260" s="8">
        <v>200.13</v>
      </c>
      <c r="BQ260" s="4"/>
      <c r="BR260" s="8"/>
      <c r="BS260" s="7"/>
      <c r="BT260" s="7"/>
      <c r="BU260" s="2" t="s">
        <v>107</v>
      </c>
      <c r="BV260" s="2" t="s">
        <v>95</v>
      </c>
      <c r="BW260" s="2" t="s">
        <v>181</v>
      </c>
      <c r="BX260" s="2" t="s">
        <v>373</v>
      </c>
      <c r="BY260" s="2" t="s">
        <v>110</v>
      </c>
      <c r="BZ260" s="2" t="s">
        <v>98</v>
      </c>
    </row>
    <row r="261">
      <c r="A261" s="2" t="s">
        <v>813</v>
      </c>
      <c r="B261" s="2" t="s">
        <v>87</v>
      </c>
      <c r="C261" s="2" t="s">
        <v>88</v>
      </c>
      <c r="D261" s="2" t="s">
        <v>89</v>
      </c>
      <c r="E261" s="2" t="s">
        <v>90</v>
      </c>
      <c r="F261" s="2" t="s">
        <v>788</v>
      </c>
      <c r="G261" s="2" t="s">
        <v>788</v>
      </c>
      <c r="H261" s="2" t="s">
        <v>788</v>
      </c>
      <c r="I261" s="2" t="s">
        <v>789</v>
      </c>
      <c r="J261" s="2" t="s">
        <v>122</v>
      </c>
      <c r="K261" s="2" t="s">
        <v>616</v>
      </c>
      <c r="L261" s="3">
        <v>28.35</v>
      </c>
      <c r="M261" s="3">
        <v>29.77</v>
      </c>
      <c r="N261" s="3">
        <v>62.99</v>
      </c>
      <c r="O261" s="2" t="s">
        <v>95</v>
      </c>
      <c r="P261" s="2" t="s">
        <v>211</v>
      </c>
      <c r="Q261" s="2" t="s">
        <v>97</v>
      </c>
      <c r="R261" s="2" t="s">
        <v>98</v>
      </c>
      <c r="S261" s="2" t="s">
        <v>809</v>
      </c>
      <c r="T261" s="2" t="s">
        <v>792</v>
      </c>
      <c r="U261" s="2" t="s">
        <v>118</v>
      </c>
      <c r="V261" s="2" t="s">
        <v>336</v>
      </c>
      <c r="W261" s="2" t="s">
        <v>103</v>
      </c>
      <c r="X261" s="2" t="s">
        <v>98</v>
      </c>
      <c r="Y261" s="2" t="s">
        <v>207</v>
      </c>
      <c r="Z261" s="4">
        <v>1442</v>
      </c>
      <c r="AA261" s="4">
        <f>=ROUNDDOWN(35.1707317073171,0)</f>
      </c>
      <c r="AB261" s="5">
        <v>41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/>
      <c r="AP261" s="4">
        <v>36</v>
      </c>
      <c r="AQ261" s="8">
        <v>1156.32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0.482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111</v>
      </c>
      <c r="BK261" s="8">
        <v>3479.26</v>
      </c>
      <c r="BL261" s="2" t="s">
        <v>814</v>
      </c>
      <c r="BM261" s="7">
        <v>0.3243</v>
      </c>
      <c r="BN261" s="7">
        <v>0.3323</v>
      </c>
      <c r="BO261" s="4">
        <v>36</v>
      </c>
      <c r="BP261" s="8">
        <v>1156.32</v>
      </c>
      <c r="BQ261" s="4"/>
      <c r="BR261" s="8"/>
      <c r="BS261" s="7"/>
      <c r="BT261" s="7"/>
      <c r="BU261" s="2" t="s">
        <v>107</v>
      </c>
      <c r="BV261" s="2" t="s">
        <v>95</v>
      </c>
      <c r="BW261" s="2" t="s">
        <v>181</v>
      </c>
      <c r="BX261" s="2" t="s">
        <v>622</v>
      </c>
      <c r="BY261" s="2" t="s">
        <v>110</v>
      </c>
      <c r="BZ261" s="2" t="s">
        <v>98</v>
      </c>
    </row>
    <row r="262">
      <c r="A262" s="2" t="s">
        <v>815</v>
      </c>
      <c r="B262" s="2" t="s">
        <v>87</v>
      </c>
      <c r="C262" s="2" t="s">
        <v>88</v>
      </c>
      <c r="D262" s="2" t="s">
        <v>89</v>
      </c>
      <c r="E262" s="2" t="s">
        <v>90</v>
      </c>
      <c r="F262" s="2" t="s">
        <v>788</v>
      </c>
      <c r="G262" s="2" t="s">
        <v>788</v>
      </c>
      <c r="H262" s="2" t="s">
        <v>788</v>
      </c>
      <c r="I262" s="2" t="s">
        <v>789</v>
      </c>
      <c r="J262" s="2" t="s">
        <v>125</v>
      </c>
      <c r="K262" s="2" t="s">
        <v>616</v>
      </c>
      <c r="L262" s="3">
        <v>34.5</v>
      </c>
      <c r="M262" s="3">
        <v>36.22</v>
      </c>
      <c r="N262" s="3">
        <v>74.99</v>
      </c>
      <c r="O262" s="2" t="s">
        <v>95</v>
      </c>
      <c r="P262" s="2" t="s">
        <v>211</v>
      </c>
      <c r="Q262" s="2" t="s">
        <v>97</v>
      </c>
      <c r="R262" s="2" t="s">
        <v>98</v>
      </c>
      <c r="S262" s="2" t="s">
        <v>809</v>
      </c>
      <c r="T262" s="2" t="s">
        <v>792</v>
      </c>
      <c r="U262" s="2" t="s">
        <v>118</v>
      </c>
      <c r="V262" s="2" t="s">
        <v>336</v>
      </c>
      <c r="W262" s="2" t="s">
        <v>103</v>
      </c>
      <c r="X262" s="2" t="s">
        <v>98</v>
      </c>
      <c r="Y262" s="2" t="s">
        <v>207</v>
      </c>
      <c r="Z262" s="4">
        <v>412</v>
      </c>
      <c r="AA262" s="4">
        <f>=ROUNDDOWN(11.1351351351351,0)</f>
      </c>
      <c r="AB262" s="5">
        <v>37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/>
      <c r="AP262" s="4">
        <v>22</v>
      </c>
      <c r="AQ262" s="8">
        <v>841.28</v>
      </c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0.3507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 t="s">
        <v>98</v>
      </c>
      <c r="BJ262" s="4">
        <v>68</v>
      </c>
      <c r="BK262" s="8">
        <v>2626.42</v>
      </c>
      <c r="BL262" s="2" t="s">
        <v>271</v>
      </c>
      <c r="BM262" s="7">
        <v>0.3235</v>
      </c>
      <c r="BN262" s="7">
        <v>0.3203</v>
      </c>
      <c r="BO262" s="4">
        <v>22</v>
      </c>
      <c r="BP262" s="8">
        <v>841.28</v>
      </c>
      <c r="BQ262" s="4"/>
      <c r="BR262" s="8"/>
      <c r="BS262" s="7"/>
      <c r="BT262" s="7"/>
      <c r="BU262" s="2" t="s">
        <v>107</v>
      </c>
      <c r="BV262" s="2" t="s">
        <v>95</v>
      </c>
      <c r="BW262" s="2" t="s">
        <v>181</v>
      </c>
      <c r="BX262" s="2" t="s">
        <v>637</v>
      </c>
      <c r="BY262" s="2" t="s">
        <v>110</v>
      </c>
      <c r="BZ262" s="2" t="s">
        <v>98</v>
      </c>
    </row>
    <row r="263">
      <c r="A263" s="2" t="s">
        <v>816</v>
      </c>
      <c r="B263" s="2" t="s">
        <v>87</v>
      </c>
      <c r="C263" s="2" t="s">
        <v>88</v>
      </c>
      <c r="D263" s="2" t="s">
        <v>89</v>
      </c>
      <c r="E263" s="2" t="s">
        <v>90</v>
      </c>
      <c r="F263" s="2" t="s">
        <v>788</v>
      </c>
      <c r="G263" s="2" t="s">
        <v>788</v>
      </c>
      <c r="H263" s="2" t="s">
        <v>788</v>
      </c>
      <c r="I263" s="2" t="s">
        <v>789</v>
      </c>
      <c r="J263" s="2" t="s">
        <v>93</v>
      </c>
      <c r="K263" s="2" t="s">
        <v>633</v>
      </c>
      <c r="L263" s="3">
        <v>19.78</v>
      </c>
      <c r="M263" s="3">
        <v>20.77</v>
      </c>
      <c r="N263" s="3">
        <v>42.99</v>
      </c>
      <c r="O263" s="2" t="s">
        <v>95</v>
      </c>
      <c r="P263" s="2" t="s">
        <v>177</v>
      </c>
      <c r="Q263" s="2" t="s">
        <v>97</v>
      </c>
      <c r="R263" s="2" t="s">
        <v>98</v>
      </c>
      <c r="S263" s="2" t="s">
        <v>817</v>
      </c>
      <c r="T263" s="2" t="s">
        <v>792</v>
      </c>
      <c r="U263" s="2" t="s">
        <v>101</v>
      </c>
      <c r="V263" s="2" t="s">
        <v>336</v>
      </c>
      <c r="W263" s="2" t="s">
        <v>103</v>
      </c>
      <c r="X263" s="2" t="s">
        <v>98</v>
      </c>
      <c r="Y263" s="2" t="s">
        <v>207</v>
      </c>
      <c r="Z263" s="4">
        <v>374</v>
      </c>
      <c r="AA263" s="4">
        <f>=ROUNDDOWN(11.6875,0)</f>
      </c>
      <c r="AB263" s="5">
        <v>32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/>
      <c r="AP263" s="4">
        <v>7</v>
      </c>
      <c r="AQ263" s="8">
        <v>156.45</v>
      </c>
      <c r="AR263" s="4"/>
      <c r="AS263" s="8"/>
      <c r="AT263" s="7"/>
      <c r="AU263" s="7"/>
      <c r="AV263" s="4">
        <v>61</v>
      </c>
      <c r="AW263" s="8">
        <v>1845.75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0.0848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0.1294</v>
      </c>
      <c r="BJ263" s="4">
        <v>14</v>
      </c>
      <c r="BK263" s="8">
        <v>308.53</v>
      </c>
      <c r="BL263" s="2" t="s">
        <v>818</v>
      </c>
      <c r="BM263" s="7">
        <v>0.5</v>
      </c>
      <c r="BN263" s="7">
        <v>0.5071</v>
      </c>
      <c r="BO263" s="4">
        <v>7</v>
      </c>
      <c r="BP263" s="8">
        <v>156.45</v>
      </c>
      <c r="BQ263" s="4"/>
      <c r="BR263" s="8"/>
      <c r="BS263" s="7"/>
      <c r="BT263" s="7"/>
      <c r="BU263" s="2" t="s">
        <v>107</v>
      </c>
      <c r="BV263" s="2" t="s">
        <v>95</v>
      </c>
      <c r="BW263" s="2" t="s">
        <v>181</v>
      </c>
      <c r="BX263" s="2" t="s">
        <v>668</v>
      </c>
      <c r="BY263" s="2" t="s">
        <v>110</v>
      </c>
      <c r="BZ263" s="2" t="s">
        <v>98</v>
      </c>
    </row>
    <row r="264">
      <c r="A264" s="2" t="s">
        <v>819</v>
      </c>
      <c r="B264" s="2" t="s">
        <v>87</v>
      </c>
      <c r="C264" s="2" t="s">
        <v>88</v>
      </c>
      <c r="D264" s="2" t="s">
        <v>89</v>
      </c>
      <c r="E264" s="2" t="s">
        <v>90</v>
      </c>
      <c r="F264" s="2" t="s">
        <v>788</v>
      </c>
      <c r="G264" s="2" t="s">
        <v>788</v>
      </c>
      <c r="H264" s="2" t="s">
        <v>788</v>
      </c>
      <c r="I264" s="2" t="s">
        <v>789</v>
      </c>
      <c r="J264" s="2" t="s">
        <v>117</v>
      </c>
      <c r="K264" s="2" t="s">
        <v>633</v>
      </c>
      <c r="L264" s="3">
        <v>25.3</v>
      </c>
      <c r="M264" s="3">
        <v>26.56</v>
      </c>
      <c r="N264" s="3">
        <v>54.99</v>
      </c>
      <c r="O264" s="2" t="s">
        <v>95</v>
      </c>
      <c r="P264" s="2" t="s">
        <v>177</v>
      </c>
      <c r="Q264" s="2" t="s">
        <v>97</v>
      </c>
      <c r="R264" s="2" t="s">
        <v>98</v>
      </c>
      <c r="S264" s="2" t="s">
        <v>817</v>
      </c>
      <c r="T264" s="2" t="s">
        <v>792</v>
      </c>
      <c r="U264" s="2" t="s">
        <v>118</v>
      </c>
      <c r="V264" s="2" t="s">
        <v>336</v>
      </c>
      <c r="W264" s="2" t="s">
        <v>103</v>
      </c>
      <c r="X264" s="2" t="s">
        <v>98</v>
      </c>
      <c r="Y264" s="2" t="s">
        <v>207</v>
      </c>
      <c r="Z264" s="4">
        <v>168</v>
      </c>
      <c r="AA264" s="4">
        <f>=ROUNDDOWN(4.30769230769231,0)</f>
      </c>
      <c r="AB264" s="5">
        <v>39</v>
      </c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/>
      <c r="AP264" s="4">
        <v>18</v>
      </c>
      <c r="AQ264" s="8">
        <v>514.62</v>
      </c>
      <c r="AR264" s="4"/>
      <c r="AS264" s="8"/>
      <c r="AT264" s="7"/>
      <c r="AU264" s="7"/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0.2788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>
        <v>50</v>
      </c>
      <c r="BK264" s="8">
        <v>1432.15</v>
      </c>
      <c r="BL264" s="2" t="s">
        <v>820</v>
      </c>
      <c r="BM264" s="7">
        <v>0.36</v>
      </c>
      <c r="BN264" s="7">
        <v>0.3593</v>
      </c>
      <c r="BO264" s="4">
        <v>18</v>
      </c>
      <c r="BP264" s="8">
        <v>514.62</v>
      </c>
      <c r="BQ264" s="4"/>
      <c r="BR264" s="8"/>
      <c r="BS264" s="7"/>
      <c r="BT264" s="7"/>
      <c r="BU264" s="2" t="s">
        <v>107</v>
      </c>
      <c r="BV264" s="2" t="s">
        <v>95</v>
      </c>
      <c r="BW264" s="2" t="s">
        <v>181</v>
      </c>
      <c r="BX264" s="2" t="s">
        <v>648</v>
      </c>
      <c r="BY264" s="2" t="s">
        <v>110</v>
      </c>
      <c r="BZ264" s="2" t="s">
        <v>98</v>
      </c>
    </row>
    <row r="265">
      <c r="A265" s="2" t="s">
        <v>821</v>
      </c>
      <c r="B265" s="2" t="s">
        <v>87</v>
      </c>
      <c r="C265" s="2" t="s">
        <v>88</v>
      </c>
      <c r="D265" s="2" t="s">
        <v>89</v>
      </c>
      <c r="E265" s="2" t="s">
        <v>90</v>
      </c>
      <c r="F265" s="2" t="s">
        <v>788</v>
      </c>
      <c r="G265" s="2" t="s">
        <v>788</v>
      </c>
      <c r="H265" s="2" t="s">
        <v>788</v>
      </c>
      <c r="I265" s="2" t="s">
        <v>789</v>
      </c>
      <c r="J265" s="2" t="s">
        <v>122</v>
      </c>
      <c r="K265" s="2" t="s">
        <v>633</v>
      </c>
      <c r="L265" s="3">
        <v>28.35</v>
      </c>
      <c r="M265" s="3">
        <v>29.77</v>
      </c>
      <c r="N265" s="3">
        <v>62.99</v>
      </c>
      <c r="O265" s="2" t="s">
        <v>95</v>
      </c>
      <c r="P265" s="2" t="s">
        <v>211</v>
      </c>
      <c r="Q265" s="2" t="s">
        <v>97</v>
      </c>
      <c r="R265" s="2" t="s">
        <v>98</v>
      </c>
      <c r="S265" s="2" t="s">
        <v>817</v>
      </c>
      <c r="T265" s="2" t="s">
        <v>792</v>
      </c>
      <c r="U265" s="2" t="s">
        <v>118</v>
      </c>
      <c r="V265" s="2" t="s">
        <v>336</v>
      </c>
      <c r="W265" s="2" t="s">
        <v>103</v>
      </c>
      <c r="X265" s="2" t="s">
        <v>98</v>
      </c>
      <c r="Y265" s="2" t="s">
        <v>207</v>
      </c>
      <c r="Z265" s="4">
        <v>2995</v>
      </c>
      <c r="AA265" s="4">
        <f>=ROUNDDOWN(38.3974358974359,0)</f>
      </c>
      <c r="AB265" s="5">
        <v>78</v>
      </c>
      <c r="AC265" s="2" t="s">
        <v>822</v>
      </c>
      <c r="AD265" s="4">
        <v>240</v>
      </c>
      <c r="AE265" s="4">
        <v>240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/>
      <c r="AP265" s="4">
        <v>33</v>
      </c>
      <c r="AQ265" s="8">
        <v>1059.96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0.5743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66</v>
      </c>
      <c r="BK265" s="8">
        <v>1987.97</v>
      </c>
      <c r="BL265" s="2" t="s">
        <v>823</v>
      </c>
      <c r="BM265" s="7">
        <v>0.5</v>
      </c>
      <c r="BN265" s="7">
        <v>0.5332</v>
      </c>
      <c r="BO265" s="4">
        <v>33</v>
      </c>
      <c r="BP265" s="8">
        <v>1059.96</v>
      </c>
      <c r="BQ265" s="4"/>
      <c r="BR265" s="8"/>
      <c r="BS265" s="7"/>
      <c r="BT265" s="7"/>
      <c r="BU265" s="2" t="s">
        <v>107</v>
      </c>
      <c r="BV265" s="2" t="s">
        <v>95</v>
      </c>
      <c r="BW265" s="2" t="s">
        <v>181</v>
      </c>
      <c r="BX265" s="2" t="s">
        <v>648</v>
      </c>
      <c r="BY265" s="2" t="s">
        <v>110</v>
      </c>
      <c r="BZ265" s="2" t="s">
        <v>98</v>
      </c>
    </row>
    <row r="266">
      <c r="A266" s="2" t="s">
        <v>824</v>
      </c>
      <c r="B266" s="2" t="s">
        <v>87</v>
      </c>
      <c r="C266" s="2" t="s">
        <v>88</v>
      </c>
      <c r="D266" s="2" t="s">
        <v>89</v>
      </c>
      <c r="E266" s="2" t="s">
        <v>90</v>
      </c>
      <c r="F266" s="2" t="s">
        <v>788</v>
      </c>
      <c r="G266" s="2" t="s">
        <v>788</v>
      </c>
      <c r="H266" s="2" t="s">
        <v>788</v>
      </c>
      <c r="I266" s="2" t="s">
        <v>789</v>
      </c>
      <c r="J266" s="2" t="s">
        <v>125</v>
      </c>
      <c r="K266" s="2" t="s">
        <v>633</v>
      </c>
      <c r="L266" s="3">
        <v>34.5</v>
      </c>
      <c r="M266" s="3">
        <v>36.22</v>
      </c>
      <c r="N266" s="3">
        <v>74.99</v>
      </c>
      <c r="O266" s="2" t="s">
        <v>95</v>
      </c>
      <c r="P266" s="2" t="s">
        <v>211</v>
      </c>
      <c r="Q266" s="2" t="s">
        <v>97</v>
      </c>
      <c r="R266" s="2" t="s">
        <v>98</v>
      </c>
      <c r="S266" s="2" t="s">
        <v>817</v>
      </c>
      <c r="T266" s="2" t="s">
        <v>792</v>
      </c>
      <c r="U266" s="2" t="s">
        <v>118</v>
      </c>
      <c r="V266" s="2" t="s">
        <v>336</v>
      </c>
      <c r="W266" s="2" t="s">
        <v>103</v>
      </c>
      <c r="X266" s="2" t="s">
        <v>98</v>
      </c>
      <c r="Y266" s="2" t="s">
        <v>207</v>
      </c>
      <c r="Z266" s="4">
        <v>5</v>
      </c>
      <c r="AA266" s="4">
        <f>=ROUNDDOWN(0.0961538461538461,0)</f>
      </c>
      <c r="AB266" s="5">
        <v>52</v>
      </c>
      <c r="AC266" s="2" t="s">
        <v>822</v>
      </c>
      <c r="AD266" s="4">
        <v>100</v>
      </c>
      <c r="AE266" s="4">
        <v>100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/>
      <c r="AP266" s="4">
        <v>3</v>
      </c>
      <c r="AQ266" s="8">
        <v>114.72</v>
      </c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0.0622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123</v>
      </c>
      <c r="BK266" s="8">
        <v>4575.11</v>
      </c>
      <c r="BL266" s="2" t="s">
        <v>825</v>
      </c>
      <c r="BM266" s="7">
        <v>0.0244</v>
      </c>
      <c r="BN266" s="7">
        <v>0.0251</v>
      </c>
      <c r="BO266" s="4">
        <v>3</v>
      </c>
      <c r="BP266" s="8">
        <v>114.72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181</v>
      </c>
      <c r="BX266" s="2" t="s">
        <v>720</v>
      </c>
      <c r="BY266" s="2" t="s">
        <v>110</v>
      </c>
      <c r="BZ266" s="2" t="s">
        <v>98</v>
      </c>
    </row>
    <row r="267">
      <c r="A267" s="2" t="s">
        <v>826</v>
      </c>
      <c r="B267" s="2" t="s">
        <v>87</v>
      </c>
      <c r="C267" s="2" t="s">
        <v>88</v>
      </c>
      <c r="D267" s="2" t="s">
        <v>89</v>
      </c>
      <c r="E267" s="2" t="s">
        <v>90</v>
      </c>
      <c r="F267" s="2" t="s">
        <v>788</v>
      </c>
      <c r="G267" s="2" t="s">
        <v>788</v>
      </c>
      <c r="H267" s="2" t="s">
        <v>788</v>
      </c>
      <c r="I267" s="2" t="s">
        <v>789</v>
      </c>
      <c r="J267" s="2" t="s">
        <v>93</v>
      </c>
      <c r="K267" s="2" t="s">
        <v>659</v>
      </c>
      <c r="L267" s="3">
        <v>19.78</v>
      </c>
      <c r="M267" s="3">
        <v>20.77</v>
      </c>
      <c r="N267" s="3">
        <v>42.99</v>
      </c>
      <c r="O267" s="2" t="s">
        <v>95</v>
      </c>
      <c r="P267" s="2" t="s">
        <v>184</v>
      </c>
      <c r="Q267" s="2" t="s">
        <v>97</v>
      </c>
      <c r="R267" s="2" t="s">
        <v>98</v>
      </c>
      <c r="S267" s="2" t="s">
        <v>827</v>
      </c>
      <c r="T267" s="2" t="s">
        <v>792</v>
      </c>
      <c r="U267" s="2" t="s">
        <v>101</v>
      </c>
      <c r="V267" s="2" t="s">
        <v>336</v>
      </c>
      <c r="W267" s="2" t="s">
        <v>103</v>
      </c>
      <c r="X267" s="2" t="s">
        <v>98</v>
      </c>
      <c r="Y267" s="2" t="s">
        <v>207</v>
      </c>
      <c r="Z267" s="4">
        <v>299</v>
      </c>
      <c r="AA267" s="4">
        <f>=ROUNDDOWN(9.06060606060606,0)</f>
      </c>
      <c r="AB267" s="5">
        <v>33</v>
      </c>
      <c r="AC267" s="2" t="s">
        <v>98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/>
      <c r="AP267" s="4">
        <v>14</v>
      </c>
      <c r="AQ267" s="8">
        <v>312.9</v>
      </c>
      <c r="AR267" s="4"/>
      <c r="AS267" s="8"/>
      <c r="AT267" s="7"/>
      <c r="AU267" s="7"/>
      <c r="AV267" s="4">
        <v>61</v>
      </c>
      <c r="AW267" s="8">
        <v>1825.61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0.1714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0.128</v>
      </c>
      <c r="BJ267" s="4">
        <v>52</v>
      </c>
      <c r="BK267" s="8">
        <v>1135.19</v>
      </c>
      <c r="BL267" s="2" t="s">
        <v>828</v>
      </c>
      <c r="BM267" s="7">
        <v>0.2692</v>
      </c>
      <c r="BN267" s="7">
        <v>0.2756</v>
      </c>
      <c r="BO267" s="4">
        <v>14</v>
      </c>
      <c r="BP267" s="8">
        <v>312.9</v>
      </c>
      <c r="BQ267" s="4"/>
      <c r="BR267" s="8"/>
      <c r="BS267" s="7"/>
      <c r="BT267" s="7"/>
      <c r="BU267" s="2" t="s">
        <v>107</v>
      </c>
      <c r="BV267" s="2" t="s">
        <v>95</v>
      </c>
      <c r="BW267" s="2" t="s">
        <v>181</v>
      </c>
      <c r="BX267" s="2" t="s">
        <v>720</v>
      </c>
      <c r="BY267" s="2" t="s">
        <v>110</v>
      </c>
      <c r="BZ267" s="2" t="s">
        <v>98</v>
      </c>
    </row>
    <row r="268">
      <c r="A268" s="2" t="s">
        <v>829</v>
      </c>
      <c r="B268" s="2" t="s">
        <v>87</v>
      </c>
      <c r="C268" s="2" t="s">
        <v>88</v>
      </c>
      <c r="D268" s="2" t="s">
        <v>89</v>
      </c>
      <c r="E268" s="2" t="s">
        <v>90</v>
      </c>
      <c r="F268" s="2" t="s">
        <v>788</v>
      </c>
      <c r="G268" s="2" t="s">
        <v>788</v>
      </c>
      <c r="H268" s="2" t="s">
        <v>788</v>
      </c>
      <c r="I268" s="2" t="s">
        <v>789</v>
      </c>
      <c r="J268" s="2" t="s">
        <v>117</v>
      </c>
      <c r="K268" s="2" t="s">
        <v>659</v>
      </c>
      <c r="L268" s="3">
        <v>25.3</v>
      </c>
      <c r="M268" s="3">
        <v>26.56</v>
      </c>
      <c r="N268" s="3">
        <v>54.99</v>
      </c>
      <c r="O268" s="2" t="s">
        <v>95</v>
      </c>
      <c r="P268" s="2" t="s">
        <v>168</v>
      </c>
      <c r="Q268" s="2" t="s">
        <v>97</v>
      </c>
      <c r="R268" s="2" t="s">
        <v>98</v>
      </c>
      <c r="S268" s="2" t="s">
        <v>827</v>
      </c>
      <c r="T268" s="2" t="s">
        <v>792</v>
      </c>
      <c r="U268" s="2" t="s">
        <v>118</v>
      </c>
      <c r="V268" s="2" t="s">
        <v>336</v>
      </c>
      <c r="W268" s="2" t="s">
        <v>103</v>
      </c>
      <c r="X268" s="2" t="s">
        <v>98</v>
      </c>
      <c r="Y268" s="2" t="s">
        <v>207</v>
      </c>
      <c r="Z268" s="4">
        <v>27</v>
      </c>
      <c r="AA268" s="4">
        <f>=ROUNDDOWN(1.125,0)</f>
      </c>
      <c r="AB268" s="5">
        <v>24</v>
      </c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/>
      <c r="AP268" s="4">
        <v>13</v>
      </c>
      <c r="AQ268" s="8">
        <v>371.67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0.2036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38</v>
      </c>
      <c r="BK268" s="8">
        <v>1072.05</v>
      </c>
      <c r="BL268" s="2" t="s">
        <v>830</v>
      </c>
      <c r="BM268" s="7">
        <v>0.3421</v>
      </c>
      <c r="BN268" s="7">
        <v>0.3467</v>
      </c>
      <c r="BO268" s="4">
        <v>13</v>
      </c>
      <c r="BP268" s="8">
        <v>371.67</v>
      </c>
      <c r="BQ268" s="4"/>
      <c r="BR268" s="8"/>
      <c r="BS268" s="7"/>
      <c r="BT268" s="7"/>
      <c r="BU268" s="2" t="s">
        <v>107</v>
      </c>
      <c r="BV268" s="2" t="s">
        <v>95</v>
      </c>
      <c r="BW268" s="2" t="s">
        <v>181</v>
      </c>
      <c r="BX268" s="2" t="s">
        <v>373</v>
      </c>
      <c r="BY268" s="2" t="s">
        <v>110</v>
      </c>
      <c r="BZ268" s="2" t="s">
        <v>98</v>
      </c>
    </row>
    <row r="269">
      <c r="A269" s="2" t="s">
        <v>831</v>
      </c>
      <c r="B269" s="2" t="s">
        <v>87</v>
      </c>
      <c r="C269" s="2" t="s">
        <v>88</v>
      </c>
      <c r="D269" s="2" t="s">
        <v>89</v>
      </c>
      <c r="E269" s="2" t="s">
        <v>90</v>
      </c>
      <c r="F269" s="2" t="s">
        <v>788</v>
      </c>
      <c r="G269" s="2" t="s">
        <v>788</v>
      </c>
      <c r="H269" s="2" t="s">
        <v>788</v>
      </c>
      <c r="I269" s="2" t="s">
        <v>789</v>
      </c>
      <c r="J269" s="2" t="s">
        <v>122</v>
      </c>
      <c r="K269" s="2" t="s">
        <v>659</v>
      </c>
      <c r="L269" s="3">
        <v>28.35</v>
      </c>
      <c r="M269" s="3">
        <v>29.77</v>
      </c>
      <c r="N269" s="3">
        <v>62.99</v>
      </c>
      <c r="O269" s="2" t="s">
        <v>95</v>
      </c>
      <c r="P269" s="2" t="s">
        <v>211</v>
      </c>
      <c r="Q269" s="2" t="s">
        <v>97</v>
      </c>
      <c r="R269" s="2" t="s">
        <v>98</v>
      </c>
      <c r="S269" s="2" t="s">
        <v>827</v>
      </c>
      <c r="T269" s="2" t="s">
        <v>792</v>
      </c>
      <c r="U269" s="2" t="s">
        <v>118</v>
      </c>
      <c r="V269" s="2" t="s">
        <v>336</v>
      </c>
      <c r="W269" s="2" t="s">
        <v>103</v>
      </c>
      <c r="X269" s="2" t="s">
        <v>98</v>
      </c>
      <c r="Y269" s="2" t="s">
        <v>207</v>
      </c>
      <c r="Z269" s="4">
        <v>377</v>
      </c>
      <c r="AA269" s="4">
        <f>=ROUNDDOWN(9.425,0)</f>
      </c>
      <c r="AB269" s="5">
        <v>40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/>
      <c r="AP269" s="4">
        <v>26</v>
      </c>
      <c r="AQ269" s="8">
        <v>835.12</v>
      </c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0.4574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227</v>
      </c>
      <c r="BK269" s="8">
        <v>7234.87</v>
      </c>
      <c r="BL269" s="2" t="s">
        <v>832</v>
      </c>
      <c r="BM269" s="7">
        <v>0.1145</v>
      </c>
      <c r="BN269" s="7">
        <v>0.1154</v>
      </c>
      <c r="BO269" s="4">
        <v>26</v>
      </c>
      <c r="BP269" s="8">
        <v>835.12</v>
      </c>
      <c r="BQ269" s="4"/>
      <c r="BR269" s="8"/>
      <c r="BS269" s="7"/>
      <c r="BT269" s="7"/>
      <c r="BU269" s="2" t="s">
        <v>107</v>
      </c>
      <c r="BV269" s="2" t="s">
        <v>95</v>
      </c>
      <c r="BW269" s="2" t="s">
        <v>181</v>
      </c>
      <c r="BX269" s="2" t="s">
        <v>648</v>
      </c>
      <c r="BY269" s="2" t="s">
        <v>110</v>
      </c>
      <c r="BZ269" s="2" t="s">
        <v>98</v>
      </c>
    </row>
    <row r="270">
      <c r="A270" s="2" t="s">
        <v>833</v>
      </c>
      <c r="B270" s="2" t="s">
        <v>87</v>
      </c>
      <c r="C270" s="2" t="s">
        <v>88</v>
      </c>
      <c r="D270" s="2" t="s">
        <v>89</v>
      </c>
      <c r="E270" s="2" t="s">
        <v>90</v>
      </c>
      <c r="F270" s="2" t="s">
        <v>788</v>
      </c>
      <c r="G270" s="2" t="s">
        <v>788</v>
      </c>
      <c r="H270" s="2" t="s">
        <v>788</v>
      </c>
      <c r="I270" s="2" t="s">
        <v>789</v>
      </c>
      <c r="J270" s="2" t="s">
        <v>125</v>
      </c>
      <c r="K270" s="2" t="s">
        <v>659</v>
      </c>
      <c r="L270" s="3">
        <v>34.5</v>
      </c>
      <c r="M270" s="3">
        <v>36.22</v>
      </c>
      <c r="N270" s="3">
        <v>74.99</v>
      </c>
      <c r="O270" s="2" t="s">
        <v>95</v>
      </c>
      <c r="P270" s="2" t="s">
        <v>177</v>
      </c>
      <c r="Q270" s="2" t="s">
        <v>97</v>
      </c>
      <c r="R270" s="2" t="s">
        <v>98</v>
      </c>
      <c r="S270" s="2" t="s">
        <v>827</v>
      </c>
      <c r="T270" s="2" t="s">
        <v>792</v>
      </c>
      <c r="U270" s="2" t="s">
        <v>118</v>
      </c>
      <c r="V270" s="2" t="s">
        <v>336</v>
      </c>
      <c r="W270" s="2" t="s">
        <v>103</v>
      </c>
      <c r="X270" s="2" t="s">
        <v>98</v>
      </c>
      <c r="Y270" s="2" t="s">
        <v>207</v>
      </c>
      <c r="Z270" s="4">
        <v>522</v>
      </c>
      <c r="AA270" s="4">
        <f>=ROUNDDOWN(15.8181818181818,0)</f>
      </c>
      <c r="AB270" s="5">
        <v>33</v>
      </c>
      <c r="AC270" s="2" t="s">
        <v>98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/>
      <c r="AP270" s="4">
        <v>8</v>
      </c>
      <c r="AQ270" s="8">
        <v>305.92</v>
      </c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0.1676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21</v>
      </c>
      <c r="BK270" s="8">
        <v>800.43</v>
      </c>
      <c r="BL270" s="2" t="s">
        <v>271</v>
      </c>
      <c r="BM270" s="7">
        <v>0.381</v>
      </c>
      <c r="BN270" s="7">
        <v>0.3822</v>
      </c>
      <c r="BO270" s="4">
        <v>8</v>
      </c>
      <c r="BP270" s="8">
        <v>305.92</v>
      </c>
      <c r="BQ270" s="4"/>
      <c r="BR270" s="8"/>
      <c r="BS270" s="7"/>
      <c r="BT270" s="7"/>
      <c r="BU270" s="2" t="s">
        <v>107</v>
      </c>
      <c r="BV270" s="2" t="s">
        <v>95</v>
      </c>
      <c r="BW270" s="2" t="s">
        <v>181</v>
      </c>
      <c r="BX270" s="2" t="s">
        <v>834</v>
      </c>
      <c r="BY270" s="2" t="s">
        <v>110</v>
      </c>
      <c r="BZ270" s="2" t="s">
        <v>98</v>
      </c>
    </row>
    <row r="271">
      <c r="A271" s="2" t="s">
        <v>835</v>
      </c>
      <c r="B271" s="2" t="s">
        <v>87</v>
      </c>
      <c r="C271" s="2" t="s">
        <v>88</v>
      </c>
      <c r="D271" s="2" t="s">
        <v>89</v>
      </c>
      <c r="E271" s="2" t="s">
        <v>90</v>
      </c>
      <c r="F271" s="2" t="s">
        <v>788</v>
      </c>
      <c r="G271" s="2" t="s">
        <v>788</v>
      </c>
      <c r="H271" s="2" t="s">
        <v>788</v>
      </c>
      <c r="I271" s="2" t="s">
        <v>789</v>
      </c>
      <c r="J271" s="2" t="s">
        <v>93</v>
      </c>
      <c r="K271" s="2" t="s">
        <v>600</v>
      </c>
      <c r="L271" s="3">
        <v>19.78</v>
      </c>
      <c r="M271" s="3">
        <v>20.77</v>
      </c>
      <c r="N271" s="3">
        <v>42.99</v>
      </c>
      <c r="O271" s="2" t="s">
        <v>95</v>
      </c>
      <c r="P271" s="2" t="s">
        <v>156</v>
      </c>
      <c r="Q271" s="2" t="s">
        <v>97</v>
      </c>
      <c r="R271" s="2" t="s">
        <v>98</v>
      </c>
      <c r="S271" s="2" t="s">
        <v>836</v>
      </c>
      <c r="T271" s="2" t="s">
        <v>792</v>
      </c>
      <c r="U271" s="2" t="s">
        <v>101</v>
      </c>
      <c r="V271" s="2" t="s">
        <v>336</v>
      </c>
      <c r="W271" s="2" t="s">
        <v>103</v>
      </c>
      <c r="X271" s="2" t="s">
        <v>98</v>
      </c>
      <c r="Y271" s="2" t="s">
        <v>207</v>
      </c>
      <c r="Z271" s="4">
        <v>6</v>
      </c>
      <c r="AA271" s="4">
        <f>=ROUNDDOWN(0.352941176470588,0)</f>
      </c>
      <c r="AB271" s="5">
        <v>17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>
        <v>28</v>
      </c>
      <c r="AW271" s="8">
        <v>899.36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0.0631</v>
      </c>
      <c r="BJ271" s="4"/>
      <c r="BK271" s="8"/>
      <c r="BL271" s="2" t="s">
        <v>98</v>
      </c>
      <c r="BM271" s="7"/>
      <c r="BN271" s="7"/>
      <c r="BO271" s="4"/>
      <c r="BP271" s="8"/>
      <c r="BQ271" s="4"/>
      <c r="BR271" s="8"/>
      <c r="BS271" s="7"/>
      <c r="BT271" s="7"/>
      <c r="BU271" s="2" t="s">
        <v>107</v>
      </c>
      <c r="BV271" s="2" t="s">
        <v>95</v>
      </c>
      <c r="BW271" s="2" t="s">
        <v>181</v>
      </c>
      <c r="BX271" s="2" t="s">
        <v>484</v>
      </c>
      <c r="BY271" s="2" t="s">
        <v>110</v>
      </c>
      <c r="BZ271" s="2" t="s">
        <v>98</v>
      </c>
    </row>
    <row r="272">
      <c r="A272" s="2" t="s">
        <v>837</v>
      </c>
      <c r="B272" s="2" t="s">
        <v>87</v>
      </c>
      <c r="C272" s="2" t="s">
        <v>88</v>
      </c>
      <c r="D272" s="2" t="s">
        <v>89</v>
      </c>
      <c r="E272" s="2" t="s">
        <v>90</v>
      </c>
      <c r="F272" s="2" t="s">
        <v>788</v>
      </c>
      <c r="G272" s="2" t="s">
        <v>788</v>
      </c>
      <c r="H272" s="2" t="s">
        <v>788</v>
      </c>
      <c r="I272" s="2" t="s">
        <v>789</v>
      </c>
      <c r="J272" s="2" t="s">
        <v>117</v>
      </c>
      <c r="K272" s="2" t="s">
        <v>600</v>
      </c>
      <c r="L272" s="3">
        <v>25.3</v>
      </c>
      <c r="M272" s="3">
        <v>26.56</v>
      </c>
      <c r="N272" s="3">
        <v>54.99</v>
      </c>
      <c r="O272" s="2" t="s">
        <v>95</v>
      </c>
      <c r="P272" s="2" t="s">
        <v>156</v>
      </c>
      <c r="Q272" s="2" t="s">
        <v>97</v>
      </c>
      <c r="R272" s="2" t="s">
        <v>98</v>
      </c>
      <c r="S272" s="2" t="s">
        <v>836</v>
      </c>
      <c r="T272" s="2" t="s">
        <v>792</v>
      </c>
      <c r="U272" s="2" t="s">
        <v>118</v>
      </c>
      <c r="V272" s="2" t="s">
        <v>336</v>
      </c>
      <c r="W272" s="2" t="s">
        <v>103</v>
      </c>
      <c r="X272" s="2" t="s">
        <v>98</v>
      </c>
      <c r="Y272" s="2" t="s">
        <v>207</v>
      </c>
      <c r="Z272" s="4"/>
      <c r="AA272" s="4">
        <f>=ROUNDDOWN({0},0)</f>
      </c>
      <c r="AB272" s="5">
        <v>13</v>
      </c>
      <c r="AC272" s="2" t="s">
        <v>98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98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/>
      <c r="BK272" s="8"/>
      <c r="BL272" s="2" t="s">
        <v>98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95</v>
      </c>
      <c r="BW272" s="2" t="s">
        <v>181</v>
      </c>
      <c r="BX272" s="2" t="s">
        <v>637</v>
      </c>
      <c r="BY272" s="2" t="s">
        <v>110</v>
      </c>
      <c r="BZ272" s="2" t="s">
        <v>98</v>
      </c>
    </row>
    <row r="273">
      <c r="A273" s="2" t="s">
        <v>838</v>
      </c>
      <c r="B273" s="2" t="s">
        <v>87</v>
      </c>
      <c r="C273" s="2" t="s">
        <v>88</v>
      </c>
      <c r="D273" s="2" t="s">
        <v>89</v>
      </c>
      <c r="E273" s="2" t="s">
        <v>90</v>
      </c>
      <c r="F273" s="2" t="s">
        <v>788</v>
      </c>
      <c r="G273" s="2" t="s">
        <v>788</v>
      </c>
      <c r="H273" s="2" t="s">
        <v>788</v>
      </c>
      <c r="I273" s="2" t="s">
        <v>789</v>
      </c>
      <c r="J273" s="2" t="s">
        <v>122</v>
      </c>
      <c r="K273" s="2" t="s">
        <v>600</v>
      </c>
      <c r="L273" s="3">
        <v>28.35</v>
      </c>
      <c r="M273" s="3">
        <v>29.77</v>
      </c>
      <c r="N273" s="3">
        <v>62.99</v>
      </c>
      <c r="O273" s="2" t="s">
        <v>95</v>
      </c>
      <c r="P273" s="2" t="s">
        <v>156</v>
      </c>
      <c r="Q273" s="2" t="s">
        <v>97</v>
      </c>
      <c r="R273" s="2" t="s">
        <v>98</v>
      </c>
      <c r="S273" s="2" t="s">
        <v>836</v>
      </c>
      <c r="T273" s="2" t="s">
        <v>792</v>
      </c>
      <c r="U273" s="2" t="s">
        <v>118</v>
      </c>
      <c r="V273" s="2" t="s">
        <v>336</v>
      </c>
      <c r="W273" s="2" t="s">
        <v>103</v>
      </c>
      <c r="X273" s="2" t="s">
        <v>98</v>
      </c>
      <c r="Y273" s="2" t="s">
        <v>207</v>
      </c>
      <c r="Z273" s="4">
        <v>612</v>
      </c>
      <c r="AA273" s="4">
        <f>=ROUNDDOWN(25.5,0)</f>
      </c>
      <c r="AB273" s="5">
        <v>24</v>
      </c>
      <c r="AC273" s="2" t="s">
        <v>98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/>
      <c r="AP273" s="4">
        <v>28</v>
      </c>
      <c r="AQ273" s="8">
        <v>899.36</v>
      </c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76</v>
      </c>
      <c r="BK273" s="8">
        <v>2482.13</v>
      </c>
      <c r="BL273" s="2" t="s">
        <v>839</v>
      </c>
      <c r="BM273" s="7">
        <v>0.3684</v>
      </c>
      <c r="BN273" s="7">
        <v>0.3623</v>
      </c>
      <c r="BO273" s="4">
        <v>28</v>
      </c>
      <c r="BP273" s="8">
        <v>899.36</v>
      </c>
      <c r="BQ273" s="4"/>
      <c r="BR273" s="8"/>
      <c r="BS273" s="7"/>
      <c r="BT273" s="7"/>
      <c r="BU273" s="2" t="s">
        <v>107</v>
      </c>
      <c r="BV273" s="2" t="s">
        <v>95</v>
      </c>
      <c r="BW273" s="2" t="s">
        <v>181</v>
      </c>
      <c r="BX273" s="2" t="s">
        <v>648</v>
      </c>
      <c r="BY273" s="2" t="s">
        <v>110</v>
      </c>
      <c r="BZ273" s="2" t="s">
        <v>98</v>
      </c>
    </row>
    <row r="274">
      <c r="A274" s="2" t="s">
        <v>840</v>
      </c>
      <c r="B274" s="2" t="s">
        <v>87</v>
      </c>
      <c r="C274" s="2" t="s">
        <v>88</v>
      </c>
      <c r="D274" s="2" t="s">
        <v>89</v>
      </c>
      <c r="E274" s="2" t="s">
        <v>90</v>
      </c>
      <c r="F274" s="2" t="s">
        <v>788</v>
      </c>
      <c r="G274" s="2" t="s">
        <v>788</v>
      </c>
      <c r="H274" s="2" t="s">
        <v>788</v>
      </c>
      <c r="I274" s="2" t="s">
        <v>789</v>
      </c>
      <c r="J274" s="2" t="s">
        <v>125</v>
      </c>
      <c r="K274" s="2" t="s">
        <v>600</v>
      </c>
      <c r="L274" s="3">
        <v>34.5</v>
      </c>
      <c r="M274" s="3">
        <v>36.22</v>
      </c>
      <c r="N274" s="3">
        <v>74.99</v>
      </c>
      <c r="O274" s="2" t="s">
        <v>95</v>
      </c>
      <c r="P274" s="2" t="s">
        <v>156</v>
      </c>
      <c r="Q274" s="2" t="s">
        <v>97</v>
      </c>
      <c r="R274" s="2" t="s">
        <v>98</v>
      </c>
      <c r="S274" s="2" t="s">
        <v>836</v>
      </c>
      <c r="T274" s="2" t="s">
        <v>792</v>
      </c>
      <c r="U274" s="2" t="s">
        <v>118</v>
      </c>
      <c r="V274" s="2" t="s">
        <v>336</v>
      </c>
      <c r="W274" s="2" t="s">
        <v>103</v>
      </c>
      <c r="X274" s="2" t="s">
        <v>98</v>
      </c>
      <c r="Y274" s="2" t="s">
        <v>207</v>
      </c>
      <c r="Z274" s="4">
        <v>23</v>
      </c>
      <c r="AA274" s="4">
        <f>=ROUNDDOWN(0.958333333333333,0)</f>
      </c>
      <c r="AB274" s="5">
        <v>24</v>
      </c>
      <c r="AC274" s="2" t="s">
        <v>98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15</v>
      </c>
      <c r="BK274" s="8">
        <v>557.25</v>
      </c>
      <c r="BL274" s="2" t="s">
        <v>405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95</v>
      </c>
      <c r="BW274" s="2" t="s">
        <v>181</v>
      </c>
      <c r="BX274" s="2" t="s">
        <v>373</v>
      </c>
      <c r="BY274" s="2" t="s">
        <v>110</v>
      </c>
      <c r="BZ274" s="2" t="s">
        <v>98</v>
      </c>
    </row>
    <row r="275">
      <c r="A275" s="2" t="s">
        <v>841</v>
      </c>
      <c r="B275" s="2" t="s">
        <v>87</v>
      </c>
      <c r="C275" s="2" t="s">
        <v>88</v>
      </c>
      <c r="D275" s="2" t="s">
        <v>89</v>
      </c>
      <c r="E275" s="2" t="s">
        <v>90</v>
      </c>
      <c r="F275" s="2" t="s">
        <v>788</v>
      </c>
      <c r="G275" s="2" t="s">
        <v>788</v>
      </c>
      <c r="H275" s="2" t="s">
        <v>788</v>
      </c>
      <c r="I275" s="2" t="s">
        <v>789</v>
      </c>
      <c r="J275" s="2" t="s">
        <v>93</v>
      </c>
      <c r="K275" s="2" t="s">
        <v>771</v>
      </c>
      <c r="L275" s="3">
        <v>19.78</v>
      </c>
      <c r="M275" s="3">
        <v>20.77</v>
      </c>
      <c r="N275" s="3">
        <v>42.99</v>
      </c>
      <c r="O275" s="2" t="s">
        <v>95</v>
      </c>
      <c r="P275" s="2" t="s">
        <v>156</v>
      </c>
      <c r="Q275" s="2" t="s">
        <v>97</v>
      </c>
      <c r="R275" s="2" t="s">
        <v>98</v>
      </c>
      <c r="S275" s="2" t="s">
        <v>842</v>
      </c>
      <c r="T275" s="2" t="s">
        <v>792</v>
      </c>
      <c r="U275" s="2" t="s">
        <v>101</v>
      </c>
      <c r="V275" s="2" t="s">
        <v>336</v>
      </c>
      <c r="W275" s="2" t="s">
        <v>103</v>
      </c>
      <c r="X275" s="2" t="s">
        <v>98</v>
      </c>
      <c r="Y275" s="2" t="s">
        <v>207</v>
      </c>
      <c r="Z275" s="4">
        <v>173</v>
      </c>
      <c r="AA275" s="4">
        <f>=ROUNDDOWN(14.4166666666667,0)</f>
      </c>
      <c r="AB275" s="5">
        <v>12</v>
      </c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/>
      <c r="AP275" s="4">
        <v>6</v>
      </c>
      <c r="AQ275" s="8">
        <v>134.1</v>
      </c>
      <c r="AR275" s="4"/>
      <c r="AS275" s="8"/>
      <c r="AT275" s="7"/>
      <c r="AU275" s="7"/>
      <c r="AV275" s="4">
        <v>25</v>
      </c>
      <c r="AW275" s="8">
        <v>748.62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0.1791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0.0525</v>
      </c>
      <c r="BJ275" s="4">
        <v>12</v>
      </c>
      <c r="BK275" s="8">
        <v>263.67</v>
      </c>
      <c r="BL275" s="2" t="s">
        <v>780</v>
      </c>
      <c r="BM275" s="7">
        <v>0.5</v>
      </c>
      <c r="BN275" s="7">
        <v>0.5086</v>
      </c>
      <c r="BO275" s="4">
        <v>6</v>
      </c>
      <c r="BP275" s="8">
        <v>134.1</v>
      </c>
      <c r="BQ275" s="4"/>
      <c r="BR275" s="8"/>
      <c r="BS275" s="7"/>
      <c r="BT275" s="7"/>
      <c r="BU275" s="2" t="s">
        <v>107</v>
      </c>
      <c r="BV275" s="2" t="s">
        <v>95</v>
      </c>
      <c r="BW275" s="2" t="s">
        <v>181</v>
      </c>
      <c r="BX275" s="2" t="s">
        <v>720</v>
      </c>
      <c r="BY275" s="2" t="s">
        <v>110</v>
      </c>
      <c r="BZ275" s="2" t="s">
        <v>98</v>
      </c>
    </row>
    <row r="276">
      <c r="A276" s="2" t="s">
        <v>843</v>
      </c>
      <c r="B276" s="2" t="s">
        <v>87</v>
      </c>
      <c r="C276" s="2" t="s">
        <v>88</v>
      </c>
      <c r="D276" s="2" t="s">
        <v>89</v>
      </c>
      <c r="E276" s="2" t="s">
        <v>90</v>
      </c>
      <c r="F276" s="2" t="s">
        <v>788</v>
      </c>
      <c r="G276" s="2" t="s">
        <v>788</v>
      </c>
      <c r="H276" s="2" t="s">
        <v>788</v>
      </c>
      <c r="I276" s="2" t="s">
        <v>789</v>
      </c>
      <c r="J276" s="2" t="s">
        <v>117</v>
      </c>
      <c r="K276" s="2" t="s">
        <v>771</v>
      </c>
      <c r="L276" s="3">
        <v>25.3</v>
      </c>
      <c r="M276" s="3">
        <v>26.56</v>
      </c>
      <c r="N276" s="3">
        <v>54.99</v>
      </c>
      <c r="O276" s="2" t="s">
        <v>95</v>
      </c>
      <c r="P276" s="2" t="s">
        <v>156</v>
      </c>
      <c r="Q276" s="2" t="s">
        <v>97</v>
      </c>
      <c r="R276" s="2" t="s">
        <v>98</v>
      </c>
      <c r="S276" s="2" t="s">
        <v>842</v>
      </c>
      <c r="T276" s="2" t="s">
        <v>792</v>
      </c>
      <c r="U276" s="2" t="s">
        <v>118</v>
      </c>
      <c r="V276" s="2" t="s">
        <v>336</v>
      </c>
      <c r="W276" s="2" t="s">
        <v>103</v>
      </c>
      <c r="X276" s="2" t="s">
        <v>98</v>
      </c>
      <c r="Y276" s="2" t="s">
        <v>844</v>
      </c>
      <c r="Z276" s="4">
        <v>179</v>
      </c>
      <c r="AA276" s="4">
        <f>=ROUNDDOWN(13.7692307692308,0)</f>
      </c>
      <c r="AB276" s="5">
        <v>13</v>
      </c>
      <c r="AC276" s="2" t="s">
        <v>98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/>
      <c r="AP276" s="4">
        <v>4</v>
      </c>
      <c r="AQ276" s="8">
        <v>114.36</v>
      </c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0.1528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13</v>
      </c>
      <c r="BK276" s="8">
        <v>361.84</v>
      </c>
      <c r="BL276" s="2" t="s">
        <v>641</v>
      </c>
      <c r="BM276" s="7">
        <v>0.3077</v>
      </c>
      <c r="BN276" s="7">
        <v>0.3161</v>
      </c>
      <c r="BO276" s="4">
        <v>4</v>
      </c>
      <c r="BP276" s="8">
        <v>114.36</v>
      </c>
      <c r="BQ276" s="4"/>
      <c r="BR276" s="8"/>
      <c r="BS276" s="7"/>
      <c r="BT276" s="7"/>
      <c r="BU276" s="2" t="s">
        <v>107</v>
      </c>
      <c r="BV276" s="2" t="s">
        <v>95</v>
      </c>
      <c r="BW276" s="2" t="s">
        <v>181</v>
      </c>
      <c r="BX276" s="2" t="s">
        <v>373</v>
      </c>
      <c r="BY276" s="2" t="s">
        <v>110</v>
      </c>
      <c r="BZ276" s="2" t="s">
        <v>98</v>
      </c>
    </row>
    <row r="277">
      <c r="A277" s="2" t="s">
        <v>845</v>
      </c>
      <c r="B277" s="2" t="s">
        <v>87</v>
      </c>
      <c r="C277" s="2" t="s">
        <v>88</v>
      </c>
      <c r="D277" s="2" t="s">
        <v>89</v>
      </c>
      <c r="E277" s="2" t="s">
        <v>90</v>
      </c>
      <c r="F277" s="2" t="s">
        <v>788</v>
      </c>
      <c r="G277" s="2" t="s">
        <v>788</v>
      </c>
      <c r="H277" s="2" t="s">
        <v>788</v>
      </c>
      <c r="I277" s="2" t="s">
        <v>789</v>
      </c>
      <c r="J277" s="2" t="s">
        <v>122</v>
      </c>
      <c r="K277" s="2" t="s">
        <v>771</v>
      </c>
      <c r="L277" s="3">
        <v>28.35</v>
      </c>
      <c r="M277" s="3">
        <v>29.77</v>
      </c>
      <c r="N277" s="3">
        <v>62.99</v>
      </c>
      <c r="O277" s="2" t="s">
        <v>95</v>
      </c>
      <c r="P277" s="2" t="s">
        <v>211</v>
      </c>
      <c r="Q277" s="2" t="s">
        <v>97</v>
      </c>
      <c r="R277" s="2" t="s">
        <v>98</v>
      </c>
      <c r="S277" s="2" t="s">
        <v>842</v>
      </c>
      <c r="T277" s="2" t="s">
        <v>792</v>
      </c>
      <c r="U277" s="2" t="s">
        <v>118</v>
      </c>
      <c r="V277" s="2" t="s">
        <v>336</v>
      </c>
      <c r="W277" s="2" t="s">
        <v>103</v>
      </c>
      <c r="X277" s="2" t="s">
        <v>98</v>
      </c>
      <c r="Y277" s="2" t="s">
        <v>846</v>
      </c>
      <c r="Z277" s="4">
        <v>1026</v>
      </c>
      <c r="AA277" s="4">
        <f>=ROUNDDOWN(25.65,0)</f>
      </c>
      <c r="AB277" s="5">
        <v>40</v>
      </c>
      <c r="AC277" s="2" t="s">
        <v>98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/>
      <c r="AP277" s="4">
        <v>12</v>
      </c>
      <c r="AQ277" s="8">
        <v>385.44</v>
      </c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0.5149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38</v>
      </c>
      <c r="BK277" s="8">
        <v>1179.32</v>
      </c>
      <c r="BL277" s="2" t="s">
        <v>464</v>
      </c>
      <c r="BM277" s="7">
        <v>0.3158</v>
      </c>
      <c r="BN277" s="7">
        <v>0.3268</v>
      </c>
      <c r="BO277" s="4">
        <v>12</v>
      </c>
      <c r="BP277" s="8">
        <v>385.44</v>
      </c>
      <c r="BQ277" s="4"/>
      <c r="BR277" s="8"/>
      <c r="BS277" s="7"/>
      <c r="BT277" s="7"/>
      <c r="BU277" s="2" t="s">
        <v>107</v>
      </c>
      <c r="BV277" s="2" t="s">
        <v>95</v>
      </c>
      <c r="BW277" s="2" t="s">
        <v>181</v>
      </c>
      <c r="BX277" s="2" t="s">
        <v>648</v>
      </c>
      <c r="BY277" s="2" t="s">
        <v>110</v>
      </c>
      <c r="BZ277" s="2" t="s">
        <v>98</v>
      </c>
    </row>
    <row r="278">
      <c r="A278" s="2" t="s">
        <v>847</v>
      </c>
      <c r="B278" s="2" t="s">
        <v>87</v>
      </c>
      <c r="C278" s="2" t="s">
        <v>88</v>
      </c>
      <c r="D278" s="2" t="s">
        <v>89</v>
      </c>
      <c r="E278" s="2" t="s">
        <v>90</v>
      </c>
      <c r="F278" s="2" t="s">
        <v>788</v>
      </c>
      <c r="G278" s="2" t="s">
        <v>788</v>
      </c>
      <c r="H278" s="2" t="s">
        <v>788</v>
      </c>
      <c r="I278" s="2" t="s">
        <v>789</v>
      </c>
      <c r="J278" s="2" t="s">
        <v>125</v>
      </c>
      <c r="K278" s="2" t="s">
        <v>771</v>
      </c>
      <c r="L278" s="3">
        <v>34.5</v>
      </c>
      <c r="M278" s="3">
        <v>36.22</v>
      </c>
      <c r="N278" s="3">
        <v>74.99</v>
      </c>
      <c r="O278" s="2" t="s">
        <v>95</v>
      </c>
      <c r="P278" s="2" t="s">
        <v>184</v>
      </c>
      <c r="Q278" s="2" t="s">
        <v>97</v>
      </c>
      <c r="R278" s="2" t="s">
        <v>98</v>
      </c>
      <c r="S278" s="2" t="s">
        <v>842</v>
      </c>
      <c r="T278" s="2" t="s">
        <v>792</v>
      </c>
      <c r="U278" s="2" t="s">
        <v>118</v>
      </c>
      <c r="V278" s="2" t="s">
        <v>336</v>
      </c>
      <c r="W278" s="2" t="s">
        <v>103</v>
      </c>
      <c r="X278" s="2" t="s">
        <v>98</v>
      </c>
      <c r="Y278" s="2" t="s">
        <v>207</v>
      </c>
      <c r="Z278" s="4">
        <v>274</v>
      </c>
      <c r="AA278" s="4">
        <f>=ROUNDDOWN(8.83870967741935,0)</f>
      </c>
      <c r="AB278" s="5">
        <v>31</v>
      </c>
      <c r="AC278" s="2" t="s">
        <v>98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/>
      <c r="AP278" s="4">
        <v>3</v>
      </c>
      <c r="AQ278" s="8">
        <v>114.72</v>
      </c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0.1532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27</v>
      </c>
      <c r="BK278" s="8">
        <v>1008.23</v>
      </c>
      <c r="BL278" s="2" t="s">
        <v>848</v>
      </c>
      <c r="BM278" s="7">
        <v>0.1111</v>
      </c>
      <c r="BN278" s="7">
        <v>0.1138</v>
      </c>
      <c r="BO278" s="4">
        <v>3</v>
      </c>
      <c r="BP278" s="8">
        <v>114.72</v>
      </c>
      <c r="BQ278" s="4"/>
      <c r="BR278" s="8"/>
      <c r="BS278" s="7"/>
      <c r="BT278" s="7"/>
      <c r="BU278" s="2" t="s">
        <v>107</v>
      </c>
      <c r="BV278" s="2" t="s">
        <v>95</v>
      </c>
      <c r="BW278" s="2" t="s">
        <v>181</v>
      </c>
      <c r="BX278" s="2" t="s">
        <v>376</v>
      </c>
      <c r="BY278" s="2" t="s">
        <v>110</v>
      </c>
      <c r="BZ278" s="2" t="s">
        <v>98</v>
      </c>
    </row>
    <row r="279">
      <c r="A279" s="2" t="s">
        <v>849</v>
      </c>
      <c r="B279" s="2" t="s">
        <v>87</v>
      </c>
      <c r="C279" s="2" t="s">
        <v>88</v>
      </c>
      <c r="D279" s="2" t="s">
        <v>89</v>
      </c>
      <c r="E279" s="2" t="s">
        <v>90</v>
      </c>
      <c r="F279" s="2" t="s">
        <v>788</v>
      </c>
      <c r="G279" s="2" t="s">
        <v>788</v>
      </c>
      <c r="H279" s="2" t="s">
        <v>788</v>
      </c>
      <c r="I279" s="2" t="s">
        <v>789</v>
      </c>
      <c r="J279" s="2" t="s">
        <v>93</v>
      </c>
      <c r="K279" s="2" t="s">
        <v>734</v>
      </c>
      <c r="L279" s="3">
        <v>19.78</v>
      </c>
      <c r="M279" s="3">
        <v>20.77</v>
      </c>
      <c r="N279" s="3">
        <v>42.99</v>
      </c>
      <c r="O279" s="2" t="s">
        <v>95</v>
      </c>
      <c r="P279" s="2" t="s">
        <v>156</v>
      </c>
      <c r="Q279" s="2" t="s">
        <v>97</v>
      </c>
      <c r="R279" s="2" t="s">
        <v>98</v>
      </c>
      <c r="S279" s="2" t="s">
        <v>850</v>
      </c>
      <c r="T279" s="2" t="s">
        <v>792</v>
      </c>
      <c r="U279" s="2" t="s">
        <v>101</v>
      </c>
      <c r="V279" s="2" t="s">
        <v>336</v>
      </c>
      <c r="W279" s="2" t="s">
        <v>103</v>
      </c>
      <c r="X279" s="2" t="s">
        <v>98</v>
      </c>
      <c r="Y279" s="2" t="s">
        <v>207</v>
      </c>
      <c r="Z279" s="4">
        <v>122</v>
      </c>
      <c r="AA279" s="4">
        <f>=ROUNDDOWN(11.0909090909091,0)</f>
      </c>
      <c r="AB279" s="5">
        <v>11</v>
      </c>
      <c r="AC279" s="2" t="s">
        <v>98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/>
      <c r="AP279" s="4">
        <v>1</v>
      </c>
      <c r="AQ279" s="8">
        <v>22.35</v>
      </c>
      <c r="AR279" s="4"/>
      <c r="AS279" s="8"/>
      <c r="AT279" s="7"/>
      <c r="AU279" s="7"/>
      <c r="AV279" s="4">
        <v>21</v>
      </c>
      <c r="AW279" s="8">
        <v>645.22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>
        <v>0.0346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0.0452</v>
      </c>
      <c r="BJ279" s="4">
        <v>11</v>
      </c>
      <c r="BK279" s="8">
        <v>239.11</v>
      </c>
      <c r="BL279" s="2" t="s">
        <v>810</v>
      </c>
      <c r="BM279" s="7">
        <v>0.0909</v>
      </c>
      <c r="BN279" s="7">
        <v>0.0935</v>
      </c>
      <c r="BO279" s="4">
        <v>1</v>
      </c>
      <c r="BP279" s="8">
        <v>22.35</v>
      </c>
      <c r="BQ279" s="4"/>
      <c r="BR279" s="8"/>
      <c r="BS279" s="7"/>
      <c r="BT279" s="7"/>
      <c r="BU279" s="2" t="s">
        <v>107</v>
      </c>
      <c r="BV279" s="2" t="s">
        <v>95</v>
      </c>
      <c r="BW279" s="2" t="s">
        <v>181</v>
      </c>
      <c r="BX279" s="2" t="s">
        <v>637</v>
      </c>
      <c r="BY279" s="2" t="s">
        <v>110</v>
      </c>
      <c r="BZ279" s="2" t="s">
        <v>98</v>
      </c>
    </row>
    <row r="280">
      <c r="A280" s="2" t="s">
        <v>851</v>
      </c>
      <c r="B280" s="2" t="s">
        <v>87</v>
      </c>
      <c r="C280" s="2" t="s">
        <v>88</v>
      </c>
      <c r="D280" s="2" t="s">
        <v>89</v>
      </c>
      <c r="E280" s="2" t="s">
        <v>90</v>
      </c>
      <c r="F280" s="2" t="s">
        <v>788</v>
      </c>
      <c r="G280" s="2" t="s">
        <v>788</v>
      </c>
      <c r="H280" s="2" t="s">
        <v>788</v>
      </c>
      <c r="I280" s="2" t="s">
        <v>789</v>
      </c>
      <c r="J280" s="2" t="s">
        <v>117</v>
      </c>
      <c r="K280" s="2" t="s">
        <v>734</v>
      </c>
      <c r="L280" s="3">
        <v>25.3</v>
      </c>
      <c r="M280" s="3">
        <v>26.56</v>
      </c>
      <c r="N280" s="3">
        <v>54.99</v>
      </c>
      <c r="O280" s="2" t="s">
        <v>95</v>
      </c>
      <c r="P280" s="2" t="s">
        <v>156</v>
      </c>
      <c r="Q280" s="2" t="s">
        <v>97</v>
      </c>
      <c r="R280" s="2" t="s">
        <v>98</v>
      </c>
      <c r="S280" s="2" t="s">
        <v>850</v>
      </c>
      <c r="T280" s="2" t="s">
        <v>792</v>
      </c>
      <c r="U280" s="2" t="s">
        <v>118</v>
      </c>
      <c r="V280" s="2" t="s">
        <v>336</v>
      </c>
      <c r="W280" s="2" t="s">
        <v>103</v>
      </c>
      <c r="X280" s="2" t="s">
        <v>98</v>
      </c>
      <c r="Y280" s="2" t="s">
        <v>207</v>
      </c>
      <c r="Z280" s="4">
        <v>246</v>
      </c>
      <c r="AA280" s="4">
        <f>=ROUNDDOWN(16.4,0)</f>
      </c>
      <c r="AB280" s="5">
        <v>15</v>
      </c>
      <c r="AC280" s="2" t="s">
        <v>98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/>
      <c r="AP280" s="4">
        <v>9</v>
      </c>
      <c r="AQ280" s="8">
        <v>257.31</v>
      </c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0.3988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22</v>
      </c>
      <c r="BK280" s="8">
        <v>618.8</v>
      </c>
      <c r="BL280" s="2" t="s">
        <v>810</v>
      </c>
      <c r="BM280" s="7">
        <v>0.4091</v>
      </c>
      <c r="BN280" s="7">
        <v>0.4158</v>
      </c>
      <c r="BO280" s="4">
        <v>9</v>
      </c>
      <c r="BP280" s="8">
        <v>257.31</v>
      </c>
      <c r="BQ280" s="4"/>
      <c r="BR280" s="8"/>
      <c r="BS280" s="7"/>
      <c r="BT280" s="7"/>
      <c r="BU280" s="2" t="s">
        <v>107</v>
      </c>
      <c r="BV280" s="2" t="s">
        <v>95</v>
      </c>
      <c r="BW280" s="2" t="s">
        <v>181</v>
      </c>
      <c r="BX280" s="2" t="s">
        <v>596</v>
      </c>
      <c r="BY280" s="2" t="s">
        <v>110</v>
      </c>
      <c r="BZ280" s="2" t="s">
        <v>98</v>
      </c>
    </row>
    <row r="281">
      <c r="A281" s="2" t="s">
        <v>852</v>
      </c>
      <c r="B281" s="2" t="s">
        <v>87</v>
      </c>
      <c r="C281" s="2" t="s">
        <v>88</v>
      </c>
      <c r="D281" s="2" t="s">
        <v>89</v>
      </c>
      <c r="E281" s="2" t="s">
        <v>90</v>
      </c>
      <c r="F281" s="2" t="s">
        <v>788</v>
      </c>
      <c r="G281" s="2" t="s">
        <v>788</v>
      </c>
      <c r="H281" s="2" t="s">
        <v>788</v>
      </c>
      <c r="I281" s="2" t="s">
        <v>789</v>
      </c>
      <c r="J281" s="2" t="s">
        <v>122</v>
      </c>
      <c r="K281" s="2" t="s">
        <v>734</v>
      </c>
      <c r="L281" s="3">
        <v>28.35</v>
      </c>
      <c r="M281" s="3">
        <v>29.77</v>
      </c>
      <c r="N281" s="3">
        <v>62.99</v>
      </c>
      <c r="O281" s="2" t="s">
        <v>95</v>
      </c>
      <c r="P281" s="2" t="s">
        <v>177</v>
      </c>
      <c r="Q281" s="2" t="s">
        <v>97</v>
      </c>
      <c r="R281" s="2" t="s">
        <v>98</v>
      </c>
      <c r="S281" s="2" t="s">
        <v>850</v>
      </c>
      <c r="T281" s="2" t="s">
        <v>792</v>
      </c>
      <c r="U281" s="2" t="s">
        <v>118</v>
      </c>
      <c r="V281" s="2" t="s">
        <v>336</v>
      </c>
      <c r="W281" s="2" t="s">
        <v>103</v>
      </c>
      <c r="X281" s="2" t="s">
        <v>98</v>
      </c>
      <c r="Y281" s="2" t="s">
        <v>207</v>
      </c>
      <c r="Z281" s="4">
        <v>420</v>
      </c>
      <c r="AA281" s="4">
        <f>=ROUNDDOWN(15,0)</f>
      </c>
      <c r="AB281" s="5">
        <v>28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/>
      <c r="AP281" s="4">
        <v>9</v>
      </c>
      <c r="AQ281" s="8">
        <v>289.08</v>
      </c>
      <c r="AR281" s="4"/>
      <c r="AS281" s="8"/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>
        <v>0.448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88</v>
      </c>
      <c r="BK281" s="8">
        <v>2835.6</v>
      </c>
      <c r="BL281" s="2" t="s">
        <v>853</v>
      </c>
      <c r="BM281" s="7">
        <v>0.1023</v>
      </c>
      <c r="BN281" s="7">
        <v>0.1019</v>
      </c>
      <c r="BO281" s="4">
        <v>9</v>
      </c>
      <c r="BP281" s="8">
        <v>289.08</v>
      </c>
      <c r="BQ281" s="4"/>
      <c r="BR281" s="8"/>
      <c r="BS281" s="7"/>
      <c r="BT281" s="7"/>
      <c r="BU281" s="2" t="s">
        <v>107</v>
      </c>
      <c r="BV281" s="2" t="s">
        <v>95</v>
      </c>
      <c r="BW281" s="2" t="s">
        <v>181</v>
      </c>
      <c r="BX281" s="2" t="s">
        <v>854</v>
      </c>
      <c r="BY281" s="2" t="s">
        <v>110</v>
      </c>
      <c r="BZ281" s="2" t="s">
        <v>98</v>
      </c>
    </row>
    <row r="282">
      <c r="A282" s="2" t="s">
        <v>855</v>
      </c>
      <c r="B282" s="2" t="s">
        <v>87</v>
      </c>
      <c r="C282" s="2" t="s">
        <v>88</v>
      </c>
      <c r="D282" s="2" t="s">
        <v>89</v>
      </c>
      <c r="E282" s="2" t="s">
        <v>90</v>
      </c>
      <c r="F282" s="2" t="s">
        <v>788</v>
      </c>
      <c r="G282" s="2" t="s">
        <v>788</v>
      </c>
      <c r="H282" s="2" t="s">
        <v>788</v>
      </c>
      <c r="I282" s="2" t="s">
        <v>789</v>
      </c>
      <c r="J282" s="2" t="s">
        <v>125</v>
      </c>
      <c r="K282" s="2" t="s">
        <v>734</v>
      </c>
      <c r="L282" s="3">
        <v>34.5</v>
      </c>
      <c r="M282" s="3">
        <v>36.22</v>
      </c>
      <c r="N282" s="3">
        <v>74.99</v>
      </c>
      <c r="O282" s="2" t="s">
        <v>95</v>
      </c>
      <c r="P282" s="2" t="s">
        <v>156</v>
      </c>
      <c r="Q282" s="2" t="s">
        <v>97</v>
      </c>
      <c r="R282" s="2" t="s">
        <v>98</v>
      </c>
      <c r="S282" s="2" t="s">
        <v>850</v>
      </c>
      <c r="T282" s="2" t="s">
        <v>792</v>
      </c>
      <c r="U282" s="2" t="s">
        <v>118</v>
      </c>
      <c r="V282" s="2" t="s">
        <v>336</v>
      </c>
      <c r="W282" s="2" t="s">
        <v>103</v>
      </c>
      <c r="X282" s="2" t="s">
        <v>98</v>
      </c>
      <c r="Y282" s="2" t="s">
        <v>844</v>
      </c>
      <c r="Z282" s="4">
        <v>1</v>
      </c>
      <c r="AA282" s="4">
        <f>=ROUNDDOWN(0.0714285714285714,0)</f>
      </c>
      <c r="AB282" s="5">
        <v>14</v>
      </c>
      <c r="AC282" s="2" t="s">
        <v>98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/>
      <c r="AP282" s="4">
        <v>2</v>
      </c>
      <c r="AQ282" s="8">
        <v>76.48</v>
      </c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>
        <v>0.1185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 t="s">
        <v>98</v>
      </c>
      <c r="BJ282" s="4">
        <v>51</v>
      </c>
      <c r="BK282" s="8">
        <v>1907.1</v>
      </c>
      <c r="BL282" s="2" t="s">
        <v>802</v>
      </c>
      <c r="BM282" s="7">
        <v>0.0392</v>
      </c>
      <c r="BN282" s="7">
        <v>0.0401</v>
      </c>
      <c r="BO282" s="4">
        <v>2</v>
      </c>
      <c r="BP282" s="8">
        <v>76.48</v>
      </c>
      <c r="BQ282" s="4"/>
      <c r="BR282" s="8"/>
      <c r="BS282" s="7"/>
      <c r="BT282" s="7"/>
      <c r="BU282" s="2" t="s">
        <v>107</v>
      </c>
      <c r="BV282" s="2" t="s">
        <v>95</v>
      </c>
      <c r="BW282" s="2" t="s">
        <v>181</v>
      </c>
      <c r="BX282" s="2" t="s">
        <v>637</v>
      </c>
      <c r="BY282" s="2" t="s">
        <v>110</v>
      </c>
      <c r="BZ282" s="2" t="s">
        <v>98</v>
      </c>
    </row>
    <row r="283">
      <c r="A283" s="16" t="s">
        <v>856</v>
      </c>
      <c r="B283" s="9" t="s">
        <v>98</v>
      </c>
      <c r="C283" s="9" t="s">
        <v>98</v>
      </c>
      <c r="D283" s="9" t="s">
        <v>98</v>
      </c>
      <c r="E283" s="9" t="s">
        <v>98</v>
      </c>
      <c r="F283" s="9" t="s">
        <v>98</v>
      </c>
      <c r="G283" s="9" t="s">
        <v>98</v>
      </c>
      <c r="H283" s="9" t="s">
        <v>98</v>
      </c>
      <c r="I283" s="9" t="s">
        <v>98</v>
      </c>
      <c r="J283" s="9" t="s">
        <v>98</v>
      </c>
      <c r="K283" s="9" t="s">
        <v>98</v>
      </c>
      <c r="L283" s="10"/>
      <c r="M283" s="10"/>
      <c r="N283" s="10"/>
      <c r="O283" s="9" t="s">
        <v>98</v>
      </c>
      <c r="P283" s="9" t="s">
        <v>98</v>
      </c>
      <c r="Q283" s="9" t="s">
        <v>98</v>
      </c>
      <c r="R283" s="9" t="s">
        <v>98</v>
      </c>
      <c r="S283" s="9" t="s">
        <v>98</v>
      </c>
      <c r="T283" s="9" t="s">
        <v>98</v>
      </c>
      <c r="U283" s="9" t="s">
        <v>98</v>
      </c>
      <c r="V283" s="9" t="s">
        <v>98</v>
      </c>
      <c r="W283" s="9" t="s">
        <v>98</v>
      </c>
      <c r="X283" s="9" t="s">
        <v>98</v>
      </c>
      <c r="Y283" s="9" t="s">
        <v>98</v>
      </c>
      <c r="Z283" s="11">
        <v>142600</v>
      </c>
      <c r="AA283" s="11">
        <f>=ROUNDDOWN({0},0)</f>
      </c>
      <c r="AB283" s="12">
        <v>5722.6</v>
      </c>
      <c r="AC283" s="9" t="s">
        <v>98</v>
      </c>
      <c r="AD283" s="11"/>
      <c r="AE283" s="11">
        <v>10286</v>
      </c>
      <c r="AF283" s="13"/>
      <c r="AG283" s="13"/>
      <c r="AH283" s="14"/>
      <c r="AI283" s="11"/>
      <c r="AJ283" s="11">
        <f>=ROUNDDOWN({0},0)</f>
      </c>
      <c r="AK283" s="12"/>
      <c r="AL283" s="9" t="s">
        <v>98</v>
      </c>
      <c r="AM283" s="11"/>
      <c r="AN283" s="11"/>
      <c r="AO283" s="14"/>
      <c r="AP283" s="11">
        <v>2995</v>
      </c>
      <c r="AQ283" s="15">
        <v>83726.64</v>
      </c>
      <c r="AR283" s="11"/>
      <c r="AS283" s="15"/>
      <c r="AT283" s="14"/>
      <c r="AU283" s="14"/>
      <c r="AV283" s="11">
        <v>2995</v>
      </c>
      <c r="AW283" s="15">
        <v>83726.64</v>
      </c>
      <c r="AX283" s="11"/>
      <c r="AY283" s="15"/>
      <c r="AZ283" s="14"/>
      <c r="BA283" s="14"/>
      <c r="BB283" s="14"/>
      <c r="BC283" s="11">
        <v>2995</v>
      </c>
      <c r="BD283" s="15">
        <v>83726.64</v>
      </c>
      <c r="BE283" s="11"/>
      <c r="BF283" s="15"/>
      <c r="BG283" s="14"/>
      <c r="BH283" s="14"/>
      <c r="BI283" s="14"/>
      <c r="BJ283" s="11"/>
      <c r="BK283" s="15"/>
      <c r="BL283" s="9" t="s">
        <v>98</v>
      </c>
      <c r="BM283" s="14"/>
      <c r="BN283" s="14"/>
      <c r="BO283" s="11">
        <v>2995</v>
      </c>
      <c r="BP283" s="15">
        <v>83726.64</v>
      </c>
      <c r="BQ283" s="11"/>
      <c r="BR283" s="15"/>
      <c r="BS283" s="14"/>
      <c r="BT283" s="14"/>
      <c r="BU283" s="9" t="s">
        <v>98</v>
      </c>
      <c r="BV283" s="9" t="s">
        <v>98</v>
      </c>
      <c r="BW283" s="9" t="s">
        <v>98</v>
      </c>
      <c r="BX283" s="9" t="s">
        <v>98</v>
      </c>
      <c r="BY283" s="9" t="s">
        <v>98</v>
      </c>
      <c r="BZ28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65"/>
    <mergeCell ref="BD6:BD165"/>
    <mergeCell ref="BE6:BE165"/>
    <mergeCell ref="BF6:BF165"/>
    <mergeCell ref="BG6:BG165"/>
    <mergeCell ref="BH6:BH165"/>
    <mergeCell ref="BC166:BC250"/>
    <mergeCell ref="BD166:BD250"/>
    <mergeCell ref="BE166:BE250"/>
    <mergeCell ref="BF166:BF250"/>
    <mergeCell ref="BG166:BG250"/>
    <mergeCell ref="BH166:BH250"/>
    <mergeCell ref="BC251:BC282"/>
    <mergeCell ref="BD251:BD282"/>
    <mergeCell ref="BE251:BE282"/>
    <mergeCell ref="BF251:BF282"/>
    <mergeCell ref="BG251:BG282"/>
    <mergeCell ref="BH251:BH282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8"/>
    <mergeCell ref="AW24:AW28"/>
    <mergeCell ref="AX24:AX28"/>
    <mergeCell ref="AY24:AY28"/>
    <mergeCell ref="AZ24:AZ28"/>
    <mergeCell ref="BA24:BA28"/>
    <mergeCell ref="BI24:BI28"/>
    <mergeCell ref="AV29:AV34"/>
    <mergeCell ref="AW29:AW34"/>
    <mergeCell ref="AX29:AX34"/>
    <mergeCell ref="AY29:AY34"/>
    <mergeCell ref="AZ29:AZ34"/>
    <mergeCell ref="BA29:BA34"/>
    <mergeCell ref="BI29:BI34"/>
    <mergeCell ref="AV35:AV40"/>
    <mergeCell ref="AW35:AW40"/>
    <mergeCell ref="AX35:AX40"/>
    <mergeCell ref="AY35:AY40"/>
    <mergeCell ref="AZ35:AZ40"/>
    <mergeCell ref="BA35:BA40"/>
    <mergeCell ref="BI35:BI40"/>
    <mergeCell ref="AV41:AV45"/>
    <mergeCell ref="AW41:AW45"/>
    <mergeCell ref="AX41:AX45"/>
    <mergeCell ref="AY41:AY45"/>
    <mergeCell ref="AZ41:AZ45"/>
    <mergeCell ref="BA41:BA45"/>
    <mergeCell ref="BI41:BI45"/>
    <mergeCell ref="AV46:AV51"/>
    <mergeCell ref="AW46:AW51"/>
    <mergeCell ref="AX46:AX51"/>
    <mergeCell ref="AY46:AY51"/>
    <mergeCell ref="AZ46:AZ51"/>
    <mergeCell ref="BA46:BA51"/>
    <mergeCell ref="BI46:BI51"/>
    <mergeCell ref="AV52:AV56"/>
    <mergeCell ref="AW52:AW56"/>
    <mergeCell ref="AX52:AX56"/>
    <mergeCell ref="AY52:AY56"/>
    <mergeCell ref="AZ52:AZ56"/>
    <mergeCell ref="BA52:BA56"/>
    <mergeCell ref="BI52:BI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9"/>
    <mergeCell ref="AW65:AW69"/>
    <mergeCell ref="AX65:AX69"/>
    <mergeCell ref="AY65:AY69"/>
    <mergeCell ref="AZ65:AZ69"/>
    <mergeCell ref="BA65:BA69"/>
    <mergeCell ref="BI65:BI69"/>
    <mergeCell ref="AV70:AV74"/>
    <mergeCell ref="AW70:AW74"/>
    <mergeCell ref="AX70:AX74"/>
    <mergeCell ref="AY70:AY74"/>
    <mergeCell ref="AZ70:AZ74"/>
    <mergeCell ref="BA70:BA74"/>
    <mergeCell ref="BI70:BI74"/>
    <mergeCell ref="AV75:AV80"/>
    <mergeCell ref="AW75:AW80"/>
    <mergeCell ref="AX75:AX80"/>
    <mergeCell ref="AY75:AY80"/>
    <mergeCell ref="AZ75:AZ80"/>
    <mergeCell ref="BA75:BA80"/>
    <mergeCell ref="BI75:BI80"/>
    <mergeCell ref="AV81:AV84"/>
    <mergeCell ref="AW81:AW84"/>
    <mergeCell ref="AX81:AX84"/>
    <mergeCell ref="AY81:AY84"/>
    <mergeCell ref="AZ81:AZ84"/>
    <mergeCell ref="BA81:BA84"/>
    <mergeCell ref="BI81:BI84"/>
    <mergeCell ref="AV85:AV88"/>
    <mergeCell ref="AW85:AW88"/>
    <mergeCell ref="AX85:AX88"/>
    <mergeCell ref="AY85:AY88"/>
    <mergeCell ref="AZ85:AZ88"/>
    <mergeCell ref="BA85:BA88"/>
    <mergeCell ref="BI85:BI88"/>
    <mergeCell ref="AV89:AV92"/>
    <mergeCell ref="AW89:AW92"/>
    <mergeCell ref="AX89:AX92"/>
    <mergeCell ref="AY89:AY92"/>
    <mergeCell ref="AZ89:AZ92"/>
    <mergeCell ref="BA89:BA92"/>
    <mergeCell ref="BI89:BI92"/>
    <mergeCell ref="AV93:AV97"/>
    <mergeCell ref="AW93:AW97"/>
    <mergeCell ref="AX93:AX97"/>
    <mergeCell ref="AY93:AY97"/>
    <mergeCell ref="AZ93:AZ97"/>
    <mergeCell ref="BA93:BA97"/>
    <mergeCell ref="BI93:BI97"/>
    <mergeCell ref="AV98:AV102"/>
    <mergeCell ref="AW98:AW102"/>
    <mergeCell ref="AX98:AX102"/>
    <mergeCell ref="AY98:AY102"/>
    <mergeCell ref="AZ98:AZ102"/>
    <mergeCell ref="BA98:BA102"/>
    <mergeCell ref="BI98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13"/>
    <mergeCell ref="AW108:AW113"/>
    <mergeCell ref="AX108:AX113"/>
    <mergeCell ref="AY108:AY113"/>
    <mergeCell ref="AZ108:AZ113"/>
    <mergeCell ref="BA108:BA113"/>
    <mergeCell ref="BI108:BI113"/>
    <mergeCell ref="AV114:AV119"/>
    <mergeCell ref="AW114:AW119"/>
    <mergeCell ref="AX114:AX119"/>
    <mergeCell ref="AY114:AY119"/>
    <mergeCell ref="AZ114:AZ119"/>
    <mergeCell ref="BA114:BA119"/>
    <mergeCell ref="BI114:BI119"/>
    <mergeCell ref="AV120:AV123"/>
    <mergeCell ref="AW120:AW123"/>
    <mergeCell ref="AX120:AX123"/>
    <mergeCell ref="AY120:AY123"/>
    <mergeCell ref="AZ120:AZ123"/>
    <mergeCell ref="BA120:BA123"/>
    <mergeCell ref="BI120:BI123"/>
    <mergeCell ref="AV124:AV127"/>
    <mergeCell ref="AW124:AW127"/>
    <mergeCell ref="AX124:AX127"/>
    <mergeCell ref="AY124:AY127"/>
    <mergeCell ref="AZ124:AZ127"/>
    <mergeCell ref="BA124:BA127"/>
    <mergeCell ref="BI124:BI127"/>
    <mergeCell ref="AV128:AV132"/>
    <mergeCell ref="AW128:AW132"/>
    <mergeCell ref="AX128:AX132"/>
    <mergeCell ref="AY128:AY132"/>
    <mergeCell ref="AZ128:AZ132"/>
    <mergeCell ref="BA128:BA132"/>
    <mergeCell ref="BI128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6"/>
    <mergeCell ref="AW142:AW146"/>
    <mergeCell ref="AX142:AX146"/>
    <mergeCell ref="AY142:AY146"/>
    <mergeCell ref="AZ142:AZ146"/>
    <mergeCell ref="BA142:BA146"/>
    <mergeCell ref="BI142:BI146"/>
    <mergeCell ref="AV147:AV152"/>
    <mergeCell ref="AW147:AW152"/>
    <mergeCell ref="AX147:AX152"/>
    <mergeCell ref="AY147:AY152"/>
    <mergeCell ref="AZ147:AZ152"/>
    <mergeCell ref="BA147:BA152"/>
    <mergeCell ref="BI147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9"/>
    <mergeCell ref="AW156:AW159"/>
    <mergeCell ref="AX156:AX159"/>
    <mergeCell ref="AY156:AY159"/>
    <mergeCell ref="AZ156:AZ159"/>
    <mergeCell ref="BA156:BA159"/>
    <mergeCell ref="BI156:BI159"/>
    <mergeCell ref="AV160:AV164"/>
    <mergeCell ref="AW160:AW164"/>
    <mergeCell ref="AX160:AX164"/>
    <mergeCell ref="AY160:AY164"/>
    <mergeCell ref="AZ160:AZ164"/>
    <mergeCell ref="BA160:BA164"/>
    <mergeCell ref="BI160:BI164"/>
    <mergeCell ref="AV166:AV171"/>
    <mergeCell ref="AW166:AW171"/>
    <mergeCell ref="AX166:AX171"/>
    <mergeCell ref="AY166:AY171"/>
    <mergeCell ref="AZ166:AZ171"/>
    <mergeCell ref="BA166:BA171"/>
    <mergeCell ref="BI166:BI171"/>
    <mergeCell ref="AV172:AV177"/>
    <mergeCell ref="AW172:AW177"/>
    <mergeCell ref="AX172:AX177"/>
    <mergeCell ref="AY172:AY177"/>
    <mergeCell ref="AZ172:AZ177"/>
    <mergeCell ref="BA172:BA177"/>
    <mergeCell ref="BI172:BI177"/>
    <mergeCell ref="AV178:AV183"/>
    <mergeCell ref="AW178:AW183"/>
    <mergeCell ref="AX178:AX183"/>
    <mergeCell ref="AY178:AY183"/>
    <mergeCell ref="AZ178:AZ183"/>
    <mergeCell ref="BA178:BA183"/>
    <mergeCell ref="BI178:BI183"/>
    <mergeCell ref="AV184:AV189"/>
    <mergeCell ref="AW184:AW189"/>
    <mergeCell ref="AX184:AX189"/>
    <mergeCell ref="AY184:AY189"/>
    <mergeCell ref="AZ184:AZ189"/>
    <mergeCell ref="BA184:BA189"/>
    <mergeCell ref="BI184:BI189"/>
    <mergeCell ref="AV190:AV195"/>
    <mergeCell ref="AW190:AW195"/>
    <mergeCell ref="AX190:AX195"/>
    <mergeCell ref="AY190:AY195"/>
    <mergeCell ref="AZ190:AZ195"/>
    <mergeCell ref="BA190:BA195"/>
    <mergeCell ref="BI190:BI195"/>
    <mergeCell ref="AV196:AV199"/>
    <mergeCell ref="AW196:AW199"/>
    <mergeCell ref="AX196:AX199"/>
    <mergeCell ref="AY196:AY199"/>
    <mergeCell ref="AZ196:AZ199"/>
    <mergeCell ref="BA196:BA199"/>
    <mergeCell ref="BI196:BI199"/>
    <mergeCell ref="AV200:AV203"/>
    <mergeCell ref="AW200:AW203"/>
    <mergeCell ref="AX200:AX203"/>
    <mergeCell ref="AY200:AY203"/>
    <mergeCell ref="AZ200:AZ203"/>
    <mergeCell ref="BA200:BA203"/>
    <mergeCell ref="BI200:BI203"/>
    <mergeCell ref="AV204:AV209"/>
    <mergeCell ref="AW204:AW209"/>
    <mergeCell ref="AX204:AX209"/>
    <mergeCell ref="AY204:AY209"/>
    <mergeCell ref="AZ204:AZ209"/>
    <mergeCell ref="BA204:BA209"/>
    <mergeCell ref="BI204:BI209"/>
    <mergeCell ref="AV210:AV215"/>
    <mergeCell ref="AW210:AW215"/>
    <mergeCell ref="AX210:AX215"/>
    <mergeCell ref="AY210:AY215"/>
    <mergeCell ref="AZ210:AZ215"/>
    <mergeCell ref="BA210:BA215"/>
    <mergeCell ref="BI210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5"/>
    <mergeCell ref="AW220:AW225"/>
    <mergeCell ref="AX220:AX225"/>
    <mergeCell ref="AY220:AY225"/>
    <mergeCell ref="AZ220:AZ225"/>
    <mergeCell ref="BA220:BA225"/>
    <mergeCell ref="BI220:BI225"/>
    <mergeCell ref="AV226:AV231"/>
    <mergeCell ref="AW226:AW231"/>
    <mergeCell ref="AX226:AX231"/>
    <mergeCell ref="AY226:AY231"/>
    <mergeCell ref="AZ226:AZ231"/>
    <mergeCell ref="BA226:BA231"/>
    <mergeCell ref="BI226:BI231"/>
    <mergeCell ref="AV232:AV237"/>
    <mergeCell ref="AW232:AW237"/>
    <mergeCell ref="AX232:AX237"/>
    <mergeCell ref="AY232:AY237"/>
    <mergeCell ref="AZ232:AZ237"/>
    <mergeCell ref="BA232:BA237"/>
    <mergeCell ref="BI232:BI237"/>
    <mergeCell ref="AV238:AV243"/>
    <mergeCell ref="AW238:AW243"/>
    <mergeCell ref="AX238:AX243"/>
    <mergeCell ref="AY238:AY243"/>
    <mergeCell ref="AZ238:AZ243"/>
    <mergeCell ref="BA238:BA243"/>
    <mergeCell ref="BI238:BI243"/>
    <mergeCell ref="AV244:AV249"/>
    <mergeCell ref="AW244:AW249"/>
    <mergeCell ref="AX244:AX249"/>
    <mergeCell ref="AY244:AY249"/>
    <mergeCell ref="AZ244:AZ249"/>
    <mergeCell ref="BA244:BA249"/>
    <mergeCell ref="BI244:BI249"/>
    <mergeCell ref="AV251:AV254"/>
    <mergeCell ref="AW251:AW254"/>
    <mergeCell ref="AX251:AX254"/>
    <mergeCell ref="AY251:AY254"/>
    <mergeCell ref="AZ251:AZ254"/>
    <mergeCell ref="BA251:BA254"/>
    <mergeCell ref="BI251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6"/>
    <mergeCell ref="AW263:AW266"/>
    <mergeCell ref="AX263:AX266"/>
    <mergeCell ref="AY263:AY266"/>
    <mergeCell ref="AZ263:AZ266"/>
    <mergeCell ref="BA263:BA266"/>
    <mergeCell ref="BI263:BI266"/>
    <mergeCell ref="AV267:AV270"/>
    <mergeCell ref="AW267:AW270"/>
    <mergeCell ref="AX267:AX270"/>
    <mergeCell ref="AY267:AY270"/>
    <mergeCell ref="AZ267:AZ270"/>
    <mergeCell ref="BA267:BA270"/>
    <mergeCell ref="BI267:BI270"/>
    <mergeCell ref="AV271:AV274"/>
    <mergeCell ref="AW271:AW274"/>
    <mergeCell ref="AX271:AX274"/>
    <mergeCell ref="AY271:AY274"/>
    <mergeCell ref="AZ271:AZ274"/>
    <mergeCell ref="BA271:BA274"/>
    <mergeCell ref="BI271:BI274"/>
    <mergeCell ref="AV275:AV278"/>
    <mergeCell ref="AW275:AW278"/>
    <mergeCell ref="AX275:AX278"/>
    <mergeCell ref="AY275:AY278"/>
    <mergeCell ref="AZ275:AZ278"/>
    <mergeCell ref="BA275:BA278"/>
    <mergeCell ref="BI275:BI278"/>
    <mergeCell ref="AV279:AV282"/>
    <mergeCell ref="AW279:AW282"/>
    <mergeCell ref="AX279:AX282"/>
    <mergeCell ref="AY279:AY282"/>
    <mergeCell ref="AZ279:AZ282"/>
    <mergeCell ref="BA279:BA282"/>
    <mergeCell ref="BI279:BI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857</v>
      </c>
      <c r="D2" s="0" t="s">
        <v>858</v>
      </c>
      <c r="E2" s="0" t="s">
        <v>859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860</v>
      </c>
      <c r="J4" s="1" t="s">
        <v>861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862</v>
      </c>
      <c r="P4" s="1" t="s">
        <v>863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864</v>
      </c>
      <c r="F5" s="1" t="s">
        <v>865</v>
      </c>
      <c r="G5" s="1" t="s">
        <v>864</v>
      </c>
      <c r="H5" s="1" t="s">
        <v>865</v>
      </c>
      <c r="I5" s="1" t="s">
        <v>860</v>
      </c>
      <c r="J5" s="1" t="s">
        <v>861</v>
      </c>
      <c r="K5" s="1" t="s">
        <v>866</v>
      </c>
      <c r="L5" s="1" t="s">
        <v>867</v>
      </c>
      <c r="M5" s="1" t="s">
        <v>866</v>
      </c>
      <c r="N5" s="1" t="s">
        <v>867</v>
      </c>
      <c r="O5" s="1" t="s">
        <v>862</v>
      </c>
      <c r="P5" s="1" t="s">
        <v>863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2995</v>
      </c>
      <c r="F6" s="8">
        <v>83726.64</v>
      </c>
      <c r="G6" s="4"/>
      <c r="H6" s="8"/>
      <c r="I6" s="7"/>
      <c r="J6" s="7"/>
      <c r="K6" s="4">
        <v>2995</v>
      </c>
      <c r="L6" s="8">
        <v>83726.64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857</v>
      </c>
      <c r="D2" s="0" t="s">
        <v>858</v>
      </c>
      <c r="E2" s="0" t="s">
        <v>859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860</v>
      </c>
      <c r="I4" s="1" t="s">
        <v>861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862</v>
      </c>
      <c r="O4" s="1" t="s">
        <v>863</v>
      </c>
    </row>
    <row r="5">
      <c r="A5" s="1" t="s">
        <v>52</v>
      </c>
      <c r="B5" s="1" t="s">
        <v>54</v>
      </c>
      <c r="C5" s="1" t="s">
        <v>55</v>
      </c>
      <c r="D5" s="1" t="s">
        <v>864</v>
      </c>
      <c r="E5" s="1" t="s">
        <v>865</v>
      </c>
      <c r="F5" s="1" t="s">
        <v>864</v>
      </c>
      <c r="G5" s="1" t="s">
        <v>865</v>
      </c>
      <c r="H5" s="1" t="s">
        <v>860</v>
      </c>
      <c r="I5" s="1" t="s">
        <v>861</v>
      </c>
      <c r="J5" s="1" t="s">
        <v>866</v>
      </c>
      <c r="K5" s="1" t="s">
        <v>867</v>
      </c>
      <c r="L5" s="1" t="s">
        <v>866</v>
      </c>
      <c r="M5" s="1" t="s">
        <v>867</v>
      </c>
      <c r="N5" s="1" t="s">
        <v>862</v>
      </c>
      <c r="O5" s="1" t="s">
        <v>863</v>
      </c>
    </row>
    <row r="6">
      <c r="A6" s="2" t="s">
        <v>87</v>
      </c>
      <c r="B6" s="2" t="s">
        <v>89</v>
      </c>
      <c r="C6" s="2" t="s">
        <v>90</v>
      </c>
      <c r="D6" s="4">
        <v>2995</v>
      </c>
      <c r="E6" s="8">
        <v>83726.64</v>
      </c>
      <c r="F6" s="4"/>
      <c r="G6" s="8"/>
      <c r="H6" s="7"/>
      <c r="I6" s="7"/>
      <c r="J6" s="4">
        <v>2995</v>
      </c>
      <c r="K6" s="8">
        <v>83726.64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